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latform\projects\GitHub\sdp-demo-extension\sdp-demo-webapp\src\main\webapp\WEB-INF\classes\medias\documents\"/>
    </mc:Choice>
  </mc:AlternateContent>
  <bookViews>
    <workbookView xWindow="0" yWindow="0" windowWidth="20490" windowHeight="7430"/>
  </bookViews>
  <sheets>
    <sheet name="Profit Loss Statement" sheetId="2" r:id="rId1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'Profit Loss Statement'!$AC$2</definedName>
    <definedName name="FYStartYear">'Profit Loss Statement'!$AD$2</definedName>
    <definedName name="_xlnm.Print_Titles" localSheetId="0">'Profit Loss Statement'!$4:$4</definedName>
  </definedNames>
  <calcPr calcId="152511"/>
</workbook>
</file>

<file path=xl/calcChain.xml><?xml version="1.0" encoding="utf-8"?>
<calcChain xmlns="http://schemas.openxmlformats.org/spreadsheetml/2006/main">
  <c r="O4" i="2" l="1"/>
  <c r="AC4" i="2" s="1"/>
  <c r="N4" i="2"/>
  <c r="AB4" i="2" s="1"/>
  <c r="M4" i="2"/>
  <c r="AA4" i="2" s="1"/>
  <c r="L4" i="2"/>
  <c r="Z4" i="2" s="1"/>
  <c r="K4" i="2"/>
  <c r="Y4" i="2" s="1"/>
  <c r="J4" i="2"/>
  <c r="X4" i="2" s="1"/>
  <c r="I4" i="2"/>
  <c r="W4" i="2" s="1"/>
  <c r="H4" i="2"/>
  <c r="V4" i="2" s="1"/>
  <c r="G4" i="2"/>
  <c r="U4" i="2" s="1"/>
  <c r="F4" i="2"/>
  <c r="T4" i="2" s="1"/>
  <c r="E4" i="2"/>
  <c r="S4" i="2" s="1"/>
  <c r="D4" i="2"/>
  <c r="R4" i="2" s="1"/>
  <c r="Q48" i="2" l="1"/>
  <c r="Q24" i="2"/>
  <c r="O48" i="2" l="1"/>
  <c r="G48" i="2"/>
  <c r="P46" i="2"/>
  <c r="P42" i="2"/>
  <c r="P38" i="2"/>
  <c r="P34" i="2"/>
  <c r="P30" i="2"/>
  <c r="P44" i="2"/>
  <c r="P32" i="2"/>
  <c r="P40" i="2"/>
  <c r="P36" i="2"/>
  <c r="K48" i="2"/>
  <c r="P47" i="2"/>
  <c r="P43" i="2"/>
  <c r="P39" i="2"/>
  <c r="P35" i="2"/>
  <c r="P31" i="2"/>
  <c r="P45" i="2"/>
  <c r="P41" i="2"/>
  <c r="P37" i="2"/>
  <c r="P33" i="2"/>
  <c r="P29" i="2"/>
  <c r="M48" i="2"/>
  <c r="I48" i="2"/>
  <c r="E48" i="2"/>
  <c r="L48" i="2"/>
  <c r="H48" i="2"/>
  <c r="N48" i="2"/>
  <c r="J48" i="2"/>
  <c r="F48" i="2"/>
  <c r="D48" i="2"/>
  <c r="O24" i="2"/>
  <c r="N24" i="2"/>
  <c r="D24" i="2"/>
  <c r="J24" i="2"/>
  <c r="F24" i="2"/>
  <c r="M24" i="2"/>
  <c r="I24" i="2"/>
  <c r="E24" i="2"/>
  <c r="L24" i="2"/>
  <c r="H24" i="2"/>
  <c r="K24" i="2"/>
  <c r="G24" i="2"/>
  <c r="P21" i="2"/>
  <c r="P17" i="2"/>
  <c r="P20" i="2"/>
  <c r="P23" i="2"/>
  <c r="P19" i="2"/>
  <c r="P22" i="2"/>
  <c r="P18" i="2"/>
  <c r="T36" i="2" l="1"/>
  <c r="U45" i="2"/>
  <c r="AB40" i="2"/>
  <c r="W47" i="2"/>
  <c r="Y41" i="2"/>
  <c r="R42" i="2"/>
  <c r="AA41" i="2"/>
  <c r="Z40" i="2"/>
  <c r="X42" i="2"/>
  <c r="S43" i="2"/>
  <c r="AC47" i="2"/>
  <c r="T21" i="2"/>
  <c r="U18" i="2"/>
  <c r="Z19" i="2"/>
  <c r="AC20" i="2"/>
  <c r="X22" i="2"/>
  <c r="Y22" i="2"/>
  <c r="W22" i="2"/>
  <c r="V19" i="2"/>
  <c r="AA20" i="2"/>
  <c r="AB23" i="2"/>
  <c r="R20" i="2"/>
  <c r="W30" i="2"/>
  <c r="Y35" i="2"/>
  <c r="W38" i="2"/>
  <c r="T42" i="2"/>
  <c r="Y42" i="2"/>
  <c r="W46" i="2"/>
  <c r="W45" i="2"/>
  <c r="W31" i="2"/>
  <c r="AB30" i="2"/>
  <c r="Y37" i="2"/>
  <c r="W44" i="2"/>
  <c r="Y32" i="2"/>
  <c r="W29" i="2"/>
  <c r="Y39" i="2"/>
  <c r="AB46" i="2"/>
  <c r="Y38" i="2"/>
  <c r="Y33" i="2"/>
  <c r="Y40" i="2"/>
  <c r="W33" i="2"/>
  <c r="AB42" i="2"/>
  <c r="AB44" i="2"/>
  <c r="AC30" i="2"/>
  <c r="AC36" i="2"/>
  <c r="S41" i="2"/>
  <c r="X36" i="2"/>
  <c r="S39" i="2"/>
  <c r="AC41" i="2"/>
  <c r="Y34" i="2"/>
  <c r="AC38" i="2"/>
  <c r="Y46" i="2"/>
  <c r="AB32" i="2"/>
  <c r="U32" i="2"/>
  <c r="S38" i="2"/>
  <c r="W42" i="2"/>
  <c r="S29" i="2"/>
  <c r="AC31" i="2"/>
  <c r="U39" i="2"/>
  <c r="W41" i="2"/>
  <c r="Y43" i="2"/>
  <c r="X46" i="2"/>
  <c r="AB36" i="2"/>
  <c r="W39" i="2"/>
  <c r="W43" i="2"/>
  <c r="S36" i="2"/>
  <c r="AC46" i="2"/>
  <c r="AC44" i="2"/>
  <c r="AC43" i="2"/>
  <c r="X40" i="2"/>
  <c r="Y30" i="2"/>
  <c r="W36" i="2"/>
  <c r="S44" i="2"/>
  <c r="AC29" i="2"/>
  <c r="S30" i="2"/>
  <c r="W34" i="2"/>
  <c r="U40" i="2"/>
  <c r="S46" i="2"/>
  <c r="X30" i="2"/>
  <c r="AB34" i="2"/>
  <c r="S45" i="2"/>
  <c r="AC37" i="2"/>
  <c r="Y45" i="2"/>
  <c r="V29" i="2"/>
  <c r="V31" i="2"/>
  <c r="V33" i="2"/>
  <c r="V35" i="2"/>
  <c r="V37" i="2"/>
  <c r="V39" i="2"/>
  <c r="V41" i="2"/>
  <c r="V43" i="2"/>
  <c r="V45" i="2"/>
  <c r="V47" i="2"/>
  <c r="AA32" i="2"/>
  <c r="AA40" i="2"/>
  <c r="V34" i="2"/>
  <c r="AA35" i="2"/>
  <c r="V36" i="2"/>
  <c r="AA37" i="2"/>
  <c r="V46" i="2"/>
  <c r="AA47" i="2"/>
  <c r="T29" i="2"/>
  <c r="T31" i="2"/>
  <c r="T33" i="2"/>
  <c r="T35" i="2"/>
  <c r="T39" i="2"/>
  <c r="T41" i="2"/>
  <c r="T43" i="2"/>
  <c r="T45" i="2"/>
  <c r="T47" i="2"/>
  <c r="T37" i="2"/>
  <c r="Z29" i="2"/>
  <c r="Z31" i="2"/>
  <c r="Z33" i="2"/>
  <c r="Z35" i="2"/>
  <c r="Z37" i="2"/>
  <c r="Z39" i="2"/>
  <c r="Z41" i="2"/>
  <c r="Z43" i="2"/>
  <c r="Z45" i="2"/>
  <c r="Z47" i="2"/>
  <c r="U34" i="2"/>
  <c r="U42" i="2"/>
  <c r="V30" i="2"/>
  <c r="AA31" i="2"/>
  <c r="U33" i="2"/>
  <c r="Z34" i="2"/>
  <c r="AA34" i="2"/>
  <c r="AA42" i="2"/>
  <c r="V32" i="2"/>
  <c r="AA33" i="2"/>
  <c r="U35" i="2"/>
  <c r="Z36" i="2"/>
  <c r="T38" i="2"/>
  <c r="V42" i="2"/>
  <c r="AA43" i="2"/>
  <c r="X29" i="2"/>
  <c r="X31" i="2"/>
  <c r="X33" i="2"/>
  <c r="X37" i="2"/>
  <c r="X39" i="2"/>
  <c r="X41" i="2"/>
  <c r="X43" i="2"/>
  <c r="X45" i="2"/>
  <c r="X47" i="2"/>
  <c r="X35" i="2"/>
  <c r="S32" i="2"/>
  <c r="AA36" i="2"/>
  <c r="S40" i="2"/>
  <c r="AA44" i="2"/>
  <c r="U29" i="2"/>
  <c r="Z30" i="2"/>
  <c r="T32" i="2"/>
  <c r="S35" i="2"/>
  <c r="AC32" i="2"/>
  <c r="U36" i="2"/>
  <c r="AC40" i="2"/>
  <c r="U44" i="2"/>
  <c r="AA29" i="2"/>
  <c r="U31" i="2"/>
  <c r="Z32" i="2"/>
  <c r="T34" i="2"/>
  <c r="S37" i="2"/>
  <c r="X38" i="2"/>
  <c r="AC39" i="2"/>
  <c r="V44" i="2"/>
  <c r="AA45" i="2"/>
  <c r="U47" i="2"/>
  <c r="V38" i="2"/>
  <c r="AA39" i="2"/>
  <c r="U41" i="2"/>
  <c r="Z42" i="2"/>
  <c r="T44" i="2"/>
  <c r="S47" i="2"/>
  <c r="AB29" i="2"/>
  <c r="AB31" i="2"/>
  <c r="AB33" i="2"/>
  <c r="AB37" i="2"/>
  <c r="AB39" i="2"/>
  <c r="AB41" i="2"/>
  <c r="AB43" i="2"/>
  <c r="AB45" i="2"/>
  <c r="AB47" i="2"/>
  <c r="AB35" i="2"/>
  <c r="U30" i="2"/>
  <c r="W32" i="2"/>
  <c r="AC34" i="2"/>
  <c r="U38" i="2"/>
  <c r="W40" i="2"/>
  <c r="AC42" i="2"/>
  <c r="U46" i="2"/>
  <c r="Y29" i="2"/>
  <c r="S31" i="2"/>
  <c r="X32" i="2"/>
  <c r="AC33" i="2"/>
  <c r="W35" i="2"/>
  <c r="AA30" i="2"/>
  <c r="S34" i="2"/>
  <c r="Y36" i="2"/>
  <c r="AA38" i="2"/>
  <c r="S42" i="2"/>
  <c r="Y44" i="2"/>
  <c r="AA46" i="2"/>
  <c r="T30" i="2"/>
  <c r="Y31" i="2"/>
  <c r="S33" i="2"/>
  <c r="X34" i="2"/>
  <c r="AC35" i="2"/>
  <c r="W37" i="2"/>
  <c r="AB38" i="2"/>
  <c r="V40" i="2"/>
  <c r="U43" i="2"/>
  <c r="Z44" i="2"/>
  <c r="T46" i="2"/>
  <c r="Y47" i="2"/>
  <c r="U37" i="2"/>
  <c r="Z38" i="2"/>
  <c r="T40" i="2"/>
  <c r="X44" i="2"/>
  <c r="AC45" i="2"/>
  <c r="Z46" i="2"/>
  <c r="R43" i="2"/>
  <c r="R40" i="2"/>
  <c r="R38" i="2"/>
  <c r="R37" i="2"/>
  <c r="R31" i="2"/>
  <c r="R47" i="2"/>
  <c r="R44" i="2"/>
  <c r="R46" i="2"/>
  <c r="R41" i="2"/>
  <c r="R35" i="2"/>
  <c r="R32" i="2"/>
  <c r="R45" i="2"/>
  <c r="R29" i="2"/>
  <c r="R34" i="2"/>
  <c r="R39" i="2"/>
  <c r="R36" i="2"/>
  <c r="R30" i="2"/>
  <c r="R33" i="2"/>
  <c r="P48" i="2"/>
  <c r="AB22" i="2"/>
  <c r="AC22" i="2"/>
  <c r="R23" i="2"/>
  <c r="Z22" i="2"/>
  <c r="R17" i="2"/>
  <c r="AC19" i="2"/>
  <c r="U20" i="2"/>
  <c r="AB17" i="2"/>
  <c r="U21" i="2"/>
  <c r="W21" i="2"/>
  <c r="Z21" i="2"/>
  <c r="S21" i="2"/>
  <c r="R19" i="2"/>
  <c r="W23" i="2"/>
  <c r="Z20" i="2"/>
  <c r="T17" i="2"/>
  <c r="Z23" i="2"/>
  <c r="AC21" i="2"/>
  <c r="U19" i="2"/>
  <c r="T22" i="2"/>
  <c r="U22" i="2"/>
  <c r="T23" i="2"/>
  <c r="Y17" i="2"/>
  <c r="S19" i="2"/>
  <c r="X20" i="2"/>
  <c r="S18" i="2"/>
  <c r="X19" i="2"/>
  <c r="V21" i="2"/>
  <c r="S17" i="2"/>
  <c r="X18" i="2"/>
  <c r="Y18" i="2"/>
  <c r="S20" i="2"/>
  <c r="X21" i="2"/>
  <c r="R18" i="2"/>
  <c r="AC17" i="2"/>
  <c r="W19" i="2"/>
  <c r="AB20" i="2"/>
  <c r="V22" i="2"/>
  <c r="AA23" i="2"/>
  <c r="W18" i="2"/>
  <c r="AB19" i="2"/>
  <c r="S22" i="2"/>
  <c r="W17" i="2"/>
  <c r="AB18" i="2"/>
  <c r="V20" i="2"/>
  <c r="AA21" i="2"/>
  <c r="U23" i="2"/>
  <c r="X17" i="2"/>
  <c r="AC18" i="2"/>
  <c r="W20" i="2"/>
  <c r="AB21" i="2"/>
  <c r="V23" i="2"/>
  <c r="V18" i="2"/>
  <c r="AA19" i="2"/>
  <c r="V17" i="2"/>
  <c r="AA18" i="2"/>
  <c r="AA22" i="2"/>
  <c r="AA17" i="2"/>
  <c r="Y23" i="2"/>
  <c r="U17" i="2"/>
  <c r="Z18" i="2"/>
  <c r="T20" i="2"/>
  <c r="Y21" i="2"/>
  <c r="S23" i="2"/>
  <c r="Z17" i="2"/>
  <c r="T19" i="2"/>
  <c r="Y20" i="2"/>
  <c r="X23" i="2"/>
  <c r="T18" i="2"/>
  <c r="Y19" i="2"/>
  <c r="AC23" i="2"/>
  <c r="R22" i="2"/>
  <c r="R21" i="2"/>
  <c r="P24" i="2"/>
  <c r="AD36" i="2" l="1"/>
  <c r="AD19" i="2"/>
  <c r="AD35" i="2"/>
  <c r="AD43" i="2"/>
  <c r="AD30" i="2"/>
  <c r="AD32" i="2"/>
  <c r="S48" i="2"/>
  <c r="AD44" i="2"/>
  <c r="AB48" i="2"/>
  <c r="AC48" i="2"/>
  <c r="AD34" i="2"/>
  <c r="AD39" i="2"/>
  <c r="W48" i="2"/>
  <c r="AD37" i="2"/>
  <c r="AD31" i="2"/>
  <c r="AD29" i="2"/>
  <c r="U48" i="2"/>
  <c r="Z48" i="2"/>
  <c r="Y48" i="2"/>
  <c r="AD42" i="2"/>
  <c r="AD47" i="2"/>
  <c r="X48" i="2"/>
  <c r="AD45" i="2"/>
  <c r="AD46" i="2"/>
  <c r="AD41" i="2"/>
  <c r="AA48" i="2"/>
  <c r="T48" i="2"/>
  <c r="AD38" i="2"/>
  <c r="AD33" i="2"/>
  <c r="AD40" i="2"/>
  <c r="V48" i="2"/>
  <c r="R48" i="2"/>
  <c r="T24" i="2"/>
  <c r="W24" i="2"/>
  <c r="Z24" i="2"/>
  <c r="AD18" i="2"/>
  <c r="AD22" i="2"/>
  <c r="AD21" i="2"/>
  <c r="V24" i="2"/>
  <c r="AD20" i="2"/>
  <c r="AD23" i="2"/>
  <c r="AD17" i="2"/>
  <c r="AB24" i="2"/>
  <c r="R24" i="2"/>
  <c r="AC24" i="2"/>
  <c r="U24" i="2"/>
  <c r="X24" i="2"/>
  <c r="S24" i="2"/>
  <c r="AA24" i="2"/>
  <c r="Y24" i="2"/>
  <c r="F14" i="2"/>
  <c r="J14" i="2"/>
  <c r="N14" i="2"/>
  <c r="P7" i="2"/>
  <c r="P8" i="2"/>
  <c r="P9" i="2"/>
  <c r="P10" i="2"/>
  <c r="P11" i="2"/>
  <c r="P12" i="2"/>
  <c r="P13" i="2"/>
  <c r="H14" i="2"/>
  <c r="L14" i="2"/>
  <c r="Q14" i="2"/>
  <c r="D14" i="2"/>
  <c r="AD24" i="2" l="1"/>
  <c r="AD48" i="2"/>
  <c r="Z9" i="2"/>
  <c r="L26" i="2"/>
  <c r="L50" i="2" s="1"/>
  <c r="V9" i="2"/>
  <c r="H26" i="2"/>
  <c r="H50" i="2" s="1"/>
  <c r="AB7" i="2"/>
  <c r="N26" i="2"/>
  <c r="N50" i="2" s="1"/>
  <c r="R7" i="2"/>
  <c r="D26" i="2"/>
  <c r="D50" i="2" s="1"/>
  <c r="X7" i="2"/>
  <c r="J26" i="2"/>
  <c r="J50" i="2" s="1"/>
  <c r="T7" i="2"/>
  <c r="F26" i="2"/>
  <c r="F50" i="2" s="1"/>
  <c r="P14" i="2"/>
  <c r="M14" i="2"/>
  <c r="I14" i="2"/>
  <c r="E14" i="2"/>
  <c r="O14" i="2"/>
  <c r="K14" i="2"/>
  <c r="G14" i="2"/>
  <c r="X12" i="2"/>
  <c r="Z10" i="2"/>
  <c r="AB8" i="2"/>
  <c r="T8" i="2"/>
  <c r="V12" i="2"/>
  <c r="X10" i="2"/>
  <c r="Z8" i="2"/>
  <c r="AB12" i="2"/>
  <c r="T12" i="2"/>
  <c r="V10" i="2"/>
  <c r="X8" i="2"/>
  <c r="Z12" i="2"/>
  <c r="AB10" i="2"/>
  <c r="T10" i="2"/>
  <c r="V8" i="2"/>
  <c r="R10" i="2"/>
  <c r="R13" i="2"/>
  <c r="R9" i="2"/>
  <c r="AB13" i="2"/>
  <c r="X13" i="2"/>
  <c r="T13" i="2"/>
  <c r="Z11" i="2"/>
  <c r="V11" i="2"/>
  <c r="AB9" i="2"/>
  <c r="X9" i="2"/>
  <c r="T9" i="2"/>
  <c r="Z7" i="2"/>
  <c r="V7" i="2"/>
  <c r="R12" i="2"/>
  <c r="R8" i="2"/>
  <c r="R11" i="2"/>
  <c r="Z13" i="2"/>
  <c r="V13" i="2"/>
  <c r="AB11" i="2"/>
  <c r="X11" i="2"/>
  <c r="T11" i="2"/>
  <c r="AC11" i="2" l="1"/>
  <c r="W7" i="2"/>
  <c r="U12" i="2"/>
  <c r="U7" i="2"/>
  <c r="W9" i="2"/>
  <c r="U8" i="2"/>
  <c r="G26" i="2"/>
  <c r="G50" i="2" s="1"/>
  <c r="W10" i="2"/>
  <c r="I26" i="2"/>
  <c r="I50" i="2" s="1"/>
  <c r="U11" i="2"/>
  <c r="U9" i="2"/>
  <c r="Y8" i="2"/>
  <c r="K26" i="2"/>
  <c r="K50" i="2" s="1"/>
  <c r="AA10" i="2"/>
  <c r="M26" i="2"/>
  <c r="M50" i="2" s="1"/>
  <c r="W12" i="2"/>
  <c r="W11" i="2"/>
  <c r="AC8" i="2"/>
  <c r="O26" i="2"/>
  <c r="O50" i="2" s="1"/>
  <c r="AD7" i="2"/>
  <c r="P26" i="2"/>
  <c r="AD26" i="2" s="1"/>
  <c r="AC7" i="2"/>
  <c r="W13" i="2"/>
  <c r="U10" i="2"/>
  <c r="U13" i="2"/>
  <c r="S10" i="2"/>
  <c r="E26" i="2"/>
  <c r="E50" i="2" s="1"/>
  <c r="AA8" i="2"/>
  <c r="AA11" i="2"/>
  <c r="AD9" i="2"/>
  <c r="Y9" i="2"/>
  <c r="AD10" i="2"/>
  <c r="AC12" i="2"/>
  <c r="AA9" i="2"/>
  <c r="AC10" i="2"/>
  <c r="AC9" i="2"/>
  <c r="AC13" i="2"/>
  <c r="AD8" i="2"/>
  <c r="AD11" i="2"/>
  <c r="AD13" i="2"/>
  <c r="Y10" i="2"/>
  <c r="Y7" i="2"/>
  <c r="AD12" i="2"/>
  <c r="S8" i="2"/>
  <c r="Y12" i="2"/>
  <c r="S9" i="2"/>
  <c r="Y11" i="2"/>
  <c r="AA13" i="2"/>
  <c r="W8" i="2"/>
  <c r="AB14" i="2"/>
  <c r="AA12" i="2"/>
  <c r="AA7" i="2"/>
  <c r="S11" i="2"/>
  <c r="Y13" i="2"/>
  <c r="S13" i="2"/>
  <c r="S12" i="2"/>
  <c r="S7" i="2"/>
  <c r="T14" i="2"/>
  <c r="X14" i="2"/>
  <c r="R14" i="2"/>
  <c r="V14" i="2"/>
  <c r="Z14" i="2"/>
  <c r="Y14" i="2" l="1"/>
  <c r="P50" i="2"/>
  <c r="W50" i="2" s="1"/>
  <c r="T26" i="2"/>
  <c r="U14" i="2"/>
  <c r="W14" i="2"/>
  <c r="AC14" i="2"/>
  <c r="V26" i="2"/>
  <c r="AC26" i="2"/>
  <c r="AB26" i="2"/>
  <c r="Y26" i="2"/>
  <c r="W26" i="2"/>
  <c r="R26" i="2"/>
  <c r="Z26" i="2"/>
  <c r="X26" i="2"/>
  <c r="AA26" i="2"/>
  <c r="U26" i="2"/>
  <c r="S26" i="2"/>
  <c r="AA14" i="2"/>
  <c r="S14" i="2"/>
  <c r="AD14" i="2"/>
  <c r="U50" i="2" l="1"/>
  <c r="AC50" i="2"/>
  <c r="AD50" i="2"/>
  <c r="X50" i="2"/>
  <c r="AB50" i="2"/>
  <c r="R50" i="2"/>
  <c r="Z50" i="2"/>
  <c r="V50" i="2"/>
  <c r="T50" i="2"/>
  <c r="S50" i="2"/>
  <c r="AA50" i="2"/>
  <c r="Y50" i="2"/>
</calcChain>
</file>

<file path=xl/sharedStrings.xml><?xml version="1.0" encoding="utf-8"?>
<sst xmlns="http://schemas.openxmlformats.org/spreadsheetml/2006/main" count="153" uniqueCount="76">
  <si>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</si>
  <si>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</si>
  <si>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</si>
  <si>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</si>
  <si>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</si>
  <si>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</si>
  <si>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</si>
  <si>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</si>
  <si>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</si>
  <si>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</si>
  <si>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</si>
  <si>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</si>
  <si>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% m1</t>
  </si>
  <si>
    <t>% m2</t>
  </si>
  <si>
    <t>% m3</t>
  </si>
  <si>
    <t>% m4</t>
  </si>
  <si>
    <t>% m5</t>
  </si>
  <si>
    <t>% m6</t>
  </si>
  <si>
    <t>% m7</t>
  </si>
  <si>
    <t>% m8</t>
  </si>
  <si>
    <t>% m9</t>
  </si>
  <si>
    <t>% m10</t>
  </si>
  <si>
    <t>% m11</t>
  </si>
  <si>
    <t>% m12</t>
  </si>
  <si>
    <t>Ind %</t>
  </si>
  <si>
    <t>% y</t>
  </si>
  <si>
    <t>Yearly</t>
  </si>
  <si>
    <t>Gross Profit</t>
  </si>
  <si>
    <t xml:space="preserve">Salary expenses </t>
  </si>
  <si>
    <t xml:space="preserve">Payroll expenses </t>
  </si>
  <si>
    <t>Outside services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</si>
  <si>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</si>
  <si>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</si>
  <si>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</si>
  <si>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</si>
  <si>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</si>
  <si>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</si>
  <si>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</si>
  <si>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</si>
  <si>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</si>
  <si>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Taxes (real estate, etc.)</t>
  </si>
  <si>
    <t>Interest</t>
  </si>
  <si>
    <t>Depreciation</t>
  </si>
  <si>
    <t>Other expenses (specify)</t>
  </si>
  <si>
    <t>Misc. (unspecified)</t>
  </si>
  <si>
    <t>Net Profit</t>
  </si>
  <si>
    <t xml:space="preserve"> </t>
  </si>
  <si>
    <t>Twelve Month</t>
  </si>
  <si>
    <t>Company Name</t>
  </si>
  <si>
    <t>REVENUES (SALES)</t>
  </si>
  <si>
    <t>TREND</t>
  </si>
  <si>
    <t>TOTAL SALES</t>
  </si>
  <si>
    <t>COST OF SALES</t>
  </si>
  <si>
    <t>TOTAL COST OF SALES</t>
  </si>
  <si>
    <t>EXPENSES</t>
  </si>
  <si>
    <t>TOTAL EXPENSES</t>
  </si>
  <si>
    <t>FISCAL YEAR BEGINS:</t>
  </si>
  <si>
    <t>JAN</t>
  </si>
  <si>
    <t>IND %</t>
  </si>
  <si>
    <t>YEARLY</t>
  </si>
  <si>
    <t>YEAR %</t>
  </si>
  <si>
    <t>Revenue 1</t>
  </si>
  <si>
    <t>Revenue 2</t>
  </si>
  <si>
    <t>Revenue 3</t>
  </si>
  <si>
    <t>Revenue 4</t>
  </si>
  <si>
    <t>Revenue 5</t>
  </si>
  <si>
    <t>Revenue 6</t>
  </si>
  <si>
    <t>Revenue 7</t>
  </si>
  <si>
    <t>Cost 1</t>
  </si>
  <si>
    <t>Cost 2</t>
  </si>
  <si>
    <t>Cost 3</t>
  </si>
  <si>
    <t>Cost 4</t>
  </si>
  <si>
    <t>Cost 5</t>
  </si>
  <si>
    <t>Cost 6</t>
  </si>
  <si>
    <t>Cost 7</t>
  </si>
  <si>
    <t>Financial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</si>
</sst>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;;;"/>
    <numFmt numFmtId="165" formatCode="0%;;&quot;-&quot;;"/>
    <numFmt numFmtId="166" formatCode="_(&quot;$&quot;* #,##0_);_(&quot;$&quot;* \(#,##0\);_(&quot;$&quot;* &quot;-&quot;??_);_(@_)"/>
  </numFmts>
  <fonts count="21" x14ac:knownFonts="1">
    <font>
      <sz val="10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2"/>
      <color theme="1"/>
      <name val="Bookman Old Style"/>
      <family val="1"/>
      <scheme val="major"/>
    </font>
    <font>
      <b/>
      <sz val="12"/>
      <color theme="0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3"/>
      <name val="Century Gothic"/>
      <family val="2"/>
      <scheme val="minor"/>
    </font>
    <font>
      <sz val="10"/>
      <color theme="3"/>
      <name val="Bookman Old Style"/>
      <family val="1"/>
      <scheme val="major"/>
    </font>
    <font>
      <b/>
      <sz val="12"/>
      <color theme="8"/>
      <name val="Bookman Old Style"/>
      <family val="1"/>
      <scheme val="major"/>
    </font>
    <font>
      <sz val="10"/>
      <color theme="1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6"/>
      <color theme="0"/>
      <name val="Century Gothic"/>
      <family val="2"/>
      <scheme val="minor"/>
    </font>
    <font>
      <sz val="12"/>
      <color theme="0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26"/>
      <color theme="3"/>
      <name val="Century Gothic"/>
      <family val="2"/>
      <scheme val="minor"/>
    </font>
    <font>
      <b/>
      <sz val="22"/>
      <color theme="3"/>
      <name val="Century Gothic"/>
      <family val="2"/>
      <scheme val="minor"/>
    </font>
    <font>
      <b/>
      <sz val="12"/>
      <color theme="3"/>
      <name val="Century Gothic"/>
      <family val="2"/>
      <scheme val="minor"/>
    </font>
    <font>
      <b/>
      <i/>
      <sz val="16"/>
      <color theme="7"/>
      <name val="Bookman Old Style"/>
      <family val="1"/>
      <scheme val="major"/>
    </font>
    <font>
      <b/>
      <i/>
      <sz val="22"/>
      <color theme="7"/>
      <name val="Bookman Old Style"/>
      <family val="1"/>
      <scheme val="major"/>
    </font>
    <font>
      <b/>
      <sz val="11"/>
      <color theme="8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0"/>
      <color theme="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tted">
        <color theme="8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/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right"/>
    </xf>
    <xf numFmtId="17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2" fontId="8" fillId="0" borderId="0" xfId="1" applyNumberFormat="1" applyFont="1" applyFill="1" applyBorder="1"/>
    <xf numFmtId="9" fontId="8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 indent="1"/>
    </xf>
    <xf numFmtId="0" fontId="11" fillId="2" borderId="0" xfId="0" applyFont="1" applyFill="1" applyBorder="1" applyAlignment="1">
      <alignment vertical="center"/>
    </xf>
    <xf numFmtId="42" fontId="9" fillId="2" borderId="0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9" fontId="9" fillId="2" borderId="0" xfId="2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 indent="1"/>
    </xf>
    <xf numFmtId="0" fontId="8" fillId="0" borderId="0" xfId="0" applyFont="1" applyFill="1" applyBorder="1" applyAlignment="1">
      <alignment horizontal="right" indent="1"/>
    </xf>
    <xf numFmtId="164" fontId="4" fillId="0" borderId="0" xfId="0" applyNumberFormat="1" applyFont="1" applyFill="1" applyBorder="1" applyAlignment="1">
      <alignment horizontal="right"/>
    </xf>
    <xf numFmtId="0" fontId="0" fillId="0" borderId="0" xfId="0" applyAlignment="1"/>
    <xf numFmtId="0" fontId="8" fillId="0" borderId="0" xfId="0" applyFont="1" applyAlignment="1">
      <alignment horizontal="right" indent="1"/>
    </xf>
    <xf numFmtId="42" fontId="8" fillId="0" borderId="0" xfId="1" applyNumberFormat="1" applyFont="1" applyFill="1"/>
    <xf numFmtId="9" fontId="8" fillId="0" borderId="0" xfId="2" applyFont="1" applyFill="1" applyAlignment="1">
      <alignment horizontal="right"/>
    </xf>
    <xf numFmtId="0" fontId="8" fillId="3" borderId="2" xfId="0" applyFont="1" applyFill="1" applyBorder="1" applyAlignment="1">
      <alignment horizontal="center"/>
    </xf>
    <xf numFmtId="166" fontId="8" fillId="3" borderId="2" xfId="1" applyNumberFormat="1" applyFont="1" applyFill="1" applyBorder="1" applyAlignment="1">
      <alignment horizontal="center"/>
    </xf>
    <xf numFmtId="166" fontId="8" fillId="4" borderId="4" xfId="1" applyNumberFormat="1" applyFont="1" applyFill="1" applyBorder="1"/>
    <xf numFmtId="0" fontId="8" fillId="4" borderId="4" xfId="0" applyFont="1" applyFill="1" applyBorder="1"/>
    <xf numFmtId="0" fontId="8" fillId="5" borderId="5" xfId="0" applyFont="1" applyFill="1" applyBorder="1" applyAlignment="1">
      <alignment horizontal="center"/>
    </xf>
    <xf numFmtId="42" fontId="8" fillId="5" borderId="5" xfId="1" applyNumberFormat="1" applyFont="1" applyFill="1" applyBorder="1"/>
    <xf numFmtId="9" fontId="8" fillId="5" borderId="9" xfId="2" applyFont="1" applyFill="1" applyBorder="1" applyAlignment="1">
      <alignment horizontal="right"/>
    </xf>
    <xf numFmtId="9" fontId="8" fillId="5" borderId="10" xfId="2" applyFont="1" applyFill="1" applyBorder="1" applyAlignment="1">
      <alignment horizontal="right"/>
    </xf>
    <xf numFmtId="0" fontId="13" fillId="0" borderId="0" xfId="0" applyFont="1" applyBorder="1" applyAlignment="1">
      <alignment vertical="center"/>
    </xf>
    <xf numFmtId="0" fontId="14" fillId="0" borderId="0" xfId="3" applyBorder="1" applyAlignment="1">
      <alignment vertical="center"/>
    </xf>
    <xf numFmtId="0" fontId="15" fillId="0" borderId="0" xfId="4" applyFill="1" applyAlignment="1">
      <alignment horizontal="right" indent="1"/>
    </xf>
    <xf numFmtId="0" fontId="15" fillId="0" borderId="0" xfId="4" applyFill="1" applyAlignment="1">
      <alignment horizontal="center"/>
    </xf>
    <xf numFmtId="0" fontId="15" fillId="0" borderId="0" xfId="4" applyFill="1" applyBorder="1" applyAlignment="1">
      <alignment horizontal="right" indent="1"/>
    </xf>
    <xf numFmtId="0" fontId="15" fillId="0" borderId="0" xfId="4" applyFill="1" applyBorder="1" applyAlignment="1">
      <alignment horizontal="center"/>
    </xf>
    <xf numFmtId="14" fontId="6" fillId="0" borderId="3" xfId="0" applyNumberFormat="1" applyFont="1" applyBorder="1" applyAlignment="1">
      <alignment horizontal="center" vertical="center"/>
    </xf>
    <xf numFmtId="0" fontId="18" fillId="0" borderId="0" xfId="0" applyFont="1"/>
    <xf numFmtId="0" fontId="0" fillId="0" borderId="11" xfId="0" applyBorder="1"/>
    <xf numFmtId="0" fontId="16" fillId="0" borderId="11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left" vertical="center"/>
    </xf>
    <xf numFmtId="9" fontId="8" fillId="5" borderId="8" xfId="2" applyNumberFormat="1" applyFont="1" applyFill="1" applyBorder="1" applyAlignment="1">
      <alignment horizontal="right"/>
    </xf>
    <xf numFmtId="9" fontId="8" fillId="5" borderId="9" xfId="2" applyNumberFormat="1" applyFont="1" applyFill="1" applyBorder="1" applyAlignment="1">
      <alignment horizontal="right"/>
    </xf>
    <xf numFmtId="9" fontId="8" fillId="5" borderId="10" xfId="2" applyNumberFormat="1" applyFont="1" applyFill="1" applyBorder="1" applyAlignment="1">
      <alignment horizontal="right"/>
    </xf>
    <xf numFmtId="0" fontId="0" fillId="0" borderId="0" xfId="0" applyNumberFormat="1"/>
    <xf numFmtId="0" fontId="19" fillId="0" borderId="0" xfId="0" applyFont="1" applyAlignment="1">
      <alignment horizontal="right" indent="1"/>
    </xf>
    <xf numFmtId="0" fontId="19" fillId="0" borderId="0" xfId="0" applyFont="1"/>
    <xf numFmtId="42" fontId="19" fillId="0" borderId="0" xfId="0" applyNumberFormat="1" applyFont="1" applyFill="1"/>
    <xf numFmtId="166" fontId="19" fillId="0" borderId="0" xfId="0" applyNumberFormat="1" applyFont="1"/>
    <xf numFmtId="9" fontId="19" fillId="0" borderId="0" xfId="0" applyNumberFormat="1" applyFont="1" applyFill="1" applyAlignment="1">
      <alignment horizontal="right"/>
    </xf>
    <xf numFmtId="0" fontId="19" fillId="0" borderId="0" xfId="0" applyFont="1" applyBorder="1" applyAlignment="1">
      <alignment horizontal="right" indent="1"/>
    </xf>
    <xf numFmtId="0" fontId="19" fillId="0" borderId="4" xfId="0" applyFont="1" applyBorder="1"/>
    <xf numFmtId="42" fontId="19" fillId="0" borderId="0" xfId="0" applyNumberFormat="1" applyFont="1" applyFill="1" applyBorder="1"/>
    <xf numFmtId="166" fontId="19" fillId="0" borderId="4" xfId="0" applyNumberFormat="1" applyFont="1" applyBorder="1"/>
    <xf numFmtId="165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 indent="1"/>
    </xf>
    <xf numFmtId="0" fontId="19" fillId="0" borderId="0" xfId="0" applyFont="1" applyFill="1" applyBorder="1" applyAlignment="1">
      <alignment horizontal="center"/>
    </xf>
    <xf numFmtId="9" fontId="20" fillId="0" borderId="0" xfId="0" applyNumberFormat="1" applyFont="1" applyFill="1" applyBorder="1" applyAlignment="1">
      <alignment horizontal="right"/>
    </xf>
    <xf numFmtId="9" fontId="8" fillId="3" borderId="6" xfId="2" applyFont="1" applyFill="1" applyBorder="1" applyAlignment="1">
      <alignment horizontal="right"/>
    </xf>
    <xf numFmtId="9" fontId="8" fillId="3" borderId="1" xfId="2" applyFont="1" applyFill="1" applyBorder="1" applyAlignment="1">
      <alignment horizontal="right"/>
    </xf>
    <xf numFmtId="9" fontId="8" fillId="3" borderId="7" xfId="2" applyFont="1" applyFill="1" applyBorder="1" applyAlignment="1">
      <alignment horizontal="right" vertical="center"/>
    </xf>
    <xf numFmtId="9" fontId="19" fillId="0" borderId="0" xfId="0" applyNumberFormat="1" applyFont="1" applyAlignment="1">
      <alignment horizontal="right" vertical="center"/>
    </xf>
    <xf numFmtId="9" fontId="8" fillId="4" borderId="8" xfId="2" applyFont="1" applyFill="1" applyBorder="1" applyAlignment="1">
      <alignment horizontal="right"/>
    </xf>
    <xf numFmtId="9" fontId="8" fillId="4" borderId="9" xfId="2" applyFont="1" applyFill="1" applyBorder="1" applyAlignment="1">
      <alignment horizontal="right"/>
    </xf>
    <xf numFmtId="9" fontId="8" fillId="4" borderId="10" xfId="2" applyFont="1" applyFill="1" applyBorder="1" applyAlignment="1">
      <alignment horizontal="right"/>
    </xf>
    <xf numFmtId="9" fontId="19" fillId="0" borderId="4" xfId="0" applyNumberFormat="1" applyFont="1" applyBorder="1" applyAlignment="1">
      <alignment horizontal="right"/>
    </xf>
    <xf numFmtId="0" fontId="17" fillId="0" borderId="0" xfId="0" applyFont="1" applyBorder="1" applyAlignment="1">
      <alignment horizontal="right" vertical="center"/>
    </xf>
    <xf numFmtId="0" fontId="0" fillId="0" borderId="0" xfId="0" applyAlignment="1">
      <alignment horizontal="center"/>
    </xf>
  </cellXfs>
  <cellStyles count="5">
    <cellStyle name="Currency" xfId="1" builtinId="4"/>
    <cellStyle name="Heading 1" xfId="4" builtinId="16" customBuiltin="1"/>
    <cellStyle name="Normal" xfId="0" builtinId="0" customBuiltin="1"/>
    <cellStyle name="Percent" xfId="2" builtinId="5"/>
    <cellStyle name="Title" xfId="3" builtinId="15" customBuiltin="1"/>
  </cellStyles>
  <dxfs count="19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>
        <left style="thin">
          <color theme="0" tint="-4.9989318521683403E-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  <border>
        <right style="thin">
          <color theme="0" tint="-4.9989318521683403E-2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0%;;&quot;-&quot;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6" formatCode="_(&quot;$&quot;* #,##0_);_(&quot;$&quot;* \(#,##0\);_(&quot;$&quot;* &quot;-&quot;??_);_(@_)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numFmt numFmtId="166" formatCode="_(&quot;$&quot;* #,##0_);_(&quot;$&quot;* \(#,##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</dxf>
    <dxf>
      <font>
        <strike val="0"/>
        <outline val="0"/>
        <shadow val="0"/>
        <u val="none"/>
        <vertAlign val="baseline"/>
        <sz val="10"/>
        <name val="Century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entury Gothic"/>
        <scheme val="minor"/>
      </font>
      <numFmt numFmtId="164" formatCode=";;;"/>
      <fill>
        <patternFill patternType="none">
          <fgColor theme="6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6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6" formatCode="_(&quot;$&quot;* #,##0_);_(&quot;$&quot;* \(#,##0\);_(&quot;$&quot;* &quot;-&quot;??_);_(@_)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righ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3"/>
        <name val="Century Gothic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Profit &amp; Loss Revenue" defaultPivotStyle="PivotStyleLight16">
    <tableStyle name="Profit &amp; Loss Expenses" pivot="0" count="5">
      <tableStyleElement type="wholeTable" dxfId="195"/>
      <tableStyleElement type="headerRow" dxfId="194"/>
      <tableStyleElement type="totalRow" dxfId="193"/>
      <tableStyleElement type="firstRowStripe" dxfId="192"/>
      <tableStyleElement type="secondRowStripe" dxfId="191"/>
    </tableStyle>
    <tableStyle name="Profit &amp; Loss Revenue" pivot="0" count="5">
      <tableStyleElement type="wholeTable" dxfId="190"/>
      <tableStyleElement type="headerRow" dxfId="189"/>
      <tableStyleElement type="totalRow" dxfId="188"/>
      <tableStyleElement type="firstRowStripe" dxfId="187"/>
      <tableStyleElement type="secondRowStripe" dxfId="186"/>
    </tableStyle>
    <tableStyle name="Profit &amp; Loss Sales" pivot="0" count="5">
      <tableStyleElement type="wholeTable" dxfId="185"/>
      <tableStyleElement type="headerRow" dxfId="184"/>
      <tableStyleElement type="totalRow" dxfId="183"/>
      <tableStyleElement type="firstRowStripe" dxfId="182"/>
      <tableStyleElement type="secondRowStripe" dxfId="1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blRevenue" displayName="tblRevenue" ref="B6:AD14" totalsRowCount="1" headerRowDxfId="180">
  <tableColumns count="29">
    <tableColumn id="1" name="REVENUES (SALES)" totalsRowLabel="TOTAL SALES" dataDxfId="179" totalsRowDxfId="178"/>
    <tableColumn id="29" name="TREND" dataDxfId="177" totalsRowDxfId="176"/>
    <tableColumn id="2" name="m1" totalsRowFunction="sum" dataDxfId="175" totalsRowDxfId="174" dataCellStyle="Currency"/>
    <tableColumn id="3" name="m2" totalsRowFunction="sum" dataDxfId="173" totalsRowDxfId="172" dataCellStyle="Currency"/>
    <tableColumn id="4" name="m3" totalsRowFunction="sum" dataDxfId="171" totalsRowDxfId="170" dataCellStyle="Currency"/>
    <tableColumn id="5" name="m4" totalsRowFunction="sum" dataDxfId="169" totalsRowDxfId="168" dataCellStyle="Currency"/>
    <tableColumn id="6" name="m5" totalsRowFunction="sum" dataDxfId="167" totalsRowDxfId="166" dataCellStyle="Currency"/>
    <tableColumn id="7" name="m6" totalsRowFunction="sum" dataDxfId="165" totalsRowDxfId="164" dataCellStyle="Currency"/>
    <tableColumn id="8" name="m7" totalsRowFunction="sum" dataDxfId="163" totalsRowDxfId="162" dataCellStyle="Currency"/>
    <tableColumn id="9" name="m8" totalsRowFunction="sum" dataDxfId="161" totalsRowDxfId="160" dataCellStyle="Currency"/>
    <tableColumn id="10" name="m9" totalsRowFunction="sum" dataDxfId="159" totalsRowDxfId="158" dataCellStyle="Currency"/>
    <tableColumn id="11" name="m10" totalsRowFunction="sum" dataDxfId="157" totalsRowDxfId="156" dataCellStyle="Currency"/>
    <tableColumn id="12" name="m11" totalsRowFunction="sum" dataDxfId="155" totalsRowDxfId="154" dataCellStyle="Currency"/>
    <tableColumn id="13" name="m12" totalsRowFunction="sum" dataDxfId="153" totalsRowDxfId="152" dataCellStyle="Currency"/>
    <tableColumn id="14" name="Yearly" totalsRowFunction="sum" dataDxfId="151" totalsRowDxfId="150" dataCellStyle="Currency">
      <calculatedColumnFormula>SUM(tblRevenue[[#This Row],[m1]:[m12]])</calculatedColumnFormula>
    </tableColumn>
    <tableColumn id="15" name="Ind %" totalsRowFunction="sum" dataDxfId="149" totalsRowDxfId="148" dataCellStyle="Percent"/>
    <tableColumn id="16" name="% m1" totalsRowFunction="sum" dataDxfId="147" totalsRowDxfId="146" dataCellStyle="Percent">
      <calculatedColumnFormula>IFERROR(tblRevenue[[#This Row],[m1]]/tblRevenue[[#Totals],[m1]],"-")</calculatedColumnFormula>
    </tableColumn>
    <tableColumn id="17" name="% m2" totalsRowFunction="sum" dataDxfId="145" totalsRowDxfId="144" dataCellStyle="Percent">
      <calculatedColumnFormula>IFERROR(tblRevenue[[#This Row],[m2]]/tblRevenue[[#Totals],[m2]],"-")</calculatedColumnFormula>
    </tableColumn>
    <tableColumn id="18" name="% m3" totalsRowFunction="sum" dataDxfId="143" totalsRowDxfId="142" dataCellStyle="Percent">
      <calculatedColumnFormula>IFERROR(tblRevenue[[#This Row],[m3]]/tblRevenue[[#Totals],[m3]],"-")</calculatedColumnFormula>
    </tableColumn>
    <tableColumn id="19" name="% m4" totalsRowFunction="sum" dataDxfId="141" totalsRowDxfId="140" dataCellStyle="Percent">
      <calculatedColumnFormula>IFERROR(tblRevenue[[#This Row],[m4]]/tblRevenue[[#Totals],[m4]],"-")</calculatedColumnFormula>
    </tableColumn>
    <tableColumn id="20" name="% m5" totalsRowFunction="sum" dataDxfId="139" totalsRowDxfId="138" dataCellStyle="Percent">
      <calculatedColumnFormula>IFERROR(tblRevenue[[#This Row],[m5]]/tblRevenue[[#Totals],[m5]],"-")</calculatedColumnFormula>
    </tableColumn>
    <tableColumn id="21" name="% m6" totalsRowFunction="sum" dataDxfId="137" totalsRowDxfId="136" dataCellStyle="Percent">
      <calculatedColumnFormula>IFERROR(tblRevenue[[#This Row],[m6]]/tblRevenue[[#Totals],[m6]],"-")</calculatedColumnFormula>
    </tableColumn>
    <tableColumn id="22" name="% m7" totalsRowFunction="sum" dataDxfId="135" totalsRowDxfId="134" dataCellStyle="Percent">
      <calculatedColumnFormula>IFERROR(tblRevenue[[#This Row],[m7]]/tblRevenue[[#Totals],[m7]],"-")</calculatedColumnFormula>
    </tableColumn>
    <tableColumn id="23" name="% m8" totalsRowFunction="sum" dataDxfId="133" totalsRowDxfId="132" dataCellStyle="Percent">
      <calculatedColumnFormula>IFERROR(tblRevenue[[#This Row],[m8]]/tblRevenue[[#Totals],[m8]],"-")</calculatedColumnFormula>
    </tableColumn>
    <tableColumn id="24" name="% m9" totalsRowFunction="sum" dataDxfId="131" totalsRowDxfId="130" dataCellStyle="Percent">
      <calculatedColumnFormula>IFERROR(tblRevenue[[#This Row],[m9]]/tblRevenue[[#Totals],[m9]],"-")</calculatedColumnFormula>
    </tableColumn>
    <tableColumn id="25" name="% m10" totalsRowFunction="sum" dataDxfId="129" totalsRowDxfId="128" dataCellStyle="Percent">
      <calculatedColumnFormula>IFERROR(tblRevenue[[#This Row],[m10]]/tblRevenue[[#Totals],[m10]],"-")</calculatedColumnFormula>
    </tableColumn>
    <tableColumn id="26" name="% m11" totalsRowFunction="sum" dataDxfId="127" totalsRowDxfId="126" dataCellStyle="Percent">
      <calculatedColumnFormula>IFERROR(tblRevenue[[#This Row],[m11]]/tblRevenue[[#Totals],[m11]],"-")</calculatedColumnFormula>
    </tableColumn>
    <tableColumn id="27" name="% m12" totalsRowFunction="sum" dataDxfId="125" totalsRowDxfId="124" dataCellStyle="Percent">
      <calculatedColumnFormula>IFERROR(tblRevenue[[#This Row],[m12]]/tblRevenue[[#Totals],[m12]],"-")</calculatedColumnFormula>
    </tableColumn>
    <tableColumn id="28" name="% y" totalsRowFunction="sum" dataDxfId="123" totalsRowDxfId="122" dataCellStyle="Percent">
      <calculatedColumnFormula>IFERROR(tblRevenue[[#This Row],[Yearly]]/tblRevenue[[#Totals],[Yearly]],"-")</calculatedColumnFormula>
    </tableColumn>
  </tableColumns>
  <tableStyleInfo name="Profit &amp; Loss Revenue" showFirstColumn="0" showLastColumn="0" showRowStripes="1" showColumnStripes="0"/>
  <extLst>
    <ext xmlns:x14="http://schemas.microsoft.com/office/spreadsheetml/2009/9/main" uri="{504A1905-F514-4f6f-8877-14C23A59335A}">
      <x14:table altText="Revenue (Sales)" altTextSummary="Summary of monthly sales, yearly total, and monthly percentages for each type of revenue item."/>
    </ext>
  </extLst>
</table>
</file>

<file path=xl/tables/table2.xml><?xml version="1.0" encoding="utf-8"?>
<table xmlns="http://schemas.openxmlformats.org/spreadsheetml/2006/main" id="4" name="tblCostofSales" displayName="tblCostofSales" ref="B16:AD24" totalsRowCount="1" headerRowDxfId="121" dataDxfId="120" totalsRowDxfId="119">
  <tableColumns count="29">
    <tableColumn id="1" name="COST OF SALES" totalsRowLabel="TOTAL COST OF SALES" dataDxfId="118" totalsRowDxfId="117"/>
    <tableColumn id="2" name="TREND" dataDxfId="116" totalsRowDxfId="115"/>
    <tableColumn id="3" name="m1" totalsRowFunction="sum" dataDxfId="114" totalsRowDxfId="113" dataCellStyle="Currency"/>
    <tableColumn id="4" name="m2" totalsRowFunction="sum" dataDxfId="112" totalsRowDxfId="111" dataCellStyle="Currency"/>
    <tableColumn id="5" name="m3" totalsRowFunction="sum" dataDxfId="110" totalsRowDxfId="109" dataCellStyle="Currency"/>
    <tableColumn id="6" name="m4" totalsRowFunction="sum" dataDxfId="108" totalsRowDxfId="107" dataCellStyle="Currency"/>
    <tableColumn id="7" name="m5" totalsRowFunction="sum" dataDxfId="106" totalsRowDxfId="105" dataCellStyle="Currency"/>
    <tableColumn id="8" name="m6" totalsRowFunction="sum" dataDxfId="104" totalsRowDxfId="103" dataCellStyle="Currency"/>
    <tableColumn id="9" name="m7" totalsRowFunction="sum" dataDxfId="102" totalsRowDxfId="101" dataCellStyle="Currency"/>
    <tableColumn id="10" name="m8" totalsRowFunction="sum" dataDxfId="100" totalsRowDxfId="99" dataCellStyle="Currency"/>
    <tableColumn id="11" name="m9" totalsRowFunction="sum" dataDxfId="98" totalsRowDxfId="97" dataCellStyle="Currency"/>
    <tableColumn id="12" name="m10" totalsRowFunction="sum" dataDxfId="96" totalsRowDxfId="95" dataCellStyle="Currency"/>
    <tableColumn id="13" name="m11" totalsRowFunction="sum" dataDxfId="94" totalsRowDxfId="93" dataCellStyle="Currency"/>
    <tableColumn id="14" name="m12" totalsRowFunction="sum" dataDxfId="92" totalsRowDxfId="91" dataCellStyle="Currency"/>
    <tableColumn id="15" name="Yearly" totalsRowFunction="sum" dataDxfId="90" totalsRowDxfId="89" dataCellStyle="Currency">
      <calculatedColumnFormula>SUM(tblCostofSales[[#This Row],[m1]:[m12]])</calculatedColumnFormula>
    </tableColumn>
    <tableColumn id="16" name="Ind %" totalsRowFunction="sum" dataDxfId="88" totalsRowDxfId="87"/>
    <tableColumn id="17" name="% m1" totalsRowFunction="sum" dataDxfId="86" totalsRowDxfId="85" dataCellStyle="Percent">
      <calculatedColumnFormula>IFERROR(tblCostofSales[[#This Row],[m1]]/tblCostofSales[[#Totals],[m1]],"-")</calculatedColumnFormula>
    </tableColumn>
    <tableColumn id="18" name="% m2" totalsRowFunction="sum" dataDxfId="84" totalsRowDxfId="83" dataCellStyle="Percent">
      <calculatedColumnFormula>IFERROR(tblCostofSales[[#This Row],[m2]]/tblCostofSales[[#Totals],[m2]],"-")</calculatedColumnFormula>
    </tableColumn>
    <tableColumn id="19" name="% m3" totalsRowFunction="sum" dataDxfId="82" totalsRowDxfId="81" dataCellStyle="Percent">
      <calculatedColumnFormula>IFERROR(tblCostofSales[[#This Row],[m3]]/tblCostofSales[[#Totals],[m3]],"-")</calculatedColumnFormula>
    </tableColumn>
    <tableColumn id="20" name="% m4" totalsRowFunction="sum" dataDxfId="80" totalsRowDxfId="79" dataCellStyle="Percent">
      <calculatedColumnFormula>IFERROR(tblCostofSales[[#This Row],[m4]]/tblCostofSales[[#Totals],[m4]],"-")</calculatedColumnFormula>
    </tableColumn>
    <tableColumn id="21" name="% m5" totalsRowFunction="sum" dataDxfId="78" totalsRowDxfId="77" dataCellStyle="Percent">
      <calculatedColumnFormula>IFERROR(tblCostofSales[[#This Row],[m5]]/tblCostofSales[[#Totals],[m5]],"-")</calculatedColumnFormula>
    </tableColumn>
    <tableColumn id="22" name="% m6" totalsRowFunction="sum" dataDxfId="76" totalsRowDxfId="75" dataCellStyle="Percent">
      <calculatedColumnFormula>IFERROR(tblCostofSales[[#This Row],[m6]]/tblCostofSales[[#Totals],[m6]],"-")</calculatedColumnFormula>
    </tableColumn>
    <tableColumn id="23" name="% m7" totalsRowFunction="sum" dataDxfId="74" totalsRowDxfId="73" dataCellStyle="Percent">
      <calculatedColumnFormula>IFERROR(tblCostofSales[[#This Row],[m7]]/tblCostofSales[[#Totals],[m7]],"-")</calculatedColumnFormula>
    </tableColumn>
    <tableColumn id="24" name="% m8" totalsRowFunction="sum" dataDxfId="72" totalsRowDxfId="71" dataCellStyle="Percent">
      <calculatedColumnFormula>IFERROR(tblCostofSales[[#This Row],[m8]]/tblCostofSales[[#Totals],[m8]],"-")</calculatedColumnFormula>
    </tableColumn>
    <tableColumn id="25" name="% m9" totalsRowFunction="sum" dataDxfId="70" totalsRowDxfId="69" dataCellStyle="Percent">
      <calculatedColumnFormula>IFERROR(tblCostofSales[[#This Row],[m9]]/tblCostofSales[[#Totals],[m9]],"-")</calculatedColumnFormula>
    </tableColumn>
    <tableColumn id="26" name="% m10" totalsRowFunction="sum" dataDxfId="68" totalsRowDxfId="67" dataCellStyle="Percent">
      <calculatedColumnFormula>IFERROR(tblCostofSales[[#This Row],[m10]]/tblCostofSales[[#Totals],[m10]],"-")</calculatedColumnFormula>
    </tableColumn>
    <tableColumn id="27" name="% m11" totalsRowFunction="sum" dataDxfId="66" totalsRowDxfId="65" dataCellStyle="Percent">
      <calculatedColumnFormula>IFERROR(tblCostofSales[[#This Row],[m11]]/tblCostofSales[[#Totals],[m11]],"-")</calculatedColumnFormula>
    </tableColumn>
    <tableColumn id="28" name="% m12" totalsRowFunction="sum" dataDxfId="64" totalsRowDxfId="63" dataCellStyle="Percent">
      <calculatedColumnFormula>IFERROR(tblCostofSales[[#This Row],[m12]]/tblCostofSales[[#Totals],[m12]],"-")</calculatedColumnFormula>
    </tableColumn>
    <tableColumn id="29" name="% y" totalsRowFunction="sum" dataDxfId="62" totalsRowDxfId="61" dataCellStyle="Percent">
      <calculatedColumnFormula>IFERROR(tblCostofSales[[#This Row],[Yearly]]/tblCostofSales[[#Totals],[Yearly]],"-")</calculatedColumnFormula>
    </tableColumn>
  </tableColumns>
  <tableStyleInfo name="Profit &amp; Loss Sales" showFirstColumn="0" showLastColumn="0" showRowStripes="1" showColumnStripes="0"/>
  <extLst>
    <ext xmlns:x14="http://schemas.microsoft.com/office/spreadsheetml/2009/9/main" uri="{504A1905-F514-4f6f-8877-14C23A59335A}">
      <x14:table altText="Cost of Sales" altTextSummary="Summary of cost of sales, yearly total, and monthly percentages for each type of cost item."/>
    </ext>
  </extLst>
</table>
</file>

<file path=xl/tables/table3.xml><?xml version="1.0" encoding="utf-8"?>
<table xmlns="http://schemas.openxmlformats.org/spreadsheetml/2006/main" id="5" name="tblExpenses" displayName="tblExpenses" ref="B28:AD48" totalsRowCount="1" headerRowDxfId="60" dataDxfId="59" totalsRowDxfId="58">
  <tableColumns count="29">
    <tableColumn id="1" name="EXPENSES" totalsRowLabel="TOTAL EXPENSES" dataDxfId="57" totalsRowDxfId="56"/>
    <tableColumn id="2" name="TREND" totalsRowLabel=" " dataDxfId="55" totalsRowDxfId="54"/>
    <tableColumn id="3" name="m1" totalsRowFunction="sum" dataDxfId="53" totalsRowDxfId="52" dataCellStyle="Currency"/>
    <tableColumn id="4" name="m2" totalsRowFunction="sum" dataDxfId="51" totalsRowDxfId="50" dataCellStyle="Currency"/>
    <tableColumn id="5" name="m3" totalsRowFunction="sum" dataDxfId="49" totalsRowDxfId="48" dataCellStyle="Currency"/>
    <tableColumn id="6" name="m4" totalsRowFunction="sum" dataDxfId="47" totalsRowDxfId="46" dataCellStyle="Currency"/>
    <tableColumn id="7" name="m5" totalsRowFunction="sum" dataDxfId="45" totalsRowDxfId="44" dataCellStyle="Currency"/>
    <tableColumn id="8" name="m6" totalsRowFunction="sum" dataDxfId="43" totalsRowDxfId="42" dataCellStyle="Currency"/>
    <tableColumn id="9" name="m7" totalsRowFunction="sum" dataDxfId="41" totalsRowDxfId="40" dataCellStyle="Currency"/>
    <tableColumn id="10" name="m8" totalsRowFunction="sum" dataDxfId="39" totalsRowDxfId="38" dataCellStyle="Currency"/>
    <tableColumn id="11" name="m9" totalsRowFunction="sum" dataDxfId="37" totalsRowDxfId="36" dataCellStyle="Currency"/>
    <tableColumn id="12" name="m10" totalsRowFunction="sum" dataDxfId="35" totalsRowDxfId="34" dataCellStyle="Currency"/>
    <tableColumn id="13" name="m11" totalsRowFunction="sum" dataDxfId="33" totalsRowDxfId="32" dataCellStyle="Currency"/>
    <tableColumn id="14" name="m12" totalsRowFunction="sum" dataDxfId="31" totalsRowDxfId="30" dataCellStyle="Currency"/>
    <tableColumn id="15" name="Yearly" totalsRowFunction="sum" dataDxfId="29" totalsRowDxfId="28" dataCellStyle="Currency">
      <calculatedColumnFormula>SUM(tblExpenses[[#This Row],[m1]:[m12]])</calculatedColumnFormula>
    </tableColumn>
    <tableColumn id="16" name="Ind %" totalsRowFunction="sum" dataDxfId="27" totalsRowDxfId="26"/>
    <tableColumn id="17" name="% m1" totalsRowFunction="sum" dataDxfId="25" totalsRowDxfId="24" dataCellStyle="Percent">
      <calculatedColumnFormula>tblExpenses[[#This Row],[m1]]/tblExpenses[[#Totals],[m1]]</calculatedColumnFormula>
    </tableColumn>
    <tableColumn id="18" name="% m2" totalsRowFunction="sum" dataDxfId="23" totalsRowDxfId="22" dataCellStyle="Percent">
      <calculatedColumnFormula>tblExpenses[[#This Row],[m2]]/tblExpenses[[#Totals],[m2]]</calculatedColumnFormula>
    </tableColumn>
    <tableColumn id="19" name="% m3" totalsRowFunction="sum" dataDxfId="21" totalsRowDxfId="20" dataCellStyle="Percent">
      <calculatedColumnFormula>tblExpenses[[#This Row],[m3]]/tblExpenses[[#Totals],[m3]]</calculatedColumnFormula>
    </tableColumn>
    <tableColumn id="20" name="% m4" totalsRowFunction="sum" dataDxfId="19" totalsRowDxfId="18" dataCellStyle="Percent">
      <calculatedColumnFormula>tblExpenses[[#This Row],[m4]]/tblExpenses[[#Totals],[m4]]</calculatedColumnFormula>
    </tableColumn>
    <tableColumn id="21" name="% m5" totalsRowFunction="sum" dataDxfId="17" totalsRowDxfId="16" dataCellStyle="Percent">
      <calculatedColumnFormula>tblExpenses[[#This Row],[m5]]/tblExpenses[[#Totals],[m5]]</calculatedColumnFormula>
    </tableColumn>
    <tableColumn id="22" name="% m6" totalsRowFunction="sum" dataDxfId="15" totalsRowDxfId="14" dataCellStyle="Percent">
      <calculatedColumnFormula>tblExpenses[[#This Row],[m6]]/tblExpenses[[#Totals],[m6]]</calculatedColumnFormula>
    </tableColumn>
    <tableColumn id="23" name="% m7" totalsRowFunction="sum" dataDxfId="13" totalsRowDxfId="12" dataCellStyle="Percent">
      <calculatedColumnFormula>tblExpenses[[#This Row],[m7]]/tblExpenses[[#Totals],[m7]]</calculatedColumnFormula>
    </tableColumn>
    <tableColumn id="24" name="% m8" totalsRowFunction="sum" dataDxfId="11" totalsRowDxfId="10" dataCellStyle="Percent">
      <calculatedColumnFormula>tblExpenses[[#This Row],[m8]]/tblExpenses[[#Totals],[m8]]</calculatedColumnFormula>
    </tableColumn>
    <tableColumn id="25" name="% m9" totalsRowFunction="sum" dataDxfId="9" totalsRowDxfId="8" dataCellStyle="Percent">
      <calculatedColumnFormula>tblExpenses[[#This Row],[m9]]/tblExpenses[[#Totals],[m9]]</calculatedColumnFormula>
    </tableColumn>
    <tableColumn id="26" name="% m10" totalsRowFunction="sum" dataDxfId="7" totalsRowDxfId="6" dataCellStyle="Percent">
      <calculatedColumnFormula>tblExpenses[[#This Row],[m10]]/tblExpenses[[#Totals],[m10]]</calculatedColumnFormula>
    </tableColumn>
    <tableColumn id="27" name="% m11" totalsRowFunction="sum" dataDxfId="5" totalsRowDxfId="4" dataCellStyle="Percent">
      <calculatedColumnFormula>tblExpenses[[#This Row],[m11]]/tblExpenses[[#Totals],[m11]]</calculatedColumnFormula>
    </tableColumn>
    <tableColumn id="28" name="% m12" totalsRowFunction="sum" dataDxfId="3" totalsRowDxfId="2" dataCellStyle="Percent">
      <calculatedColumnFormula>tblExpenses[[#This Row],[m12]]/tblExpenses[[#Totals],[m12]]</calculatedColumnFormula>
    </tableColumn>
    <tableColumn id="29" name="% y" totalsRowFunction="sum" dataDxfId="1" totalsRowDxfId="0" dataCellStyle="Percent">
      <calculatedColumnFormula>tblExpenses[[#This Row],[Yearly]]/tblExpenses[[#Totals],[Yearly]]</calculatedColumnFormula>
    </tableColumn>
  </tableColumns>
  <tableStyleInfo name="Profit &amp; Loss Expenses" showFirstColumn="0" showLastColumn="0" showRowStripes="1" showColumnStripes="0"/>
  <extLst>
    <ext xmlns:x14="http://schemas.microsoft.com/office/spreadsheetml/2009/9/main" uri="{504A1905-F514-4f6f-8877-14C23A59335A}">
      <x14:table altText="Expenses" altTextSummary="Summary of expenses, yearly total, and monthly percentages for each type of expense item."/>
    </ext>
  </extLst>
</table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rgbClr val="FFFFFF"/>
      </a:lt1>
      <a:dk2>
        <a:srgbClr val="38321C"/>
      </a:dk2>
      <a:lt2>
        <a:srgbClr val="FFFFFF"/>
      </a:lt2>
      <a:accent1>
        <a:srgbClr val="DE8D26"/>
      </a:accent1>
      <a:accent2>
        <a:srgbClr val="2F7B6A"/>
      </a:accent2>
      <a:accent3>
        <a:srgbClr val="3BA0D6"/>
      </a:accent3>
      <a:accent4>
        <a:srgbClr val="8E9ACA"/>
      </a:accent4>
      <a:accent5>
        <a:srgbClr val="6F6857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fit Loss Statement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AD50"/>
  <sheetViews>
    <sheetView showGridLines="0" tabSelected="1" zoomScale="90" zoomScaleNormal="90" workbookViewId="0">
      <pane ySplit="4" topLeftCell="A5" activePane="bottomLeft" state="frozen"/>
      <selection pane="bottomLeft" activeCell="B2" sqref="B2"/>
    </sheetView>
  </sheetViews>
  <sheetFormatPr defaultRowHeight="18" customHeight="1" x14ac:dyDescent="0.25"/>
  <cols>
    <col min="1" max="1" width="1.1796875" customWidth="1"/>
    <col min="2" max="2" width="24.7265625" customWidth="1"/>
    <col min="3" max="3" width="12.54296875" customWidth="1"/>
    <col min="4" max="15" width="9.1796875" customWidth="1"/>
    <col min="16" max="16" width="10" customWidth="1"/>
    <col min="17" max="29" width="7.81640625" customWidth="1"/>
    <col min="30" max="30" width="10" customWidth="1"/>
  </cols>
  <sheetData>
    <row r="1" spans="1:30" ht="33.75" customHeight="1" x14ac:dyDescent="0.25">
      <c r="A1" s="48"/>
      <c r="B1" s="42" t="s">
        <v>47</v>
      </c>
      <c r="C1" s="41"/>
      <c r="J1" s="2"/>
      <c r="P1" s="70" t="s">
        <v>48</v>
      </c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0" ht="39.75" customHeight="1" x14ac:dyDescent="0.3">
      <c r="B2" s="34" t="s">
        <v>75</v>
      </c>
      <c r="E2" s="33"/>
      <c r="G2" s="33"/>
      <c r="K2" s="33"/>
      <c r="L2" s="33"/>
      <c r="M2" s="33"/>
      <c r="N2" s="33"/>
      <c r="O2" s="33"/>
      <c r="X2" s="40"/>
      <c r="Y2" s="40"/>
      <c r="Z2" s="40"/>
      <c r="AA2" s="40"/>
      <c r="AB2" s="43" t="s">
        <v>56</v>
      </c>
      <c r="AC2" s="43" t="s">
        <v>57</v>
      </c>
      <c r="AD2" s="44">
        <v>2012</v>
      </c>
    </row>
    <row r="4" spans="1:30" ht="18" customHeight="1" x14ac:dyDescent="0.25">
      <c r="D4" s="39" t="str">
        <f>UPPER(TEXT(DATE(FYStartYear,FYMonthNo,1),"mmm-yy"))</f>
        <v>JAN-12</v>
      </c>
      <c r="E4" s="39" t="str">
        <f>UPPER(TEXT(DATE(FYStartYear,FYMonthNo+1,1),"mmm-yy"))</f>
        <v>FEB-12</v>
      </c>
      <c r="F4" s="39" t="str">
        <f>UPPER(TEXT(DATE(FYStartYear,FYMonthNo+2,1),"mmm-yy"))</f>
        <v>MAR-12</v>
      </c>
      <c r="G4" s="39" t="str">
        <f>UPPER(TEXT(DATE(FYStartYear,FYMonthNo+3,1),"mmm-yy"))</f>
        <v>APR-12</v>
      </c>
      <c r="H4" s="39" t="str">
        <f>UPPER(TEXT(DATE(FYStartYear,FYMonthNo+4,1),"mmm-yy"))</f>
        <v>MAY-12</v>
      </c>
      <c r="I4" s="39" t="str">
        <f>UPPER(TEXT(DATE(FYStartYear,FYMonthNo+5,1),"mmm-yy"))</f>
        <v>JUN-12</v>
      </c>
      <c r="J4" s="39" t="str">
        <f>UPPER(TEXT(DATE(FYStartYear,FYMonthNo+6,1),"mmm-yy"))</f>
        <v>JUL-12</v>
      </c>
      <c r="K4" s="39" t="str">
        <f>UPPER(TEXT(DATE(FYStartYear,FYMonthNo+7,1),"mmm-yy"))</f>
        <v>AUG-12</v>
      </c>
      <c r="L4" s="39" t="str">
        <f>UPPER(TEXT(DATE(FYStartYear,FYMonthNo+8,1),"mmm-yy"))</f>
        <v>SEP-12</v>
      </c>
      <c r="M4" s="39" t="str">
        <f>UPPER(TEXT(DATE(FYStartYear,FYMonthNo+9,1),"mmm-yy"))</f>
        <v>OCT-12</v>
      </c>
      <c r="N4" s="39" t="str">
        <f>UPPER(TEXT(DATE(FYStartYear,FYMonthNo+10,1),"mmm-yy"))</f>
        <v>NOV-12</v>
      </c>
      <c r="O4" s="39" t="str">
        <f>UPPER(TEXT(DATE(FYStartYear,FYMonthNo+11,1),"mmm-yy"))</f>
        <v>DEC-12</v>
      </c>
      <c r="P4" s="8" t="s">
        <v>59</v>
      </c>
      <c r="Q4" s="8" t="s">
        <v>58</v>
      </c>
      <c r="R4" s="8" t="str">
        <f>LEFT(D4,1)&amp;" %"</f>
        <v>J %</v>
      </c>
      <c r="S4" s="8" t="str">
        <f t="shared" ref="S4:AC4" si="0">LEFT(E4,1)&amp;" %"</f>
        <v>F %</v>
      </c>
      <c r="T4" s="8" t="str">
        <f t="shared" si="0"/>
        <v>M %</v>
      </c>
      <c r="U4" s="8" t="str">
        <f t="shared" si="0"/>
        <v>A %</v>
      </c>
      <c r="V4" s="8" t="str">
        <f t="shared" si="0"/>
        <v>M %</v>
      </c>
      <c r="W4" s="8" t="str">
        <f t="shared" si="0"/>
        <v>J %</v>
      </c>
      <c r="X4" s="8" t="str">
        <f t="shared" si="0"/>
        <v>J %</v>
      </c>
      <c r="Y4" s="8" t="str">
        <f t="shared" si="0"/>
        <v>A %</v>
      </c>
      <c r="Z4" s="8" t="str">
        <f t="shared" si="0"/>
        <v>S %</v>
      </c>
      <c r="AA4" s="8" t="str">
        <f t="shared" si="0"/>
        <v>O %</v>
      </c>
      <c r="AB4" s="8" t="str">
        <f t="shared" si="0"/>
        <v>N %</v>
      </c>
      <c r="AC4" s="8" t="str">
        <f t="shared" si="0"/>
        <v>D %</v>
      </c>
      <c r="AD4" s="8" t="s">
        <v>60</v>
      </c>
    </row>
    <row r="5" spans="1:30" ht="6" customHeight="1" x14ac:dyDescent="0.35">
      <c r="B5" s="3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8" customHeight="1" x14ac:dyDescent="0.35">
      <c r="B6" s="35" t="s">
        <v>49</v>
      </c>
      <c r="C6" s="36" t="s">
        <v>50</v>
      </c>
      <c r="D6" s="4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26</v>
      </c>
      <c r="Q6" s="5" t="s">
        <v>24</v>
      </c>
      <c r="R6" s="5" t="s">
        <v>12</v>
      </c>
      <c r="S6" s="5" t="s">
        <v>13</v>
      </c>
      <c r="T6" s="5" t="s">
        <v>14</v>
      </c>
      <c r="U6" s="5" t="s">
        <v>15</v>
      </c>
      <c r="V6" s="5" t="s">
        <v>16</v>
      </c>
      <c r="W6" s="5" t="s">
        <v>17</v>
      </c>
      <c r="X6" s="5" t="s">
        <v>18</v>
      </c>
      <c r="Y6" s="5" t="s">
        <v>19</v>
      </c>
      <c r="Z6" s="5" t="s">
        <v>20</v>
      </c>
      <c r="AA6" s="5" t="s">
        <v>21</v>
      </c>
      <c r="AB6" s="5" t="s">
        <v>22</v>
      </c>
      <c r="AC6" s="5" t="s">
        <v>23</v>
      </c>
      <c r="AD6" s="4" t="s">
        <v>25</v>
      </c>
    </row>
    <row r="7" spans="1:30" ht="18" customHeight="1" x14ac:dyDescent="0.25">
      <c r="B7" s="22" t="s">
        <v>61</v>
      </c>
      <c r="C7" s="25"/>
      <c r="D7" s="23">
        <v>186</v>
      </c>
      <c r="E7" s="23">
        <v>108</v>
      </c>
      <c r="F7" s="23">
        <v>92</v>
      </c>
      <c r="G7" s="23">
        <v>122</v>
      </c>
      <c r="H7" s="23">
        <v>190</v>
      </c>
      <c r="I7" s="23">
        <v>71</v>
      </c>
      <c r="J7" s="23">
        <v>21</v>
      </c>
      <c r="K7" s="23">
        <v>37</v>
      </c>
      <c r="L7" s="23">
        <v>24</v>
      </c>
      <c r="M7" s="23">
        <v>178</v>
      </c>
      <c r="N7" s="23">
        <v>92</v>
      </c>
      <c r="O7" s="23">
        <v>97</v>
      </c>
      <c r="P7" s="26">
        <f>SUM(tblRevenue[[#This Row],[m1]:[m12]])</f>
        <v>1218</v>
      </c>
      <c r="Q7" s="24">
        <v>0.12</v>
      </c>
      <c r="R7" s="62">
        <f>IFERROR(tblRevenue[[#This Row],[m1]]/tblRevenue[[#Totals],[m1]],"-")</f>
        <v>0.29807692307692307</v>
      </c>
      <c r="S7" s="63">
        <f>IFERROR(tblRevenue[[#This Row],[m2]]/tblRevenue[[#Totals],[m2]],"-")</f>
        <v>0.14673913043478262</v>
      </c>
      <c r="T7" s="63">
        <f>IFERROR(tblRevenue[[#This Row],[m3]]/tblRevenue[[#Totals],[m3]],"-")</f>
        <v>0.11219512195121951</v>
      </c>
      <c r="U7" s="63">
        <f>IFERROR(tblRevenue[[#This Row],[m4]]/tblRevenue[[#Totals],[m4]],"-")</f>
        <v>0.19967266775777415</v>
      </c>
      <c r="V7" s="63">
        <f>IFERROR(tblRevenue[[#This Row],[m5]]/tblRevenue[[#Totals],[m5]],"-")</f>
        <v>0.23399014778325122</v>
      </c>
      <c r="W7" s="63">
        <f>IFERROR(tblRevenue[[#This Row],[m6]]/tblRevenue[[#Totals],[m6]],"-")</f>
        <v>0.12283737024221453</v>
      </c>
      <c r="X7" s="63">
        <f>IFERROR(tblRevenue[[#This Row],[m7]]/tblRevenue[[#Totals],[m7]],"-")</f>
        <v>3.5175879396984924E-2</v>
      </c>
      <c r="Y7" s="63">
        <f>IFERROR(tblRevenue[[#This Row],[m8]]/tblRevenue[[#Totals],[m8]],"-")</f>
        <v>5.4814814814814816E-2</v>
      </c>
      <c r="Z7" s="63">
        <f>IFERROR(tblRevenue[[#This Row],[m9]]/tblRevenue[[#Totals],[m9]],"-")</f>
        <v>3.2258064516129031E-2</v>
      </c>
      <c r="AA7" s="63">
        <f>IFERROR(tblRevenue[[#This Row],[m10]]/tblRevenue[[#Totals],[m10]],"-")</f>
        <v>0.26138032305433184</v>
      </c>
      <c r="AB7" s="63">
        <f>IFERROR(tblRevenue[[#This Row],[m11]]/tblRevenue[[#Totals],[m11]],"-")</f>
        <v>0.12449255751014884</v>
      </c>
      <c r="AC7" s="63">
        <f>IFERROR(tblRevenue[[#This Row],[m12]]/tblRevenue[[#Totals],[m12]],"-")</f>
        <v>9.3000958772770856E-2</v>
      </c>
      <c r="AD7" s="64">
        <f>IFERROR(tblRevenue[[#This Row],[Yearly]]/tblRevenue[[#Totals],[Yearly]],"-")</f>
        <v>0.14064665127020784</v>
      </c>
    </row>
    <row r="8" spans="1:30" ht="18" customHeight="1" x14ac:dyDescent="0.25">
      <c r="B8" s="22" t="s">
        <v>62</v>
      </c>
      <c r="C8" s="25"/>
      <c r="D8" s="23">
        <v>15</v>
      </c>
      <c r="E8" s="23">
        <v>16</v>
      </c>
      <c r="F8" s="23">
        <v>198</v>
      </c>
      <c r="G8" s="23">
        <v>44</v>
      </c>
      <c r="H8" s="23">
        <v>25</v>
      </c>
      <c r="I8" s="23">
        <v>68</v>
      </c>
      <c r="J8" s="23">
        <v>43</v>
      </c>
      <c r="K8" s="23">
        <v>119</v>
      </c>
      <c r="L8" s="23">
        <v>37</v>
      </c>
      <c r="M8" s="23">
        <v>118</v>
      </c>
      <c r="N8" s="23">
        <v>29</v>
      </c>
      <c r="O8" s="23">
        <v>171</v>
      </c>
      <c r="P8" s="26">
        <f>SUM(tblRevenue[[#This Row],[m1]:[m12]])</f>
        <v>883</v>
      </c>
      <c r="Q8" s="24">
        <v>0.18</v>
      </c>
      <c r="R8" s="62">
        <f>IFERROR(tblRevenue[[#This Row],[m1]]/tblRevenue[[#Totals],[m1]],"-")</f>
        <v>2.403846153846154E-2</v>
      </c>
      <c r="S8" s="63">
        <f>IFERROR(tblRevenue[[#This Row],[m2]]/tblRevenue[[#Totals],[m2]],"-")</f>
        <v>2.1739130434782608E-2</v>
      </c>
      <c r="T8" s="63">
        <f>IFERROR(tblRevenue[[#This Row],[m3]]/tblRevenue[[#Totals],[m3]],"-")</f>
        <v>0.24146341463414633</v>
      </c>
      <c r="U8" s="63">
        <f>IFERROR(tblRevenue[[#This Row],[m4]]/tblRevenue[[#Totals],[m4]],"-")</f>
        <v>7.2013093289689037E-2</v>
      </c>
      <c r="V8" s="63">
        <f>IFERROR(tblRevenue[[#This Row],[m5]]/tblRevenue[[#Totals],[m5]],"-")</f>
        <v>3.0788177339901478E-2</v>
      </c>
      <c r="W8" s="63">
        <f>IFERROR(tblRevenue[[#This Row],[m6]]/tblRevenue[[#Totals],[m6]],"-")</f>
        <v>0.11764705882352941</v>
      </c>
      <c r="X8" s="63">
        <f>IFERROR(tblRevenue[[#This Row],[m7]]/tblRevenue[[#Totals],[m7]],"-")</f>
        <v>7.2026800670016752E-2</v>
      </c>
      <c r="Y8" s="63">
        <f>IFERROR(tblRevenue[[#This Row],[m8]]/tblRevenue[[#Totals],[m8]],"-")</f>
        <v>0.17629629629629628</v>
      </c>
      <c r="Z8" s="63">
        <f>IFERROR(tblRevenue[[#This Row],[m9]]/tblRevenue[[#Totals],[m9]],"-")</f>
        <v>4.9731182795698922E-2</v>
      </c>
      <c r="AA8" s="63">
        <f>IFERROR(tblRevenue[[#This Row],[m10]]/tblRevenue[[#Totals],[m10]],"-")</f>
        <v>0.17327459618208516</v>
      </c>
      <c r="AB8" s="63">
        <f>IFERROR(tblRevenue[[#This Row],[m11]]/tblRevenue[[#Totals],[m11]],"-")</f>
        <v>3.9242219215155617E-2</v>
      </c>
      <c r="AC8" s="63">
        <f>IFERROR(tblRevenue[[#This Row],[m12]]/tblRevenue[[#Totals],[m12]],"-")</f>
        <v>0.16395014381591563</v>
      </c>
      <c r="AD8" s="64">
        <f>IFERROR(tblRevenue[[#This Row],[Yearly]]/tblRevenue[[#Totals],[Yearly]],"-")</f>
        <v>0.10196304849884527</v>
      </c>
    </row>
    <row r="9" spans="1:30" ht="18" customHeight="1" x14ac:dyDescent="0.25">
      <c r="B9" s="22" t="s">
        <v>63</v>
      </c>
      <c r="C9" s="25"/>
      <c r="D9" s="23">
        <v>166</v>
      </c>
      <c r="E9" s="23">
        <v>185</v>
      </c>
      <c r="F9" s="23">
        <v>89</v>
      </c>
      <c r="G9" s="23">
        <v>170</v>
      </c>
      <c r="H9" s="23">
        <v>131</v>
      </c>
      <c r="I9" s="23">
        <v>70</v>
      </c>
      <c r="J9" s="23">
        <v>50</v>
      </c>
      <c r="K9" s="23">
        <v>149</v>
      </c>
      <c r="L9" s="23">
        <v>179</v>
      </c>
      <c r="M9" s="23">
        <v>104</v>
      </c>
      <c r="N9" s="23">
        <v>119</v>
      </c>
      <c r="O9" s="23">
        <v>187</v>
      </c>
      <c r="P9" s="26">
        <f>SUM(tblRevenue[[#This Row],[m1]:[m12]])</f>
        <v>1599</v>
      </c>
      <c r="Q9" s="24">
        <v>0.19</v>
      </c>
      <c r="R9" s="62">
        <f>IFERROR(tblRevenue[[#This Row],[m1]]/tblRevenue[[#Totals],[m1]],"-")</f>
        <v>0.26602564102564102</v>
      </c>
      <c r="S9" s="63">
        <f>IFERROR(tblRevenue[[#This Row],[m2]]/tblRevenue[[#Totals],[m2]],"-")</f>
        <v>0.25135869565217389</v>
      </c>
      <c r="T9" s="63">
        <f>IFERROR(tblRevenue[[#This Row],[m3]]/tblRevenue[[#Totals],[m3]],"-")</f>
        <v>0.10853658536585366</v>
      </c>
      <c r="U9" s="63">
        <f>IFERROR(tblRevenue[[#This Row],[m4]]/tblRevenue[[#Totals],[m4]],"-")</f>
        <v>0.27823240589198034</v>
      </c>
      <c r="V9" s="63">
        <f>IFERROR(tblRevenue[[#This Row],[m5]]/tblRevenue[[#Totals],[m5]],"-")</f>
        <v>0.16133004926108374</v>
      </c>
      <c r="W9" s="63">
        <f>IFERROR(tblRevenue[[#This Row],[m6]]/tblRevenue[[#Totals],[m6]],"-")</f>
        <v>0.12110726643598616</v>
      </c>
      <c r="X9" s="63">
        <f>IFERROR(tblRevenue[[#This Row],[m7]]/tblRevenue[[#Totals],[m7]],"-")</f>
        <v>8.3752093802345065E-2</v>
      </c>
      <c r="Y9" s="63">
        <f>IFERROR(tblRevenue[[#This Row],[m8]]/tblRevenue[[#Totals],[m8]],"-")</f>
        <v>0.22074074074074074</v>
      </c>
      <c r="Z9" s="63">
        <f>IFERROR(tblRevenue[[#This Row],[m9]]/tblRevenue[[#Totals],[m9]],"-")</f>
        <v>0.24059139784946237</v>
      </c>
      <c r="AA9" s="63">
        <f>IFERROR(tblRevenue[[#This Row],[m10]]/tblRevenue[[#Totals],[m10]],"-")</f>
        <v>0.1527165932452276</v>
      </c>
      <c r="AB9" s="63">
        <f>IFERROR(tblRevenue[[#This Row],[m11]]/tblRevenue[[#Totals],[m11]],"-")</f>
        <v>0.16102841677943167</v>
      </c>
      <c r="AC9" s="63">
        <f>IFERROR(tblRevenue[[#This Row],[m12]]/tblRevenue[[#Totals],[m12]],"-")</f>
        <v>0.17929050814956854</v>
      </c>
      <c r="AD9" s="64">
        <f>IFERROR(tblRevenue[[#This Row],[Yearly]]/tblRevenue[[#Totals],[Yearly]],"-")</f>
        <v>0.18464203233256352</v>
      </c>
    </row>
    <row r="10" spans="1:30" ht="18" customHeight="1" x14ac:dyDescent="0.25">
      <c r="B10" s="22" t="s">
        <v>64</v>
      </c>
      <c r="C10" s="25"/>
      <c r="D10" s="23">
        <v>21</v>
      </c>
      <c r="E10" s="23">
        <v>113</v>
      </c>
      <c r="F10" s="23">
        <v>83</v>
      </c>
      <c r="G10" s="23">
        <v>17</v>
      </c>
      <c r="H10" s="23">
        <v>130</v>
      </c>
      <c r="I10" s="23">
        <v>26</v>
      </c>
      <c r="J10" s="23">
        <v>167</v>
      </c>
      <c r="K10" s="23">
        <v>102</v>
      </c>
      <c r="L10" s="23">
        <v>82</v>
      </c>
      <c r="M10" s="23">
        <v>33</v>
      </c>
      <c r="N10" s="23">
        <v>88</v>
      </c>
      <c r="O10" s="23">
        <v>193</v>
      </c>
      <c r="P10" s="26">
        <f>SUM(tblRevenue[[#This Row],[m1]:[m12]])</f>
        <v>1055</v>
      </c>
      <c r="Q10" s="24">
        <v>0.11</v>
      </c>
      <c r="R10" s="62">
        <f>IFERROR(tblRevenue[[#This Row],[m1]]/tblRevenue[[#Totals],[m1]],"-")</f>
        <v>3.3653846153846152E-2</v>
      </c>
      <c r="S10" s="63">
        <f>IFERROR(tblRevenue[[#This Row],[m2]]/tblRevenue[[#Totals],[m2]],"-")</f>
        <v>0.15353260869565216</v>
      </c>
      <c r="T10" s="63">
        <f>IFERROR(tblRevenue[[#This Row],[m3]]/tblRevenue[[#Totals],[m3]],"-")</f>
        <v>0.10121951219512196</v>
      </c>
      <c r="U10" s="63">
        <f>IFERROR(tblRevenue[[#This Row],[m4]]/tblRevenue[[#Totals],[m4]],"-")</f>
        <v>2.7823240589198037E-2</v>
      </c>
      <c r="V10" s="63">
        <f>IFERROR(tblRevenue[[#This Row],[m5]]/tblRevenue[[#Totals],[m5]],"-")</f>
        <v>0.16009852216748768</v>
      </c>
      <c r="W10" s="63">
        <f>IFERROR(tblRevenue[[#This Row],[m6]]/tblRevenue[[#Totals],[m6]],"-")</f>
        <v>4.4982698961937718E-2</v>
      </c>
      <c r="X10" s="63">
        <f>IFERROR(tblRevenue[[#This Row],[m7]]/tblRevenue[[#Totals],[m7]],"-")</f>
        <v>0.2797319932998325</v>
      </c>
      <c r="Y10" s="63">
        <f>IFERROR(tblRevenue[[#This Row],[m8]]/tblRevenue[[#Totals],[m8]],"-")</f>
        <v>0.15111111111111111</v>
      </c>
      <c r="Z10" s="63">
        <f>IFERROR(tblRevenue[[#This Row],[m9]]/tblRevenue[[#Totals],[m9]],"-")</f>
        <v>0.11021505376344086</v>
      </c>
      <c r="AA10" s="63">
        <f>IFERROR(tblRevenue[[#This Row],[m10]]/tblRevenue[[#Totals],[m10]],"-")</f>
        <v>4.8458149779735685E-2</v>
      </c>
      <c r="AB10" s="63">
        <f>IFERROR(tblRevenue[[#This Row],[m11]]/tblRevenue[[#Totals],[m11]],"-")</f>
        <v>0.11907983761840325</v>
      </c>
      <c r="AC10" s="63">
        <f>IFERROR(tblRevenue[[#This Row],[m12]]/tblRevenue[[#Totals],[m12]],"-")</f>
        <v>0.18504314477468839</v>
      </c>
      <c r="AD10" s="64">
        <f>IFERROR(tblRevenue[[#This Row],[Yearly]]/tblRevenue[[#Totals],[Yearly]],"-")</f>
        <v>0.12182448036951501</v>
      </c>
    </row>
    <row r="11" spans="1:30" ht="18" customHeight="1" x14ac:dyDescent="0.25">
      <c r="B11" s="22" t="s">
        <v>65</v>
      </c>
      <c r="C11" s="25"/>
      <c r="D11" s="23">
        <v>70</v>
      </c>
      <c r="E11" s="23">
        <v>160</v>
      </c>
      <c r="F11" s="23">
        <v>125</v>
      </c>
      <c r="G11" s="23">
        <v>84</v>
      </c>
      <c r="H11" s="23">
        <v>191</v>
      </c>
      <c r="I11" s="23">
        <v>97</v>
      </c>
      <c r="J11" s="23">
        <v>52</v>
      </c>
      <c r="K11" s="23">
        <v>45</v>
      </c>
      <c r="L11" s="23">
        <v>173</v>
      </c>
      <c r="M11" s="23">
        <v>136</v>
      </c>
      <c r="N11" s="23">
        <v>144</v>
      </c>
      <c r="O11" s="23">
        <v>167</v>
      </c>
      <c r="P11" s="26">
        <f>SUM(tblRevenue[[#This Row],[m1]:[m12]])</f>
        <v>1444</v>
      </c>
      <c r="Q11" s="24">
        <v>0.2</v>
      </c>
      <c r="R11" s="62">
        <f>IFERROR(tblRevenue[[#This Row],[m1]]/tblRevenue[[#Totals],[m1]],"-")</f>
        <v>0.11217948717948718</v>
      </c>
      <c r="S11" s="63">
        <f>IFERROR(tblRevenue[[#This Row],[m2]]/tblRevenue[[#Totals],[m2]],"-")</f>
        <v>0.21739130434782608</v>
      </c>
      <c r="T11" s="63">
        <f>IFERROR(tblRevenue[[#This Row],[m3]]/tblRevenue[[#Totals],[m3]],"-")</f>
        <v>0.1524390243902439</v>
      </c>
      <c r="U11" s="63">
        <f>IFERROR(tblRevenue[[#This Row],[m4]]/tblRevenue[[#Totals],[m4]],"-")</f>
        <v>0.13747954173486088</v>
      </c>
      <c r="V11" s="63">
        <f>IFERROR(tblRevenue[[#This Row],[m5]]/tblRevenue[[#Totals],[m5]],"-")</f>
        <v>0.23522167487684728</v>
      </c>
      <c r="W11" s="63">
        <f>IFERROR(tblRevenue[[#This Row],[m6]]/tblRevenue[[#Totals],[m6]],"-")</f>
        <v>0.16782006920415224</v>
      </c>
      <c r="X11" s="63">
        <f>IFERROR(tblRevenue[[#This Row],[m7]]/tblRevenue[[#Totals],[m7]],"-")</f>
        <v>8.7102177554438859E-2</v>
      </c>
      <c r="Y11" s="63">
        <f>IFERROR(tblRevenue[[#This Row],[m8]]/tblRevenue[[#Totals],[m8]],"-")</f>
        <v>6.6666666666666666E-2</v>
      </c>
      <c r="Z11" s="63">
        <f>IFERROR(tblRevenue[[#This Row],[m9]]/tblRevenue[[#Totals],[m9]],"-")</f>
        <v>0.2325268817204301</v>
      </c>
      <c r="AA11" s="63">
        <f>IFERROR(tblRevenue[[#This Row],[m10]]/tblRevenue[[#Totals],[m10]],"-")</f>
        <v>0.19970631424375918</v>
      </c>
      <c r="AB11" s="63">
        <f>IFERROR(tblRevenue[[#This Row],[m11]]/tblRevenue[[#Totals],[m11]],"-")</f>
        <v>0.19485791610284167</v>
      </c>
      <c r="AC11" s="63">
        <f>IFERROR(tblRevenue[[#This Row],[m12]]/tblRevenue[[#Totals],[m12]],"-")</f>
        <v>0.1601150527325024</v>
      </c>
      <c r="AD11" s="64">
        <f>IFERROR(tblRevenue[[#This Row],[Yearly]]/tblRevenue[[#Totals],[Yearly]],"-")</f>
        <v>0.16674364896073904</v>
      </c>
    </row>
    <row r="12" spans="1:30" ht="18" customHeight="1" x14ac:dyDescent="0.25">
      <c r="B12" s="22" t="s">
        <v>66</v>
      </c>
      <c r="C12" s="25"/>
      <c r="D12" s="23">
        <v>61</v>
      </c>
      <c r="E12" s="23">
        <v>99</v>
      </c>
      <c r="F12" s="23">
        <v>70</v>
      </c>
      <c r="G12" s="23">
        <v>162</v>
      </c>
      <c r="H12" s="23">
        <v>28</v>
      </c>
      <c r="I12" s="23">
        <v>163</v>
      </c>
      <c r="J12" s="23">
        <v>101</v>
      </c>
      <c r="K12" s="23">
        <v>103</v>
      </c>
      <c r="L12" s="23">
        <v>78</v>
      </c>
      <c r="M12" s="23">
        <v>33</v>
      </c>
      <c r="N12" s="23">
        <v>162</v>
      </c>
      <c r="O12" s="23">
        <v>159</v>
      </c>
      <c r="P12" s="26">
        <f>SUM(tblRevenue[[#This Row],[m1]:[m12]])</f>
        <v>1219</v>
      </c>
      <c r="Q12" s="24">
        <v>0.1</v>
      </c>
      <c r="R12" s="62">
        <f>IFERROR(tblRevenue[[#This Row],[m1]]/tblRevenue[[#Totals],[m1]],"-")</f>
        <v>9.7756410256410256E-2</v>
      </c>
      <c r="S12" s="63">
        <f>IFERROR(tblRevenue[[#This Row],[m2]]/tblRevenue[[#Totals],[m2]],"-")</f>
        <v>0.13451086956521738</v>
      </c>
      <c r="T12" s="63">
        <f>IFERROR(tblRevenue[[#This Row],[m3]]/tblRevenue[[#Totals],[m3]],"-")</f>
        <v>8.5365853658536592E-2</v>
      </c>
      <c r="U12" s="63">
        <f>IFERROR(tblRevenue[[#This Row],[m4]]/tblRevenue[[#Totals],[m4]],"-")</f>
        <v>0.265139116202946</v>
      </c>
      <c r="V12" s="63">
        <f>IFERROR(tblRevenue[[#This Row],[m5]]/tblRevenue[[#Totals],[m5]],"-")</f>
        <v>3.4482758620689655E-2</v>
      </c>
      <c r="W12" s="63">
        <f>IFERROR(tblRevenue[[#This Row],[m6]]/tblRevenue[[#Totals],[m6]],"-")</f>
        <v>0.2820069204152249</v>
      </c>
      <c r="X12" s="63">
        <f>IFERROR(tblRevenue[[#This Row],[m7]]/tblRevenue[[#Totals],[m7]],"-")</f>
        <v>0.16917922948073702</v>
      </c>
      <c r="Y12" s="63">
        <f>IFERROR(tblRevenue[[#This Row],[m8]]/tblRevenue[[#Totals],[m8]],"-")</f>
        <v>0.15259259259259259</v>
      </c>
      <c r="Z12" s="63">
        <f>IFERROR(tblRevenue[[#This Row],[m9]]/tblRevenue[[#Totals],[m9]],"-")</f>
        <v>0.10483870967741936</v>
      </c>
      <c r="AA12" s="63">
        <f>IFERROR(tblRevenue[[#This Row],[m10]]/tblRevenue[[#Totals],[m10]],"-")</f>
        <v>4.8458149779735685E-2</v>
      </c>
      <c r="AB12" s="63">
        <f>IFERROR(tblRevenue[[#This Row],[m11]]/tblRevenue[[#Totals],[m11]],"-")</f>
        <v>0.21921515561569688</v>
      </c>
      <c r="AC12" s="63">
        <f>IFERROR(tblRevenue[[#This Row],[m12]]/tblRevenue[[#Totals],[m12]],"-")</f>
        <v>0.15244487056567593</v>
      </c>
      <c r="AD12" s="64">
        <f>IFERROR(tblRevenue[[#This Row],[Yearly]]/tblRevenue[[#Totals],[Yearly]],"-")</f>
        <v>0.14076212471131641</v>
      </c>
    </row>
    <row r="13" spans="1:30" ht="18" customHeight="1" x14ac:dyDescent="0.25">
      <c r="B13" s="22" t="s">
        <v>67</v>
      </c>
      <c r="C13" s="25"/>
      <c r="D13" s="23">
        <v>105</v>
      </c>
      <c r="E13" s="23">
        <v>55</v>
      </c>
      <c r="F13" s="23">
        <v>163</v>
      </c>
      <c r="G13" s="23">
        <v>12</v>
      </c>
      <c r="H13" s="23">
        <v>117</v>
      </c>
      <c r="I13" s="23">
        <v>83</v>
      </c>
      <c r="J13" s="23">
        <v>163</v>
      </c>
      <c r="K13" s="23">
        <v>120</v>
      </c>
      <c r="L13" s="23">
        <v>171</v>
      </c>
      <c r="M13" s="23">
        <v>79</v>
      </c>
      <c r="N13" s="23">
        <v>105</v>
      </c>
      <c r="O13" s="23">
        <v>69</v>
      </c>
      <c r="P13" s="26">
        <f>SUM(tblRevenue[[#This Row],[m1]:[m12]])</f>
        <v>1242</v>
      </c>
      <c r="Q13" s="24">
        <v>0.1</v>
      </c>
      <c r="R13" s="62">
        <f>IFERROR(tblRevenue[[#This Row],[m1]]/tblRevenue[[#Totals],[m1]],"-")</f>
        <v>0.16826923076923078</v>
      </c>
      <c r="S13" s="63">
        <f>IFERROR(tblRevenue[[#This Row],[m2]]/tblRevenue[[#Totals],[m2]],"-")</f>
        <v>7.4728260869565216E-2</v>
      </c>
      <c r="T13" s="63">
        <f>IFERROR(tblRevenue[[#This Row],[m3]]/tblRevenue[[#Totals],[m3]],"-")</f>
        <v>0.19878048780487806</v>
      </c>
      <c r="U13" s="63">
        <f>IFERROR(tblRevenue[[#This Row],[m4]]/tblRevenue[[#Totals],[m4]],"-")</f>
        <v>1.9639934533551555E-2</v>
      </c>
      <c r="V13" s="63">
        <f>IFERROR(tblRevenue[[#This Row],[m5]]/tblRevenue[[#Totals],[m5]],"-")</f>
        <v>0.14408866995073891</v>
      </c>
      <c r="W13" s="63">
        <f>IFERROR(tblRevenue[[#This Row],[m6]]/tblRevenue[[#Totals],[m6]],"-")</f>
        <v>0.14359861591695502</v>
      </c>
      <c r="X13" s="63">
        <f>IFERROR(tblRevenue[[#This Row],[m7]]/tblRevenue[[#Totals],[m7]],"-")</f>
        <v>0.27303182579564489</v>
      </c>
      <c r="Y13" s="63">
        <f>IFERROR(tblRevenue[[#This Row],[m8]]/tblRevenue[[#Totals],[m8]],"-")</f>
        <v>0.17777777777777778</v>
      </c>
      <c r="Z13" s="63">
        <f>IFERROR(tblRevenue[[#This Row],[m9]]/tblRevenue[[#Totals],[m9]],"-")</f>
        <v>0.22983870967741934</v>
      </c>
      <c r="AA13" s="63">
        <f>IFERROR(tblRevenue[[#This Row],[m10]]/tblRevenue[[#Totals],[m10]],"-")</f>
        <v>0.11600587371512482</v>
      </c>
      <c r="AB13" s="63">
        <f>IFERROR(tblRevenue[[#This Row],[m11]]/tblRevenue[[#Totals],[m11]],"-")</f>
        <v>0.14208389715832206</v>
      </c>
      <c r="AC13" s="63">
        <f>IFERROR(tblRevenue[[#This Row],[m12]]/tblRevenue[[#Totals],[m12]],"-")</f>
        <v>6.6155321188878236E-2</v>
      </c>
      <c r="AD13" s="64">
        <f>IFERROR(tblRevenue[[#This Row],[Yearly]]/tblRevenue[[#Totals],[Yearly]],"-")</f>
        <v>0.14341801385681294</v>
      </c>
    </row>
    <row r="14" spans="1:30" ht="18" customHeight="1" x14ac:dyDescent="0.25">
      <c r="B14" s="49" t="s">
        <v>51</v>
      </c>
      <c r="C14" s="50"/>
      <c r="D14" s="51">
        <f>SUBTOTAL(109,tblRevenue[m1])</f>
        <v>624</v>
      </c>
      <c r="E14" s="51">
        <f>SUBTOTAL(109,tblRevenue[m2])</f>
        <v>736</v>
      </c>
      <c r="F14" s="51">
        <f>SUBTOTAL(109,tblRevenue[m3])</f>
        <v>820</v>
      </c>
      <c r="G14" s="51">
        <f>SUBTOTAL(109,tblRevenue[m4])</f>
        <v>611</v>
      </c>
      <c r="H14" s="51">
        <f>SUBTOTAL(109,tblRevenue[m5])</f>
        <v>812</v>
      </c>
      <c r="I14" s="51">
        <f>SUBTOTAL(109,tblRevenue[m6])</f>
        <v>578</v>
      </c>
      <c r="J14" s="51">
        <f>SUBTOTAL(109,tblRevenue[m7])</f>
        <v>597</v>
      </c>
      <c r="K14" s="51">
        <f>SUBTOTAL(109,tblRevenue[m8])</f>
        <v>675</v>
      </c>
      <c r="L14" s="51">
        <f>SUBTOTAL(109,tblRevenue[m9])</f>
        <v>744</v>
      </c>
      <c r="M14" s="51">
        <f>SUBTOTAL(109,tblRevenue[m10])</f>
        <v>681</v>
      </c>
      <c r="N14" s="51">
        <f>SUBTOTAL(109,tblRevenue[m11])</f>
        <v>739</v>
      </c>
      <c r="O14" s="51">
        <f>SUBTOTAL(109,tblRevenue[m12])</f>
        <v>1043</v>
      </c>
      <c r="P14" s="52">
        <f>SUBTOTAL(109,tblRevenue[Yearly])</f>
        <v>8660</v>
      </c>
      <c r="Q14" s="53">
        <f>SUBTOTAL(109,tblRevenue[Ind %])</f>
        <v>1</v>
      </c>
      <c r="R14" s="53">
        <f>SUBTOTAL(109,tblRevenue[% m1])</f>
        <v>1</v>
      </c>
      <c r="S14" s="53">
        <f>SUBTOTAL(109,tblRevenue[% m2])</f>
        <v>1</v>
      </c>
      <c r="T14" s="53">
        <f>SUBTOTAL(109,tblRevenue[% m3])</f>
        <v>1</v>
      </c>
      <c r="U14" s="53">
        <f>SUBTOTAL(109,tblRevenue[% m4])</f>
        <v>0.99999999999999989</v>
      </c>
      <c r="V14" s="53">
        <f>SUBTOTAL(109,tblRevenue[% m5])</f>
        <v>0.99999999999999989</v>
      </c>
      <c r="W14" s="53">
        <f>SUBTOTAL(109,tblRevenue[% m6])</f>
        <v>1</v>
      </c>
      <c r="X14" s="53">
        <f>SUBTOTAL(109,tblRevenue[% m7])</f>
        <v>1</v>
      </c>
      <c r="Y14" s="53">
        <f>SUBTOTAL(109,tblRevenue[% m8])</f>
        <v>1</v>
      </c>
      <c r="Z14" s="53">
        <f>SUBTOTAL(109,tblRevenue[% m9])</f>
        <v>1</v>
      </c>
      <c r="AA14" s="53">
        <f>SUBTOTAL(109,tblRevenue[% m10])</f>
        <v>1</v>
      </c>
      <c r="AB14" s="53">
        <f>SUBTOTAL(109,tblRevenue[% m11])</f>
        <v>1</v>
      </c>
      <c r="AC14" s="53">
        <f>SUBTOTAL(109,tblRevenue[% m12])</f>
        <v>0.99999999999999989</v>
      </c>
      <c r="AD14" s="65">
        <f>SUBTOTAL(109,tblRevenue[% y])</f>
        <v>1</v>
      </c>
    </row>
    <row r="15" spans="1:30" ht="18" customHeight="1" x14ac:dyDescent="0.25"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</row>
    <row r="16" spans="1:30" ht="18" customHeight="1" x14ac:dyDescent="0.4">
      <c r="B16" s="37" t="s">
        <v>52</v>
      </c>
      <c r="C16" s="38" t="s">
        <v>50</v>
      </c>
      <c r="D16" s="11" t="s">
        <v>0</v>
      </c>
      <c r="E16" s="11" t="s">
        <v>1</v>
      </c>
      <c r="F16" s="11" t="s">
        <v>2</v>
      </c>
      <c r="G16" s="11" t="s">
        <v>3</v>
      </c>
      <c r="H16" s="11" t="s">
        <v>4</v>
      </c>
      <c r="I16" s="11" t="s">
        <v>5</v>
      </c>
      <c r="J16" s="11" t="s">
        <v>6</v>
      </c>
      <c r="K16" s="11" t="s">
        <v>7</v>
      </c>
      <c r="L16" s="11" t="s">
        <v>8</v>
      </c>
      <c r="M16" s="11" t="s">
        <v>9</v>
      </c>
      <c r="N16" s="11" t="s">
        <v>10</v>
      </c>
      <c r="O16" s="11" t="s">
        <v>11</v>
      </c>
      <c r="P16" s="11" t="s">
        <v>26</v>
      </c>
      <c r="Q16" s="12" t="s">
        <v>24</v>
      </c>
      <c r="R16" s="12" t="s">
        <v>12</v>
      </c>
      <c r="S16" s="12" t="s">
        <v>13</v>
      </c>
      <c r="T16" s="12" t="s">
        <v>14</v>
      </c>
      <c r="U16" s="12" t="s">
        <v>15</v>
      </c>
      <c r="V16" s="12" t="s">
        <v>16</v>
      </c>
      <c r="W16" s="12" t="s">
        <v>17</v>
      </c>
      <c r="X16" s="12" t="s">
        <v>18</v>
      </c>
      <c r="Y16" s="12" t="s">
        <v>19</v>
      </c>
      <c r="Z16" s="12" t="s">
        <v>20</v>
      </c>
      <c r="AA16" s="12" t="s">
        <v>21</v>
      </c>
      <c r="AB16" s="12" t="s">
        <v>22</v>
      </c>
      <c r="AC16" s="12" t="s">
        <v>23</v>
      </c>
      <c r="AD16" s="12" t="s">
        <v>25</v>
      </c>
    </row>
    <row r="17" spans="1:30" ht="18" customHeight="1" x14ac:dyDescent="0.25">
      <c r="B17" s="13" t="s">
        <v>68</v>
      </c>
      <c r="C17" s="28"/>
      <c r="D17" s="9">
        <v>61</v>
      </c>
      <c r="E17" s="9">
        <v>78</v>
      </c>
      <c r="F17" s="9">
        <v>65</v>
      </c>
      <c r="G17" s="9">
        <v>29</v>
      </c>
      <c r="H17" s="9">
        <v>125</v>
      </c>
      <c r="I17" s="9">
        <v>49</v>
      </c>
      <c r="J17" s="9">
        <v>14</v>
      </c>
      <c r="K17" s="9">
        <v>26</v>
      </c>
      <c r="L17" s="9">
        <v>14</v>
      </c>
      <c r="M17" s="9">
        <v>129</v>
      </c>
      <c r="N17" s="9">
        <v>60</v>
      </c>
      <c r="O17" s="9">
        <v>65</v>
      </c>
      <c r="P17" s="27">
        <f>SUM(tblCostofSales[[#This Row],[m1]:[m12]])</f>
        <v>715</v>
      </c>
      <c r="Q17" s="10">
        <v>0.12</v>
      </c>
      <c r="R17" s="66">
        <f>IFERROR(tblCostofSales[[#This Row],[m1]]/tblCostofSales[[#Totals],[m1]],"-")</f>
        <v>0.23018867924528302</v>
      </c>
      <c r="S17" s="67">
        <f>IFERROR(tblCostofSales[[#This Row],[m2]]/tblCostofSales[[#Totals],[m2]],"-")</f>
        <v>0.21910112359550563</v>
      </c>
      <c r="T17" s="67">
        <f>IFERROR(tblCostofSales[[#This Row],[m3]]/tblCostofSales[[#Totals],[m3]],"-")</f>
        <v>0.20634920634920634</v>
      </c>
      <c r="U17" s="67">
        <f>IFERROR(tblCostofSales[[#This Row],[m4]]/tblCostofSales[[#Totals],[m4]],"-")</f>
        <v>0.12033195020746888</v>
      </c>
      <c r="V17" s="67">
        <f>IFERROR(tblCostofSales[[#This Row],[m5]]/tblCostofSales[[#Totals],[m5]],"-")</f>
        <v>0.31328320802005011</v>
      </c>
      <c r="W17" s="67">
        <f>IFERROR(tblCostofSales[[#This Row],[m6]]/tblCostofSales[[#Totals],[m6]],"-")</f>
        <v>0.15705128205128205</v>
      </c>
      <c r="X17" s="67">
        <f>IFERROR(tblCostofSales[[#This Row],[m7]]/tblCostofSales[[#Totals],[m7]],"-")</f>
        <v>4.6822742474916385E-2</v>
      </c>
      <c r="Y17" s="67">
        <f>IFERROR(tblCostofSales[[#This Row],[m8]]/tblCostofSales[[#Totals],[m8]],"-")</f>
        <v>0.11504424778761062</v>
      </c>
      <c r="Z17" s="67">
        <f>IFERROR(tblCostofSales[[#This Row],[m9]]/tblCostofSales[[#Totals],[m9]],"-")</f>
        <v>3.3816425120772944E-2</v>
      </c>
      <c r="AA17" s="67">
        <f>IFERROR(tblCostofSales[[#This Row],[m10]]/tblCostofSales[[#Totals],[m10]],"-")</f>
        <v>0.47080291970802918</v>
      </c>
      <c r="AB17" s="67">
        <f>IFERROR(tblCostofSales[[#This Row],[m11]]/tblCostofSales[[#Totals],[m11]],"-")</f>
        <v>0.22727272727272727</v>
      </c>
      <c r="AC17" s="67">
        <f>IFERROR(tblCostofSales[[#This Row],[m12]]/tblCostofSales[[#Totals],[m12]],"-")</f>
        <v>0.14348785871964681</v>
      </c>
      <c r="AD17" s="68">
        <f>IFERROR(tblCostofSales[[#This Row],[Yearly]]/tblCostofSales[[#Totals],[Yearly]],"-")</f>
        <v>0.18727082242011525</v>
      </c>
    </row>
    <row r="18" spans="1:30" ht="18" customHeight="1" x14ac:dyDescent="0.25">
      <c r="B18" s="13" t="s">
        <v>69</v>
      </c>
      <c r="C18" s="28"/>
      <c r="D18" s="9">
        <v>7</v>
      </c>
      <c r="E18" s="9">
        <v>5</v>
      </c>
      <c r="F18" s="9">
        <v>69</v>
      </c>
      <c r="G18" s="9">
        <v>32</v>
      </c>
      <c r="H18" s="9">
        <v>11</v>
      </c>
      <c r="I18" s="9">
        <v>30</v>
      </c>
      <c r="J18" s="9">
        <v>27</v>
      </c>
      <c r="K18" s="9">
        <v>32</v>
      </c>
      <c r="L18" s="9">
        <v>10</v>
      </c>
      <c r="M18" s="9">
        <v>41</v>
      </c>
      <c r="N18" s="9">
        <v>13</v>
      </c>
      <c r="O18" s="9">
        <v>105</v>
      </c>
      <c r="P18" s="27">
        <f>SUM(tblCostofSales[[#This Row],[m1]:[m12]])</f>
        <v>382</v>
      </c>
      <c r="Q18" s="10">
        <v>0.18</v>
      </c>
      <c r="R18" s="66">
        <f>IFERROR(tblCostofSales[[#This Row],[m1]]/tblCostofSales[[#Totals],[m1]],"-")</f>
        <v>2.6415094339622643E-2</v>
      </c>
      <c r="S18" s="67">
        <f>IFERROR(tblCostofSales[[#This Row],[m2]]/tblCostofSales[[#Totals],[m2]],"-")</f>
        <v>1.4044943820224719E-2</v>
      </c>
      <c r="T18" s="67">
        <f>IFERROR(tblCostofSales[[#This Row],[m3]]/tblCostofSales[[#Totals],[m3]],"-")</f>
        <v>0.21904761904761905</v>
      </c>
      <c r="U18" s="67">
        <f>IFERROR(tblCostofSales[[#This Row],[m4]]/tblCostofSales[[#Totals],[m4]],"-")</f>
        <v>0.13278008298755187</v>
      </c>
      <c r="V18" s="67">
        <f>IFERROR(tblCostofSales[[#This Row],[m5]]/tblCostofSales[[#Totals],[m5]],"-")</f>
        <v>2.7568922305764409E-2</v>
      </c>
      <c r="W18" s="67">
        <f>IFERROR(tblCostofSales[[#This Row],[m6]]/tblCostofSales[[#Totals],[m6]],"-")</f>
        <v>9.6153846153846159E-2</v>
      </c>
      <c r="X18" s="67">
        <f>IFERROR(tblCostofSales[[#This Row],[m7]]/tblCostofSales[[#Totals],[m7]],"-")</f>
        <v>9.0301003344481601E-2</v>
      </c>
      <c r="Y18" s="67">
        <f>IFERROR(tblCostofSales[[#This Row],[m8]]/tblCostofSales[[#Totals],[m8]],"-")</f>
        <v>0.1415929203539823</v>
      </c>
      <c r="Z18" s="67">
        <f>IFERROR(tblCostofSales[[#This Row],[m9]]/tblCostofSales[[#Totals],[m9]],"-")</f>
        <v>2.4154589371980676E-2</v>
      </c>
      <c r="AA18" s="67">
        <f>IFERROR(tblCostofSales[[#This Row],[m10]]/tblCostofSales[[#Totals],[m10]],"-")</f>
        <v>0.14963503649635038</v>
      </c>
      <c r="AB18" s="67">
        <f>IFERROR(tblCostofSales[[#This Row],[m11]]/tblCostofSales[[#Totals],[m11]],"-")</f>
        <v>4.924242424242424E-2</v>
      </c>
      <c r="AC18" s="67">
        <f>IFERROR(tblCostofSales[[#This Row],[m12]]/tblCostofSales[[#Totals],[m12]],"-")</f>
        <v>0.23178807947019867</v>
      </c>
      <c r="AD18" s="68">
        <f>IFERROR(tblCostofSales[[#This Row],[Yearly]]/tblCostofSales[[#Totals],[Yearly]],"-")</f>
        <v>0.1000523834468308</v>
      </c>
    </row>
    <row r="19" spans="1:30" ht="18" customHeight="1" x14ac:dyDescent="0.25">
      <c r="B19" s="13" t="s">
        <v>70</v>
      </c>
      <c r="C19" s="28"/>
      <c r="D19" s="9">
        <v>99</v>
      </c>
      <c r="E19" s="9">
        <v>95</v>
      </c>
      <c r="F19" s="9">
        <v>51</v>
      </c>
      <c r="G19" s="9">
        <v>90</v>
      </c>
      <c r="H19" s="9">
        <v>21</v>
      </c>
      <c r="I19" s="9">
        <v>34</v>
      </c>
      <c r="J19" s="9">
        <v>30</v>
      </c>
      <c r="K19" s="9">
        <v>24</v>
      </c>
      <c r="L19" s="9">
        <v>109</v>
      </c>
      <c r="M19" s="9">
        <v>16</v>
      </c>
      <c r="N19" s="9">
        <v>21</v>
      </c>
      <c r="O19" s="9">
        <v>52</v>
      </c>
      <c r="P19" s="27">
        <f>SUM(tblCostofSales[[#This Row],[m1]:[m12]])</f>
        <v>642</v>
      </c>
      <c r="Q19" s="10">
        <v>0.19</v>
      </c>
      <c r="R19" s="66">
        <f>IFERROR(tblCostofSales[[#This Row],[m1]]/tblCostofSales[[#Totals],[m1]],"-")</f>
        <v>0.37358490566037733</v>
      </c>
      <c r="S19" s="67">
        <f>IFERROR(tblCostofSales[[#This Row],[m2]]/tblCostofSales[[#Totals],[m2]],"-")</f>
        <v>0.26685393258426965</v>
      </c>
      <c r="T19" s="67">
        <f>IFERROR(tblCostofSales[[#This Row],[m3]]/tblCostofSales[[#Totals],[m3]],"-")</f>
        <v>0.16190476190476191</v>
      </c>
      <c r="U19" s="67">
        <f>IFERROR(tblCostofSales[[#This Row],[m4]]/tblCostofSales[[#Totals],[m4]],"-")</f>
        <v>0.37344398340248963</v>
      </c>
      <c r="V19" s="67">
        <f>IFERROR(tblCostofSales[[#This Row],[m5]]/tblCostofSales[[#Totals],[m5]],"-")</f>
        <v>5.2631578947368418E-2</v>
      </c>
      <c r="W19" s="67">
        <f>IFERROR(tblCostofSales[[#This Row],[m6]]/tblCostofSales[[#Totals],[m6]],"-")</f>
        <v>0.10897435897435898</v>
      </c>
      <c r="X19" s="67">
        <f>IFERROR(tblCostofSales[[#This Row],[m7]]/tblCostofSales[[#Totals],[m7]],"-")</f>
        <v>0.10033444816053512</v>
      </c>
      <c r="Y19" s="67">
        <f>IFERROR(tblCostofSales[[#This Row],[m8]]/tblCostofSales[[#Totals],[m8]],"-")</f>
        <v>0.10619469026548672</v>
      </c>
      <c r="Z19" s="67">
        <f>IFERROR(tblCostofSales[[#This Row],[m9]]/tblCostofSales[[#Totals],[m9]],"-")</f>
        <v>0.26328502415458938</v>
      </c>
      <c r="AA19" s="67">
        <f>IFERROR(tblCostofSales[[#This Row],[m10]]/tblCostofSales[[#Totals],[m10]],"-")</f>
        <v>5.8394160583941604E-2</v>
      </c>
      <c r="AB19" s="67">
        <f>IFERROR(tblCostofSales[[#This Row],[m11]]/tblCostofSales[[#Totals],[m11]],"-")</f>
        <v>7.9545454545454544E-2</v>
      </c>
      <c r="AC19" s="67">
        <f>IFERROR(tblCostofSales[[#This Row],[m12]]/tblCostofSales[[#Totals],[m12]],"-")</f>
        <v>0.11479028697571744</v>
      </c>
      <c r="AD19" s="68">
        <f>IFERROR(tblCostofSales[[#This Row],[Yearly]]/tblCostofSales[[#Totals],[Yearly]],"-")</f>
        <v>0.16815086432687271</v>
      </c>
    </row>
    <row r="20" spans="1:30" ht="18" customHeight="1" x14ac:dyDescent="0.25">
      <c r="B20" s="13" t="s">
        <v>71</v>
      </c>
      <c r="C20" s="28"/>
      <c r="D20" s="9">
        <v>13</v>
      </c>
      <c r="E20" s="9">
        <v>28</v>
      </c>
      <c r="F20" s="9">
        <v>15</v>
      </c>
      <c r="G20" s="9">
        <v>8</v>
      </c>
      <c r="H20" s="9">
        <v>84</v>
      </c>
      <c r="I20" s="9">
        <v>12</v>
      </c>
      <c r="J20" s="9">
        <v>54</v>
      </c>
      <c r="K20" s="9">
        <v>72</v>
      </c>
      <c r="L20" s="9">
        <v>49</v>
      </c>
      <c r="M20" s="9">
        <v>24</v>
      </c>
      <c r="N20" s="9">
        <v>60</v>
      </c>
      <c r="O20" s="9">
        <v>39</v>
      </c>
      <c r="P20" s="27">
        <f>SUM(tblCostofSales[[#This Row],[m1]:[m12]])</f>
        <v>458</v>
      </c>
      <c r="Q20" s="10">
        <v>0.11</v>
      </c>
      <c r="R20" s="66">
        <f>IFERROR(tblCostofSales[[#This Row],[m1]]/tblCostofSales[[#Totals],[m1]],"-")</f>
        <v>4.9056603773584909E-2</v>
      </c>
      <c r="S20" s="67">
        <f>IFERROR(tblCostofSales[[#This Row],[m2]]/tblCostofSales[[#Totals],[m2]],"-")</f>
        <v>7.8651685393258425E-2</v>
      </c>
      <c r="T20" s="67">
        <f>IFERROR(tblCostofSales[[#This Row],[m3]]/tblCostofSales[[#Totals],[m3]],"-")</f>
        <v>4.7619047619047616E-2</v>
      </c>
      <c r="U20" s="67">
        <f>IFERROR(tblCostofSales[[#This Row],[m4]]/tblCostofSales[[#Totals],[m4]],"-")</f>
        <v>3.3195020746887967E-2</v>
      </c>
      <c r="V20" s="67">
        <f>IFERROR(tblCostofSales[[#This Row],[m5]]/tblCostofSales[[#Totals],[m5]],"-")</f>
        <v>0.21052631578947367</v>
      </c>
      <c r="W20" s="67">
        <f>IFERROR(tblCostofSales[[#This Row],[m6]]/tblCostofSales[[#Totals],[m6]],"-")</f>
        <v>3.8461538461538464E-2</v>
      </c>
      <c r="X20" s="67">
        <f>IFERROR(tblCostofSales[[#This Row],[m7]]/tblCostofSales[[#Totals],[m7]],"-")</f>
        <v>0.1806020066889632</v>
      </c>
      <c r="Y20" s="67">
        <f>IFERROR(tblCostofSales[[#This Row],[m8]]/tblCostofSales[[#Totals],[m8]],"-")</f>
        <v>0.31858407079646017</v>
      </c>
      <c r="Z20" s="67">
        <f>IFERROR(tblCostofSales[[#This Row],[m9]]/tblCostofSales[[#Totals],[m9]],"-")</f>
        <v>0.11835748792270531</v>
      </c>
      <c r="AA20" s="67">
        <f>IFERROR(tblCostofSales[[#This Row],[m10]]/tblCostofSales[[#Totals],[m10]],"-")</f>
        <v>8.7591240875912413E-2</v>
      </c>
      <c r="AB20" s="67">
        <f>IFERROR(tblCostofSales[[#This Row],[m11]]/tblCostofSales[[#Totals],[m11]],"-")</f>
        <v>0.22727272727272727</v>
      </c>
      <c r="AC20" s="67">
        <f>IFERROR(tblCostofSales[[#This Row],[m12]]/tblCostofSales[[#Totals],[m12]],"-")</f>
        <v>8.6092715231788075E-2</v>
      </c>
      <c r="AD20" s="68">
        <f>IFERROR(tblCostofSales[[#This Row],[Yearly]]/tblCostofSales[[#Totals],[Yearly]],"-")</f>
        <v>0.11995809324253535</v>
      </c>
    </row>
    <row r="21" spans="1:30" ht="18" customHeight="1" x14ac:dyDescent="0.25">
      <c r="B21" s="13" t="s">
        <v>72</v>
      </c>
      <c r="C21" s="28"/>
      <c r="D21" s="9">
        <v>34</v>
      </c>
      <c r="E21" s="9">
        <v>78</v>
      </c>
      <c r="F21" s="9">
        <v>43</v>
      </c>
      <c r="G21" s="9">
        <v>30</v>
      </c>
      <c r="H21" s="9">
        <v>77</v>
      </c>
      <c r="I21" s="9">
        <v>54</v>
      </c>
      <c r="J21" s="9">
        <v>26</v>
      </c>
      <c r="K21" s="9">
        <v>13</v>
      </c>
      <c r="L21" s="9">
        <v>56</v>
      </c>
      <c r="M21" s="9">
        <v>30</v>
      </c>
      <c r="N21" s="9">
        <v>40</v>
      </c>
      <c r="O21" s="9">
        <v>63</v>
      </c>
      <c r="P21" s="27">
        <f>SUM(tblCostofSales[[#This Row],[m1]:[m12]])</f>
        <v>544</v>
      </c>
      <c r="Q21" s="10">
        <v>0.2</v>
      </c>
      <c r="R21" s="66">
        <f>IFERROR(tblCostofSales[[#This Row],[m1]]/tblCostofSales[[#Totals],[m1]],"-")</f>
        <v>0.12830188679245283</v>
      </c>
      <c r="S21" s="67">
        <f>IFERROR(tblCostofSales[[#This Row],[m2]]/tblCostofSales[[#Totals],[m2]],"-")</f>
        <v>0.21910112359550563</v>
      </c>
      <c r="T21" s="67">
        <f>IFERROR(tblCostofSales[[#This Row],[m3]]/tblCostofSales[[#Totals],[m3]],"-")</f>
        <v>0.13650793650793649</v>
      </c>
      <c r="U21" s="67">
        <f>IFERROR(tblCostofSales[[#This Row],[m4]]/tblCostofSales[[#Totals],[m4]],"-")</f>
        <v>0.12448132780082988</v>
      </c>
      <c r="V21" s="67">
        <f>IFERROR(tblCostofSales[[#This Row],[m5]]/tblCostofSales[[#Totals],[m5]],"-")</f>
        <v>0.19298245614035087</v>
      </c>
      <c r="W21" s="67">
        <f>IFERROR(tblCostofSales[[#This Row],[m6]]/tblCostofSales[[#Totals],[m6]],"-")</f>
        <v>0.17307692307692307</v>
      </c>
      <c r="X21" s="67">
        <f>IFERROR(tblCostofSales[[#This Row],[m7]]/tblCostofSales[[#Totals],[m7]],"-")</f>
        <v>8.6956521739130432E-2</v>
      </c>
      <c r="Y21" s="67">
        <f>IFERROR(tblCostofSales[[#This Row],[m8]]/tblCostofSales[[#Totals],[m8]],"-")</f>
        <v>5.7522123893805309E-2</v>
      </c>
      <c r="Z21" s="67">
        <f>IFERROR(tblCostofSales[[#This Row],[m9]]/tblCostofSales[[#Totals],[m9]],"-")</f>
        <v>0.13526570048309178</v>
      </c>
      <c r="AA21" s="67">
        <f>IFERROR(tblCostofSales[[#This Row],[m10]]/tblCostofSales[[#Totals],[m10]],"-")</f>
        <v>0.10948905109489052</v>
      </c>
      <c r="AB21" s="67">
        <f>IFERROR(tblCostofSales[[#This Row],[m11]]/tblCostofSales[[#Totals],[m11]],"-")</f>
        <v>0.15151515151515152</v>
      </c>
      <c r="AC21" s="67">
        <f>IFERROR(tblCostofSales[[#This Row],[m12]]/tblCostofSales[[#Totals],[m12]],"-")</f>
        <v>0.13907284768211919</v>
      </c>
      <c r="AD21" s="68">
        <f>IFERROR(tblCostofSales[[#This Row],[Yearly]]/tblCostofSales[[#Totals],[Yearly]],"-")</f>
        <v>0.14248297537978</v>
      </c>
    </row>
    <row r="22" spans="1:30" ht="18" customHeight="1" x14ac:dyDescent="0.25">
      <c r="B22" s="13" t="s">
        <v>73</v>
      </c>
      <c r="C22" s="28"/>
      <c r="D22" s="9">
        <v>33</v>
      </c>
      <c r="E22" s="9">
        <v>61</v>
      </c>
      <c r="F22" s="9">
        <v>42</v>
      </c>
      <c r="G22" s="9">
        <v>43</v>
      </c>
      <c r="H22" s="9">
        <v>19</v>
      </c>
      <c r="I22" s="9">
        <v>94</v>
      </c>
      <c r="J22" s="9">
        <v>46</v>
      </c>
      <c r="K22" s="9">
        <v>15</v>
      </c>
      <c r="L22" s="9">
        <v>55</v>
      </c>
      <c r="M22" s="9">
        <v>15</v>
      </c>
      <c r="N22" s="9">
        <v>37</v>
      </c>
      <c r="O22" s="9">
        <v>89</v>
      </c>
      <c r="P22" s="27">
        <f>SUM(tblCostofSales[[#This Row],[m1]:[m12]])</f>
        <v>549</v>
      </c>
      <c r="Q22" s="10">
        <v>0.1</v>
      </c>
      <c r="R22" s="66">
        <f>IFERROR(tblCostofSales[[#This Row],[m1]]/tblCostofSales[[#Totals],[m1]],"-")</f>
        <v>0.12452830188679245</v>
      </c>
      <c r="S22" s="67">
        <f>IFERROR(tblCostofSales[[#This Row],[m2]]/tblCostofSales[[#Totals],[m2]],"-")</f>
        <v>0.17134831460674158</v>
      </c>
      <c r="T22" s="67">
        <f>IFERROR(tblCostofSales[[#This Row],[m3]]/tblCostofSales[[#Totals],[m3]],"-")</f>
        <v>0.13333333333333333</v>
      </c>
      <c r="U22" s="67">
        <f>IFERROR(tblCostofSales[[#This Row],[m4]]/tblCostofSales[[#Totals],[m4]],"-")</f>
        <v>0.17842323651452283</v>
      </c>
      <c r="V22" s="67">
        <f>IFERROR(tblCostofSales[[#This Row],[m5]]/tblCostofSales[[#Totals],[m5]],"-")</f>
        <v>4.7619047619047616E-2</v>
      </c>
      <c r="W22" s="67">
        <f>IFERROR(tblCostofSales[[#This Row],[m6]]/tblCostofSales[[#Totals],[m6]],"-")</f>
        <v>0.30128205128205127</v>
      </c>
      <c r="X22" s="67">
        <f>IFERROR(tblCostofSales[[#This Row],[m7]]/tblCostofSales[[#Totals],[m7]],"-")</f>
        <v>0.15384615384615385</v>
      </c>
      <c r="Y22" s="67">
        <f>IFERROR(tblCostofSales[[#This Row],[m8]]/tblCostofSales[[#Totals],[m8]],"-")</f>
        <v>6.637168141592921E-2</v>
      </c>
      <c r="Z22" s="67">
        <f>IFERROR(tblCostofSales[[#This Row],[m9]]/tblCostofSales[[#Totals],[m9]],"-")</f>
        <v>0.13285024154589373</v>
      </c>
      <c r="AA22" s="67">
        <f>IFERROR(tblCostofSales[[#This Row],[m10]]/tblCostofSales[[#Totals],[m10]],"-")</f>
        <v>5.4744525547445258E-2</v>
      </c>
      <c r="AB22" s="67">
        <f>IFERROR(tblCostofSales[[#This Row],[m11]]/tblCostofSales[[#Totals],[m11]],"-")</f>
        <v>0.14015151515151514</v>
      </c>
      <c r="AC22" s="67">
        <f>IFERROR(tblCostofSales[[#This Row],[m12]]/tblCostofSales[[#Totals],[m12]],"-")</f>
        <v>0.19646799116997793</v>
      </c>
      <c r="AD22" s="68">
        <f>IFERROR(tblCostofSales[[#This Row],[Yearly]]/tblCostofSales[[#Totals],[Yearly]],"-")</f>
        <v>0.14379256155055004</v>
      </c>
    </row>
    <row r="23" spans="1:30" ht="18" customHeight="1" x14ac:dyDescent="0.25">
      <c r="A23" s="21"/>
      <c r="B23" s="13" t="s">
        <v>74</v>
      </c>
      <c r="C23" s="28"/>
      <c r="D23" s="9">
        <v>18</v>
      </c>
      <c r="E23" s="9">
        <v>11</v>
      </c>
      <c r="F23" s="9">
        <v>30</v>
      </c>
      <c r="G23" s="9">
        <v>9</v>
      </c>
      <c r="H23" s="9">
        <v>62</v>
      </c>
      <c r="I23" s="9">
        <v>39</v>
      </c>
      <c r="J23" s="9">
        <v>102</v>
      </c>
      <c r="K23" s="9">
        <v>44</v>
      </c>
      <c r="L23" s="9">
        <v>121</v>
      </c>
      <c r="M23" s="9">
        <v>19</v>
      </c>
      <c r="N23" s="9">
        <v>33</v>
      </c>
      <c r="O23" s="9">
        <v>40</v>
      </c>
      <c r="P23" s="27">
        <f>SUM(tblCostofSales[[#This Row],[m1]:[m12]])</f>
        <v>528</v>
      </c>
      <c r="Q23" s="10">
        <v>0.1</v>
      </c>
      <c r="R23" s="66">
        <f>IFERROR(tblCostofSales[[#This Row],[m1]]/tblCostofSales[[#Totals],[m1]],"-")</f>
        <v>6.7924528301886791E-2</v>
      </c>
      <c r="S23" s="67">
        <f>IFERROR(tblCostofSales[[#This Row],[m2]]/tblCostofSales[[#Totals],[m2]],"-")</f>
        <v>3.0898876404494381E-2</v>
      </c>
      <c r="T23" s="67">
        <f>IFERROR(tblCostofSales[[#This Row],[m3]]/tblCostofSales[[#Totals],[m3]],"-")</f>
        <v>9.5238095238095233E-2</v>
      </c>
      <c r="U23" s="67">
        <f>IFERROR(tblCostofSales[[#This Row],[m4]]/tblCostofSales[[#Totals],[m4]],"-")</f>
        <v>3.7344398340248962E-2</v>
      </c>
      <c r="V23" s="67">
        <f>IFERROR(tblCostofSales[[#This Row],[m5]]/tblCostofSales[[#Totals],[m5]],"-")</f>
        <v>0.15538847117794485</v>
      </c>
      <c r="W23" s="67">
        <f>IFERROR(tblCostofSales[[#This Row],[m6]]/tblCostofSales[[#Totals],[m6]],"-")</f>
        <v>0.125</v>
      </c>
      <c r="X23" s="67">
        <f>IFERROR(tblCostofSales[[#This Row],[m7]]/tblCostofSales[[#Totals],[m7]],"-")</f>
        <v>0.34113712374581939</v>
      </c>
      <c r="Y23" s="67">
        <f>IFERROR(tblCostofSales[[#This Row],[m8]]/tblCostofSales[[#Totals],[m8]],"-")</f>
        <v>0.19469026548672566</v>
      </c>
      <c r="Z23" s="67">
        <f>IFERROR(tblCostofSales[[#This Row],[m9]]/tblCostofSales[[#Totals],[m9]],"-")</f>
        <v>0.2922705314009662</v>
      </c>
      <c r="AA23" s="67">
        <f>IFERROR(tblCostofSales[[#This Row],[m10]]/tblCostofSales[[#Totals],[m10]],"-")</f>
        <v>6.9343065693430656E-2</v>
      </c>
      <c r="AB23" s="67">
        <f>IFERROR(tblCostofSales[[#This Row],[m11]]/tblCostofSales[[#Totals],[m11]],"-")</f>
        <v>0.125</v>
      </c>
      <c r="AC23" s="67">
        <f>IFERROR(tblCostofSales[[#This Row],[m12]]/tblCostofSales[[#Totals],[m12]],"-")</f>
        <v>8.8300220750551883E-2</v>
      </c>
      <c r="AD23" s="68">
        <f>IFERROR(tblCostofSales[[#This Row],[Yearly]]/tblCostofSales[[#Totals],[Yearly]],"-")</f>
        <v>0.13829229963331588</v>
      </c>
    </row>
    <row r="24" spans="1:30" ht="18" customHeight="1" x14ac:dyDescent="0.25">
      <c r="B24" s="54" t="s">
        <v>53</v>
      </c>
      <c r="C24" s="55"/>
      <c r="D24" s="56">
        <f>SUBTOTAL(109,tblCostofSales[m1])</f>
        <v>265</v>
      </c>
      <c r="E24" s="56">
        <f>SUBTOTAL(109,tblCostofSales[m2])</f>
        <v>356</v>
      </c>
      <c r="F24" s="56">
        <f>SUBTOTAL(109,tblCostofSales[m3])</f>
        <v>315</v>
      </c>
      <c r="G24" s="56">
        <f>SUBTOTAL(109,tblCostofSales[m4])</f>
        <v>241</v>
      </c>
      <c r="H24" s="56">
        <f>SUBTOTAL(109,tblCostofSales[m5])</f>
        <v>399</v>
      </c>
      <c r="I24" s="56">
        <f>SUBTOTAL(109,tblCostofSales[m6])</f>
        <v>312</v>
      </c>
      <c r="J24" s="56">
        <f>SUBTOTAL(109,tblCostofSales[m7])</f>
        <v>299</v>
      </c>
      <c r="K24" s="56">
        <f>SUBTOTAL(109,tblCostofSales[m8])</f>
        <v>226</v>
      </c>
      <c r="L24" s="56">
        <f>SUBTOTAL(109,tblCostofSales[m9])</f>
        <v>414</v>
      </c>
      <c r="M24" s="56">
        <f>SUBTOTAL(109,tblCostofSales[m10])</f>
        <v>274</v>
      </c>
      <c r="N24" s="56">
        <f>SUBTOTAL(109,tblCostofSales[m11])</f>
        <v>264</v>
      </c>
      <c r="O24" s="56">
        <f>SUBTOTAL(109,tblCostofSales[m12])</f>
        <v>453</v>
      </c>
      <c r="P24" s="57">
        <f>SUBTOTAL(109,tblCostofSales[Yearly])</f>
        <v>3818</v>
      </c>
      <c r="Q24" s="58">
        <f>SUBTOTAL(109,tblCostofSales[Ind %])</f>
        <v>1</v>
      </c>
      <c r="R24" s="69">
        <f>SUBTOTAL(109,tblCostofSales[% m1])</f>
        <v>0.99999999999999989</v>
      </c>
      <c r="S24" s="69">
        <f>SUBTOTAL(109,tblCostofSales[% m2])</f>
        <v>1</v>
      </c>
      <c r="T24" s="69">
        <f>SUBTOTAL(109,tblCostofSales[% m3])</f>
        <v>0.99999999999999989</v>
      </c>
      <c r="U24" s="69">
        <f>SUBTOTAL(109,tblCostofSales[% m4])</f>
        <v>1</v>
      </c>
      <c r="V24" s="69">
        <f>SUBTOTAL(109,tblCostofSales[% m5])</f>
        <v>0.99999999999999989</v>
      </c>
      <c r="W24" s="69">
        <f>SUBTOTAL(109,tblCostofSales[% m6])</f>
        <v>1</v>
      </c>
      <c r="X24" s="69">
        <f>SUBTOTAL(109,tblCostofSales[% m7])</f>
        <v>1</v>
      </c>
      <c r="Y24" s="69">
        <f>SUBTOTAL(109,tblCostofSales[% m8])</f>
        <v>0.99999999999999989</v>
      </c>
      <c r="Z24" s="69">
        <f>SUBTOTAL(109,tblCostofSales[% m9])</f>
        <v>1</v>
      </c>
      <c r="AA24" s="69">
        <f>SUBTOTAL(109,tblCostofSales[% m10])</f>
        <v>1</v>
      </c>
      <c r="AB24" s="69">
        <f>SUBTOTAL(109,tblCostofSales[% m11])</f>
        <v>0.99999999999999989</v>
      </c>
      <c r="AC24" s="69">
        <f>SUBTOTAL(109,tblCostofSales[% m12])</f>
        <v>1</v>
      </c>
      <c r="AD24" s="69">
        <f>SUBTOTAL(109,tblCostofSales[% y])</f>
        <v>0.99999999999999989</v>
      </c>
    </row>
    <row r="25" spans="1:30" ht="18" customHeight="1" x14ac:dyDescent="0.25"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</row>
    <row r="26" spans="1:30" ht="18" customHeight="1" x14ac:dyDescent="0.25">
      <c r="B26" s="18" t="s">
        <v>27</v>
      </c>
      <c r="C26" s="14"/>
      <c r="D26" s="15">
        <f>tblRevenue[[#Totals],[m1]]-tblCostofSales[[#Totals],[m1]]</f>
        <v>359</v>
      </c>
      <c r="E26" s="15">
        <f>tblRevenue[[#Totals],[m2]]-tblCostofSales[[#Totals],[m2]]</f>
        <v>380</v>
      </c>
      <c r="F26" s="15">
        <f>tblRevenue[[#Totals],[m3]]-tblCostofSales[[#Totals],[m3]]</f>
        <v>505</v>
      </c>
      <c r="G26" s="15">
        <f>tblRevenue[[#Totals],[m4]]-tblCostofSales[[#Totals],[m4]]</f>
        <v>370</v>
      </c>
      <c r="H26" s="15">
        <f>tblRevenue[[#Totals],[m5]]-tblCostofSales[[#Totals],[m5]]</f>
        <v>413</v>
      </c>
      <c r="I26" s="15">
        <f>tblRevenue[[#Totals],[m6]]-tblCostofSales[[#Totals],[m6]]</f>
        <v>266</v>
      </c>
      <c r="J26" s="15">
        <f>tblRevenue[[#Totals],[m7]]-tblCostofSales[[#Totals],[m7]]</f>
        <v>298</v>
      </c>
      <c r="K26" s="15">
        <f>tblRevenue[[#Totals],[m8]]-tblCostofSales[[#Totals],[m8]]</f>
        <v>449</v>
      </c>
      <c r="L26" s="15">
        <f>tblRevenue[[#Totals],[m9]]-tblCostofSales[[#Totals],[m9]]</f>
        <v>330</v>
      </c>
      <c r="M26" s="15">
        <f>tblRevenue[[#Totals],[m10]]-tblCostofSales[[#Totals],[m10]]</f>
        <v>407</v>
      </c>
      <c r="N26" s="15">
        <f>tblRevenue[[#Totals],[m11]]-tblCostofSales[[#Totals],[m11]]</f>
        <v>475</v>
      </c>
      <c r="O26" s="15">
        <f>tblRevenue[[#Totals],[m12]]-tblCostofSales[[#Totals],[m12]]</f>
        <v>590</v>
      </c>
      <c r="P26" s="15">
        <f>tblRevenue[[#Totals],[Yearly]]-tblCostofSales[[#Totals],[Yearly]]</f>
        <v>4842</v>
      </c>
      <c r="Q26" s="16"/>
      <c r="R26" s="17">
        <f>D26/$P$26</f>
        <v>7.4142916150351096E-2</v>
      </c>
      <c r="S26" s="17">
        <f t="shared" ref="S26:AD26" si="1">E26/$P$26</f>
        <v>7.8479966955803393E-2</v>
      </c>
      <c r="T26" s="17">
        <f t="shared" si="1"/>
        <v>0.10429574555968608</v>
      </c>
      <c r="U26" s="17">
        <f t="shared" si="1"/>
        <v>7.6414704667492769E-2</v>
      </c>
      <c r="V26" s="17">
        <f t="shared" si="1"/>
        <v>8.5295332507228414E-2</v>
      </c>
      <c r="W26" s="17">
        <f t="shared" si="1"/>
        <v>5.4935976869062368E-2</v>
      </c>
      <c r="X26" s="17">
        <f t="shared" si="1"/>
        <v>6.1544816191656339E-2</v>
      </c>
      <c r="Y26" s="17">
        <f t="shared" si="1"/>
        <v>9.2730276745146639E-2</v>
      </c>
      <c r="Z26" s="17">
        <f t="shared" si="1"/>
        <v>6.8153655514250316E-2</v>
      </c>
      <c r="AA26" s="17">
        <f t="shared" si="1"/>
        <v>8.4056175134242045E-2</v>
      </c>
      <c r="AB26" s="17">
        <f t="shared" si="1"/>
        <v>9.8099958694754227E-2</v>
      </c>
      <c r="AC26" s="17">
        <f t="shared" si="1"/>
        <v>0.12185047501032631</v>
      </c>
      <c r="AD26" s="17">
        <f t="shared" si="1"/>
        <v>1</v>
      </c>
    </row>
    <row r="28" spans="1:30" ht="18" customHeight="1" x14ac:dyDescent="0.4">
      <c r="B28" s="37" t="s">
        <v>54</v>
      </c>
      <c r="C28" s="38" t="s">
        <v>50</v>
      </c>
      <c r="D28" s="20" t="s">
        <v>0</v>
      </c>
      <c r="E28" s="20" t="s">
        <v>1</v>
      </c>
      <c r="F28" s="20" t="s">
        <v>2</v>
      </c>
      <c r="G28" s="20" t="s">
        <v>3</v>
      </c>
      <c r="H28" s="20" t="s">
        <v>4</v>
      </c>
      <c r="I28" s="20" t="s">
        <v>5</v>
      </c>
      <c r="J28" s="20" t="s">
        <v>6</v>
      </c>
      <c r="K28" s="20" t="s">
        <v>7</v>
      </c>
      <c r="L28" s="20" t="s">
        <v>8</v>
      </c>
      <c r="M28" s="20" t="s">
        <v>9</v>
      </c>
      <c r="N28" s="20" t="s">
        <v>10</v>
      </c>
      <c r="O28" s="20" t="s">
        <v>11</v>
      </c>
      <c r="P28" s="20" t="s">
        <v>26</v>
      </c>
      <c r="Q28" s="20" t="s">
        <v>24</v>
      </c>
      <c r="R28" s="20" t="s">
        <v>12</v>
      </c>
      <c r="S28" s="20" t="s">
        <v>13</v>
      </c>
      <c r="T28" s="20" t="s">
        <v>14</v>
      </c>
      <c r="U28" s="20" t="s">
        <v>15</v>
      </c>
      <c r="V28" s="20" t="s">
        <v>16</v>
      </c>
      <c r="W28" s="20" t="s">
        <v>17</v>
      </c>
      <c r="X28" s="20" t="s">
        <v>18</v>
      </c>
      <c r="Y28" s="20" t="s">
        <v>19</v>
      </c>
      <c r="Z28" s="20" t="s">
        <v>20</v>
      </c>
      <c r="AA28" s="20" t="s">
        <v>21</v>
      </c>
      <c r="AB28" s="20" t="s">
        <v>22</v>
      </c>
      <c r="AC28" s="20" t="s">
        <v>23</v>
      </c>
      <c r="AD28" s="20" t="s">
        <v>25</v>
      </c>
    </row>
    <row r="29" spans="1:30" ht="18" customHeight="1" x14ac:dyDescent="0.25">
      <c r="B29" s="19" t="s">
        <v>28</v>
      </c>
      <c r="C29" s="29" t="s">
        <v>46</v>
      </c>
      <c r="D29" s="9">
        <v>10</v>
      </c>
      <c r="E29" s="9">
        <v>18</v>
      </c>
      <c r="F29" s="9">
        <v>13</v>
      </c>
      <c r="G29" s="9">
        <v>8</v>
      </c>
      <c r="H29" s="9">
        <v>22</v>
      </c>
      <c r="I29" s="9">
        <v>18</v>
      </c>
      <c r="J29" s="9">
        <v>8</v>
      </c>
      <c r="K29" s="9">
        <v>17</v>
      </c>
      <c r="L29" s="9">
        <v>20</v>
      </c>
      <c r="M29" s="9">
        <v>8</v>
      </c>
      <c r="N29" s="9">
        <v>4</v>
      </c>
      <c r="O29" s="9">
        <v>12</v>
      </c>
      <c r="P29" s="30">
        <f>SUM(tblExpenses[[#This Row],[m1]:[m12]])</f>
        <v>158</v>
      </c>
      <c r="Q29" s="10">
        <v>0.12</v>
      </c>
      <c r="R29" s="45">
        <f>tblExpenses[[#This Row],[m1]]/tblExpenses[[#Totals],[m1]]</f>
        <v>4.2372881355932202E-2</v>
      </c>
      <c r="S29" s="31">
        <f>tblExpenses[[#This Row],[m2]]/tblExpenses[[#Totals],[m2]]</f>
        <v>8.7804878048780483E-2</v>
      </c>
      <c r="T29" s="31">
        <f>tblExpenses[[#This Row],[m3]]/tblExpenses[[#Totals],[m3]]</f>
        <v>5.2208835341365459E-2</v>
      </c>
      <c r="U29" s="31">
        <f>tblExpenses[[#This Row],[m4]]/tblExpenses[[#Totals],[m4]]</f>
        <v>3.0651340996168581E-2</v>
      </c>
      <c r="V29" s="31">
        <f>tblExpenses[[#This Row],[m5]]/tblExpenses[[#Totals],[m5]]</f>
        <v>8.5603112840466927E-2</v>
      </c>
      <c r="W29" s="31">
        <f>tblExpenses[[#This Row],[m6]]/tblExpenses[[#Totals],[m6]]</f>
        <v>6.569343065693431E-2</v>
      </c>
      <c r="X29" s="31">
        <f>tblExpenses[[#This Row],[m7]]/tblExpenses[[#Totals],[m7]]</f>
        <v>3.007518796992481E-2</v>
      </c>
      <c r="Y29" s="31">
        <f>tblExpenses[[#This Row],[m8]]/tblExpenses[[#Totals],[m8]]</f>
        <v>7.2340425531914887E-2</v>
      </c>
      <c r="Z29" s="31">
        <f>tblExpenses[[#This Row],[m9]]/tblExpenses[[#Totals],[m9]]</f>
        <v>8.6956521739130432E-2</v>
      </c>
      <c r="AA29" s="31">
        <f>tblExpenses[[#This Row],[m10]]/tblExpenses[[#Totals],[m10]]</f>
        <v>3.0888030888030889E-2</v>
      </c>
      <c r="AB29" s="31">
        <f>tblExpenses[[#This Row],[m11]]/tblExpenses[[#Totals],[m11]]</f>
        <v>1.3513513513513514E-2</v>
      </c>
      <c r="AC29" s="31">
        <f>tblExpenses[[#This Row],[m12]]/tblExpenses[[#Totals],[m12]]</f>
        <v>5.1948051948051951E-2</v>
      </c>
      <c r="AD29" s="32">
        <f>tblExpenses[[#This Row],[Yearly]]/tblExpenses[[#Totals],[Yearly]]</f>
        <v>5.2684228076025338E-2</v>
      </c>
    </row>
    <row r="30" spans="1:30" ht="18" customHeight="1" x14ac:dyDescent="0.25">
      <c r="B30" s="19" t="s">
        <v>29</v>
      </c>
      <c r="C30" s="29" t="s">
        <v>46</v>
      </c>
      <c r="D30" s="9">
        <v>23</v>
      </c>
      <c r="E30" s="9">
        <v>11</v>
      </c>
      <c r="F30" s="9">
        <v>7</v>
      </c>
      <c r="G30" s="9">
        <v>14</v>
      </c>
      <c r="H30" s="9">
        <v>12</v>
      </c>
      <c r="I30" s="9">
        <v>19</v>
      </c>
      <c r="J30" s="9">
        <v>19</v>
      </c>
      <c r="K30" s="9">
        <v>4</v>
      </c>
      <c r="L30" s="9">
        <v>7</v>
      </c>
      <c r="M30" s="9">
        <v>13</v>
      </c>
      <c r="N30" s="9">
        <v>25</v>
      </c>
      <c r="O30" s="9">
        <v>5</v>
      </c>
      <c r="P30" s="30">
        <f>SUM(tblExpenses[[#This Row],[m1]:[m12]])</f>
        <v>159</v>
      </c>
      <c r="Q30" s="10">
        <v>0.09</v>
      </c>
      <c r="R30" s="45">
        <f>tblExpenses[[#This Row],[m1]]/tblExpenses[[#Totals],[m1]]</f>
        <v>9.7457627118644072E-2</v>
      </c>
      <c r="S30" s="31">
        <f>tblExpenses[[#This Row],[m2]]/tblExpenses[[#Totals],[m2]]</f>
        <v>5.3658536585365853E-2</v>
      </c>
      <c r="T30" s="31">
        <f>tblExpenses[[#This Row],[m3]]/tblExpenses[[#Totals],[m3]]</f>
        <v>2.8112449799196786E-2</v>
      </c>
      <c r="U30" s="31">
        <f>tblExpenses[[#This Row],[m4]]/tblExpenses[[#Totals],[m4]]</f>
        <v>5.3639846743295021E-2</v>
      </c>
      <c r="V30" s="31">
        <f>tblExpenses[[#This Row],[m5]]/tblExpenses[[#Totals],[m5]]</f>
        <v>4.6692607003891051E-2</v>
      </c>
      <c r="W30" s="31">
        <f>tblExpenses[[#This Row],[m6]]/tblExpenses[[#Totals],[m6]]</f>
        <v>6.9343065693430656E-2</v>
      </c>
      <c r="X30" s="31">
        <f>tblExpenses[[#This Row],[m7]]/tblExpenses[[#Totals],[m7]]</f>
        <v>7.1428571428571425E-2</v>
      </c>
      <c r="Y30" s="31">
        <f>tblExpenses[[#This Row],[m8]]/tblExpenses[[#Totals],[m8]]</f>
        <v>1.7021276595744681E-2</v>
      </c>
      <c r="Z30" s="31">
        <f>tblExpenses[[#This Row],[m9]]/tblExpenses[[#Totals],[m9]]</f>
        <v>3.0434782608695653E-2</v>
      </c>
      <c r="AA30" s="31">
        <f>tblExpenses[[#This Row],[m10]]/tblExpenses[[#Totals],[m10]]</f>
        <v>5.019305019305019E-2</v>
      </c>
      <c r="AB30" s="31">
        <f>tblExpenses[[#This Row],[m11]]/tblExpenses[[#Totals],[m11]]</f>
        <v>8.4459459459459457E-2</v>
      </c>
      <c r="AC30" s="31">
        <f>tblExpenses[[#This Row],[m12]]/tblExpenses[[#Totals],[m12]]</f>
        <v>2.1645021645021644E-2</v>
      </c>
      <c r="AD30" s="32">
        <f>tblExpenses[[#This Row],[Yearly]]/tblExpenses[[#Totals],[Yearly]]</f>
        <v>5.3017672557519172E-2</v>
      </c>
    </row>
    <row r="31" spans="1:30" ht="18" customHeight="1" x14ac:dyDescent="0.25">
      <c r="B31" s="19" t="s">
        <v>30</v>
      </c>
      <c r="C31" s="29" t="s">
        <v>46</v>
      </c>
      <c r="D31" s="9">
        <v>23</v>
      </c>
      <c r="E31" s="9">
        <v>20</v>
      </c>
      <c r="F31" s="9">
        <v>3</v>
      </c>
      <c r="G31" s="9">
        <v>16</v>
      </c>
      <c r="H31" s="9">
        <v>10</v>
      </c>
      <c r="I31" s="9">
        <v>5</v>
      </c>
      <c r="J31" s="9">
        <v>20</v>
      </c>
      <c r="K31" s="9">
        <v>7</v>
      </c>
      <c r="L31" s="9">
        <v>4</v>
      </c>
      <c r="M31" s="9">
        <v>22</v>
      </c>
      <c r="N31" s="9">
        <v>13</v>
      </c>
      <c r="O31" s="9">
        <v>14</v>
      </c>
      <c r="P31" s="30">
        <f>SUM(tblExpenses[[#This Row],[m1]:[m12]])</f>
        <v>157</v>
      </c>
      <c r="Q31" s="10">
        <v>0.02</v>
      </c>
      <c r="R31" s="45">
        <f>tblExpenses[[#This Row],[m1]]/tblExpenses[[#Totals],[m1]]</f>
        <v>9.7457627118644072E-2</v>
      </c>
      <c r="S31" s="31">
        <f>tblExpenses[[#This Row],[m2]]/tblExpenses[[#Totals],[m2]]</f>
        <v>9.7560975609756101E-2</v>
      </c>
      <c r="T31" s="31">
        <f>tblExpenses[[#This Row],[m3]]/tblExpenses[[#Totals],[m3]]</f>
        <v>1.2048192771084338E-2</v>
      </c>
      <c r="U31" s="31">
        <f>tblExpenses[[#This Row],[m4]]/tblExpenses[[#Totals],[m4]]</f>
        <v>6.1302681992337162E-2</v>
      </c>
      <c r="V31" s="31">
        <f>tblExpenses[[#This Row],[m5]]/tblExpenses[[#Totals],[m5]]</f>
        <v>3.8910505836575876E-2</v>
      </c>
      <c r="W31" s="31">
        <f>tblExpenses[[#This Row],[m6]]/tblExpenses[[#Totals],[m6]]</f>
        <v>1.824817518248175E-2</v>
      </c>
      <c r="X31" s="31">
        <f>tblExpenses[[#This Row],[m7]]/tblExpenses[[#Totals],[m7]]</f>
        <v>7.5187969924812026E-2</v>
      </c>
      <c r="Y31" s="31">
        <f>tblExpenses[[#This Row],[m8]]/tblExpenses[[#Totals],[m8]]</f>
        <v>2.9787234042553193E-2</v>
      </c>
      <c r="Z31" s="31">
        <f>tblExpenses[[#This Row],[m9]]/tblExpenses[[#Totals],[m9]]</f>
        <v>1.7391304347826087E-2</v>
      </c>
      <c r="AA31" s="31">
        <f>tblExpenses[[#This Row],[m10]]/tblExpenses[[#Totals],[m10]]</f>
        <v>8.4942084942084939E-2</v>
      </c>
      <c r="AB31" s="31">
        <f>tblExpenses[[#This Row],[m11]]/tblExpenses[[#Totals],[m11]]</f>
        <v>4.3918918918918921E-2</v>
      </c>
      <c r="AC31" s="31">
        <f>tblExpenses[[#This Row],[m12]]/tblExpenses[[#Totals],[m12]]</f>
        <v>6.0606060606060608E-2</v>
      </c>
      <c r="AD31" s="32">
        <f>tblExpenses[[#This Row],[Yearly]]/tblExpenses[[#Totals],[Yearly]]</f>
        <v>5.2350783594531512E-2</v>
      </c>
    </row>
    <row r="32" spans="1:30" ht="18" customHeight="1" x14ac:dyDescent="0.25">
      <c r="B32" s="19" t="s">
        <v>31</v>
      </c>
      <c r="C32" s="29" t="s">
        <v>46</v>
      </c>
      <c r="D32" s="9">
        <v>19</v>
      </c>
      <c r="E32" s="9">
        <v>4</v>
      </c>
      <c r="F32" s="9">
        <v>7</v>
      </c>
      <c r="G32" s="9">
        <v>14</v>
      </c>
      <c r="H32" s="9">
        <v>22</v>
      </c>
      <c r="I32" s="9">
        <v>10</v>
      </c>
      <c r="J32" s="9">
        <v>22</v>
      </c>
      <c r="K32" s="9">
        <v>5</v>
      </c>
      <c r="L32" s="9">
        <v>4</v>
      </c>
      <c r="M32" s="9">
        <v>12</v>
      </c>
      <c r="N32" s="9">
        <v>18</v>
      </c>
      <c r="O32" s="9">
        <v>24</v>
      </c>
      <c r="P32" s="30">
        <f>SUM(tblExpenses[[#This Row],[m1]:[m12]])</f>
        <v>161</v>
      </c>
      <c r="Q32" s="10">
        <v>0.08</v>
      </c>
      <c r="R32" s="45">
        <f>tblExpenses[[#This Row],[m1]]/tblExpenses[[#Totals],[m1]]</f>
        <v>8.050847457627118E-2</v>
      </c>
      <c r="S32" s="31">
        <f>tblExpenses[[#This Row],[m2]]/tblExpenses[[#Totals],[m2]]</f>
        <v>1.9512195121951219E-2</v>
      </c>
      <c r="T32" s="31">
        <f>tblExpenses[[#This Row],[m3]]/tblExpenses[[#Totals],[m3]]</f>
        <v>2.8112449799196786E-2</v>
      </c>
      <c r="U32" s="31">
        <f>tblExpenses[[#This Row],[m4]]/tblExpenses[[#Totals],[m4]]</f>
        <v>5.3639846743295021E-2</v>
      </c>
      <c r="V32" s="31">
        <f>tblExpenses[[#This Row],[m5]]/tblExpenses[[#Totals],[m5]]</f>
        <v>8.5603112840466927E-2</v>
      </c>
      <c r="W32" s="31">
        <f>tblExpenses[[#This Row],[m6]]/tblExpenses[[#Totals],[m6]]</f>
        <v>3.6496350364963501E-2</v>
      </c>
      <c r="X32" s="31">
        <f>tblExpenses[[#This Row],[m7]]/tblExpenses[[#Totals],[m7]]</f>
        <v>8.2706766917293228E-2</v>
      </c>
      <c r="Y32" s="31">
        <f>tblExpenses[[#This Row],[m8]]/tblExpenses[[#Totals],[m8]]</f>
        <v>2.1276595744680851E-2</v>
      </c>
      <c r="Z32" s="31">
        <f>tblExpenses[[#This Row],[m9]]/tblExpenses[[#Totals],[m9]]</f>
        <v>1.7391304347826087E-2</v>
      </c>
      <c r="AA32" s="31">
        <f>tblExpenses[[#This Row],[m10]]/tblExpenses[[#Totals],[m10]]</f>
        <v>4.633204633204633E-2</v>
      </c>
      <c r="AB32" s="31">
        <f>tblExpenses[[#This Row],[m11]]/tblExpenses[[#Totals],[m11]]</f>
        <v>6.0810810810810814E-2</v>
      </c>
      <c r="AC32" s="31">
        <f>tblExpenses[[#This Row],[m12]]/tblExpenses[[#Totals],[m12]]</f>
        <v>0.1038961038961039</v>
      </c>
      <c r="AD32" s="32">
        <f>tblExpenses[[#This Row],[Yearly]]/tblExpenses[[#Totals],[Yearly]]</f>
        <v>5.3684561520506838E-2</v>
      </c>
    </row>
    <row r="33" spans="1:30" ht="18" customHeight="1" x14ac:dyDescent="0.25">
      <c r="B33" s="19" t="s">
        <v>32</v>
      </c>
      <c r="C33" s="29" t="s">
        <v>46</v>
      </c>
      <c r="D33" s="9">
        <v>11</v>
      </c>
      <c r="E33" s="9">
        <v>11</v>
      </c>
      <c r="F33" s="9">
        <v>17</v>
      </c>
      <c r="G33" s="9">
        <v>12</v>
      </c>
      <c r="H33" s="9">
        <v>2</v>
      </c>
      <c r="I33" s="9">
        <v>14</v>
      </c>
      <c r="J33" s="9">
        <v>12</v>
      </c>
      <c r="K33" s="9">
        <v>10</v>
      </c>
      <c r="L33" s="9">
        <v>18</v>
      </c>
      <c r="M33" s="9">
        <v>11</v>
      </c>
      <c r="N33" s="9">
        <v>23</v>
      </c>
      <c r="O33" s="9">
        <v>11</v>
      </c>
      <c r="P33" s="30">
        <f>SUM(tblExpenses[[#This Row],[m1]:[m12]])</f>
        <v>152</v>
      </c>
      <c r="Q33" s="10">
        <v>0.03</v>
      </c>
      <c r="R33" s="45">
        <f>tblExpenses[[#This Row],[m1]]/tblExpenses[[#Totals],[m1]]</f>
        <v>4.6610169491525424E-2</v>
      </c>
      <c r="S33" s="31">
        <f>tblExpenses[[#This Row],[m2]]/tblExpenses[[#Totals],[m2]]</f>
        <v>5.3658536585365853E-2</v>
      </c>
      <c r="T33" s="31">
        <f>tblExpenses[[#This Row],[m3]]/tblExpenses[[#Totals],[m3]]</f>
        <v>6.8273092369477914E-2</v>
      </c>
      <c r="U33" s="31">
        <f>tblExpenses[[#This Row],[m4]]/tblExpenses[[#Totals],[m4]]</f>
        <v>4.5977011494252873E-2</v>
      </c>
      <c r="V33" s="31">
        <f>tblExpenses[[#This Row],[m5]]/tblExpenses[[#Totals],[m5]]</f>
        <v>7.7821011673151752E-3</v>
      </c>
      <c r="W33" s="31">
        <f>tblExpenses[[#This Row],[m6]]/tblExpenses[[#Totals],[m6]]</f>
        <v>5.1094890510948905E-2</v>
      </c>
      <c r="X33" s="31">
        <f>tblExpenses[[#This Row],[m7]]/tblExpenses[[#Totals],[m7]]</f>
        <v>4.5112781954887216E-2</v>
      </c>
      <c r="Y33" s="31">
        <f>tblExpenses[[#This Row],[m8]]/tblExpenses[[#Totals],[m8]]</f>
        <v>4.2553191489361701E-2</v>
      </c>
      <c r="Z33" s="31">
        <f>tblExpenses[[#This Row],[m9]]/tblExpenses[[#Totals],[m9]]</f>
        <v>7.8260869565217397E-2</v>
      </c>
      <c r="AA33" s="31">
        <f>tblExpenses[[#This Row],[m10]]/tblExpenses[[#Totals],[m10]]</f>
        <v>4.2471042471042469E-2</v>
      </c>
      <c r="AB33" s="31">
        <f>tblExpenses[[#This Row],[m11]]/tblExpenses[[#Totals],[m11]]</f>
        <v>7.77027027027027E-2</v>
      </c>
      <c r="AC33" s="31">
        <f>tblExpenses[[#This Row],[m12]]/tblExpenses[[#Totals],[m12]]</f>
        <v>4.7619047619047616E-2</v>
      </c>
      <c r="AD33" s="32">
        <f>tblExpenses[[#This Row],[Yearly]]/tblExpenses[[#Totals],[Yearly]]</f>
        <v>5.0683561187062354E-2</v>
      </c>
    </row>
    <row r="34" spans="1:30" ht="18" customHeight="1" x14ac:dyDescent="0.25">
      <c r="B34" s="19" t="s">
        <v>33</v>
      </c>
      <c r="C34" s="29" t="s">
        <v>46</v>
      </c>
      <c r="D34" s="9">
        <v>2</v>
      </c>
      <c r="E34" s="9">
        <v>16</v>
      </c>
      <c r="F34" s="9">
        <v>6</v>
      </c>
      <c r="G34" s="9">
        <v>13</v>
      </c>
      <c r="H34" s="9">
        <v>11</v>
      </c>
      <c r="I34" s="9">
        <v>22</v>
      </c>
      <c r="J34" s="9">
        <v>21</v>
      </c>
      <c r="K34" s="9">
        <v>3</v>
      </c>
      <c r="L34" s="9">
        <v>12</v>
      </c>
      <c r="M34" s="9">
        <v>7</v>
      </c>
      <c r="N34" s="9">
        <v>17</v>
      </c>
      <c r="O34" s="9">
        <v>20</v>
      </c>
      <c r="P34" s="30">
        <f>SUM(tblExpenses[[#This Row],[m1]:[m12]])</f>
        <v>150</v>
      </c>
      <c r="Q34" s="10">
        <v>0.15</v>
      </c>
      <c r="R34" s="45">
        <f>tblExpenses[[#This Row],[m1]]/tblExpenses[[#Totals],[m1]]</f>
        <v>8.4745762711864406E-3</v>
      </c>
      <c r="S34" s="31">
        <f>tblExpenses[[#This Row],[m2]]/tblExpenses[[#Totals],[m2]]</f>
        <v>7.8048780487804878E-2</v>
      </c>
      <c r="T34" s="31">
        <f>tblExpenses[[#This Row],[m3]]/tblExpenses[[#Totals],[m3]]</f>
        <v>2.4096385542168676E-2</v>
      </c>
      <c r="U34" s="31">
        <f>tblExpenses[[#This Row],[m4]]/tblExpenses[[#Totals],[m4]]</f>
        <v>4.9808429118773943E-2</v>
      </c>
      <c r="V34" s="31">
        <f>tblExpenses[[#This Row],[m5]]/tblExpenses[[#Totals],[m5]]</f>
        <v>4.2801556420233464E-2</v>
      </c>
      <c r="W34" s="31">
        <f>tblExpenses[[#This Row],[m6]]/tblExpenses[[#Totals],[m6]]</f>
        <v>8.0291970802919707E-2</v>
      </c>
      <c r="X34" s="31">
        <f>tblExpenses[[#This Row],[m7]]/tblExpenses[[#Totals],[m7]]</f>
        <v>7.8947368421052627E-2</v>
      </c>
      <c r="Y34" s="31">
        <f>tblExpenses[[#This Row],[m8]]/tblExpenses[[#Totals],[m8]]</f>
        <v>1.276595744680851E-2</v>
      </c>
      <c r="Z34" s="31">
        <f>tblExpenses[[#This Row],[m9]]/tblExpenses[[#Totals],[m9]]</f>
        <v>5.2173913043478258E-2</v>
      </c>
      <c r="AA34" s="31">
        <f>tblExpenses[[#This Row],[m10]]/tblExpenses[[#Totals],[m10]]</f>
        <v>2.7027027027027029E-2</v>
      </c>
      <c r="AB34" s="31">
        <f>tblExpenses[[#This Row],[m11]]/tblExpenses[[#Totals],[m11]]</f>
        <v>5.7432432432432436E-2</v>
      </c>
      <c r="AC34" s="31">
        <f>tblExpenses[[#This Row],[m12]]/tblExpenses[[#Totals],[m12]]</f>
        <v>8.6580086580086577E-2</v>
      </c>
      <c r="AD34" s="32">
        <f>tblExpenses[[#This Row],[Yearly]]/tblExpenses[[#Totals],[Yearly]]</f>
        <v>5.0016672224074694E-2</v>
      </c>
    </row>
    <row r="35" spans="1:30" ht="18" customHeight="1" x14ac:dyDescent="0.25">
      <c r="B35" s="19" t="s">
        <v>34</v>
      </c>
      <c r="C35" s="29" t="s">
        <v>46</v>
      </c>
      <c r="D35" s="9">
        <v>8</v>
      </c>
      <c r="E35" s="9">
        <v>17</v>
      </c>
      <c r="F35" s="9">
        <v>11</v>
      </c>
      <c r="G35" s="9">
        <v>11</v>
      </c>
      <c r="H35" s="9">
        <v>21</v>
      </c>
      <c r="I35" s="9">
        <v>9</v>
      </c>
      <c r="J35" s="9">
        <v>20</v>
      </c>
      <c r="K35" s="9">
        <v>3</v>
      </c>
      <c r="L35" s="9">
        <v>14</v>
      </c>
      <c r="M35" s="9">
        <v>22</v>
      </c>
      <c r="N35" s="9">
        <v>16</v>
      </c>
      <c r="O35" s="9">
        <v>12</v>
      </c>
      <c r="P35" s="30">
        <f>SUM(tblExpenses[[#This Row],[m1]:[m12]])</f>
        <v>164</v>
      </c>
      <c r="Q35" s="10">
        <v>0.12</v>
      </c>
      <c r="R35" s="45">
        <f>tblExpenses[[#This Row],[m1]]/tblExpenses[[#Totals],[m1]]</f>
        <v>3.3898305084745763E-2</v>
      </c>
      <c r="S35" s="31">
        <f>tblExpenses[[#This Row],[m2]]/tblExpenses[[#Totals],[m2]]</f>
        <v>8.2926829268292687E-2</v>
      </c>
      <c r="T35" s="31">
        <f>tblExpenses[[#This Row],[m3]]/tblExpenses[[#Totals],[m3]]</f>
        <v>4.4176706827309238E-2</v>
      </c>
      <c r="U35" s="31">
        <f>tblExpenses[[#This Row],[m4]]/tblExpenses[[#Totals],[m4]]</f>
        <v>4.2145593869731802E-2</v>
      </c>
      <c r="V35" s="31">
        <f>tblExpenses[[#This Row],[m5]]/tblExpenses[[#Totals],[m5]]</f>
        <v>8.171206225680934E-2</v>
      </c>
      <c r="W35" s="31">
        <f>tblExpenses[[#This Row],[m6]]/tblExpenses[[#Totals],[m6]]</f>
        <v>3.2846715328467155E-2</v>
      </c>
      <c r="X35" s="31">
        <f>tblExpenses[[#This Row],[m7]]/tblExpenses[[#Totals],[m7]]</f>
        <v>7.5187969924812026E-2</v>
      </c>
      <c r="Y35" s="31">
        <f>tblExpenses[[#This Row],[m8]]/tblExpenses[[#Totals],[m8]]</f>
        <v>1.276595744680851E-2</v>
      </c>
      <c r="Z35" s="31">
        <f>tblExpenses[[#This Row],[m9]]/tblExpenses[[#Totals],[m9]]</f>
        <v>6.0869565217391307E-2</v>
      </c>
      <c r="AA35" s="31">
        <f>tblExpenses[[#This Row],[m10]]/tblExpenses[[#Totals],[m10]]</f>
        <v>8.4942084942084939E-2</v>
      </c>
      <c r="AB35" s="31">
        <f>tblExpenses[[#This Row],[m11]]/tblExpenses[[#Totals],[m11]]</f>
        <v>5.4054054054054057E-2</v>
      </c>
      <c r="AC35" s="31">
        <f>tblExpenses[[#This Row],[m12]]/tblExpenses[[#Totals],[m12]]</f>
        <v>5.1948051948051951E-2</v>
      </c>
      <c r="AD35" s="32">
        <f>tblExpenses[[#This Row],[Yearly]]/tblExpenses[[#Totals],[Yearly]]</f>
        <v>5.468489496498833E-2</v>
      </c>
    </row>
    <row r="36" spans="1:30" ht="18" customHeight="1" x14ac:dyDescent="0.25">
      <c r="B36" s="19" t="s">
        <v>35</v>
      </c>
      <c r="C36" s="29" t="s">
        <v>46</v>
      </c>
      <c r="D36" s="9">
        <v>5</v>
      </c>
      <c r="E36" s="9">
        <v>13</v>
      </c>
      <c r="F36" s="9">
        <v>6</v>
      </c>
      <c r="G36" s="9">
        <v>15</v>
      </c>
      <c r="H36" s="9">
        <v>19</v>
      </c>
      <c r="I36" s="9">
        <v>10</v>
      </c>
      <c r="J36" s="9">
        <v>12</v>
      </c>
      <c r="K36" s="9">
        <v>9</v>
      </c>
      <c r="L36" s="9">
        <v>15</v>
      </c>
      <c r="M36" s="9">
        <v>16</v>
      </c>
      <c r="N36" s="9">
        <v>4</v>
      </c>
      <c r="O36" s="9">
        <v>9</v>
      </c>
      <c r="P36" s="30">
        <f>SUM(tblExpenses[[#This Row],[m1]:[m12]])</f>
        <v>133</v>
      </c>
      <c r="Q36" s="10">
        <v>0.09</v>
      </c>
      <c r="R36" s="45">
        <f>tblExpenses[[#This Row],[m1]]/tblExpenses[[#Totals],[m1]]</f>
        <v>2.1186440677966101E-2</v>
      </c>
      <c r="S36" s="46">
        <f>tblExpenses[[#This Row],[m2]]/tblExpenses[[#Totals],[m2]]</f>
        <v>6.3414634146341464E-2</v>
      </c>
      <c r="T36" s="46">
        <f>tblExpenses[[#This Row],[m3]]/tblExpenses[[#Totals],[m3]]</f>
        <v>2.4096385542168676E-2</v>
      </c>
      <c r="U36" s="46">
        <f>tblExpenses[[#This Row],[m4]]/tblExpenses[[#Totals],[m4]]</f>
        <v>5.7471264367816091E-2</v>
      </c>
      <c r="V36" s="46">
        <f>tblExpenses[[#This Row],[m5]]/tblExpenses[[#Totals],[m5]]</f>
        <v>7.3929961089494164E-2</v>
      </c>
      <c r="W36" s="46">
        <f>tblExpenses[[#This Row],[m6]]/tblExpenses[[#Totals],[m6]]</f>
        <v>3.6496350364963501E-2</v>
      </c>
      <c r="X36" s="46">
        <f>tblExpenses[[#This Row],[m7]]/tblExpenses[[#Totals],[m7]]</f>
        <v>4.5112781954887216E-2</v>
      </c>
      <c r="Y36" s="46">
        <f>tblExpenses[[#This Row],[m8]]/tblExpenses[[#Totals],[m8]]</f>
        <v>3.8297872340425532E-2</v>
      </c>
      <c r="Z36" s="46">
        <f>tblExpenses[[#This Row],[m9]]/tblExpenses[[#Totals],[m9]]</f>
        <v>6.5217391304347824E-2</v>
      </c>
      <c r="AA36" s="46">
        <f>tblExpenses[[#This Row],[m10]]/tblExpenses[[#Totals],[m10]]</f>
        <v>6.1776061776061778E-2</v>
      </c>
      <c r="AB36" s="46">
        <f>tblExpenses[[#This Row],[m11]]/tblExpenses[[#Totals],[m11]]</f>
        <v>1.3513513513513514E-2</v>
      </c>
      <c r="AC36" s="46">
        <f>tblExpenses[[#This Row],[m12]]/tblExpenses[[#Totals],[m12]]</f>
        <v>3.896103896103896E-2</v>
      </c>
      <c r="AD36" s="47">
        <f>tblExpenses[[#This Row],[Yearly]]/tblExpenses[[#Totals],[Yearly]]</f>
        <v>4.4348116038679559E-2</v>
      </c>
    </row>
    <row r="37" spans="1:30" ht="18" customHeight="1" x14ac:dyDescent="0.25">
      <c r="B37" s="19" t="s">
        <v>36</v>
      </c>
      <c r="C37" s="29" t="s">
        <v>46</v>
      </c>
      <c r="D37" s="9">
        <v>8</v>
      </c>
      <c r="E37" s="9">
        <v>4</v>
      </c>
      <c r="F37" s="9">
        <v>23</v>
      </c>
      <c r="G37" s="9">
        <v>25</v>
      </c>
      <c r="H37" s="9">
        <v>10</v>
      </c>
      <c r="I37" s="9">
        <v>24</v>
      </c>
      <c r="J37" s="9">
        <v>22</v>
      </c>
      <c r="K37" s="9">
        <v>5</v>
      </c>
      <c r="L37" s="9">
        <v>12</v>
      </c>
      <c r="M37" s="9">
        <v>24</v>
      </c>
      <c r="N37" s="9">
        <v>24</v>
      </c>
      <c r="O37" s="9">
        <v>12</v>
      </c>
      <c r="P37" s="30">
        <f>SUM(tblExpenses[[#This Row],[m1]:[m12]])</f>
        <v>193</v>
      </c>
      <c r="Q37" s="10">
        <v>0.01</v>
      </c>
      <c r="R37" s="45">
        <f>tblExpenses[[#This Row],[m1]]/tblExpenses[[#Totals],[m1]]</f>
        <v>3.3898305084745763E-2</v>
      </c>
      <c r="S37" s="46">
        <f>tblExpenses[[#This Row],[m2]]/tblExpenses[[#Totals],[m2]]</f>
        <v>1.9512195121951219E-2</v>
      </c>
      <c r="T37" s="46">
        <f>tblExpenses[[#This Row],[m3]]/tblExpenses[[#Totals],[m3]]</f>
        <v>9.2369477911646583E-2</v>
      </c>
      <c r="U37" s="46">
        <f>tblExpenses[[#This Row],[m4]]/tblExpenses[[#Totals],[m4]]</f>
        <v>9.5785440613026823E-2</v>
      </c>
      <c r="V37" s="46">
        <f>tblExpenses[[#This Row],[m5]]/tblExpenses[[#Totals],[m5]]</f>
        <v>3.8910505836575876E-2</v>
      </c>
      <c r="W37" s="46">
        <f>tblExpenses[[#This Row],[m6]]/tblExpenses[[#Totals],[m6]]</f>
        <v>8.7591240875912413E-2</v>
      </c>
      <c r="X37" s="46">
        <f>tblExpenses[[#This Row],[m7]]/tblExpenses[[#Totals],[m7]]</f>
        <v>8.2706766917293228E-2</v>
      </c>
      <c r="Y37" s="46">
        <f>tblExpenses[[#This Row],[m8]]/tblExpenses[[#Totals],[m8]]</f>
        <v>2.1276595744680851E-2</v>
      </c>
      <c r="Z37" s="46">
        <f>tblExpenses[[#This Row],[m9]]/tblExpenses[[#Totals],[m9]]</f>
        <v>5.2173913043478258E-2</v>
      </c>
      <c r="AA37" s="46">
        <f>tblExpenses[[#This Row],[m10]]/tblExpenses[[#Totals],[m10]]</f>
        <v>9.2664092664092659E-2</v>
      </c>
      <c r="AB37" s="46">
        <f>tblExpenses[[#This Row],[m11]]/tblExpenses[[#Totals],[m11]]</f>
        <v>8.1081081081081086E-2</v>
      </c>
      <c r="AC37" s="46">
        <f>tblExpenses[[#This Row],[m12]]/tblExpenses[[#Totals],[m12]]</f>
        <v>5.1948051948051951E-2</v>
      </c>
      <c r="AD37" s="47">
        <f>tblExpenses[[#This Row],[Yearly]]/tblExpenses[[#Totals],[Yearly]]</f>
        <v>6.4354784928309441E-2</v>
      </c>
    </row>
    <row r="38" spans="1:30" ht="18" customHeight="1" x14ac:dyDescent="0.25">
      <c r="B38" s="19" t="s">
        <v>37</v>
      </c>
      <c r="C38" s="29" t="s">
        <v>46</v>
      </c>
      <c r="D38" s="9">
        <v>25</v>
      </c>
      <c r="E38" s="9">
        <v>2</v>
      </c>
      <c r="F38" s="9">
        <v>12</v>
      </c>
      <c r="G38" s="9">
        <v>25</v>
      </c>
      <c r="H38" s="9">
        <v>10</v>
      </c>
      <c r="I38" s="9">
        <v>24</v>
      </c>
      <c r="J38" s="9">
        <v>3</v>
      </c>
      <c r="K38" s="9">
        <v>20</v>
      </c>
      <c r="L38" s="9">
        <v>3</v>
      </c>
      <c r="M38" s="9">
        <v>9</v>
      </c>
      <c r="N38" s="9">
        <v>20</v>
      </c>
      <c r="O38" s="9">
        <v>18</v>
      </c>
      <c r="P38" s="30">
        <f>SUM(tblExpenses[[#This Row],[m1]:[m12]])</f>
        <v>171</v>
      </c>
      <c r="Q38" s="10">
        <v>0.01</v>
      </c>
      <c r="R38" s="45">
        <f>tblExpenses[[#This Row],[m1]]/tblExpenses[[#Totals],[m1]]</f>
        <v>0.1059322033898305</v>
      </c>
      <c r="S38" s="46">
        <f>tblExpenses[[#This Row],[m2]]/tblExpenses[[#Totals],[m2]]</f>
        <v>9.7560975609756097E-3</v>
      </c>
      <c r="T38" s="46">
        <f>tblExpenses[[#This Row],[m3]]/tblExpenses[[#Totals],[m3]]</f>
        <v>4.8192771084337352E-2</v>
      </c>
      <c r="U38" s="46">
        <f>tblExpenses[[#This Row],[m4]]/tblExpenses[[#Totals],[m4]]</f>
        <v>9.5785440613026823E-2</v>
      </c>
      <c r="V38" s="46">
        <f>tblExpenses[[#This Row],[m5]]/tblExpenses[[#Totals],[m5]]</f>
        <v>3.8910505836575876E-2</v>
      </c>
      <c r="W38" s="46">
        <f>tblExpenses[[#This Row],[m6]]/tblExpenses[[#Totals],[m6]]</f>
        <v>8.7591240875912413E-2</v>
      </c>
      <c r="X38" s="46">
        <f>tblExpenses[[#This Row],[m7]]/tblExpenses[[#Totals],[m7]]</f>
        <v>1.1278195488721804E-2</v>
      </c>
      <c r="Y38" s="46">
        <f>tblExpenses[[#This Row],[m8]]/tblExpenses[[#Totals],[m8]]</f>
        <v>8.5106382978723402E-2</v>
      </c>
      <c r="Z38" s="46">
        <f>tblExpenses[[#This Row],[m9]]/tblExpenses[[#Totals],[m9]]</f>
        <v>1.3043478260869565E-2</v>
      </c>
      <c r="AA38" s="46">
        <f>tblExpenses[[#This Row],[m10]]/tblExpenses[[#Totals],[m10]]</f>
        <v>3.4749034749034749E-2</v>
      </c>
      <c r="AB38" s="46">
        <f>tblExpenses[[#This Row],[m11]]/tblExpenses[[#Totals],[m11]]</f>
        <v>6.7567567567567571E-2</v>
      </c>
      <c r="AC38" s="46">
        <f>tblExpenses[[#This Row],[m12]]/tblExpenses[[#Totals],[m12]]</f>
        <v>7.792207792207792E-2</v>
      </c>
      <c r="AD38" s="47">
        <f>tblExpenses[[#This Row],[Yearly]]/tblExpenses[[#Totals],[Yearly]]</f>
        <v>5.7019006335445148E-2</v>
      </c>
    </row>
    <row r="39" spans="1:30" ht="18" customHeight="1" x14ac:dyDescent="0.25">
      <c r="B39" s="19" t="s">
        <v>38</v>
      </c>
      <c r="C39" s="29" t="s">
        <v>46</v>
      </c>
      <c r="D39" s="9">
        <v>16</v>
      </c>
      <c r="E39" s="9">
        <v>19</v>
      </c>
      <c r="F39" s="9">
        <v>9</v>
      </c>
      <c r="G39" s="9">
        <v>16</v>
      </c>
      <c r="H39" s="9">
        <v>13</v>
      </c>
      <c r="I39" s="9">
        <v>2</v>
      </c>
      <c r="J39" s="9">
        <v>4</v>
      </c>
      <c r="K39" s="9">
        <v>24</v>
      </c>
      <c r="L39" s="9">
        <v>16</v>
      </c>
      <c r="M39" s="9">
        <v>22</v>
      </c>
      <c r="N39" s="9">
        <v>7</v>
      </c>
      <c r="O39" s="9">
        <v>18</v>
      </c>
      <c r="P39" s="30">
        <f>SUM(tblExpenses[[#This Row],[m1]:[m12]])</f>
        <v>166</v>
      </c>
      <c r="Q39" s="10">
        <v>0.01</v>
      </c>
      <c r="R39" s="45">
        <f>tblExpenses[[#This Row],[m1]]/tblExpenses[[#Totals],[m1]]</f>
        <v>6.7796610169491525E-2</v>
      </c>
      <c r="S39" s="46">
        <f>tblExpenses[[#This Row],[m2]]/tblExpenses[[#Totals],[m2]]</f>
        <v>9.2682926829268292E-2</v>
      </c>
      <c r="T39" s="46">
        <f>tblExpenses[[#This Row],[m3]]/tblExpenses[[#Totals],[m3]]</f>
        <v>3.614457831325301E-2</v>
      </c>
      <c r="U39" s="46">
        <f>tblExpenses[[#This Row],[m4]]/tblExpenses[[#Totals],[m4]]</f>
        <v>6.1302681992337162E-2</v>
      </c>
      <c r="V39" s="46">
        <f>tblExpenses[[#This Row],[m5]]/tblExpenses[[#Totals],[m5]]</f>
        <v>5.0583657587548639E-2</v>
      </c>
      <c r="W39" s="46">
        <f>tblExpenses[[#This Row],[m6]]/tblExpenses[[#Totals],[m6]]</f>
        <v>7.2992700729927005E-3</v>
      </c>
      <c r="X39" s="46">
        <f>tblExpenses[[#This Row],[m7]]/tblExpenses[[#Totals],[m7]]</f>
        <v>1.5037593984962405E-2</v>
      </c>
      <c r="Y39" s="46">
        <f>tblExpenses[[#This Row],[m8]]/tblExpenses[[#Totals],[m8]]</f>
        <v>0.10212765957446808</v>
      </c>
      <c r="Z39" s="46">
        <f>tblExpenses[[#This Row],[m9]]/tblExpenses[[#Totals],[m9]]</f>
        <v>6.9565217391304349E-2</v>
      </c>
      <c r="AA39" s="46">
        <f>tblExpenses[[#This Row],[m10]]/tblExpenses[[#Totals],[m10]]</f>
        <v>8.4942084942084939E-2</v>
      </c>
      <c r="AB39" s="46">
        <f>tblExpenses[[#This Row],[m11]]/tblExpenses[[#Totals],[m11]]</f>
        <v>2.364864864864865E-2</v>
      </c>
      <c r="AC39" s="46">
        <f>tblExpenses[[#This Row],[m12]]/tblExpenses[[#Totals],[m12]]</f>
        <v>7.792207792207792E-2</v>
      </c>
      <c r="AD39" s="47">
        <f>tblExpenses[[#This Row],[Yearly]]/tblExpenses[[#Totals],[Yearly]]</f>
        <v>5.5351783927975989E-2</v>
      </c>
    </row>
    <row r="40" spans="1:30" ht="18" customHeight="1" x14ac:dyDescent="0.25">
      <c r="B40" s="19" t="s">
        <v>39</v>
      </c>
      <c r="C40" s="29" t="s">
        <v>46</v>
      </c>
      <c r="D40" s="9">
        <v>12</v>
      </c>
      <c r="E40" s="9">
        <v>9</v>
      </c>
      <c r="F40" s="9">
        <v>16</v>
      </c>
      <c r="G40" s="9">
        <v>19</v>
      </c>
      <c r="H40" s="9">
        <v>25</v>
      </c>
      <c r="I40" s="9">
        <v>17</v>
      </c>
      <c r="J40" s="9">
        <v>20</v>
      </c>
      <c r="K40" s="9">
        <v>14</v>
      </c>
      <c r="L40" s="9">
        <v>5</v>
      </c>
      <c r="M40" s="9">
        <v>14</v>
      </c>
      <c r="N40" s="9">
        <v>5</v>
      </c>
      <c r="O40" s="9">
        <v>2</v>
      </c>
      <c r="P40" s="30">
        <f>SUM(tblExpenses[[#This Row],[m1]:[m12]])</f>
        <v>158</v>
      </c>
      <c r="Q40" s="10">
        <v>0.01</v>
      </c>
      <c r="R40" s="45">
        <f>tblExpenses[[#This Row],[m1]]/tblExpenses[[#Totals],[m1]]</f>
        <v>5.0847457627118647E-2</v>
      </c>
      <c r="S40" s="46">
        <f>tblExpenses[[#This Row],[m2]]/tblExpenses[[#Totals],[m2]]</f>
        <v>4.3902439024390241E-2</v>
      </c>
      <c r="T40" s="46">
        <f>tblExpenses[[#This Row],[m3]]/tblExpenses[[#Totals],[m3]]</f>
        <v>6.4257028112449793E-2</v>
      </c>
      <c r="U40" s="46">
        <f>tblExpenses[[#This Row],[m4]]/tblExpenses[[#Totals],[m4]]</f>
        <v>7.2796934865900387E-2</v>
      </c>
      <c r="V40" s="46">
        <f>tblExpenses[[#This Row],[m5]]/tblExpenses[[#Totals],[m5]]</f>
        <v>9.727626459143969E-2</v>
      </c>
      <c r="W40" s="46">
        <f>tblExpenses[[#This Row],[m6]]/tblExpenses[[#Totals],[m6]]</f>
        <v>6.2043795620437957E-2</v>
      </c>
      <c r="X40" s="46">
        <f>tblExpenses[[#This Row],[m7]]/tblExpenses[[#Totals],[m7]]</f>
        <v>7.5187969924812026E-2</v>
      </c>
      <c r="Y40" s="46">
        <f>tblExpenses[[#This Row],[m8]]/tblExpenses[[#Totals],[m8]]</f>
        <v>5.9574468085106386E-2</v>
      </c>
      <c r="Z40" s="46">
        <f>tblExpenses[[#This Row],[m9]]/tblExpenses[[#Totals],[m9]]</f>
        <v>2.1739130434782608E-2</v>
      </c>
      <c r="AA40" s="46">
        <f>tblExpenses[[#This Row],[m10]]/tblExpenses[[#Totals],[m10]]</f>
        <v>5.4054054054054057E-2</v>
      </c>
      <c r="AB40" s="46">
        <f>tblExpenses[[#This Row],[m11]]/tblExpenses[[#Totals],[m11]]</f>
        <v>1.6891891891891893E-2</v>
      </c>
      <c r="AC40" s="46">
        <f>tblExpenses[[#This Row],[m12]]/tblExpenses[[#Totals],[m12]]</f>
        <v>8.658008658008658E-3</v>
      </c>
      <c r="AD40" s="47">
        <f>tblExpenses[[#This Row],[Yearly]]/tblExpenses[[#Totals],[Yearly]]</f>
        <v>5.2684228076025338E-2</v>
      </c>
    </row>
    <row r="41" spans="1:30" ht="18" customHeight="1" x14ac:dyDescent="0.25">
      <c r="B41" s="19" t="s">
        <v>40</v>
      </c>
      <c r="C41" s="29" t="s">
        <v>46</v>
      </c>
      <c r="D41" s="9">
        <v>16</v>
      </c>
      <c r="E41" s="9">
        <v>13</v>
      </c>
      <c r="F41" s="9">
        <v>10</v>
      </c>
      <c r="G41" s="9">
        <v>7</v>
      </c>
      <c r="H41" s="9">
        <v>13</v>
      </c>
      <c r="I41" s="9">
        <v>3</v>
      </c>
      <c r="J41" s="9">
        <v>13</v>
      </c>
      <c r="K41" s="9">
        <v>17</v>
      </c>
      <c r="L41" s="9">
        <v>9</v>
      </c>
      <c r="M41" s="9">
        <v>4</v>
      </c>
      <c r="N41" s="9">
        <v>22</v>
      </c>
      <c r="O41" s="9">
        <v>18</v>
      </c>
      <c r="P41" s="30">
        <f>SUM(tblExpenses[[#This Row],[m1]:[m12]])</f>
        <v>145</v>
      </c>
      <c r="Q41" s="10">
        <v>0.14000000000000001</v>
      </c>
      <c r="R41" s="45">
        <f>tblExpenses[[#This Row],[m1]]/tblExpenses[[#Totals],[m1]]</f>
        <v>6.7796610169491525E-2</v>
      </c>
      <c r="S41" s="46">
        <f>tblExpenses[[#This Row],[m2]]/tblExpenses[[#Totals],[m2]]</f>
        <v>6.3414634146341464E-2</v>
      </c>
      <c r="T41" s="46">
        <f>tblExpenses[[#This Row],[m3]]/tblExpenses[[#Totals],[m3]]</f>
        <v>4.0160642570281124E-2</v>
      </c>
      <c r="U41" s="46">
        <f>tblExpenses[[#This Row],[m4]]/tblExpenses[[#Totals],[m4]]</f>
        <v>2.681992337164751E-2</v>
      </c>
      <c r="V41" s="46">
        <f>tblExpenses[[#This Row],[m5]]/tblExpenses[[#Totals],[m5]]</f>
        <v>5.0583657587548639E-2</v>
      </c>
      <c r="W41" s="46">
        <f>tblExpenses[[#This Row],[m6]]/tblExpenses[[#Totals],[m6]]</f>
        <v>1.0948905109489052E-2</v>
      </c>
      <c r="X41" s="46">
        <f>tblExpenses[[#This Row],[m7]]/tblExpenses[[#Totals],[m7]]</f>
        <v>4.8872180451127817E-2</v>
      </c>
      <c r="Y41" s="46">
        <f>tblExpenses[[#This Row],[m8]]/tblExpenses[[#Totals],[m8]]</f>
        <v>7.2340425531914887E-2</v>
      </c>
      <c r="Z41" s="46">
        <f>tblExpenses[[#This Row],[m9]]/tblExpenses[[#Totals],[m9]]</f>
        <v>3.9130434782608699E-2</v>
      </c>
      <c r="AA41" s="46">
        <f>tblExpenses[[#This Row],[m10]]/tblExpenses[[#Totals],[m10]]</f>
        <v>1.5444015444015444E-2</v>
      </c>
      <c r="AB41" s="46">
        <f>tblExpenses[[#This Row],[m11]]/tblExpenses[[#Totals],[m11]]</f>
        <v>7.4324324324324328E-2</v>
      </c>
      <c r="AC41" s="46">
        <f>tblExpenses[[#This Row],[m12]]/tblExpenses[[#Totals],[m12]]</f>
        <v>7.792207792207792E-2</v>
      </c>
      <c r="AD41" s="47">
        <f>tblExpenses[[#This Row],[Yearly]]/tblExpenses[[#Totals],[Yearly]]</f>
        <v>4.8349449816605536E-2</v>
      </c>
    </row>
    <row r="42" spans="1:30" ht="18" customHeight="1" x14ac:dyDescent="0.25">
      <c r="B42" s="19" t="s">
        <v>41</v>
      </c>
      <c r="C42" s="29" t="s">
        <v>46</v>
      </c>
      <c r="D42" s="9">
        <v>3</v>
      </c>
      <c r="E42" s="9">
        <v>2</v>
      </c>
      <c r="F42" s="9">
        <v>19</v>
      </c>
      <c r="G42" s="9">
        <v>21</v>
      </c>
      <c r="H42" s="9">
        <v>13</v>
      </c>
      <c r="I42" s="9">
        <v>9</v>
      </c>
      <c r="J42" s="9">
        <v>7</v>
      </c>
      <c r="K42" s="9">
        <v>13</v>
      </c>
      <c r="L42" s="9">
        <v>3</v>
      </c>
      <c r="M42" s="9">
        <v>6</v>
      </c>
      <c r="N42" s="9">
        <v>10</v>
      </c>
      <c r="O42" s="9">
        <v>13</v>
      </c>
      <c r="P42" s="30">
        <f>SUM(tblExpenses[[#This Row],[m1]:[m12]])</f>
        <v>119</v>
      </c>
      <c r="Q42" s="10">
        <v>0.06</v>
      </c>
      <c r="R42" s="45">
        <f>tblExpenses[[#This Row],[m1]]/tblExpenses[[#Totals],[m1]]</f>
        <v>1.2711864406779662E-2</v>
      </c>
      <c r="S42" s="46">
        <f>tblExpenses[[#This Row],[m2]]/tblExpenses[[#Totals],[m2]]</f>
        <v>9.7560975609756097E-3</v>
      </c>
      <c r="T42" s="46">
        <f>tblExpenses[[#This Row],[m3]]/tblExpenses[[#Totals],[m3]]</f>
        <v>7.6305220883534142E-2</v>
      </c>
      <c r="U42" s="46">
        <f>tblExpenses[[#This Row],[m4]]/tblExpenses[[#Totals],[m4]]</f>
        <v>8.0459770114942528E-2</v>
      </c>
      <c r="V42" s="46">
        <f>tblExpenses[[#This Row],[m5]]/tblExpenses[[#Totals],[m5]]</f>
        <v>5.0583657587548639E-2</v>
      </c>
      <c r="W42" s="46">
        <f>tblExpenses[[#This Row],[m6]]/tblExpenses[[#Totals],[m6]]</f>
        <v>3.2846715328467155E-2</v>
      </c>
      <c r="X42" s="46">
        <f>tblExpenses[[#This Row],[m7]]/tblExpenses[[#Totals],[m7]]</f>
        <v>2.6315789473684209E-2</v>
      </c>
      <c r="Y42" s="46">
        <f>tblExpenses[[#This Row],[m8]]/tblExpenses[[#Totals],[m8]]</f>
        <v>5.5319148936170209E-2</v>
      </c>
      <c r="Z42" s="46">
        <f>tblExpenses[[#This Row],[m9]]/tblExpenses[[#Totals],[m9]]</f>
        <v>1.3043478260869565E-2</v>
      </c>
      <c r="AA42" s="46">
        <f>tblExpenses[[#This Row],[m10]]/tblExpenses[[#Totals],[m10]]</f>
        <v>2.3166023166023165E-2</v>
      </c>
      <c r="AB42" s="46">
        <f>tblExpenses[[#This Row],[m11]]/tblExpenses[[#Totals],[m11]]</f>
        <v>3.3783783783783786E-2</v>
      </c>
      <c r="AC42" s="46">
        <f>tblExpenses[[#This Row],[m12]]/tblExpenses[[#Totals],[m12]]</f>
        <v>5.627705627705628E-2</v>
      </c>
      <c r="AD42" s="47">
        <f>tblExpenses[[#This Row],[Yearly]]/tblExpenses[[#Totals],[Yearly]]</f>
        <v>3.9679893297765924E-2</v>
      </c>
    </row>
    <row r="43" spans="1:30" ht="18" customHeight="1" x14ac:dyDescent="0.25">
      <c r="B43" s="19" t="s">
        <v>42</v>
      </c>
      <c r="C43" s="29" t="s">
        <v>46</v>
      </c>
      <c r="D43" s="9">
        <v>8</v>
      </c>
      <c r="E43" s="9">
        <v>7</v>
      </c>
      <c r="F43" s="9">
        <v>6</v>
      </c>
      <c r="G43" s="9">
        <v>7</v>
      </c>
      <c r="H43" s="9">
        <v>7</v>
      </c>
      <c r="I43" s="9">
        <v>6</v>
      </c>
      <c r="J43" s="9">
        <v>15</v>
      </c>
      <c r="K43" s="9">
        <v>23</v>
      </c>
      <c r="L43" s="9">
        <v>21</v>
      </c>
      <c r="M43" s="9">
        <v>16</v>
      </c>
      <c r="N43" s="9">
        <v>19</v>
      </c>
      <c r="O43" s="9">
        <v>7</v>
      </c>
      <c r="P43" s="30">
        <f>SUM(tblExpenses[[#This Row],[m1]:[m12]])</f>
        <v>142</v>
      </c>
      <c r="Q43" s="10">
        <v>0.01</v>
      </c>
      <c r="R43" s="45">
        <f>tblExpenses[[#This Row],[m1]]/tblExpenses[[#Totals],[m1]]</f>
        <v>3.3898305084745763E-2</v>
      </c>
      <c r="S43" s="46">
        <f>tblExpenses[[#This Row],[m2]]/tblExpenses[[#Totals],[m2]]</f>
        <v>3.4146341463414637E-2</v>
      </c>
      <c r="T43" s="46">
        <f>tblExpenses[[#This Row],[m3]]/tblExpenses[[#Totals],[m3]]</f>
        <v>2.4096385542168676E-2</v>
      </c>
      <c r="U43" s="46">
        <f>tblExpenses[[#This Row],[m4]]/tblExpenses[[#Totals],[m4]]</f>
        <v>2.681992337164751E-2</v>
      </c>
      <c r="V43" s="46">
        <f>tblExpenses[[#This Row],[m5]]/tblExpenses[[#Totals],[m5]]</f>
        <v>2.7237354085603113E-2</v>
      </c>
      <c r="W43" s="46">
        <f>tblExpenses[[#This Row],[m6]]/tblExpenses[[#Totals],[m6]]</f>
        <v>2.1897810218978103E-2</v>
      </c>
      <c r="X43" s="46">
        <f>tblExpenses[[#This Row],[m7]]/tblExpenses[[#Totals],[m7]]</f>
        <v>5.6390977443609019E-2</v>
      </c>
      <c r="Y43" s="46">
        <f>tblExpenses[[#This Row],[m8]]/tblExpenses[[#Totals],[m8]]</f>
        <v>9.7872340425531917E-2</v>
      </c>
      <c r="Z43" s="46">
        <f>tblExpenses[[#This Row],[m9]]/tblExpenses[[#Totals],[m9]]</f>
        <v>9.1304347826086957E-2</v>
      </c>
      <c r="AA43" s="46">
        <f>tblExpenses[[#This Row],[m10]]/tblExpenses[[#Totals],[m10]]</f>
        <v>6.1776061776061778E-2</v>
      </c>
      <c r="AB43" s="46">
        <f>tblExpenses[[#This Row],[m11]]/tblExpenses[[#Totals],[m11]]</f>
        <v>6.4189189189189186E-2</v>
      </c>
      <c r="AC43" s="46">
        <f>tblExpenses[[#This Row],[m12]]/tblExpenses[[#Totals],[m12]]</f>
        <v>3.0303030303030304E-2</v>
      </c>
      <c r="AD43" s="47">
        <f>tblExpenses[[#This Row],[Yearly]]/tblExpenses[[#Totals],[Yearly]]</f>
        <v>4.7349116372124044E-2</v>
      </c>
    </row>
    <row r="44" spans="1:30" ht="18" customHeight="1" x14ac:dyDescent="0.25">
      <c r="B44" s="19" t="s">
        <v>43</v>
      </c>
      <c r="C44" s="29" t="s">
        <v>46</v>
      </c>
      <c r="D44" s="9">
        <v>14</v>
      </c>
      <c r="E44" s="9">
        <v>4</v>
      </c>
      <c r="F44" s="9">
        <v>24</v>
      </c>
      <c r="G44" s="9">
        <v>6</v>
      </c>
      <c r="H44" s="9">
        <v>20</v>
      </c>
      <c r="I44" s="9">
        <v>14</v>
      </c>
      <c r="J44" s="9">
        <v>21</v>
      </c>
      <c r="K44" s="9">
        <v>20</v>
      </c>
      <c r="L44" s="9">
        <v>22</v>
      </c>
      <c r="M44" s="9">
        <v>3</v>
      </c>
      <c r="N44" s="9">
        <v>14</v>
      </c>
      <c r="O44" s="9">
        <v>6</v>
      </c>
      <c r="P44" s="30">
        <f>SUM(tblExpenses[[#This Row],[m1]:[m12]])</f>
        <v>168</v>
      </c>
      <c r="Q44" s="10">
        <v>0.01</v>
      </c>
      <c r="R44" s="45">
        <f>tblExpenses[[#This Row],[m1]]/tblExpenses[[#Totals],[m1]]</f>
        <v>5.9322033898305086E-2</v>
      </c>
      <c r="S44" s="46">
        <f>tblExpenses[[#This Row],[m2]]/tblExpenses[[#Totals],[m2]]</f>
        <v>1.9512195121951219E-2</v>
      </c>
      <c r="T44" s="46">
        <f>tblExpenses[[#This Row],[m3]]/tblExpenses[[#Totals],[m3]]</f>
        <v>9.6385542168674704E-2</v>
      </c>
      <c r="U44" s="46">
        <f>tblExpenses[[#This Row],[m4]]/tblExpenses[[#Totals],[m4]]</f>
        <v>2.2988505747126436E-2</v>
      </c>
      <c r="V44" s="46">
        <f>tblExpenses[[#This Row],[m5]]/tblExpenses[[#Totals],[m5]]</f>
        <v>7.7821011673151752E-2</v>
      </c>
      <c r="W44" s="46">
        <f>tblExpenses[[#This Row],[m6]]/tblExpenses[[#Totals],[m6]]</f>
        <v>5.1094890510948905E-2</v>
      </c>
      <c r="X44" s="46">
        <f>tblExpenses[[#This Row],[m7]]/tblExpenses[[#Totals],[m7]]</f>
        <v>7.8947368421052627E-2</v>
      </c>
      <c r="Y44" s="46">
        <f>tblExpenses[[#This Row],[m8]]/tblExpenses[[#Totals],[m8]]</f>
        <v>8.5106382978723402E-2</v>
      </c>
      <c r="Z44" s="46">
        <f>tblExpenses[[#This Row],[m9]]/tblExpenses[[#Totals],[m9]]</f>
        <v>9.5652173913043481E-2</v>
      </c>
      <c r="AA44" s="46">
        <f>tblExpenses[[#This Row],[m10]]/tblExpenses[[#Totals],[m10]]</f>
        <v>1.1583011583011582E-2</v>
      </c>
      <c r="AB44" s="46">
        <f>tblExpenses[[#This Row],[m11]]/tblExpenses[[#Totals],[m11]]</f>
        <v>4.72972972972973E-2</v>
      </c>
      <c r="AC44" s="46">
        <f>tblExpenses[[#This Row],[m12]]/tblExpenses[[#Totals],[m12]]</f>
        <v>2.5974025974025976E-2</v>
      </c>
      <c r="AD44" s="47">
        <f>tblExpenses[[#This Row],[Yearly]]/tblExpenses[[#Totals],[Yearly]]</f>
        <v>5.6018672890963656E-2</v>
      </c>
    </row>
    <row r="45" spans="1:30" ht="18" customHeight="1" x14ac:dyDescent="0.25">
      <c r="B45" s="19" t="s">
        <v>43</v>
      </c>
      <c r="C45" s="29" t="s">
        <v>46</v>
      </c>
      <c r="D45" s="9">
        <v>14</v>
      </c>
      <c r="E45" s="9">
        <v>7</v>
      </c>
      <c r="F45" s="9">
        <v>24</v>
      </c>
      <c r="G45" s="9">
        <v>10</v>
      </c>
      <c r="H45" s="9">
        <v>7</v>
      </c>
      <c r="I45" s="9">
        <v>24</v>
      </c>
      <c r="J45" s="9">
        <v>2</v>
      </c>
      <c r="K45" s="9">
        <v>11</v>
      </c>
      <c r="L45" s="9">
        <v>21</v>
      </c>
      <c r="M45" s="9">
        <v>19</v>
      </c>
      <c r="N45" s="9">
        <v>19</v>
      </c>
      <c r="O45" s="9">
        <v>20</v>
      </c>
      <c r="P45" s="30">
        <f>SUM(tblExpenses[[#This Row],[m1]:[m12]])</f>
        <v>178</v>
      </c>
      <c r="Q45" s="10">
        <v>0.01</v>
      </c>
      <c r="R45" s="45">
        <f>tblExpenses[[#This Row],[m1]]/tblExpenses[[#Totals],[m1]]</f>
        <v>5.9322033898305086E-2</v>
      </c>
      <c r="S45" s="46">
        <f>tblExpenses[[#This Row],[m2]]/tblExpenses[[#Totals],[m2]]</f>
        <v>3.4146341463414637E-2</v>
      </c>
      <c r="T45" s="46">
        <f>tblExpenses[[#This Row],[m3]]/tblExpenses[[#Totals],[m3]]</f>
        <v>9.6385542168674704E-2</v>
      </c>
      <c r="U45" s="46">
        <f>tblExpenses[[#This Row],[m4]]/tblExpenses[[#Totals],[m4]]</f>
        <v>3.8314176245210725E-2</v>
      </c>
      <c r="V45" s="46">
        <f>tblExpenses[[#This Row],[m5]]/tblExpenses[[#Totals],[m5]]</f>
        <v>2.7237354085603113E-2</v>
      </c>
      <c r="W45" s="46">
        <f>tblExpenses[[#This Row],[m6]]/tblExpenses[[#Totals],[m6]]</f>
        <v>8.7591240875912413E-2</v>
      </c>
      <c r="X45" s="46">
        <f>tblExpenses[[#This Row],[m7]]/tblExpenses[[#Totals],[m7]]</f>
        <v>7.5187969924812026E-3</v>
      </c>
      <c r="Y45" s="46">
        <f>tblExpenses[[#This Row],[m8]]/tblExpenses[[#Totals],[m8]]</f>
        <v>4.6808510638297871E-2</v>
      </c>
      <c r="Z45" s="46">
        <f>tblExpenses[[#This Row],[m9]]/tblExpenses[[#Totals],[m9]]</f>
        <v>9.1304347826086957E-2</v>
      </c>
      <c r="AA45" s="46">
        <f>tblExpenses[[#This Row],[m10]]/tblExpenses[[#Totals],[m10]]</f>
        <v>7.3359073359073365E-2</v>
      </c>
      <c r="AB45" s="46">
        <f>tblExpenses[[#This Row],[m11]]/tblExpenses[[#Totals],[m11]]</f>
        <v>6.4189189189189186E-2</v>
      </c>
      <c r="AC45" s="46">
        <f>tblExpenses[[#This Row],[m12]]/tblExpenses[[#Totals],[m12]]</f>
        <v>8.6580086580086577E-2</v>
      </c>
      <c r="AD45" s="47">
        <f>tblExpenses[[#This Row],[Yearly]]/tblExpenses[[#Totals],[Yearly]]</f>
        <v>5.9353117705901966E-2</v>
      </c>
    </row>
    <row r="46" spans="1:30" ht="18" customHeight="1" x14ac:dyDescent="0.25">
      <c r="A46" s="1"/>
      <c r="B46" s="19" t="s">
        <v>43</v>
      </c>
      <c r="C46" s="29" t="s">
        <v>46</v>
      </c>
      <c r="D46" s="9">
        <v>11</v>
      </c>
      <c r="E46" s="9">
        <v>8</v>
      </c>
      <c r="F46" s="9">
        <v>25</v>
      </c>
      <c r="G46" s="9">
        <v>11</v>
      </c>
      <c r="H46" s="9">
        <v>9</v>
      </c>
      <c r="I46" s="9">
        <v>24</v>
      </c>
      <c r="J46" s="9">
        <v>13</v>
      </c>
      <c r="K46" s="9">
        <v>14</v>
      </c>
      <c r="L46" s="9">
        <v>19</v>
      </c>
      <c r="M46" s="9">
        <v>24</v>
      </c>
      <c r="N46" s="9">
        <v>15</v>
      </c>
      <c r="O46" s="9">
        <v>7</v>
      </c>
      <c r="P46" s="30">
        <f>SUM(tblExpenses[[#This Row],[m1]:[m12]])</f>
        <v>180</v>
      </c>
      <c r="Q46" s="10">
        <v>0.01</v>
      </c>
      <c r="R46" s="45">
        <f>tblExpenses[[#This Row],[m1]]/tblExpenses[[#Totals],[m1]]</f>
        <v>4.6610169491525424E-2</v>
      </c>
      <c r="S46" s="46">
        <f>tblExpenses[[#This Row],[m2]]/tblExpenses[[#Totals],[m2]]</f>
        <v>3.9024390243902439E-2</v>
      </c>
      <c r="T46" s="46">
        <f>tblExpenses[[#This Row],[m3]]/tblExpenses[[#Totals],[m3]]</f>
        <v>0.10040160642570281</v>
      </c>
      <c r="U46" s="46">
        <f>tblExpenses[[#This Row],[m4]]/tblExpenses[[#Totals],[m4]]</f>
        <v>4.2145593869731802E-2</v>
      </c>
      <c r="V46" s="46">
        <f>tblExpenses[[#This Row],[m5]]/tblExpenses[[#Totals],[m5]]</f>
        <v>3.5019455252918288E-2</v>
      </c>
      <c r="W46" s="46">
        <f>tblExpenses[[#This Row],[m6]]/tblExpenses[[#Totals],[m6]]</f>
        <v>8.7591240875912413E-2</v>
      </c>
      <c r="X46" s="46">
        <f>tblExpenses[[#This Row],[m7]]/tblExpenses[[#Totals],[m7]]</f>
        <v>4.8872180451127817E-2</v>
      </c>
      <c r="Y46" s="46">
        <f>tblExpenses[[#This Row],[m8]]/tblExpenses[[#Totals],[m8]]</f>
        <v>5.9574468085106386E-2</v>
      </c>
      <c r="Z46" s="46">
        <f>tblExpenses[[#This Row],[m9]]/tblExpenses[[#Totals],[m9]]</f>
        <v>8.2608695652173908E-2</v>
      </c>
      <c r="AA46" s="46">
        <f>tblExpenses[[#This Row],[m10]]/tblExpenses[[#Totals],[m10]]</f>
        <v>9.2664092664092659E-2</v>
      </c>
      <c r="AB46" s="46">
        <f>tblExpenses[[#This Row],[m11]]/tblExpenses[[#Totals],[m11]]</f>
        <v>5.0675675675675678E-2</v>
      </c>
      <c r="AC46" s="46">
        <f>tblExpenses[[#This Row],[m12]]/tblExpenses[[#Totals],[m12]]</f>
        <v>3.0303030303030304E-2</v>
      </c>
      <c r="AD46" s="47">
        <f>tblExpenses[[#This Row],[Yearly]]/tblExpenses[[#Totals],[Yearly]]</f>
        <v>6.0020006668889632E-2</v>
      </c>
    </row>
    <row r="47" spans="1:30" ht="18" customHeight="1" x14ac:dyDescent="0.25">
      <c r="A47" s="21"/>
      <c r="B47" s="19" t="s">
        <v>44</v>
      </c>
      <c r="C47" s="29" t="s">
        <v>46</v>
      </c>
      <c r="D47" s="9">
        <v>8</v>
      </c>
      <c r="E47" s="9">
        <v>20</v>
      </c>
      <c r="F47" s="9">
        <v>11</v>
      </c>
      <c r="G47" s="9">
        <v>11</v>
      </c>
      <c r="H47" s="9">
        <v>11</v>
      </c>
      <c r="I47" s="9">
        <v>20</v>
      </c>
      <c r="J47" s="9">
        <v>12</v>
      </c>
      <c r="K47" s="9">
        <v>16</v>
      </c>
      <c r="L47" s="9">
        <v>5</v>
      </c>
      <c r="M47" s="9">
        <v>7</v>
      </c>
      <c r="N47" s="9">
        <v>21</v>
      </c>
      <c r="O47" s="9">
        <v>3</v>
      </c>
      <c r="P47" s="30">
        <f>SUM(tblExpenses[[#This Row],[m1]:[m12]])</f>
        <v>145</v>
      </c>
      <c r="Q47" s="10">
        <v>0.02</v>
      </c>
      <c r="R47" s="45">
        <f>tblExpenses[[#This Row],[m1]]/tblExpenses[[#Totals],[m1]]</f>
        <v>3.3898305084745763E-2</v>
      </c>
      <c r="S47" s="46">
        <f>tblExpenses[[#This Row],[m2]]/tblExpenses[[#Totals],[m2]]</f>
        <v>9.7560975609756101E-2</v>
      </c>
      <c r="T47" s="46">
        <f>tblExpenses[[#This Row],[m3]]/tblExpenses[[#Totals],[m3]]</f>
        <v>4.4176706827309238E-2</v>
      </c>
      <c r="U47" s="46">
        <f>tblExpenses[[#This Row],[m4]]/tblExpenses[[#Totals],[m4]]</f>
        <v>4.2145593869731802E-2</v>
      </c>
      <c r="V47" s="46">
        <f>tblExpenses[[#This Row],[m5]]/tblExpenses[[#Totals],[m5]]</f>
        <v>4.2801556420233464E-2</v>
      </c>
      <c r="W47" s="46">
        <f>tblExpenses[[#This Row],[m6]]/tblExpenses[[#Totals],[m6]]</f>
        <v>7.2992700729927001E-2</v>
      </c>
      <c r="X47" s="46">
        <f>tblExpenses[[#This Row],[m7]]/tblExpenses[[#Totals],[m7]]</f>
        <v>4.5112781954887216E-2</v>
      </c>
      <c r="Y47" s="46">
        <f>tblExpenses[[#This Row],[m8]]/tblExpenses[[#Totals],[m8]]</f>
        <v>6.8085106382978725E-2</v>
      </c>
      <c r="Z47" s="46">
        <f>tblExpenses[[#This Row],[m9]]/tblExpenses[[#Totals],[m9]]</f>
        <v>2.1739130434782608E-2</v>
      </c>
      <c r="AA47" s="46">
        <f>tblExpenses[[#This Row],[m10]]/tblExpenses[[#Totals],[m10]]</f>
        <v>2.7027027027027029E-2</v>
      </c>
      <c r="AB47" s="46">
        <f>tblExpenses[[#This Row],[m11]]/tblExpenses[[#Totals],[m11]]</f>
        <v>7.0945945945945943E-2</v>
      </c>
      <c r="AC47" s="46">
        <f>tblExpenses[[#This Row],[m12]]/tblExpenses[[#Totals],[m12]]</f>
        <v>1.2987012987012988E-2</v>
      </c>
      <c r="AD47" s="47">
        <f>tblExpenses[[#This Row],[Yearly]]/tblExpenses[[#Totals],[Yearly]]</f>
        <v>4.8349449816605536E-2</v>
      </c>
    </row>
    <row r="48" spans="1:30" ht="18" customHeight="1" x14ac:dyDescent="0.25">
      <c r="B48" s="59" t="s">
        <v>55</v>
      </c>
      <c r="C48" s="60" t="s">
        <v>46</v>
      </c>
      <c r="D48" s="56">
        <f>SUBTOTAL(109,tblExpenses[m1])</f>
        <v>236</v>
      </c>
      <c r="E48" s="56">
        <f>SUBTOTAL(109,tblExpenses[m2])</f>
        <v>205</v>
      </c>
      <c r="F48" s="56">
        <f>SUBTOTAL(109,tblExpenses[m3])</f>
        <v>249</v>
      </c>
      <c r="G48" s="56">
        <f>SUBTOTAL(109,tblExpenses[m4])</f>
        <v>261</v>
      </c>
      <c r="H48" s="56">
        <f>SUBTOTAL(109,tblExpenses[m5])</f>
        <v>257</v>
      </c>
      <c r="I48" s="56">
        <f>SUBTOTAL(109,tblExpenses[m6])</f>
        <v>274</v>
      </c>
      <c r="J48" s="56">
        <f>SUBTOTAL(109,tblExpenses[m7])</f>
        <v>266</v>
      </c>
      <c r="K48" s="56">
        <f>SUBTOTAL(109,tblExpenses[m8])</f>
        <v>235</v>
      </c>
      <c r="L48" s="56">
        <f>SUBTOTAL(109,tblExpenses[m9])</f>
        <v>230</v>
      </c>
      <c r="M48" s="56">
        <f>SUBTOTAL(109,tblExpenses[m10])</f>
        <v>259</v>
      </c>
      <c r="N48" s="56">
        <f>SUBTOTAL(109,tblExpenses[m11])</f>
        <v>296</v>
      </c>
      <c r="O48" s="56">
        <f>SUBTOTAL(109,tblExpenses[m12])</f>
        <v>231</v>
      </c>
      <c r="P48" s="56">
        <f>SUBTOTAL(109,tblExpenses[Yearly])</f>
        <v>2999</v>
      </c>
      <c r="Q48" s="61">
        <f>SUBTOTAL(109,tblExpenses[Ind %])</f>
        <v>1</v>
      </c>
      <c r="R48" s="61">
        <f>SUBTOTAL(109,tblExpenses[% m1])</f>
        <v>1</v>
      </c>
      <c r="S48" s="61">
        <f>SUBTOTAL(109,tblExpenses[% m2])</f>
        <v>1.0000000000000002</v>
      </c>
      <c r="T48" s="61">
        <f>SUBTOTAL(109,tblExpenses[% m3])</f>
        <v>1.0000000000000002</v>
      </c>
      <c r="U48" s="61">
        <f>SUBTOTAL(109,tblExpenses[% m4])</f>
        <v>1</v>
      </c>
      <c r="V48" s="61">
        <f>SUBTOTAL(109,tblExpenses[% m5])</f>
        <v>1.0000000000000002</v>
      </c>
      <c r="W48" s="61">
        <f>SUBTOTAL(109,tblExpenses[% m6])</f>
        <v>1</v>
      </c>
      <c r="X48" s="61">
        <f>SUBTOTAL(109,tblExpenses[% m7])</f>
        <v>1</v>
      </c>
      <c r="Y48" s="61">
        <f>SUBTOTAL(109,tblExpenses[% m8])</f>
        <v>0.99999999999999989</v>
      </c>
      <c r="Z48" s="61">
        <f>SUBTOTAL(109,tblExpenses[% m9])</f>
        <v>1</v>
      </c>
      <c r="AA48" s="61">
        <f>SUBTOTAL(109,tblExpenses[% m10])</f>
        <v>1</v>
      </c>
      <c r="AB48" s="61">
        <f>SUBTOTAL(109,tblExpenses[% m11])</f>
        <v>0.99999999999999989</v>
      </c>
      <c r="AC48" s="61">
        <f>SUBTOTAL(109,tblExpenses[% m12])</f>
        <v>1</v>
      </c>
      <c r="AD48" s="61">
        <f>SUBTOTAL(109,tblExpenses[% y])</f>
        <v>0.99999999999999989</v>
      </c>
    </row>
    <row r="49" spans="2:30" ht="18" customHeight="1" x14ac:dyDescent="0.25"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</row>
    <row r="50" spans="2:30" ht="18" customHeight="1" x14ac:dyDescent="0.25">
      <c r="B50" s="18" t="s">
        <v>45</v>
      </c>
      <c r="C50" s="14"/>
      <c r="D50" s="15">
        <f>D26-tblExpenses[[#Totals],[m1]]</f>
        <v>123</v>
      </c>
      <c r="E50" s="15">
        <f>E26-tblExpenses[[#Totals],[m2]]</f>
        <v>175</v>
      </c>
      <c r="F50" s="15">
        <f>F26-tblExpenses[[#Totals],[m3]]</f>
        <v>256</v>
      </c>
      <c r="G50" s="15">
        <f>G26-tblExpenses[[#Totals],[m4]]</f>
        <v>109</v>
      </c>
      <c r="H50" s="15">
        <f>H26-tblExpenses[[#Totals],[m5]]</f>
        <v>156</v>
      </c>
      <c r="I50" s="15">
        <f>I26-tblExpenses[[#Totals],[m6]]</f>
        <v>-8</v>
      </c>
      <c r="J50" s="15">
        <f>J26-tblExpenses[[#Totals],[m7]]</f>
        <v>32</v>
      </c>
      <c r="K50" s="15">
        <f>K26-tblExpenses[[#Totals],[m8]]</f>
        <v>214</v>
      </c>
      <c r="L50" s="15">
        <f>L26-tblExpenses[[#Totals],[m9]]</f>
        <v>100</v>
      </c>
      <c r="M50" s="15">
        <f>M26-tblExpenses[[#Totals],[m10]]</f>
        <v>148</v>
      </c>
      <c r="N50" s="15">
        <f>N26-tblExpenses[[#Totals],[m11]]</f>
        <v>179</v>
      </c>
      <c r="O50" s="15">
        <f>O26-tblExpenses[[#Totals],[m12]]</f>
        <v>359</v>
      </c>
      <c r="P50" s="15">
        <f>SUM(D50:O50)</f>
        <v>1843</v>
      </c>
      <c r="Q50" s="16"/>
      <c r="R50" s="17">
        <f>D50/$P$50</f>
        <v>6.6739012479652735E-2</v>
      </c>
      <c r="S50" s="17">
        <f t="shared" ref="S50:AD50" si="2">E50/$P$50</f>
        <v>9.4953879544221381E-2</v>
      </c>
      <c r="T50" s="17">
        <f t="shared" si="2"/>
        <v>0.13890396093326099</v>
      </c>
      <c r="U50" s="17">
        <f t="shared" si="2"/>
        <v>5.9142702116115033E-2</v>
      </c>
      <c r="V50" s="17">
        <f t="shared" si="2"/>
        <v>8.4644601193705912E-2</v>
      </c>
      <c r="W50" s="17">
        <f t="shared" si="2"/>
        <v>-4.3407487791644059E-3</v>
      </c>
      <c r="X50" s="17">
        <f t="shared" si="2"/>
        <v>1.7362995116657624E-2</v>
      </c>
      <c r="Y50" s="17">
        <f t="shared" si="2"/>
        <v>0.11611502984264786</v>
      </c>
      <c r="Z50" s="17">
        <f t="shared" si="2"/>
        <v>5.425935973955507E-2</v>
      </c>
      <c r="AA50" s="17">
        <f t="shared" si="2"/>
        <v>8.0303852414541507E-2</v>
      </c>
      <c r="AB50" s="17">
        <f t="shared" si="2"/>
        <v>9.7124253933803584E-2</v>
      </c>
      <c r="AC50" s="17">
        <f t="shared" si="2"/>
        <v>0.19479110146500273</v>
      </c>
      <c r="AD50" s="17">
        <f t="shared" si="2"/>
        <v>1</v>
      </c>
    </row>
  </sheetData>
  <mergeCells count="4">
    <mergeCell ref="P1:AD1"/>
    <mergeCell ref="B15:AD15"/>
    <mergeCell ref="B25:AD25"/>
    <mergeCell ref="B49:AD49"/>
  </mergeCells>
  <dataValidations count="2">
    <dataValidation type="list" errorStyle="information" allowBlank="1" showInputMessage="1" showErrorMessage="1" errorTitle="Unknown Month" error="Please select a month from the drop down list." sqref="AC2">
      <formula1>"JAN,FEB,MAR,APR,MAY,JUN,JUL,AUG,SEP,OCT,NOV,DEC"</formula1>
    </dataValidation>
    <dataValidation type="list" errorStyle="information" allowBlank="1" showInputMessage="1" errorTitle="Unknown Year" error="Please select a year from the drop down list. To add or remove a year from the list, on the Data tab, in the Data Tools group, click Data Validation." sqref="AD2">
      <formula1>"2010,2011,2012,2013,2014,2015,2016,2017,2018,2019,2020"</formula1>
    </dataValidation>
  </dataValidations>
  <printOptions horizontalCentered="1"/>
  <pageMargins left="0.25" right="0.25" top="0.75" bottom="0.75" header="0.3" footer="0.3"/>
  <pageSetup fitToHeight="0" orientation="landscape" r:id="rId1"/>
  <tableParts count="3">
    <tablePart r:id="rId2"/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'Profit Loss Statement'!$D$7:$O$7</xm:f>
              <xm:sqref>C7</xm:sqref>
            </x14:sparkline>
            <x14:sparkline>
              <xm:f>'Profit Loss Statement'!$D$8:$O$8</xm:f>
              <xm:sqref>C8</xm:sqref>
            </x14:sparkline>
            <x14:sparkline>
              <xm:f>'Profit Loss Statement'!$D$9:$O$9</xm:f>
              <xm:sqref>C9</xm:sqref>
            </x14:sparkline>
            <x14:sparkline>
              <xm:f>'Profit Loss Statement'!$D$10:$O$10</xm:f>
              <xm:sqref>C10</xm:sqref>
            </x14:sparkline>
            <x14:sparkline>
              <xm:f>'Profit Loss Statement'!$D$11:$O$11</xm:f>
              <xm:sqref>C11</xm:sqref>
            </x14:sparkline>
            <x14:sparkline>
              <xm:f>'Profit Loss Statement'!$D$12:$O$12</xm:f>
              <xm:sqref>C12</xm:sqref>
            </x14:sparkline>
            <x14:sparkline>
              <xm:f>'Profit Loss Statement'!$D$13:$O$13</xm:f>
              <xm:sqref>C13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'Profit Loss Statement'!D48:O48</xm:f>
              <xm:sqref>C48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'Profit Loss Statement'!D14:O14</xm:f>
              <xm:sqref>C14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'Profit Loss Statement'!D29:O29</xm:f>
              <xm:sqref>C29</xm:sqref>
            </x14:sparkline>
            <x14:sparkline>
              <xm:f>'Profit Loss Statement'!D30:O30</xm:f>
              <xm:sqref>C30</xm:sqref>
            </x14:sparkline>
            <x14:sparkline>
              <xm:f>'Profit Loss Statement'!D31:O31</xm:f>
              <xm:sqref>C31</xm:sqref>
            </x14:sparkline>
            <x14:sparkline>
              <xm:f>'Profit Loss Statement'!D32:O32</xm:f>
              <xm:sqref>C32</xm:sqref>
            </x14:sparkline>
            <x14:sparkline>
              <xm:f>'Profit Loss Statement'!D33:O33</xm:f>
              <xm:sqref>C33</xm:sqref>
            </x14:sparkline>
            <x14:sparkline>
              <xm:f>'Profit Loss Statement'!D34:O34</xm:f>
              <xm:sqref>C34</xm:sqref>
            </x14:sparkline>
            <x14:sparkline>
              <xm:f>'Profit Loss Statement'!D35:O35</xm:f>
              <xm:sqref>C35</xm:sqref>
            </x14:sparkline>
            <x14:sparkline>
              <xm:f>'Profit Loss Statement'!D36:O36</xm:f>
              <xm:sqref>C36</xm:sqref>
            </x14:sparkline>
            <x14:sparkline>
              <xm:f>'Profit Loss Statement'!D37:O37</xm:f>
              <xm:sqref>C37</xm:sqref>
            </x14:sparkline>
            <x14:sparkline>
              <xm:f>'Profit Loss Statement'!D38:O38</xm:f>
              <xm:sqref>C38</xm:sqref>
            </x14:sparkline>
            <x14:sparkline>
              <xm:f>'Profit Loss Statement'!D39:O39</xm:f>
              <xm:sqref>C39</xm:sqref>
            </x14:sparkline>
            <x14:sparkline>
              <xm:f>'Profit Loss Statement'!D40:O40</xm:f>
              <xm:sqref>C40</xm:sqref>
            </x14:sparkline>
            <x14:sparkline>
              <xm:f>'Profit Loss Statement'!D41:O41</xm:f>
              <xm:sqref>C41</xm:sqref>
            </x14:sparkline>
            <x14:sparkline>
              <xm:f>'Profit Loss Statement'!D42:O42</xm:f>
              <xm:sqref>C42</xm:sqref>
            </x14:sparkline>
            <x14:sparkline>
              <xm:f>'Profit Loss Statement'!D43:O43</xm:f>
              <xm:sqref>C43</xm:sqref>
            </x14:sparkline>
            <x14:sparkline>
              <xm:f>'Profit Loss Statement'!D44:O44</xm:f>
              <xm:sqref>C44</xm:sqref>
            </x14:sparkline>
            <x14:sparkline>
              <xm:f>'Profit Loss Statement'!D45:O45</xm:f>
              <xm:sqref>C45</xm:sqref>
            </x14:sparkline>
            <x14:sparkline>
              <xm:f>'Profit Loss Statement'!D46:O46</xm:f>
              <xm:sqref>C46</xm:sqref>
            </x14:sparkline>
            <x14:sparkline>
              <xm:f>'Profit Loss Statement'!D47:O47</xm:f>
              <xm:sqref>C47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'Profit Loss Statement'!D24:O24</xm:f>
              <xm:sqref>C24</xm:sqref>
            </x14:sparkline>
          </x14:sparklines>
        </x14:sparklineGroup>
        <x14:sparklineGroup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'Profit Loss Statement'!D17:O17</xm:f>
              <xm:sqref>C17</xm:sqref>
            </x14:sparkline>
            <x14:sparkline>
              <xm:f>'Profit Loss Statement'!D18:O18</xm:f>
              <xm:sqref>C18</xm:sqref>
            </x14:sparkline>
            <x14:sparkline>
              <xm:f>'Profit Loss Statement'!D19:O19</xm:f>
              <xm:sqref>C19</xm:sqref>
            </x14:sparkline>
            <x14:sparkline>
              <xm:f>'Profit Loss Statement'!D20:O20</xm:f>
              <xm:sqref>C20</xm:sqref>
            </x14:sparkline>
            <x14:sparkline>
              <xm:f>'Profit Loss Statement'!D21:O21</xm:f>
              <xm:sqref>C21</xm:sqref>
            </x14:sparkline>
            <x14:sparkline>
              <xm:f>'Profit Loss Statement'!D22:O22</xm:f>
              <xm:sqref>C22</xm:sqref>
            </x14:sparkline>
            <x14:sparkline>
              <xm:f>'Profit Loss Statement'!D23:O23</xm:f>
              <xm:sqref>C23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E7B954B-B8D1-49CD-8C4C-93B9100A56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Profit Loss Statement</vt:lpstr>
      <vt:lpstr>FYMonthStart</vt:lpstr>
      <vt:lpstr>FYStartYear</vt:lpstr>
      <vt:lpstr>'Profit Loss Statement'!Print_Titles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and loss statement</dc:title>
  <dc:creator>Marwen Mema</dc:creator>
  <cp:keywords/>
  <cp:lastModifiedBy>Marwen Mema</cp:lastModifiedBy>
  <dcterms:created xsi:type="dcterms:W3CDTF">2016-05-30T17:20:42Z</dcterms:created>
  <dcterms:modified xsi:type="dcterms:W3CDTF">2016-05-30T17:20:42Z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TC028023619991</vt:lpwstr>
  </property>
</Properties>
</file>