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0116"/>
  <workbookPr defaultThemeVersion="166925"/>
  <mc:AlternateContent xmlns:mc="http://schemas.openxmlformats.org/markup-compatibility/2006">
    <mc:Choice Requires="x15">
      <x15ac:absPath xmlns:x15ac="http://schemas.microsoft.com/office/spreadsheetml/2010/11/ac" url="/Users/ecnmd/Library/Mobile Documents/com~apple~CloudDocs/"/>
    </mc:Choice>
  </mc:AlternateContent>
  <bookViews>
    <workbookView xWindow="0" yWindow="460" windowWidth="25600" windowHeight="15540" xr2:uid="{00000000-000D-0000-FFFF-FFFF00000000}"/>
  </bookViews>
  <sheets>
    <sheet name="Inputs" sheetId="7" r:id="rId1"/>
    <sheet name="Notes" sheetId="10" r:id="rId2"/>
    <sheet name="Difference in benefits" sheetId="5" r:id="rId3"/>
    <sheet name="Difference in benefits TPS" sheetId="11" r:id="rId4"/>
    <sheet name="Annuity rates" sheetId="1" r:id="rId5"/>
    <sheet name="DB pension" sheetId="4" r:id="rId6"/>
    <sheet name="Income" sheetId="6" r:id="rId7"/>
    <sheet name="DC pension" sheetId="3" r:id="rId8"/>
    <sheet name="Investment returns" sheetId="2" r:id="rId9"/>
    <sheet name="Investment returns (2)" sheetId="9" r:id="rId10"/>
    <sheet name="State pension age" sheetId="8" r:id="rId11"/>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76" i="11" l="1"/>
  <c r="G5" i="11"/>
  <c r="G6" i="11" s="1"/>
  <c r="G7" i="11" s="1"/>
  <c r="G8" i="11" s="1"/>
  <c r="G9" i="11" s="1"/>
  <c r="G10" i="11" s="1"/>
  <c r="G11" i="11" s="1"/>
  <c r="G12" i="11" s="1"/>
  <c r="G13" i="11" s="1"/>
  <c r="G14" i="11" s="1"/>
  <c r="G15" i="11" s="1"/>
  <c r="G16" i="11" s="1"/>
  <c r="G17" i="11" s="1"/>
  <c r="G18" i="11" s="1"/>
  <c r="G19" i="11" s="1"/>
  <c r="G20" i="11" s="1"/>
  <c r="G21" i="11" s="1"/>
  <c r="G22" i="11" s="1"/>
  <c r="G23" i="11" s="1"/>
  <c r="G24" i="11" s="1"/>
  <c r="G25" i="11" s="1"/>
  <c r="G26" i="11" s="1"/>
  <c r="G27" i="11" s="1"/>
  <c r="G28" i="11" s="1"/>
  <c r="G29" i="11" s="1"/>
  <c r="G30" i="11" s="1"/>
  <c r="G31" i="11" s="1"/>
  <c r="G32" i="11" s="1"/>
  <c r="G33" i="11" s="1"/>
  <c r="G34" i="11" s="1"/>
  <c r="G35" i="11" s="1"/>
  <c r="G36" i="11" s="1"/>
  <c r="G37" i="11" s="1"/>
  <c r="G38" i="11" s="1"/>
  <c r="G39" i="11" s="1"/>
  <c r="G40" i="11" s="1"/>
  <c r="G41" i="11" s="1"/>
  <c r="G42" i="11" s="1"/>
  <c r="G43" i="11" s="1"/>
  <c r="G44" i="11" s="1"/>
  <c r="G45" i="11" s="1"/>
  <c r="G46" i="11" s="1"/>
  <c r="G47" i="11" s="1"/>
  <c r="G48" i="11" s="1"/>
  <c r="G49" i="11" s="1"/>
  <c r="G50" i="11" s="1"/>
  <c r="G51" i="11" s="1"/>
  <c r="G52" i="11" s="1"/>
  <c r="A5" i="11"/>
  <c r="A6" i="11" s="1"/>
  <c r="A7" i="11" s="1"/>
  <c r="A8" i="11" s="1"/>
  <c r="A9" i="11" s="1"/>
  <c r="A10" i="11" s="1"/>
  <c r="A11" i="11" s="1"/>
  <c r="A12" i="11" s="1"/>
  <c r="A13" i="11" s="1"/>
  <c r="A14" i="11" s="1"/>
  <c r="A15" i="11" s="1"/>
  <c r="A16" i="11" s="1"/>
  <c r="A17" i="11" s="1"/>
  <c r="A18" i="11" s="1"/>
  <c r="A19" i="11" s="1"/>
  <c r="A20" i="11" s="1"/>
  <c r="A21" i="11" s="1"/>
  <c r="A22" i="11" s="1"/>
  <c r="A23" i="11" s="1"/>
  <c r="A24" i="11" s="1"/>
  <c r="A25" i="11" s="1"/>
  <c r="A26" i="11" s="1"/>
  <c r="A27" i="11" s="1"/>
  <c r="A28" i="11" s="1"/>
  <c r="A29" i="11" s="1"/>
  <c r="A30" i="11" s="1"/>
  <c r="A31" i="11" s="1"/>
  <c r="A32" i="11" s="1"/>
  <c r="A33" i="11" s="1"/>
  <c r="A34" i="11" s="1"/>
  <c r="A35" i="11" s="1"/>
  <c r="A36" i="11" s="1"/>
  <c r="A37" i="11" s="1"/>
  <c r="A38" i="11" s="1"/>
  <c r="A39" i="11" s="1"/>
  <c r="A40" i="11" s="1"/>
  <c r="A41" i="11" s="1"/>
  <c r="A42" i="11" s="1"/>
  <c r="A43" i="11" s="1"/>
  <c r="A44" i="11" s="1"/>
  <c r="A45" i="11" s="1"/>
  <c r="A46" i="11" s="1"/>
  <c r="A47" i="11" s="1"/>
  <c r="A48" i="11" s="1"/>
  <c r="A49" i="11" s="1"/>
  <c r="A50" i="11" s="1"/>
  <c r="A51" i="11" s="1"/>
  <c r="A52" i="11" s="1"/>
  <c r="R9" i="9" l="1"/>
  <c r="B21" i="2"/>
  <c r="B66" i="2" s="1"/>
  <c r="D21" i="2"/>
  <c r="C21" i="2"/>
  <c r="U23" i="2"/>
  <c r="O23" i="2"/>
  <c r="M19" i="2"/>
  <c r="N19" i="2"/>
  <c r="O19" i="2"/>
  <c r="M23" i="2"/>
  <c r="N23" i="2"/>
  <c r="M24" i="2"/>
  <c r="N24" i="2"/>
  <c r="O24" i="2"/>
  <c r="M25" i="2"/>
  <c r="N25" i="2"/>
  <c r="O25" i="2"/>
  <c r="M26" i="2"/>
  <c r="N26" i="2"/>
  <c r="O26" i="2"/>
  <c r="M27" i="2"/>
  <c r="N27" i="2"/>
  <c r="O27" i="2"/>
  <c r="M28" i="2"/>
  <c r="N28" i="2"/>
  <c r="O28" i="2"/>
  <c r="M29" i="2"/>
  <c r="N29" i="2"/>
  <c r="O29" i="2"/>
  <c r="M30" i="2"/>
  <c r="N30" i="2"/>
  <c r="O30" i="2"/>
  <c r="M31" i="2"/>
  <c r="N31" i="2"/>
  <c r="O31" i="2"/>
  <c r="M32" i="2"/>
  <c r="N32" i="2"/>
  <c r="O32" i="2"/>
  <c r="M33" i="2"/>
  <c r="N33" i="2"/>
  <c r="O33" i="2"/>
  <c r="M34" i="2"/>
  <c r="N34" i="2"/>
  <c r="O34" i="2"/>
  <c r="M35" i="2"/>
  <c r="N35" i="2"/>
  <c r="O35" i="2"/>
  <c r="M36" i="2"/>
  <c r="N36" i="2"/>
  <c r="O36" i="2"/>
  <c r="M37" i="2"/>
  <c r="N37" i="2"/>
  <c r="O37" i="2"/>
  <c r="M38" i="2"/>
  <c r="N38" i="2"/>
  <c r="O38" i="2"/>
  <c r="M39" i="2"/>
  <c r="N39" i="2"/>
  <c r="O39" i="2"/>
  <c r="M40" i="2"/>
  <c r="N40" i="2"/>
  <c r="O40" i="2"/>
  <c r="M41" i="2"/>
  <c r="N41" i="2"/>
  <c r="O41" i="2"/>
  <c r="M42" i="2"/>
  <c r="N42" i="2"/>
  <c r="O42" i="2"/>
  <c r="M43" i="2"/>
  <c r="N43" i="2"/>
  <c r="O43" i="2"/>
  <c r="M44" i="2"/>
  <c r="N44" i="2"/>
  <c r="O44" i="2"/>
  <c r="M45" i="2"/>
  <c r="N45" i="2"/>
  <c r="O45" i="2"/>
  <c r="M46" i="2"/>
  <c r="N46" i="2"/>
  <c r="O46" i="2"/>
  <c r="M47" i="2"/>
  <c r="N47" i="2"/>
  <c r="O47" i="2"/>
  <c r="M48" i="2"/>
  <c r="N48" i="2"/>
  <c r="O48" i="2"/>
  <c r="M49" i="2"/>
  <c r="N49" i="2"/>
  <c r="O49" i="2"/>
  <c r="M50" i="2"/>
  <c r="N50" i="2"/>
  <c r="O50" i="2"/>
  <c r="M51" i="2"/>
  <c r="N51" i="2"/>
  <c r="O51" i="2"/>
  <c r="M52" i="2"/>
  <c r="N52" i="2"/>
  <c r="O52" i="2"/>
  <c r="M53" i="2"/>
  <c r="N53" i="2"/>
  <c r="O53" i="2"/>
  <c r="M54" i="2"/>
  <c r="N54" i="2"/>
  <c r="O54" i="2"/>
  <c r="M55" i="2"/>
  <c r="N55" i="2"/>
  <c r="O55" i="2"/>
  <c r="M56" i="2"/>
  <c r="N56" i="2"/>
  <c r="O56" i="2"/>
  <c r="M57" i="2"/>
  <c r="N57" i="2"/>
  <c r="O57" i="2"/>
  <c r="M58" i="2"/>
  <c r="N58" i="2"/>
  <c r="O58" i="2"/>
  <c r="M59" i="2"/>
  <c r="N59" i="2"/>
  <c r="O59" i="2"/>
  <c r="M60" i="2"/>
  <c r="N60" i="2"/>
  <c r="O60" i="2"/>
  <c r="M61" i="2"/>
  <c r="N61" i="2"/>
  <c r="O61" i="2"/>
  <c r="M62" i="2"/>
  <c r="N62" i="2"/>
  <c r="O62" i="2"/>
  <c r="M63" i="2"/>
  <c r="N63" i="2"/>
  <c r="O63" i="2"/>
  <c r="M64" i="2"/>
  <c r="N64" i="2"/>
  <c r="O64" i="2"/>
  <c r="M65" i="2"/>
  <c r="N65" i="2"/>
  <c r="O65" i="2"/>
  <c r="M66" i="2"/>
  <c r="N66" i="2"/>
  <c r="O66" i="2"/>
  <c r="M67" i="2"/>
  <c r="N67" i="2"/>
  <c r="O67" i="2"/>
  <c r="M68" i="2"/>
  <c r="N68" i="2"/>
  <c r="O68" i="2"/>
  <c r="M69" i="2"/>
  <c r="N69" i="2"/>
  <c r="O69" i="2"/>
  <c r="M70" i="2"/>
  <c r="N70" i="2"/>
  <c r="O70" i="2"/>
  <c r="M71" i="2"/>
  <c r="N71" i="2"/>
  <c r="O71" i="2"/>
  <c r="L23" i="2"/>
  <c r="L24" i="2"/>
  <c r="L25" i="2"/>
  <c r="L26" i="2"/>
  <c r="L27" i="2"/>
  <c r="L28" i="2"/>
  <c r="L29" i="2"/>
  <c r="L30" i="2"/>
  <c r="L31" i="2"/>
  <c r="L32" i="2"/>
  <c r="L33" i="2"/>
  <c r="L34" i="2"/>
  <c r="L35" i="2"/>
  <c r="L36" i="2"/>
  <c r="L37" i="2"/>
  <c r="L38" i="2"/>
  <c r="L39" i="2"/>
  <c r="L40" i="2"/>
  <c r="L41" i="2"/>
  <c r="L42" i="2"/>
  <c r="L43" i="2"/>
  <c r="L44" i="2"/>
  <c r="L45" i="2"/>
  <c r="L46" i="2"/>
  <c r="L47" i="2"/>
  <c r="L48" i="2"/>
  <c r="L49" i="2"/>
  <c r="L50" i="2"/>
  <c r="L51" i="2"/>
  <c r="L52" i="2"/>
  <c r="L53" i="2"/>
  <c r="L54" i="2"/>
  <c r="L55" i="2"/>
  <c r="L56" i="2"/>
  <c r="L57" i="2"/>
  <c r="L58" i="2"/>
  <c r="L59" i="2"/>
  <c r="L60" i="2"/>
  <c r="L61" i="2"/>
  <c r="L62" i="2"/>
  <c r="L63" i="2"/>
  <c r="L64" i="2"/>
  <c r="L65" i="2"/>
  <c r="L66" i="2"/>
  <c r="L67" i="2"/>
  <c r="L68" i="2"/>
  <c r="L69" i="2"/>
  <c r="L70" i="2"/>
  <c r="L71" i="2"/>
  <c r="L19" i="2"/>
  <c r="G23" i="2"/>
  <c r="H23" i="2"/>
  <c r="J23" i="2"/>
  <c r="G24" i="2"/>
  <c r="H24" i="2"/>
  <c r="J24" i="2"/>
  <c r="G25" i="2"/>
  <c r="H25" i="2"/>
  <c r="J25" i="2"/>
  <c r="G26" i="2"/>
  <c r="H26" i="2"/>
  <c r="J26" i="2"/>
  <c r="G27" i="2"/>
  <c r="H27" i="2"/>
  <c r="J27" i="2"/>
  <c r="G28" i="2"/>
  <c r="H28" i="2"/>
  <c r="J28" i="2"/>
  <c r="G29" i="2"/>
  <c r="H29" i="2"/>
  <c r="J29" i="2"/>
  <c r="G30" i="2"/>
  <c r="H30" i="2"/>
  <c r="J30" i="2"/>
  <c r="G31" i="2"/>
  <c r="H31" i="2"/>
  <c r="J31" i="2"/>
  <c r="G32" i="2"/>
  <c r="H32" i="2"/>
  <c r="J32" i="2"/>
  <c r="G33" i="2"/>
  <c r="H33" i="2"/>
  <c r="I33" i="2"/>
  <c r="J33" i="2"/>
  <c r="G34" i="2"/>
  <c r="H34" i="2"/>
  <c r="I34" i="2"/>
  <c r="J34" i="2"/>
  <c r="G35" i="2"/>
  <c r="H35" i="2"/>
  <c r="I35" i="2"/>
  <c r="J35" i="2"/>
  <c r="G36" i="2"/>
  <c r="H36" i="2"/>
  <c r="I36" i="2"/>
  <c r="J36" i="2"/>
  <c r="G37" i="2"/>
  <c r="H37" i="2"/>
  <c r="I37" i="2"/>
  <c r="J37" i="2"/>
  <c r="G38" i="2"/>
  <c r="H38" i="2"/>
  <c r="I38" i="2"/>
  <c r="J38" i="2"/>
  <c r="G39" i="2"/>
  <c r="H39" i="2"/>
  <c r="I39" i="2"/>
  <c r="J39" i="2"/>
  <c r="G40" i="2"/>
  <c r="H40" i="2"/>
  <c r="I40" i="2"/>
  <c r="J40" i="2"/>
  <c r="G41" i="2"/>
  <c r="H41" i="2"/>
  <c r="I41" i="2"/>
  <c r="J41" i="2"/>
  <c r="G42" i="2"/>
  <c r="H42" i="2"/>
  <c r="I42" i="2"/>
  <c r="J42" i="2"/>
  <c r="G43" i="2"/>
  <c r="H43" i="2"/>
  <c r="I43" i="2"/>
  <c r="J43" i="2"/>
  <c r="G44" i="2"/>
  <c r="H44" i="2"/>
  <c r="I44" i="2"/>
  <c r="J44" i="2"/>
  <c r="G45" i="2"/>
  <c r="H45" i="2"/>
  <c r="I45" i="2"/>
  <c r="J45" i="2"/>
  <c r="G46" i="2"/>
  <c r="H46" i="2"/>
  <c r="I46" i="2"/>
  <c r="J46" i="2"/>
  <c r="G47" i="2"/>
  <c r="H47" i="2"/>
  <c r="I47" i="2"/>
  <c r="J47" i="2"/>
  <c r="G48" i="2"/>
  <c r="H48" i="2"/>
  <c r="I48" i="2"/>
  <c r="J48" i="2"/>
  <c r="G49" i="2"/>
  <c r="H49" i="2"/>
  <c r="I49" i="2"/>
  <c r="J49" i="2"/>
  <c r="G50" i="2"/>
  <c r="H50" i="2"/>
  <c r="I50" i="2"/>
  <c r="J50" i="2"/>
  <c r="G51" i="2"/>
  <c r="H51" i="2"/>
  <c r="I51" i="2"/>
  <c r="J51" i="2"/>
  <c r="G52" i="2"/>
  <c r="H52" i="2"/>
  <c r="I52" i="2"/>
  <c r="J52" i="2"/>
  <c r="G53" i="2"/>
  <c r="H53" i="2"/>
  <c r="I53" i="2"/>
  <c r="J53" i="2"/>
  <c r="G54" i="2"/>
  <c r="H54" i="2"/>
  <c r="I54" i="2"/>
  <c r="J54" i="2"/>
  <c r="G55" i="2"/>
  <c r="H55" i="2"/>
  <c r="I55" i="2"/>
  <c r="J55" i="2"/>
  <c r="G56" i="2"/>
  <c r="H56" i="2"/>
  <c r="I56" i="2"/>
  <c r="J56" i="2"/>
  <c r="G57" i="2"/>
  <c r="H57" i="2"/>
  <c r="I57" i="2"/>
  <c r="J57" i="2"/>
  <c r="G58" i="2"/>
  <c r="H58" i="2"/>
  <c r="I58" i="2"/>
  <c r="J58" i="2"/>
  <c r="G59" i="2"/>
  <c r="H59" i="2"/>
  <c r="I59" i="2"/>
  <c r="J59" i="2"/>
  <c r="G60" i="2"/>
  <c r="H60" i="2"/>
  <c r="I60" i="2"/>
  <c r="J60" i="2"/>
  <c r="G61" i="2"/>
  <c r="H61" i="2"/>
  <c r="I61" i="2"/>
  <c r="J61" i="2"/>
  <c r="G62" i="2"/>
  <c r="H62" i="2"/>
  <c r="I62" i="2"/>
  <c r="J62" i="2"/>
  <c r="G63" i="2"/>
  <c r="H63" i="2"/>
  <c r="I63" i="2"/>
  <c r="J63" i="2"/>
  <c r="G64" i="2"/>
  <c r="H64" i="2"/>
  <c r="I64" i="2"/>
  <c r="J64" i="2"/>
  <c r="G65" i="2"/>
  <c r="H65" i="2"/>
  <c r="I65" i="2"/>
  <c r="J65" i="2"/>
  <c r="G66" i="2"/>
  <c r="H66" i="2"/>
  <c r="I66" i="2"/>
  <c r="J66" i="2"/>
  <c r="G67" i="2"/>
  <c r="H67" i="2"/>
  <c r="I67" i="2"/>
  <c r="J67" i="2"/>
  <c r="G68" i="2"/>
  <c r="H68" i="2"/>
  <c r="I68" i="2"/>
  <c r="J68" i="2"/>
  <c r="G69" i="2"/>
  <c r="H69" i="2"/>
  <c r="I69" i="2"/>
  <c r="J69" i="2"/>
  <c r="G70" i="2"/>
  <c r="H70" i="2"/>
  <c r="I70" i="2"/>
  <c r="J70" i="2"/>
  <c r="G71" i="2"/>
  <c r="H71" i="2"/>
  <c r="I71" i="2"/>
  <c r="J71" i="2"/>
  <c r="H19" i="2"/>
  <c r="I19" i="2"/>
  <c r="J19" i="2"/>
  <c r="G19" i="2"/>
  <c r="AC17" i="9"/>
  <c r="AC18" i="9"/>
  <c r="AC19" i="9"/>
  <c r="AC20" i="9"/>
  <c r="AC21" i="9"/>
  <c r="AC22" i="9"/>
  <c r="AC23" i="9"/>
  <c r="AC24" i="9"/>
  <c r="AC25" i="9"/>
  <c r="AC26" i="9"/>
  <c r="AC7" i="9"/>
  <c r="AC8" i="9"/>
  <c r="AC9" i="9"/>
  <c r="AC10" i="9"/>
  <c r="AC11" i="9"/>
  <c r="AC12" i="9"/>
  <c r="AC13" i="9"/>
  <c r="AC14" i="9"/>
  <c r="AC15" i="9"/>
  <c r="AC16" i="9"/>
  <c r="Y8" i="9"/>
  <c r="Y9" i="9" s="1"/>
  <c r="Y10" i="9" s="1"/>
  <c r="Y11" i="9" s="1"/>
  <c r="Y12" i="9" s="1"/>
  <c r="Y13" i="9" s="1"/>
  <c r="Y14" i="9" s="1"/>
  <c r="Y15" i="9" s="1"/>
  <c r="Y16" i="9" s="1"/>
  <c r="Y17" i="9" s="1"/>
  <c r="Y18" i="9" s="1"/>
  <c r="Y19" i="9" s="1"/>
  <c r="Y20" i="9" s="1"/>
  <c r="Y21" i="9" s="1"/>
  <c r="Y22" i="9" s="1"/>
  <c r="Y23" i="9" s="1"/>
  <c r="Y24" i="9" s="1"/>
  <c r="Y25" i="9" s="1"/>
  <c r="Y26" i="9" s="1"/>
  <c r="Y27" i="9" s="1"/>
  <c r="Y28" i="9" s="1"/>
  <c r="Y29" i="9" s="1"/>
  <c r="Y30" i="9" s="1"/>
  <c r="Y31" i="9" s="1"/>
  <c r="Y32" i="9" s="1"/>
  <c r="Y33" i="9" s="1"/>
  <c r="Y34" i="9" s="1"/>
  <c r="Y35" i="9" s="1"/>
  <c r="Y36" i="9" s="1"/>
  <c r="Y37" i="9" s="1"/>
  <c r="Y38" i="9" s="1"/>
  <c r="Y39" i="9" s="1"/>
  <c r="Y40" i="9" s="1"/>
  <c r="Y41" i="9" s="1"/>
  <c r="Y42" i="9" s="1"/>
  <c r="Y43" i="9" s="1"/>
  <c r="Y44" i="9" s="1"/>
  <c r="Y45" i="9" s="1"/>
  <c r="Y46" i="9" s="1"/>
  <c r="Y47" i="9" s="1"/>
  <c r="Y48" i="9" s="1"/>
  <c r="Y49" i="9" s="1"/>
  <c r="Y50" i="9" s="1"/>
  <c r="Y51" i="9" s="1"/>
  <c r="Y52" i="9" s="1"/>
  <c r="Y53" i="9" s="1"/>
  <c r="Y54" i="9" s="1"/>
  <c r="Y55" i="9" s="1"/>
  <c r="D12" i="9"/>
  <c r="S7" i="9"/>
  <c r="Z17" i="9"/>
  <c r="Z18" i="9"/>
  <c r="Z19" i="9"/>
  <c r="Z20" i="9"/>
  <c r="Z21" i="9"/>
  <c r="Z22" i="9"/>
  <c r="Z23" i="9"/>
  <c r="Z24" i="9"/>
  <c r="Z25" i="9"/>
  <c r="Z26" i="9"/>
  <c r="R10" i="9"/>
  <c r="S10" i="9"/>
  <c r="U10" i="9"/>
  <c r="AC37" i="9"/>
  <c r="AC38" i="9"/>
  <c r="AC39" i="9"/>
  <c r="AC40" i="9"/>
  <c r="AC41" i="9"/>
  <c r="AC42" i="9"/>
  <c r="AC43" i="9"/>
  <c r="AC44" i="9"/>
  <c r="AC45" i="9"/>
  <c r="AC46" i="9"/>
  <c r="AC47" i="9"/>
  <c r="AC48" i="9"/>
  <c r="AC49" i="9"/>
  <c r="AC50" i="9"/>
  <c r="AC51" i="9"/>
  <c r="AC52" i="9"/>
  <c r="AC53" i="9"/>
  <c r="AC54" i="9"/>
  <c r="AC55" i="9"/>
  <c r="N10" i="9"/>
  <c r="M10" i="9"/>
  <c r="N9" i="9"/>
  <c r="M9" i="9"/>
  <c r="N8" i="9"/>
  <c r="M8" i="9"/>
  <c r="L8" i="9"/>
  <c r="N6" i="9"/>
  <c r="U9" i="9"/>
  <c r="AB37" i="9"/>
  <c r="AB38" i="9"/>
  <c r="AB39" i="9"/>
  <c r="AB40" i="9"/>
  <c r="AB41" i="9"/>
  <c r="AB42" i="9"/>
  <c r="AB43" i="9"/>
  <c r="AB44" i="9"/>
  <c r="AB45" i="9"/>
  <c r="AB46" i="9"/>
  <c r="AB47" i="9"/>
  <c r="AB48" i="9"/>
  <c r="AB49" i="9"/>
  <c r="AB50" i="9"/>
  <c r="AB51" i="9"/>
  <c r="AB52" i="9"/>
  <c r="AB53" i="9"/>
  <c r="AB54" i="9"/>
  <c r="AB55" i="9"/>
  <c r="M6" i="9"/>
  <c r="S8" i="9"/>
  <c r="AA17" i="9"/>
  <c r="AA18" i="9"/>
  <c r="AA19" i="9"/>
  <c r="AA20" i="9"/>
  <c r="AA21" i="9"/>
  <c r="AA22" i="9"/>
  <c r="AA23" i="9"/>
  <c r="AA24" i="9"/>
  <c r="AA25" i="9"/>
  <c r="AA26" i="9"/>
  <c r="L6" i="9"/>
  <c r="D17" i="9"/>
  <c r="F17" i="9"/>
  <c r="D18" i="9"/>
  <c r="F18" i="9"/>
  <c r="D19" i="9"/>
  <c r="F19" i="9"/>
  <c r="D20" i="9"/>
  <c r="F20" i="9"/>
  <c r="D21" i="9"/>
  <c r="F21" i="9"/>
  <c r="C18" i="9"/>
  <c r="C19" i="9"/>
  <c r="C20" i="9"/>
  <c r="C21" i="9"/>
  <c r="C17" i="9"/>
  <c r="R21" i="9"/>
  <c r="AG7" i="9"/>
  <c r="AG8" i="9"/>
  <c r="AG9" i="9"/>
  <c r="AG10" i="9"/>
  <c r="AG11" i="9"/>
  <c r="AG12" i="9"/>
  <c r="AG13" i="9"/>
  <c r="AG14" i="9"/>
  <c r="AG15" i="9"/>
  <c r="AG16" i="9"/>
  <c r="R7" i="9"/>
  <c r="Z7" i="9"/>
  <c r="Z8" i="9"/>
  <c r="Z9" i="9"/>
  <c r="Z10" i="9"/>
  <c r="Z11" i="9"/>
  <c r="Z12" i="9"/>
  <c r="Z13" i="9"/>
  <c r="Z14" i="9"/>
  <c r="Z15" i="9"/>
  <c r="Z16" i="9"/>
  <c r="U21" i="9"/>
  <c r="AG37" i="9"/>
  <c r="AG38" i="9"/>
  <c r="AG39" i="9"/>
  <c r="AG40" i="9"/>
  <c r="AG41" i="9"/>
  <c r="AG42" i="9"/>
  <c r="AG43" i="9"/>
  <c r="AG44" i="9"/>
  <c r="AG45" i="9"/>
  <c r="AG46" i="9"/>
  <c r="AG47" i="9"/>
  <c r="AG48" i="9"/>
  <c r="AG49" i="9"/>
  <c r="AG50" i="9"/>
  <c r="AG51" i="9"/>
  <c r="AG52" i="9"/>
  <c r="AG53" i="9"/>
  <c r="AG54" i="9"/>
  <c r="AG55" i="9"/>
  <c r="R19" i="9"/>
  <c r="AE7" i="9"/>
  <c r="AE8" i="9"/>
  <c r="AE9" i="9"/>
  <c r="AE10" i="9"/>
  <c r="AE11" i="9"/>
  <c r="AE12" i="9"/>
  <c r="AE13" i="9"/>
  <c r="AE14" i="9"/>
  <c r="AE15" i="9"/>
  <c r="AE16" i="9"/>
  <c r="S21" i="9"/>
  <c r="AG17" i="9"/>
  <c r="AG18" i="9"/>
  <c r="AG19" i="9"/>
  <c r="AG20" i="9"/>
  <c r="AG21" i="9"/>
  <c r="AG22" i="9"/>
  <c r="AG23" i="9"/>
  <c r="AG24" i="9"/>
  <c r="AG25" i="9"/>
  <c r="AG26" i="9"/>
  <c r="AB7" i="9"/>
  <c r="R18" i="9"/>
  <c r="AD7" i="9"/>
  <c r="AD8" i="9"/>
  <c r="AD9" i="9"/>
  <c r="AD10" i="9"/>
  <c r="AD11" i="9"/>
  <c r="AD12" i="9"/>
  <c r="AD13" i="9"/>
  <c r="AD14" i="9"/>
  <c r="AD15" i="9"/>
  <c r="AD16" i="9"/>
  <c r="S18" i="9"/>
  <c r="AD17" i="9"/>
  <c r="AD18" i="9"/>
  <c r="AD19" i="9"/>
  <c r="AD20" i="9"/>
  <c r="AD21" i="9"/>
  <c r="AD22" i="9"/>
  <c r="AD23" i="9"/>
  <c r="AD24" i="9"/>
  <c r="AD25" i="9"/>
  <c r="AD26" i="9"/>
  <c r="U7" i="9"/>
  <c r="Z37" i="9"/>
  <c r="Z38" i="9"/>
  <c r="Z39" i="9"/>
  <c r="Z40" i="9"/>
  <c r="Z41" i="9"/>
  <c r="Z42" i="9"/>
  <c r="Z43" i="9"/>
  <c r="Z44" i="9"/>
  <c r="Z45" i="9"/>
  <c r="Z46" i="9"/>
  <c r="Z47" i="9"/>
  <c r="Z48" i="9"/>
  <c r="Z49" i="9"/>
  <c r="Z50" i="9"/>
  <c r="Z51" i="9"/>
  <c r="Z52" i="9"/>
  <c r="Z53" i="9"/>
  <c r="Z54" i="9"/>
  <c r="Z55" i="9"/>
  <c r="S20" i="9"/>
  <c r="AF17" i="9"/>
  <c r="AF18" i="9"/>
  <c r="AF19" i="9"/>
  <c r="AF20" i="9"/>
  <c r="AF21" i="9"/>
  <c r="AF22" i="9"/>
  <c r="AF23" i="9"/>
  <c r="AF24" i="9"/>
  <c r="AF25" i="9"/>
  <c r="AF26" i="9"/>
  <c r="S9" i="9"/>
  <c r="AB17" i="9"/>
  <c r="AB18" i="9"/>
  <c r="AB19" i="9"/>
  <c r="AB20" i="9"/>
  <c r="AB21" i="9"/>
  <c r="AB22" i="9"/>
  <c r="AB23" i="9"/>
  <c r="AB24" i="9"/>
  <c r="AB25" i="9"/>
  <c r="AB26" i="9"/>
  <c r="U19" i="9"/>
  <c r="AE37" i="9"/>
  <c r="AE38" i="9"/>
  <c r="AE39" i="9"/>
  <c r="AE40" i="9"/>
  <c r="AE41" i="9"/>
  <c r="AE42" i="9"/>
  <c r="AE43" i="9"/>
  <c r="AE44" i="9"/>
  <c r="AE45" i="9"/>
  <c r="AE46" i="9"/>
  <c r="AE47" i="9"/>
  <c r="AE48" i="9"/>
  <c r="AE49" i="9"/>
  <c r="AE50" i="9"/>
  <c r="AE51" i="9"/>
  <c r="AE52" i="9"/>
  <c r="AE53" i="9"/>
  <c r="AE54" i="9"/>
  <c r="AE55" i="9"/>
  <c r="R8" i="9"/>
  <c r="AA7" i="9"/>
  <c r="AA8" i="9"/>
  <c r="AA9" i="9"/>
  <c r="AA10" i="9"/>
  <c r="AA11" i="9"/>
  <c r="AA12" i="9"/>
  <c r="AA13" i="9"/>
  <c r="AA14" i="9"/>
  <c r="AA15" i="9"/>
  <c r="AA16" i="9"/>
  <c r="S19" i="9"/>
  <c r="AE17" i="9"/>
  <c r="AE18" i="9"/>
  <c r="AE19" i="9"/>
  <c r="AE20" i="9"/>
  <c r="AE21" i="9"/>
  <c r="AE22" i="9"/>
  <c r="AE23" i="9"/>
  <c r="AE24" i="9"/>
  <c r="AE25" i="9"/>
  <c r="AE26" i="9"/>
  <c r="R20" i="9"/>
  <c r="AF7" i="9"/>
  <c r="AF8" i="9"/>
  <c r="AF9" i="9"/>
  <c r="AF10" i="9"/>
  <c r="AF11" i="9"/>
  <c r="AF12" i="9"/>
  <c r="AF13" i="9"/>
  <c r="AF14" i="9"/>
  <c r="AF15" i="9"/>
  <c r="AF16" i="9"/>
  <c r="D23" i="9"/>
  <c r="U8" i="9"/>
  <c r="AA37" i="9"/>
  <c r="AA38" i="9"/>
  <c r="AA39" i="9"/>
  <c r="AA40" i="9"/>
  <c r="AA41" i="9"/>
  <c r="AA42" i="9"/>
  <c r="AA43" i="9"/>
  <c r="AA44" i="9"/>
  <c r="AA45" i="9"/>
  <c r="AA46" i="9"/>
  <c r="AA47" i="9"/>
  <c r="AA48" i="9"/>
  <c r="AA49" i="9"/>
  <c r="AA50" i="9"/>
  <c r="AA51" i="9"/>
  <c r="AA52" i="9"/>
  <c r="AA53" i="9"/>
  <c r="AA54" i="9"/>
  <c r="AA55" i="9"/>
  <c r="U18" i="9"/>
  <c r="AD37" i="9"/>
  <c r="AD38" i="9"/>
  <c r="AD39" i="9"/>
  <c r="AD40" i="9"/>
  <c r="AD41" i="9"/>
  <c r="AD42" i="9"/>
  <c r="AD43" i="9"/>
  <c r="AD44" i="9"/>
  <c r="AD45" i="9"/>
  <c r="AD46" i="9"/>
  <c r="AD47" i="9"/>
  <c r="AD48" i="9"/>
  <c r="AD49" i="9"/>
  <c r="AD50" i="9"/>
  <c r="AD51" i="9"/>
  <c r="AD52" i="9"/>
  <c r="AD53" i="9"/>
  <c r="AD54" i="9"/>
  <c r="AD55" i="9"/>
  <c r="U20" i="9"/>
  <c r="AF37" i="9"/>
  <c r="AF38" i="9"/>
  <c r="AF39" i="9"/>
  <c r="AF40" i="9"/>
  <c r="AF41" i="9"/>
  <c r="AF42" i="9"/>
  <c r="AF43" i="9"/>
  <c r="AF44" i="9"/>
  <c r="AF45" i="9"/>
  <c r="AF46" i="9"/>
  <c r="AF47" i="9"/>
  <c r="AF48" i="9"/>
  <c r="AF49" i="9"/>
  <c r="AF50" i="9"/>
  <c r="AF51" i="9"/>
  <c r="AF52" i="9"/>
  <c r="AF53" i="9"/>
  <c r="AF54" i="9"/>
  <c r="AF55" i="9"/>
  <c r="F23" i="9"/>
  <c r="C23" i="9"/>
  <c r="AB8" i="9"/>
  <c r="I23" i="2"/>
  <c r="AB9" i="9"/>
  <c r="I24" i="2"/>
  <c r="AB10" i="9"/>
  <c r="I25" i="2"/>
  <c r="AB11" i="9"/>
  <c r="I26" i="2"/>
  <c r="AB12" i="9"/>
  <c r="I27" i="2"/>
  <c r="AB13" i="9"/>
  <c r="I28" i="2"/>
  <c r="F12" i="9"/>
  <c r="C12" i="9"/>
  <c r="E10" i="9"/>
  <c r="E21" i="9"/>
  <c r="E9" i="9"/>
  <c r="E20" i="9"/>
  <c r="E8" i="9"/>
  <c r="E19" i="9"/>
  <c r="E7" i="9"/>
  <c r="E18" i="9"/>
  <c r="E6" i="9"/>
  <c r="AB14" i="9"/>
  <c r="I29" i="2"/>
  <c r="T7" i="9"/>
  <c r="Z27" i="9"/>
  <c r="Z28" i="9"/>
  <c r="Z29" i="9"/>
  <c r="Z30" i="9"/>
  <c r="Z31" i="9"/>
  <c r="Z32" i="9"/>
  <c r="Z33" i="9"/>
  <c r="Z34" i="9"/>
  <c r="Z35" i="9"/>
  <c r="Z36" i="9"/>
  <c r="T10" i="9"/>
  <c r="AC27" i="9"/>
  <c r="AC28" i="9"/>
  <c r="AC29" i="9"/>
  <c r="AC30" i="9"/>
  <c r="AC31" i="9"/>
  <c r="AC32" i="9"/>
  <c r="AC33" i="9"/>
  <c r="AC34" i="9"/>
  <c r="AC35" i="9"/>
  <c r="AC36" i="9"/>
  <c r="T9" i="9"/>
  <c r="AB27" i="9"/>
  <c r="AB28" i="9"/>
  <c r="AB29" i="9"/>
  <c r="AB30" i="9"/>
  <c r="AB31" i="9"/>
  <c r="AB32" i="9"/>
  <c r="AB33" i="9"/>
  <c r="AB34" i="9"/>
  <c r="AB35" i="9"/>
  <c r="AB36" i="9"/>
  <c r="T8" i="9"/>
  <c r="AA27" i="9"/>
  <c r="AA28" i="9"/>
  <c r="AA29" i="9"/>
  <c r="AA30" i="9"/>
  <c r="AA31" i="9"/>
  <c r="AA32" i="9"/>
  <c r="AA33" i="9"/>
  <c r="AA34" i="9"/>
  <c r="AA35" i="9"/>
  <c r="AA36" i="9"/>
  <c r="E12" i="9"/>
  <c r="E17" i="9"/>
  <c r="AB15" i="9"/>
  <c r="I30" i="2"/>
  <c r="E23" i="9"/>
  <c r="T21" i="9"/>
  <c r="AG27" i="9"/>
  <c r="AG28" i="9"/>
  <c r="AG29" i="9"/>
  <c r="AG30" i="9"/>
  <c r="AG31" i="9"/>
  <c r="AG32" i="9"/>
  <c r="AG33" i="9"/>
  <c r="AG34" i="9"/>
  <c r="AG35" i="9"/>
  <c r="AG36" i="9"/>
  <c r="T20" i="9"/>
  <c r="AF27" i="9"/>
  <c r="AF28" i="9"/>
  <c r="AF29" i="9"/>
  <c r="AF30" i="9"/>
  <c r="AF31" i="9"/>
  <c r="AF32" i="9"/>
  <c r="AF33" i="9"/>
  <c r="AF34" i="9"/>
  <c r="AF35" i="9"/>
  <c r="AF36" i="9"/>
  <c r="T18" i="9"/>
  <c r="AD27" i="9"/>
  <c r="AD28" i="9"/>
  <c r="AD29" i="9"/>
  <c r="AD30" i="9"/>
  <c r="AD31" i="9"/>
  <c r="AD32" i="9"/>
  <c r="AD33" i="9"/>
  <c r="AD34" i="9"/>
  <c r="AD35" i="9"/>
  <c r="AD36" i="9"/>
  <c r="T19" i="9"/>
  <c r="AE27" i="9"/>
  <c r="AE28" i="9"/>
  <c r="AE29" i="9"/>
  <c r="AE30" i="9"/>
  <c r="AE31" i="9"/>
  <c r="AE32" i="9"/>
  <c r="AE33" i="9"/>
  <c r="AE34" i="9"/>
  <c r="AE35" i="9"/>
  <c r="AE36" i="9"/>
  <c r="AB16" i="9"/>
  <c r="I32" i="2"/>
  <c r="I31" i="2"/>
  <c r="C89" i="5"/>
  <c r="C38" i="1"/>
  <c r="L35" i="1" s="1"/>
  <c r="L36" i="1" s="1"/>
  <c r="L37" i="1" s="1"/>
  <c r="L38" i="1" s="1"/>
  <c r="L39" i="1" s="1"/>
  <c r="L40" i="1" s="1"/>
  <c r="L41" i="1" s="1"/>
  <c r="L42" i="1" s="1"/>
  <c r="L43" i="1" s="1"/>
  <c r="L44" i="1" s="1"/>
  <c r="L45" i="1" s="1"/>
  <c r="L46" i="1" s="1"/>
  <c r="L47" i="1" s="1"/>
  <c r="L48" i="1" s="1"/>
  <c r="L49" i="1" s="1"/>
  <c r="L50" i="1" s="1"/>
  <c r="L51" i="1" s="1"/>
  <c r="L52" i="1" s="1"/>
  <c r="L53" i="1" s="1"/>
  <c r="L54" i="1" s="1"/>
  <c r="L55" i="1" s="1"/>
  <c r="L56" i="1" s="1"/>
  <c r="B7" i="6"/>
  <c r="D62" i="8"/>
  <c r="G10" i="8" s="1"/>
  <c r="B13" i="7" s="1"/>
  <c r="D48" i="8"/>
  <c r="D31" i="8"/>
  <c r="D37" i="8"/>
  <c r="D38" i="8"/>
  <c r="D39" i="8"/>
  <c r="D40" i="8"/>
  <c r="D41" i="8"/>
  <c r="D42" i="8"/>
  <c r="D43" i="8"/>
  <c r="D44" i="8"/>
  <c r="D45" i="8"/>
  <c r="D46" i="8"/>
  <c r="D47" i="8"/>
  <c r="E39" i="8"/>
  <c r="E40" i="8"/>
  <c r="E41" i="8"/>
  <c r="E42" i="8"/>
  <c r="E43" i="8"/>
  <c r="E44" i="8"/>
  <c r="E45" i="8"/>
  <c r="E46" i="8"/>
  <c r="E47" i="8"/>
  <c r="E48" i="8"/>
  <c r="E38" i="8"/>
  <c r="K34" i="2"/>
  <c r="B9" i="6"/>
  <c r="K35" i="1"/>
  <c r="K36" i="1" s="1"/>
  <c r="K37" i="1" s="1"/>
  <c r="K38" i="1" s="1"/>
  <c r="K39" i="1" s="1"/>
  <c r="K40" i="1" s="1"/>
  <c r="K41" i="1" s="1"/>
  <c r="K42" i="1" s="1"/>
  <c r="K43" i="1" s="1"/>
  <c r="K44" i="1" s="1"/>
  <c r="K45" i="1" s="1"/>
  <c r="K46" i="1" s="1"/>
  <c r="K47" i="1" s="1"/>
  <c r="K48" i="1" s="1"/>
  <c r="K49" i="1" s="1"/>
  <c r="K50" i="1" s="1"/>
  <c r="K51" i="1" s="1"/>
  <c r="K52" i="1" s="1"/>
  <c r="K53" i="1" s="1"/>
  <c r="K54" i="1" s="1"/>
  <c r="K55" i="1" s="1"/>
  <c r="K56" i="1" s="1"/>
  <c r="I10" i="1"/>
  <c r="I11" i="1" s="1"/>
  <c r="I12" i="1" s="1"/>
  <c r="I13" i="1" s="1"/>
  <c r="I14" i="1" s="1"/>
  <c r="I15" i="1" s="1"/>
  <c r="I16" i="1" s="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9" i="1"/>
  <c r="C6" i="1"/>
  <c r="C8" i="1"/>
  <c r="C9" i="1"/>
  <c r="C7" i="1"/>
  <c r="B62" i="8"/>
  <c r="B50" i="8"/>
  <c r="C50" i="8"/>
  <c r="C51" i="8"/>
  <c r="C52" i="8"/>
  <c r="C53" i="8"/>
  <c r="C54" i="8"/>
  <c r="C55" i="8"/>
  <c r="C56" i="8"/>
  <c r="C57" i="8"/>
  <c r="C58" i="8"/>
  <c r="C59" i="8"/>
  <c r="C60" i="8"/>
  <c r="B61" i="8"/>
  <c r="B60" i="8"/>
  <c r="B59" i="8"/>
  <c r="B58" i="8"/>
  <c r="B57" i="8"/>
  <c r="B56" i="8"/>
  <c r="B55" i="8"/>
  <c r="B54" i="8"/>
  <c r="B53" i="8"/>
  <c r="B52" i="8"/>
  <c r="B51" i="8"/>
  <c r="B37" i="8"/>
  <c r="C37" i="8"/>
  <c r="C38" i="8"/>
  <c r="C39" i="8"/>
  <c r="C40" i="8"/>
  <c r="C41" i="8"/>
  <c r="C42" i="8"/>
  <c r="C43" i="8"/>
  <c r="C44" i="8"/>
  <c r="C45" i="8"/>
  <c r="C46" i="8"/>
  <c r="C47" i="8"/>
  <c r="B39" i="8"/>
  <c r="B40" i="8"/>
  <c r="B41" i="8"/>
  <c r="B42" i="8"/>
  <c r="B43" i="8"/>
  <c r="B44" i="8"/>
  <c r="B45" i="8"/>
  <c r="B46" i="8"/>
  <c r="B47" i="8"/>
  <c r="B48" i="8"/>
  <c r="B38" i="8"/>
  <c r="C21" i="8"/>
  <c r="C22" i="8"/>
  <c r="C23" i="8"/>
  <c r="C24" i="8"/>
  <c r="C25" i="8"/>
  <c r="C26" i="8"/>
  <c r="C27" i="8"/>
  <c r="C28" i="8"/>
  <c r="C29" i="8"/>
  <c r="C30" i="8"/>
  <c r="B24" i="8"/>
  <c r="B25" i="8"/>
  <c r="B26" i="8"/>
  <c r="B27" i="8"/>
  <c r="B28" i="8"/>
  <c r="B29" i="8"/>
  <c r="B30" i="8"/>
  <c r="B31" i="8"/>
  <c r="B23" i="8"/>
  <c r="B21" i="8"/>
  <c r="B22" i="8"/>
  <c r="J8" i="1"/>
  <c r="K8" i="1"/>
  <c r="L8" i="1"/>
  <c r="I8" i="1"/>
  <c r="H9" i="1"/>
  <c r="H10" i="1" s="1"/>
  <c r="H11" i="1" s="1"/>
  <c r="H12" i="1" s="1"/>
  <c r="H13" i="1" s="1"/>
  <c r="H14" i="1" s="1"/>
  <c r="H15" i="1" s="1"/>
  <c r="H16" i="1" s="1"/>
  <c r="H17" i="1" s="1"/>
  <c r="H18" i="1" s="1"/>
  <c r="H19" i="1" s="1"/>
  <c r="H20" i="1" s="1"/>
  <c r="H21" i="1" s="1"/>
  <c r="H22" i="1" s="1"/>
  <c r="H23" i="1" s="1"/>
  <c r="H24" i="1" s="1"/>
  <c r="H25" i="1" s="1"/>
  <c r="H26" i="1" s="1"/>
  <c r="H27" i="1" s="1"/>
  <c r="H28" i="1" s="1"/>
  <c r="H29" i="1" s="1"/>
  <c r="H30" i="1" s="1"/>
  <c r="H31" i="1" s="1"/>
  <c r="H32" i="1" s="1"/>
  <c r="H33" i="1" s="1"/>
  <c r="H34" i="1" s="1"/>
  <c r="H35" i="1" s="1"/>
  <c r="H36" i="1" s="1"/>
  <c r="H37" i="1" s="1"/>
  <c r="H38" i="1" s="1"/>
  <c r="H39" i="1" s="1"/>
  <c r="H40" i="1" s="1"/>
  <c r="H41" i="1" s="1"/>
  <c r="H42" i="1" s="1"/>
  <c r="H43" i="1" s="1"/>
  <c r="H44" i="1" s="1"/>
  <c r="H45" i="1" s="1"/>
  <c r="H46" i="1" s="1"/>
  <c r="H47" i="1" s="1"/>
  <c r="H48" i="1" s="1"/>
  <c r="H49" i="1" s="1"/>
  <c r="H50" i="1" s="1"/>
  <c r="H51" i="1" s="1"/>
  <c r="H52" i="1" s="1"/>
  <c r="H53" i="1" s="1"/>
  <c r="H54" i="1" s="1"/>
  <c r="H55" i="1" s="1"/>
  <c r="H56" i="1" s="1"/>
  <c r="G5" i="5"/>
  <c r="G6" i="5" s="1"/>
  <c r="G7" i="5" s="1"/>
  <c r="G8" i="5" s="1"/>
  <c r="G9" i="5" s="1"/>
  <c r="G10" i="5" s="1"/>
  <c r="G11" i="5" s="1"/>
  <c r="G12" i="5" s="1"/>
  <c r="G13" i="5" s="1"/>
  <c r="G14" i="5" s="1"/>
  <c r="G15" i="5" s="1"/>
  <c r="G16" i="5" s="1"/>
  <c r="G17" i="5" s="1"/>
  <c r="G18" i="5" s="1"/>
  <c r="G19" i="5" s="1"/>
  <c r="G20" i="5" s="1"/>
  <c r="G21" i="5" s="1"/>
  <c r="G22" i="5" s="1"/>
  <c r="G23" i="5" s="1"/>
  <c r="G24" i="5" s="1"/>
  <c r="G25" i="5" s="1"/>
  <c r="G26" i="5" s="1"/>
  <c r="G27" i="5" s="1"/>
  <c r="G28" i="5" s="1"/>
  <c r="G29" i="5" s="1"/>
  <c r="G30" i="5" s="1"/>
  <c r="G31" i="5" s="1"/>
  <c r="G32" i="5" s="1"/>
  <c r="G33" i="5" s="1"/>
  <c r="G34" i="5" s="1"/>
  <c r="G35" i="5" s="1"/>
  <c r="G36" i="5" s="1"/>
  <c r="G37" i="5" s="1"/>
  <c r="G38" i="5" s="1"/>
  <c r="G39" i="5" s="1"/>
  <c r="G40" i="5" s="1"/>
  <c r="G41" i="5" s="1"/>
  <c r="G42" i="5" s="1"/>
  <c r="G43" i="5" s="1"/>
  <c r="G44" i="5" s="1"/>
  <c r="G45" i="5" s="1"/>
  <c r="G46" i="5" s="1"/>
  <c r="G47" i="5" s="1"/>
  <c r="G48" i="5" s="1"/>
  <c r="G49" i="5" s="1"/>
  <c r="G50" i="5" s="1"/>
  <c r="G51" i="5" s="1"/>
  <c r="G52" i="5" s="1"/>
  <c r="A10" i="6"/>
  <c r="A11" i="6"/>
  <c r="A12" i="6"/>
  <c r="A13" i="6" s="1"/>
  <c r="A14" i="6" s="1"/>
  <c r="A15" i="6" s="1"/>
  <c r="A16" i="6" s="1"/>
  <c r="A17" i="6" s="1"/>
  <c r="A18" i="6" s="1"/>
  <c r="A19" i="6" s="1"/>
  <c r="A20" i="6" s="1"/>
  <c r="A21" i="6" s="1"/>
  <c r="A22" i="6" s="1"/>
  <c r="A23" i="6" s="1"/>
  <c r="A24" i="6" s="1"/>
  <c r="A25" i="6" s="1"/>
  <c r="A26" i="6" s="1"/>
  <c r="A27" i="6" s="1"/>
  <c r="A28" i="6" s="1"/>
  <c r="A29" i="6" s="1"/>
  <c r="A30" i="6" s="1"/>
  <c r="A31" i="6" s="1"/>
  <c r="A32" i="6" s="1"/>
  <c r="A33" i="6" s="1"/>
  <c r="A34" i="6" s="1"/>
  <c r="A35" i="6" s="1"/>
  <c r="A36" i="6" s="1"/>
  <c r="A37" i="6" s="1"/>
  <c r="A38" i="6" s="1"/>
  <c r="A39" i="6" s="1"/>
  <c r="A40" i="6" s="1"/>
  <c r="A41" i="6" s="1"/>
  <c r="A42" i="6" s="1"/>
  <c r="A43" i="6" s="1"/>
  <c r="A44" i="6" s="1"/>
  <c r="A45" i="6" s="1"/>
  <c r="A46" i="6" s="1"/>
  <c r="A47" i="6" s="1"/>
  <c r="A48" i="6" s="1"/>
  <c r="A49" i="6" s="1"/>
  <c r="A50" i="6" s="1"/>
  <c r="A51" i="6" s="1"/>
  <c r="A52" i="6" s="1"/>
  <c r="A53" i="6" s="1"/>
  <c r="A54" i="6" s="1"/>
  <c r="A55" i="6" s="1"/>
  <c r="A56" i="6" s="1"/>
  <c r="A57" i="6" s="1"/>
  <c r="A5" i="5"/>
  <c r="A6" i="5" s="1"/>
  <c r="A7" i="5" s="1"/>
  <c r="A8" i="5" s="1"/>
  <c r="A9" i="5" s="1"/>
  <c r="A10" i="5" s="1"/>
  <c r="A11" i="5" s="1"/>
  <c r="A12" i="5" s="1"/>
  <c r="A13" i="5" s="1"/>
  <c r="A14" i="5" s="1"/>
  <c r="A15" i="5" s="1"/>
  <c r="A16" i="5" s="1"/>
  <c r="A17" i="5" s="1"/>
  <c r="A18" i="5" s="1"/>
  <c r="A19" i="5" s="1"/>
  <c r="A20" i="5" s="1"/>
  <c r="A21" i="5" s="1"/>
  <c r="A22" i="5" s="1"/>
  <c r="A23" i="5" s="1"/>
  <c r="A24" i="5" s="1"/>
  <c r="A25" i="5" s="1"/>
  <c r="A26" i="5" s="1"/>
  <c r="A27" i="5" s="1"/>
  <c r="A28" i="5" s="1"/>
  <c r="A29" i="5" s="1"/>
  <c r="A30" i="5" s="1"/>
  <c r="A31" i="5" s="1"/>
  <c r="A32" i="5" s="1"/>
  <c r="A33" i="5" s="1"/>
  <c r="A34" i="5" s="1"/>
  <c r="A35" i="5" s="1"/>
  <c r="A36" i="5" s="1"/>
  <c r="A37" i="5" s="1"/>
  <c r="A38" i="5" s="1"/>
  <c r="A39" i="5" s="1"/>
  <c r="A40" i="5" s="1"/>
  <c r="A41" i="5" s="1"/>
  <c r="A42" i="5" s="1"/>
  <c r="A43" i="5" s="1"/>
  <c r="A44" i="5" s="1"/>
  <c r="A45" i="5" s="1"/>
  <c r="A46" i="5" s="1"/>
  <c r="A47" i="5" s="1"/>
  <c r="A48" i="5" s="1"/>
  <c r="A49" i="5" s="1"/>
  <c r="A50" i="5" s="1"/>
  <c r="A51" i="5" s="1"/>
  <c r="A52" i="5" s="1"/>
  <c r="G65" i="4"/>
  <c r="G66" i="4"/>
  <c r="G67" i="4"/>
  <c r="E65" i="4"/>
  <c r="A12" i="4"/>
  <c r="A13" i="4"/>
  <c r="A14" i="4" s="1"/>
  <c r="A15" i="4" s="1"/>
  <c r="A16" i="4" s="1"/>
  <c r="A17" i="4" s="1"/>
  <c r="A18" i="4" s="1"/>
  <c r="A19" i="4" s="1"/>
  <c r="A20" i="4" s="1"/>
  <c r="A21" i="4" s="1"/>
  <c r="A22" i="4" s="1"/>
  <c r="A23" i="4" s="1"/>
  <c r="A24" i="4" s="1"/>
  <c r="A25" i="4" s="1"/>
  <c r="A26" i="4" s="1"/>
  <c r="A27" i="4" s="1"/>
  <c r="A28" i="4" s="1"/>
  <c r="A29" i="4" s="1"/>
  <c r="A30" i="4" s="1"/>
  <c r="A31" i="4" s="1"/>
  <c r="A32" i="4" s="1"/>
  <c r="A33" i="4" s="1"/>
  <c r="A34" i="4" s="1"/>
  <c r="A35" i="4" s="1"/>
  <c r="A36" i="4" s="1"/>
  <c r="A37" i="4" s="1"/>
  <c r="A38" i="4" s="1"/>
  <c r="A39" i="4" s="1"/>
  <c r="A40" i="4" s="1"/>
  <c r="A41" i="4" s="1"/>
  <c r="A42" i="4" s="1"/>
  <c r="A43" i="4" s="1"/>
  <c r="A44" i="4" s="1"/>
  <c r="A45" i="4" s="1"/>
  <c r="A46" i="4" s="1"/>
  <c r="A47" i="4" s="1"/>
  <c r="A48" i="4" s="1"/>
  <c r="A49" i="4" s="1"/>
  <c r="A50" i="4" s="1"/>
  <c r="A51" i="4" s="1"/>
  <c r="A52" i="4" s="1"/>
  <c r="A53" i="4" s="1"/>
  <c r="A54" i="4" s="1"/>
  <c r="A55" i="4" s="1"/>
  <c r="A56" i="4" s="1"/>
  <c r="A57" i="4" s="1"/>
  <c r="A58" i="4" s="1"/>
  <c r="A59" i="4" s="1"/>
  <c r="A11" i="3"/>
  <c r="A12" i="3" s="1"/>
  <c r="A13" i="3" s="1"/>
  <c r="A14" i="3" s="1"/>
  <c r="A15" i="3" s="1"/>
  <c r="A16" i="3" s="1"/>
  <c r="A17" i="3" s="1"/>
  <c r="A18" i="3" s="1"/>
  <c r="A19" i="3" s="1"/>
  <c r="A20" i="3" s="1"/>
  <c r="A21" i="3" s="1"/>
  <c r="A22" i="3" s="1"/>
  <c r="A23" i="3" s="1"/>
  <c r="A24" i="3" s="1"/>
  <c r="A25" i="3" s="1"/>
  <c r="A26" i="3" s="1"/>
  <c r="A27" i="3" s="1"/>
  <c r="A28" i="3" s="1"/>
  <c r="A29" i="3" s="1"/>
  <c r="A30" i="3" s="1"/>
  <c r="A31" i="3" s="1"/>
  <c r="A32" i="3" s="1"/>
  <c r="A33" i="3" s="1"/>
  <c r="A34" i="3" s="1"/>
  <c r="A35" i="3" s="1"/>
  <c r="A36" i="3" s="1"/>
  <c r="A37" i="3" s="1"/>
  <c r="A38" i="3" s="1"/>
  <c r="A39" i="3" s="1"/>
  <c r="A40" i="3" s="1"/>
  <c r="A41" i="3" s="1"/>
  <c r="A42" i="3" s="1"/>
  <c r="A43" i="3" s="1"/>
  <c r="A44" i="3" s="1"/>
  <c r="A45" i="3" s="1"/>
  <c r="A46" i="3" s="1"/>
  <c r="A47" i="3" s="1"/>
  <c r="A48" i="3" s="1"/>
  <c r="A49" i="3" s="1"/>
  <c r="A50" i="3" s="1"/>
  <c r="A51" i="3" s="1"/>
  <c r="A52" i="3" s="1"/>
  <c r="A53" i="3" s="1"/>
  <c r="A54" i="3" s="1"/>
  <c r="A55" i="3" s="1"/>
  <c r="A56" i="3" s="1"/>
  <c r="A57" i="3" s="1"/>
  <c r="A58" i="3" s="1"/>
  <c r="A24" i="2"/>
  <c r="A25" i="2"/>
  <c r="A26" i="2"/>
  <c r="A27" i="2" s="1"/>
  <c r="A28" i="2" s="1"/>
  <c r="A29" i="2" s="1"/>
  <c r="A30" i="2" s="1"/>
  <c r="A31" i="2" s="1"/>
  <c r="A32" i="2" s="1"/>
  <c r="A33" i="2" s="1"/>
  <c r="A34" i="2" s="1"/>
  <c r="A35" i="2" s="1"/>
  <c r="A36" i="2" s="1"/>
  <c r="A37" i="2" s="1"/>
  <c r="A38" i="2" s="1"/>
  <c r="A39" i="2" s="1"/>
  <c r="A40" i="2" s="1"/>
  <c r="A41" i="2" s="1"/>
  <c r="A42" i="2" s="1"/>
  <c r="A43" i="2" s="1"/>
  <c r="A44" i="2" s="1"/>
  <c r="A45" i="2" s="1"/>
  <c r="A46" i="2" s="1"/>
  <c r="A47" i="2" s="1"/>
  <c r="A48" i="2" s="1"/>
  <c r="A49" i="2" s="1"/>
  <c r="A50" i="2" s="1"/>
  <c r="A51" i="2" s="1"/>
  <c r="A52" i="2" s="1"/>
  <c r="A53" i="2" s="1"/>
  <c r="A54" i="2" s="1"/>
  <c r="A55" i="2" s="1"/>
  <c r="A56" i="2" s="1"/>
  <c r="A57" i="2" s="1"/>
  <c r="A58" i="2" s="1"/>
  <c r="A59" i="2" s="1"/>
  <c r="A60" i="2" s="1"/>
  <c r="A61" i="2" s="1"/>
  <c r="A62" i="2" s="1"/>
  <c r="A63" i="2" s="1"/>
  <c r="A64" i="2" s="1"/>
  <c r="A65" i="2" s="1"/>
  <c r="A66" i="2" s="1"/>
  <c r="A67" i="2" s="1"/>
  <c r="A68" i="2" s="1"/>
  <c r="A69" i="2" s="1"/>
  <c r="A70" i="2" s="1"/>
  <c r="A71" i="2" s="1"/>
  <c r="K35" i="2"/>
  <c r="K36" i="2"/>
  <c r="K37" i="2"/>
  <c r="K38" i="2"/>
  <c r="K39" i="2"/>
  <c r="K40" i="2"/>
  <c r="K41" i="2"/>
  <c r="K42" i="2"/>
  <c r="K17" i="1" l="1"/>
  <c r="K18" i="1" s="1"/>
  <c r="K19" i="1" s="1"/>
  <c r="K20" i="1" s="1"/>
  <c r="K21" i="1" s="1"/>
  <c r="K22" i="1" s="1"/>
  <c r="K23" i="1" s="1"/>
  <c r="K24" i="1" s="1"/>
  <c r="K25" i="1" s="1"/>
  <c r="K26" i="1" s="1"/>
  <c r="K27" i="1" s="1"/>
  <c r="K28" i="1" s="1"/>
  <c r="K29" i="1" s="1"/>
  <c r="K30" i="1" s="1"/>
  <c r="K31" i="1" s="1"/>
  <c r="K32" i="1" s="1"/>
  <c r="K33" i="1" s="1"/>
  <c r="K34" i="1" s="1"/>
  <c r="B10" i="6"/>
  <c r="B11" i="6" s="1"/>
  <c r="B12" i="6" s="1"/>
  <c r="B13" i="6" s="1"/>
  <c r="B14" i="6" s="1"/>
  <c r="B15" i="6" s="1"/>
  <c r="B16" i="6" s="1"/>
  <c r="B17" i="6" s="1"/>
  <c r="B18" i="6" s="1"/>
  <c r="B19" i="6" s="1"/>
  <c r="B20" i="6" s="1"/>
  <c r="B21" i="6" s="1"/>
  <c r="B22" i="6" s="1"/>
  <c r="B23" i="6" s="1"/>
  <c r="B24" i="6" s="1"/>
  <c r="B25" i="6" s="1"/>
  <c r="B26" i="6" s="1"/>
  <c r="B27" i="6" s="1"/>
  <c r="B28" i="6" s="1"/>
  <c r="B29" i="6" s="1"/>
  <c r="B30" i="6" s="1"/>
  <c r="B31" i="6" s="1"/>
  <c r="B32" i="6" s="1"/>
  <c r="B33" i="6" s="1"/>
  <c r="B34" i="6" s="1"/>
  <c r="B35" i="6" s="1"/>
  <c r="B36" i="6" s="1"/>
  <c r="B37" i="6" s="1"/>
  <c r="B38" i="6" s="1"/>
  <c r="B39" i="6" s="1"/>
  <c r="B40" i="6" s="1"/>
  <c r="B41" i="6" s="1"/>
  <c r="B42" i="6" s="1"/>
  <c r="B43" i="6" s="1"/>
  <c r="B44" i="6" s="1"/>
  <c r="B45" i="6" s="1"/>
  <c r="B46" i="6" s="1"/>
  <c r="B47" i="6" s="1"/>
  <c r="B48" i="6" s="1"/>
  <c r="B49" i="6" s="1"/>
  <c r="B50" i="6" s="1"/>
  <c r="B51" i="6" s="1"/>
  <c r="B52" i="6" s="1"/>
  <c r="B53" i="6" s="1"/>
  <c r="B54" i="6" s="1"/>
  <c r="B55" i="6" s="1"/>
  <c r="B56" i="6" s="1"/>
  <c r="B57" i="6" s="1"/>
  <c r="B51" i="2"/>
  <c r="B63" i="2"/>
  <c r="B42" i="2"/>
  <c r="B40" i="2"/>
  <c r="B38" i="2"/>
  <c r="B36" i="2"/>
  <c r="B67" i="2"/>
  <c r="B45" i="2"/>
  <c r="B41" i="2"/>
  <c r="B39" i="2"/>
  <c r="B37" i="2"/>
  <c r="B35" i="2"/>
  <c r="B27" i="2"/>
  <c r="B46" i="2"/>
  <c r="B31" i="2"/>
  <c r="B48" i="2"/>
  <c r="B52" i="2"/>
  <c r="B29" i="2"/>
  <c r="B54" i="2"/>
  <c r="B50" i="2"/>
  <c r="J35" i="1"/>
  <c r="J36" i="1" s="1"/>
  <c r="J37" i="1" s="1"/>
  <c r="J38" i="1" s="1"/>
  <c r="J39" i="1" s="1"/>
  <c r="J40" i="1" s="1"/>
  <c r="J41" i="1" s="1"/>
  <c r="J42" i="1" s="1"/>
  <c r="J43" i="1" s="1"/>
  <c r="J44" i="1" s="1"/>
  <c r="J45" i="1" s="1"/>
  <c r="J46" i="1" s="1"/>
  <c r="J47" i="1" s="1"/>
  <c r="J48" i="1" s="1"/>
  <c r="J49" i="1" s="1"/>
  <c r="J50" i="1" s="1"/>
  <c r="J51" i="1" s="1"/>
  <c r="J52" i="1" s="1"/>
  <c r="J53" i="1" s="1"/>
  <c r="J54" i="1" s="1"/>
  <c r="J55" i="1" s="1"/>
  <c r="J56" i="1" s="1"/>
  <c r="B47" i="2"/>
  <c r="B33" i="2"/>
  <c r="B62" i="2"/>
  <c r="B56" i="2"/>
  <c r="B55" i="2"/>
  <c r="B28" i="2"/>
  <c r="B34" i="2"/>
  <c r="B30" i="2"/>
  <c r="B44" i="2"/>
  <c r="B24" i="2"/>
  <c r="B70" i="2"/>
  <c r="B57" i="2"/>
  <c r="B25" i="2"/>
  <c r="L17" i="1"/>
  <c r="L18" i="1" s="1"/>
  <c r="L19" i="1" s="1"/>
  <c r="L20" i="1" s="1"/>
  <c r="L21" i="1" s="1"/>
  <c r="L22" i="1" s="1"/>
  <c r="L23" i="1" s="1"/>
  <c r="L24" i="1" s="1"/>
  <c r="L25" i="1" s="1"/>
  <c r="L26" i="1" s="1"/>
  <c r="L27" i="1" s="1"/>
  <c r="L28" i="1" s="1"/>
  <c r="L29" i="1" s="1"/>
  <c r="L30" i="1" s="1"/>
  <c r="L31" i="1" s="1"/>
  <c r="L32" i="1" s="1"/>
  <c r="L33" i="1" s="1"/>
  <c r="L34" i="1" s="1"/>
  <c r="B53" i="2"/>
  <c r="I35" i="1"/>
  <c r="I36" i="1" s="1"/>
  <c r="I37" i="1" s="1"/>
  <c r="I38" i="1" s="1"/>
  <c r="I39" i="1" s="1"/>
  <c r="I40" i="1" s="1"/>
  <c r="I41" i="1" s="1"/>
  <c r="I42" i="1" s="1"/>
  <c r="I43" i="1" s="1"/>
  <c r="I44" i="1" s="1"/>
  <c r="I45" i="1" s="1"/>
  <c r="I46" i="1" s="1"/>
  <c r="I47" i="1" s="1"/>
  <c r="I48" i="1" s="1"/>
  <c r="I49" i="1" s="1"/>
  <c r="I50" i="1" s="1"/>
  <c r="I51" i="1" s="1"/>
  <c r="I52" i="1" s="1"/>
  <c r="I53" i="1" s="1"/>
  <c r="I54" i="1" s="1"/>
  <c r="I55" i="1" s="1"/>
  <c r="I56" i="1" s="1"/>
  <c r="I17" i="1"/>
  <c r="I18" i="1" s="1"/>
  <c r="I19" i="1" s="1"/>
  <c r="I20" i="1" s="1"/>
  <c r="I21" i="1" s="1"/>
  <c r="I22" i="1" s="1"/>
  <c r="I23" i="1" s="1"/>
  <c r="I24" i="1" s="1"/>
  <c r="I25" i="1" s="1"/>
  <c r="I26" i="1" s="1"/>
  <c r="I27" i="1" s="1"/>
  <c r="I28" i="1" s="1"/>
  <c r="I29" i="1" s="1"/>
  <c r="I30" i="1" s="1"/>
  <c r="I31" i="1" s="1"/>
  <c r="I32" i="1" s="1"/>
  <c r="I33" i="1" s="1"/>
  <c r="I34" i="1" s="1"/>
  <c r="L9" i="1"/>
  <c r="K9" i="1"/>
  <c r="K10" i="1"/>
  <c r="K11" i="1" s="1"/>
  <c r="K12" i="1" s="1"/>
  <c r="K13" i="1" s="1"/>
  <c r="K14" i="1" s="1"/>
  <c r="K15" i="1" s="1"/>
  <c r="K16" i="1" s="1"/>
  <c r="L10" i="1"/>
  <c r="L11" i="1" s="1"/>
  <c r="L12" i="1" s="1"/>
  <c r="L13" i="1" s="1"/>
  <c r="L14" i="1" s="1"/>
  <c r="L15" i="1" s="1"/>
  <c r="L16" i="1" s="1"/>
  <c r="J9" i="1"/>
  <c r="J10" i="1"/>
  <c r="J11" i="1" s="1"/>
  <c r="J12" i="1" s="1"/>
  <c r="J13" i="1" s="1"/>
  <c r="J14" i="1" s="1"/>
  <c r="J15" i="1" s="1"/>
  <c r="J16" i="1" s="1"/>
  <c r="J17" i="1"/>
  <c r="J18" i="1" s="1"/>
  <c r="J19" i="1" s="1"/>
  <c r="J20" i="1" s="1"/>
  <c r="J21" i="1" s="1"/>
  <c r="J22" i="1" s="1"/>
  <c r="J23" i="1" s="1"/>
  <c r="J24" i="1" s="1"/>
  <c r="J25" i="1" s="1"/>
  <c r="J26" i="1" s="1"/>
  <c r="J27" i="1" s="1"/>
  <c r="J28" i="1" s="1"/>
  <c r="J29" i="1" s="1"/>
  <c r="J30" i="1" s="1"/>
  <c r="J31" i="1" s="1"/>
  <c r="J32" i="1" s="1"/>
  <c r="J33" i="1" s="1"/>
  <c r="J34" i="1" s="1"/>
  <c r="I9" i="1"/>
  <c r="B26" i="2"/>
  <c r="B60" i="2"/>
  <c r="B69" i="2"/>
  <c r="B58" i="2"/>
  <c r="B43" i="2"/>
  <c r="B65" i="2"/>
  <c r="B32" i="2"/>
  <c r="B71" i="2"/>
  <c r="B61" i="2"/>
  <c r="B23" i="2"/>
  <c r="C9" i="6"/>
  <c r="B59" i="2"/>
  <c r="B49" i="2"/>
  <c r="B68" i="2"/>
  <c r="B64" i="2"/>
  <c r="B11" i="4"/>
  <c r="C11" i="4" s="1"/>
  <c r="N10" i="3" l="1"/>
  <c r="B10" i="3"/>
  <c r="C10" i="3" s="1"/>
  <c r="O10" i="3"/>
  <c r="K10" i="3"/>
  <c r="L10" i="3" s="1"/>
  <c r="B12" i="4"/>
  <c r="C12" i="4" s="1"/>
  <c r="B13" i="4"/>
  <c r="B14" i="4"/>
  <c r="J11" i="4"/>
  <c r="K11" i="4" s="1"/>
  <c r="C10" i="6"/>
  <c r="B11" i="3" s="1"/>
  <c r="C11" i="3" s="1"/>
  <c r="H11" i="4"/>
  <c r="G11" i="4"/>
  <c r="F11" i="4"/>
  <c r="E11" i="4"/>
  <c r="F12" i="4" l="1"/>
  <c r="D10" i="3"/>
  <c r="I10" i="3"/>
  <c r="K11" i="3"/>
  <c r="L11" i="3" s="1"/>
  <c r="N11" i="3"/>
  <c r="Q10" i="3"/>
  <c r="G12" i="4"/>
  <c r="C13" i="4"/>
  <c r="E12" i="4"/>
  <c r="H12" i="4"/>
  <c r="J12" i="4"/>
  <c r="K12" i="4" s="1"/>
  <c r="C11" i="6"/>
  <c r="B12" i="3" s="1"/>
  <c r="C12" i="3" s="1"/>
  <c r="P11" i="4"/>
  <c r="O11" i="4"/>
  <c r="N11" i="4"/>
  <c r="M11" i="4"/>
  <c r="E13" i="4" l="1"/>
  <c r="H10" i="3"/>
  <c r="F10" i="3"/>
  <c r="G10" i="3"/>
  <c r="O11" i="3"/>
  <c r="Q11" i="3" s="1"/>
  <c r="D11" i="3"/>
  <c r="I11" i="3" s="1"/>
  <c r="C4" i="5"/>
  <c r="E4" i="5"/>
  <c r="D4" i="5"/>
  <c r="B4" i="5"/>
  <c r="E4" i="11"/>
  <c r="B4" i="11"/>
  <c r="T10" i="3"/>
  <c r="V10" i="3"/>
  <c r="S10" i="3"/>
  <c r="H4" i="5" s="1"/>
  <c r="U10" i="3"/>
  <c r="K12" i="3"/>
  <c r="L12" i="3" s="1"/>
  <c r="N12" i="3"/>
  <c r="C4" i="11"/>
  <c r="D4" i="11"/>
  <c r="B16" i="4"/>
  <c r="B15" i="4"/>
  <c r="G13" i="4"/>
  <c r="H13" i="4"/>
  <c r="C14" i="4"/>
  <c r="F13" i="4"/>
  <c r="P12" i="4"/>
  <c r="M12" i="4"/>
  <c r="O12" i="4"/>
  <c r="N12" i="4"/>
  <c r="C12" i="6"/>
  <c r="B13" i="3" s="1"/>
  <c r="C13" i="3" s="1"/>
  <c r="J13" i="4"/>
  <c r="K13" i="4" s="1"/>
  <c r="G11" i="3" l="1"/>
  <c r="J4" i="11"/>
  <c r="J4" i="5"/>
  <c r="G14" i="4"/>
  <c r="K4" i="11"/>
  <c r="K4" i="5"/>
  <c r="H11" i="3"/>
  <c r="I4" i="11"/>
  <c r="I4" i="5"/>
  <c r="H4" i="11"/>
  <c r="O12" i="3"/>
  <c r="B5" i="5"/>
  <c r="E5" i="5"/>
  <c r="D5" i="11"/>
  <c r="V11" i="3"/>
  <c r="U11" i="3"/>
  <c r="E5" i="11"/>
  <c r="D12" i="3"/>
  <c r="I12" i="3" s="1"/>
  <c r="C5" i="5"/>
  <c r="C5" i="11"/>
  <c r="F11" i="3"/>
  <c r="S11" i="3"/>
  <c r="D5" i="5"/>
  <c r="B5" i="11"/>
  <c r="T11" i="3"/>
  <c r="K13" i="3"/>
  <c r="L13" i="3" s="1"/>
  <c r="N13" i="3"/>
  <c r="O13" i="3" s="1"/>
  <c r="Q12" i="3"/>
  <c r="B17" i="4"/>
  <c r="C15" i="4"/>
  <c r="H14" i="4"/>
  <c r="E14" i="4"/>
  <c r="F14" i="4"/>
  <c r="P13" i="4"/>
  <c r="O13" i="4"/>
  <c r="N13" i="4"/>
  <c r="M13" i="4"/>
  <c r="C13" i="6"/>
  <c r="B14" i="3" s="1"/>
  <c r="C14" i="3" s="1"/>
  <c r="J14" i="4"/>
  <c r="K14" i="4" s="1"/>
  <c r="I5" i="11" l="1"/>
  <c r="I5" i="5"/>
  <c r="J5" i="11"/>
  <c r="J5" i="5"/>
  <c r="K5" i="11"/>
  <c r="K5" i="5"/>
  <c r="H15" i="4"/>
  <c r="H5" i="5"/>
  <c r="H12" i="3"/>
  <c r="H5" i="11"/>
  <c r="E6" i="5"/>
  <c r="F12" i="3"/>
  <c r="D13" i="3"/>
  <c r="G13" i="3" s="1"/>
  <c r="G12" i="3"/>
  <c r="D6" i="5"/>
  <c r="B6" i="11"/>
  <c r="B6" i="5"/>
  <c r="C6" i="5"/>
  <c r="D6" i="11"/>
  <c r="S12" i="3"/>
  <c r="T12" i="3"/>
  <c r="U12" i="3"/>
  <c r="V12" i="3"/>
  <c r="K14" i="3"/>
  <c r="L14" i="3" s="1"/>
  <c r="N14" i="3"/>
  <c r="O14" i="3" s="1"/>
  <c r="E6" i="11"/>
  <c r="C6" i="11"/>
  <c r="Q13" i="3"/>
  <c r="F15" i="4"/>
  <c r="G15" i="4"/>
  <c r="E15" i="4"/>
  <c r="C16" i="4"/>
  <c r="M14" i="4"/>
  <c r="N14" i="4"/>
  <c r="P14" i="4"/>
  <c r="O14" i="4"/>
  <c r="J15" i="4"/>
  <c r="K15" i="4" s="1"/>
  <c r="C14" i="6"/>
  <c r="B15" i="3" s="1"/>
  <c r="C15" i="3" s="1"/>
  <c r="B18" i="4"/>
  <c r="H6" i="5" l="1"/>
  <c r="I6" i="5"/>
  <c r="F16" i="4"/>
  <c r="K6" i="11"/>
  <c r="K6" i="5"/>
  <c r="J6" i="11"/>
  <c r="J6" i="5"/>
  <c r="H6" i="11"/>
  <c r="I6" i="11"/>
  <c r="H13" i="3"/>
  <c r="C7" i="5"/>
  <c r="F13" i="3"/>
  <c r="I13" i="3"/>
  <c r="D14" i="3"/>
  <c r="H14" i="3" s="1"/>
  <c r="B7" i="5"/>
  <c r="D7" i="5"/>
  <c r="E7" i="11"/>
  <c r="E7" i="5"/>
  <c r="B7" i="11"/>
  <c r="D7" i="11"/>
  <c r="V13" i="3"/>
  <c r="K7" i="5" s="1"/>
  <c r="T13" i="3"/>
  <c r="S13" i="3"/>
  <c r="U13" i="3"/>
  <c r="K15" i="3"/>
  <c r="L15" i="3" s="1"/>
  <c r="N15" i="3"/>
  <c r="O15" i="3" s="1"/>
  <c r="C7" i="11"/>
  <c r="Q14" i="3"/>
  <c r="E16" i="4"/>
  <c r="C17" i="4"/>
  <c r="H16" i="4"/>
  <c r="G16" i="4"/>
  <c r="O15" i="4"/>
  <c r="M15" i="4"/>
  <c r="P15" i="4"/>
  <c r="N15" i="4"/>
  <c r="C15" i="6"/>
  <c r="B16" i="3" s="1"/>
  <c r="C16" i="3" s="1"/>
  <c r="J16" i="4"/>
  <c r="K16" i="4" s="1"/>
  <c r="B19" i="4"/>
  <c r="G17" i="4" l="1"/>
  <c r="I7" i="11"/>
  <c r="I7" i="5"/>
  <c r="J7" i="5"/>
  <c r="H7" i="5"/>
  <c r="K7" i="11"/>
  <c r="J7" i="11"/>
  <c r="F14" i="3"/>
  <c r="I14" i="3"/>
  <c r="G14" i="3"/>
  <c r="H7" i="11"/>
  <c r="B8" i="5"/>
  <c r="D15" i="3"/>
  <c r="F15" i="3" s="1"/>
  <c r="B8" i="11"/>
  <c r="D8" i="5"/>
  <c r="E8" i="5"/>
  <c r="C8" i="5"/>
  <c r="E8" i="11"/>
  <c r="D8" i="11"/>
  <c r="C8" i="11"/>
  <c r="K16" i="3"/>
  <c r="L16" i="3" s="1"/>
  <c r="N16" i="3"/>
  <c r="O16" i="3" s="1"/>
  <c r="Q15" i="3"/>
  <c r="U14" i="3"/>
  <c r="T14" i="3"/>
  <c r="V14" i="3"/>
  <c r="K8" i="5" s="1"/>
  <c r="S14" i="3"/>
  <c r="E17" i="4"/>
  <c r="H17" i="4"/>
  <c r="F17" i="4"/>
  <c r="C18" i="4"/>
  <c r="N16" i="4"/>
  <c r="O16" i="4"/>
  <c r="M16" i="4"/>
  <c r="P16" i="4"/>
  <c r="J17" i="4"/>
  <c r="K17" i="4" s="1"/>
  <c r="C16" i="6"/>
  <c r="B17" i="3" s="1"/>
  <c r="C17" i="3" s="1"/>
  <c r="B20" i="4"/>
  <c r="C19" i="4" l="1"/>
  <c r="J8" i="11"/>
  <c r="J8" i="5"/>
  <c r="H8" i="5"/>
  <c r="I8" i="11"/>
  <c r="I8" i="5"/>
  <c r="H8" i="11"/>
  <c r="H15" i="3"/>
  <c r="K8" i="11"/>
  <c r="I15" i="3"/>
  <c r="D9" i="5"/>
  <c r="G15" i="3"/>
  <c r="B9" i="5"/>
  <c r="C9" i="5"/>
  <c r="D16" i="3"/>
  <c r="G16" i="3" s="1"/>
  <c r="E9" i="5"/>
  <c r="B9" i="11"/>
  <c r="D9" i="11"/>
  <c r="Q16" i="3"/>
  <c r="U15" i="3"/>
  <c r="V15" i="3"/>
  <c r="T15" i="3"/>
  <c r="S15" i="3"/>
  <c r="K17" i="3"/>
  <c r="L17" i="3" s="1"/>
  <c r="N17" i="3"/>
  <c r="O17" i="3" s="1"/>
  <c r="C9" i="11"/>
  <c r="E9" i="11"/>
  <c r="H18" i="4"/>
  <c r="F18" i="4"/>
  <c r="G18" i="4"/>
  <c r="E18" i="4"/>
  <c r="P17" i="4"/>
  <c r="O17" i="4"/>
  <c r="N17" i="4"/>
  <c r="M17" i="4"/>
  <c r="J18" i="4"/>
  <c r="K18" i="4" s="1"/>
  <c r="C17" i="6"/>
  <c r="B18" i="3" s="1"/>
  <c r="C18" i="3" s="1"/>
  <c r="C20" i="4"/>
  <c r="F19" i="4"/>
  <c r="H19" i="4"/>
  <c r="G19" i="4"/>
  <c r="E19" i="4"/>
  <c r="B21" i="4"/>
  <c r="J9" i="11" l="1"/>
  <c r="J9" i="5"/>
  <c r="H9" i="11"/>
  <c r="H9" i="5"/>
  <c r="I9" i="5"/>
  <c r="K9" i="5"/>
  <c r="K9" i="11"/>
  <c r="I9" i="11"/>
  <c r="B10" i="5"/>
  <c r="D17" i="3"/>
  <c r="H16" i="3"/>
  <c r="I16" i="3"/>
  <c r="F16" i="3"/>
  <c r="E10" i="5"/>
  <c r="D10" i="5"/>
  <c r="C10" i="5"/>
  <c r="E10" i="11"/>
  <c r="B10" i="11"/>
  <c r="C10" i="11"/>
  <c r="D10" i="11"/>
  <c r="K18" i="3"/>
  <c r="L18" i="3" s="1"/>
  <c r="N18" i="3"/>
  <c r="O18" i="3" s="1"/>
  <c r="U16" i="3"/>
  <c r="J10" i="5" s="1"/>
  <c r="V16" i="3"/>
  <c r="T16" i="3"/>
  <c r="S16" i="3"/>
  <c r="H10" i="5" s="1"/>
  <c r="Q17" i="3"/>
  <c r="M18" i="4"/>
  <c r="N18" i="4"/>
  <c r="P18" i="4"/>
  <c r="O18" i="4"/>
  <c r="J19" i="4"/>
  <c r="K19" i="4" s="1"/>
  <c r="C18" i="6"/>
  <c r="B19" i="3" s="1"/>
  <c r="C19" i="3" s="1"/>
  <c r="B22" i="4"/>
  <c r="G20" i="4"/>
  <c r="F20" i="4"/>
  <c r="C21" i="4"/>
  <c r="H20" i="4"/>
  <c r="E20" i="4"/>
  <c r="K10" i="5" l="1"/>
  <c r="I10" i="11"/>
  <c r="I10" i="5"/>
  <c r="C11" i="5"/>
  <c r="H10" i="11"/>
  <c r="K10" i="11"/>
  <c r="J10" i="11"/>
  <c r="D18" i="3"/>
  <c r="I17" i="3"/>
  <c r="H17" i="3"/>
  <c r="G17" i="3"/>
  <c r="F17" i="3"/>
  <c r="B11" i="11"/>
  <c r="D11" i="5"/>
  <c r="E11" i="5"/>
  <c r="D11" i="11"/>
  <c r="B11" i="5"/>
  <c r="Q18" i="3"/>
  <c r="T17" i="3"/>
  <c r="S17" i="3"/>
  <c r="H11" i="5" s="1"/>
  <c r="U17" i="3"/>
  <c r="V17" i="3"/>
  <c r="E11" i="11"/>
  <c r="K19" i="3"/>
  <c r="L19" i="3" s="1"/>
  <c r="N19" i="3"/>
  <c r="O19" i="3" s="1"/>
  <c r="C11" i="11"/>
  <c r="O19" i="4"/>
  <c r="N19" i="4"/>
  <c r="M19" i="4"/>
  <c r="P19" i="4"/>
  <c r="C19" i="6"/>
  <c r="B20" i="3" s="1"/>
  <c r="C20" i="3" s="1"/>
  <c r="J20" i="4"/>
  <c r="K20" i="4" s="1"/>
  <c r="H21" i="4"/>
  <c r="F21" i="4"/>
  <c r="C22" i="4"/>
  <c r="G21" i="4"/>
  <c r="E21" i="4"/>
  <c r="B23" i="4"/>
  <c r="J11" i="5" l="1"/>
  <c r="I11" i="11"/>
  <c r="I11" i="5"/>
  <c r="K11" i="5"/>
  <c r="H11" i="11"/>
  <c r="J11" i="11"/>
  <c r="D19" i="3"/>
  <c r="F18" i="3"/>
  <c r="I18" i="3"/>
  <c r="G18" i="3"/>
  <c r="H18" i="3"/>
  <c r="B12" i="11"/>
  <c r="C12" i="11"/>
  <c r="K11" i="11"/>
  <c r="C12" i="5"/>
  <c r="D12" i="5"/>
  <c r="B12" i="5"/>
  <c r="E12" i="5"/>
  <c r="Q19" i="3"/>
  <c r="V18" i="3"/>
  <c r="S18" i="3"/>
  <c r="U18" i="3"/>
  <c r="T18" i="3"/>
  <c r="I12" i="5" s="1"/>
  <c r="K20" i="3"/>
  <c r="L20" i="3" s="1"/>
  <c r="N20" i="3"/>
  <c r="O20" i="3" s="1"/>
  <c r="D12" i="11"/>
  <c r="E12" i="11"/>
  <c r="P20" i="4"/>
  <c r="N20" i="4"/>
  <c r="O20" i="4"/>
  <c r="M20" i="4"/>
  <c r="C20" i="6"/>
  <c r="B21" i="3" s="1"/>
  <c r="C21" i="3" s="1"/>
  <c r="J21" i="4"/>
  <c r="K21" i="4" s="1"/>
  <c r="B24" i="4"/>
  <c r="C23" i="4"/>
  <c r="E22" i="4"/>
  <c r="F22" i="4"/>
  <c r="H22" i="4"/>
  <c r="G22" i="4"/>
  <c r="H12" i="5" l="1"/>
  <c r="K12" i="5"/>
  <c r="J12" i="5"/>
  <c r="H12" i="11"/>
  <c r="J12" i="11"/>
  <c r="K12" i="11"/>
  <c r="I12" i="11"/>
  <c r="D20" i="3"/>
  <c r="H19" i="3"/>
  <c r="G19" i="3"/>
  <c r="I19" i="3"/>
  <c r="F19" i="3"/>
  <c r="B13" i="5"/>
  <c r="C13" i="5"/>
  <c r="D13" i="5"/>
  <c r="E13" i="5"/>
  <c r="D13" i="11"/>
  <c r="V19" i="3"/>
  <c r="T19" i="3"/>
  <c r="S19" i="3"/>
  <c r="H13" i="5" s="1"/>
  <c r="U19" i="3"/>
  <c r="J13" i="5" s="1"/>
  <c r="C13" i="11"/>
  <c r="K21" i="3"/>
  <c r="L21" i="3" s="1"/>
  <c r="N21" i="3"/>
  <c r="O21" i="3" s="1"/>
  <c r="E13" i="11"/>
  <c r="Q20" i="3"/>
  <c r="B13" i="11"/>
  <c r="O21" i="4"/>
  <c r="P21" i="4"/>
  <c r="N21" i="4"/>
  <c r="M21" i="4"/>
  <c r="C21" i="6"/>
  <c r="B22" i="3" s="1"/>
  <c r="C22" i="3" s="1"/>
  <c r="J22" i="4"/>
  <c r="K22" i="4" s="1"/>
  <c r="B25" i="4"/>
  <c r="F23" i="4"/>
  <c r="H23" i="4"/>
  <c r="E23" i="4"/>
  <c r="C24" i="4"/>
  <c r="G23" i="4"/>
  <c r="I13" i="11" l="1"/>
  <c r="I13" i="5"/>
  <c r="K13" i="5"/>
  <c r="J13" i="11"/>
  <c r="H13" i="11"/>
  <c r="D21" i="3"/>
  <c r="I20" i="3"/>
  <c r="G20" i="3"/>
  <c r="F20" i="3"/>
  <c r="H20" i="3"/>
  <c r="K13" i="11"/>
  <c r="E14" i="5"/>
  <c r="C14" i="5"/>
  <c r="D14" i="5"/>
  <c r="B14" i="5"/>
  <c r="D14" i="11"/>
  <c r="Q21" i="3"/>
  <c r="U21" i="3" s="1"/>
  <c r="E14" i="11"/>
  <c r="U20" i="3"/>
  <c r="V20" i="3"/>
  <c r="K14" i="5" s="1"/>
  <c r="S20" i="3"/>
  <c r="T20" i="3"/>
  <c r="K22" i="3"/>
  <c r="L22" i="3" s="1"/>
  <c r="N22" i="3"/>
  <c r="O22" i="3" s="1"/>
  <c r="B14" i="11"/>
  <c r="C14" i="11"/>
  <c r="M22" i="4"/>
  <c r="P22" i="4"/>
  <c r="O22" i="4"/>
  <c r="N22" i="4"/>
  <c r="C22" i="6"/>
  <c r="B23" i="3" s="1"/>
  <c r="C23" i="3" s="1"/>
  <c r="J23" i="4"/>
  <c r="K23" i="4" s="1"/>
  <c r="H24" i="4"/>
  <c r="G24" i="4"/>
  <c r="F24" i="4"/>
  <c r="C25" i="4"/>
  <c r="E24" i="4"/>
  <c r="B26" i="4"/>
  <c r="J14" i="11" l="1"/>
  <c r="J14" i="5"/>
  <c r="I14" i="5"/>
  <c r="H14" i="11"/>
  <c r="H14" i="5"/>
  <c r="K14" i="11"/>
  <c r="I14" i="11"/>
  <c r="D22" i="3"/>
  <c r="F21" i="3"/>
  <c r="H21" i="3"/>
  <c r="J15" i="5" s="1"/>
  <c r="G21" i="3"/>
  <c r="I21" i="3"/>
  <c r="C15" i="11"/>
  <c r="S21" i="3"/>
  <c r="H15" i="5" s="1"/>
  <c r="D15" i="11"/>
  <c r="T21" i="3"/>
  <c r="E15" i="11"/>
  <c r="V21" i="3"/>
  <c r="B15" i="11"/>
  <c r="D15" i="5"/>
  <c r="E15" i="5"/>
  <c r="B15" i="5"/>
  <c r="C15" i="5"/>
  <c r="K23" i="3"/>
  <c r="L23" i="3" s="1"/>
  <c r="N23" i="3"/>
  <c r="O23" i="3" s="1"/>
  <c r="Q22" i="3"/>
  <c r="P23" i="4"/>
  <c r="M23" i="4"/>
  <c r="O23" i="4"/>
  <c r="N23" i="4"/>
  <c r="C23" i="6"/>
  <c r="B24" i="3" s="1"/>
  <c r="C24" i="3" s="1"/>
  <c r="J24" i="4"/>
  <c r="K24" i="4" s="1"/>
  <c r="E25" i="4"/>
  <c r="C26" i="4"/>
  <c r="F25" i="4"/>
  <c r="G25" i="4"/>
  <c r="H25" i="4"/>
  <c r="B27" i="4"/>
  <c r="K15" i="5" l="1"/>
  <c r="I15" i="11"/>
  <c r="I15" i="5"/>
  <c r="Q23" i="3"/>
  <c r="D23" i="3"/>
  <c r="F22" i="3"/>
  <c r="G22" i="3"/>
  <c r="H22" i="3"/>
  <c r="I22" i="3"/>
  <c r="K15" i="11"/>
  <c r="H15" i="11"/>
  <c r="J15" i="11"/>
  <c r="B16" i="5"/>
  <c r="E16" i="5"/>
  <c r="D16" i="5"/>
  <c r="C16" i="5"/>
  <c r="D16" i="11"/>
  <c r="B16" i="11"/>
  <c r="T22" i="3"/>
  <c r="I16" i="5" s="1"/>
  <c r="U22" i="3"/>
  <c r="V22" i="3"/>
  <c r="K16" i="5" s="1"/>
  <c r="S22" i="3"/>
  <c r="K24" i="3"/>
  <c r="L24" i="3" s="1"/>
  <c r="N24" i="3"/>
  <c r="O24" i="3" s="1"/>
  <c r="E16" i="11"/>
  <c r="C16" i="11"/>
  <c r="N24" i="4"/>
  <c r="M24" i="4"/>
  <c r="P24" i="4"/>
  <c r="O24" i="4"/>
  <c r="C24" i="6"/>
  <c r="B25" i="3" s="1"/>
  <c r="C25" i="3" s="1"/>
  <c r="J25" i="4"/>
  <c r="K25" i="4" s="1"/>
  <c r="B28" i="4"/>
  <c r="E26" i="4"/>
  <c r="F26" i="4"/>
  <c r="G26" i="4"/>
  <c r="C27" i="4"/>
  <c r="H26" i="4"/>
  <c r="J16" i="11" l="1"/>
  <c r="J16" i="5"/>
  <c r="H16" i="11"/>
  <c r="H16" i="5"/>
  <c r="I16" i="11"/>
  <c r="K16" i="11"/>
  <c r="D24" i="3"/>
  <c r="H23" i="3"/>
  <c r="G23" i="3"/>
  <c r="I23" i="3"/>
  <c r="F23" i="3"/>
  <c r="D17" i="5"/>
  <c r="B17" i="5"/>
  <c r="E17" i="5"/>
  <c r="C17" i="5"/>
  <c r="E17" i="11"/>
  <c r="B17" i="11"/>
  <c r="V23" i="3"/>
  <c r="T23" i="3"/>
  <c r="I17" i="5" s="1"/>
  <c r="S23" i="3"/>
  <c r="U23" i="3"/>
  <c r="K25" i="3"/>
  <c r="L25" i="3" s="1"/>
  <c r="N25" i="3"/>
  <c r="O25" i="3" s="1"/>
  <c r="C17" i="11"/>
  <c r="Q24" i="3"/>
  <c r="D17" i="11"/>
  <c r="N25" i="4"/>
  <c r="M25" i="4"/>
  <c r="P25" i="4"/>
  <c r="O25" i="4"/>
  <c r="C25" i="6"/>
  <c r="B26" i="3" s="1"/>
  <c r="C26" i="3" s="1"/>
  <c r="J26" i="4"/>
  <c r="K26" i="4" s="1"/>
  <c r="G27" i="4"/>
  <c r="E27" i="4"/>
  <c r="F27" i="4"/>
  <c r="H27" i="4"/>
  <c r="C28" i="4"/>
  <c r="B29" i="4"/>
  <c r="H17" i="11" l="1"/>
  <c r="H17" i="5"/>
  <c r="K17" i="5"/>
  <c r="J17" i="5"/>
  <c r="K17" i="11"/>
  <c r="J17" i="11"/>
  <c r="D18" i="11"/>
  <c r="C18" i="11"/>
  <c r="I17" i="11"/>
  <c r="D25" i="3"/>
  <c r="F24" i="3"/>
  <c r="H24" i="3"/>
  <c r="I24" i="3"/>
  <c r="G24" i="3"/>
  <c r="E18" i="11"/>
  <c r="B18" i="5"/>
  <c r="E18" i="5"/>
  <c r="C18" i="5"/>
  <c r="D18" i="5"/>
  <c r="B18" i="11"/>
  <c r="Q25" i="3"/>
  <c r="K26" i="3"/>
  <c r="L26" i="3" s="1"/>
  <c r="N26" i="3"/>
  <c r="O26" i="3" s="1"/>
  <c r="V24" i="3"/>
  <c r="K18" i="5" s="1"/>
  <c r="S24" i="3"/>
  <c r="T24" i="3"/>
  <c r="I18" i="5" s="1"/>
  <c r="U24" i="3"/>
  <c r="N26" i="4"/>
  <c r="P26" i="4"/>
  <c r="M26" i="4"/>
  <c r="O26" i="4"/>
  <c r="C26" i="6"/>
  <c r="B27" i="3" s="1"/>
  <c r="C27" i="3" s="1"/>
  <c r="J27" i="4"/>
  <c r="K27" i="4" s="1"/>
  <c r="B30" i="4"/>
  <c r="E28" i="4"/>
  <c r="H28" i="4"/>
  <c r="C29" i="4"/>
  <c r="F28" i="4"/>
  <c r="G28" i="4"/>
  <c r="J18" i="5" l="1"/>
  <c r="H18" i="5"/>
  <c r="I18" i="11"/>
  <c r="J18" i="11"/>
  <c r="D26" i="3"/>
  <c r="G25" i="3"/>
  <c r="F25" i="3"/>
  <c r="I25" i="3"/>
  <c r="H25" i="3"/>
  <c r="H18" i="11"/>
  <c r="K18" i="11"/>
  <c r="E19" i="11"/>
  <c r="D19" i="5"/>
  <c r="C19" i="5"/>
  <c r="E19" i="5"/>
  <c r="B19" i="5"/>
  <c r="U25" i="3"/>
  <c r="V25" i="3"/>
  <c r="T25" i="3"/>
  <c r="I19" i="5" s="1"/>
  <c r="S25" i="3"/>
  <c r="H19" i="5" s="1"/>
  <c r="K27" i="3"/>
  <c r="L27" i="3" s="1"/>
  <c r="N27" i="3"/>
  <c r="O27" i="3" s="1"/>
  <c r="C19" i="11"/>
  <c r="D19" i="11"/>
  <c r="B19" i="11"/>
  <c r="Q26" i="3"/>
  <c r="O27" i="4"/>
  <c r="M27" i="4"/>
  <c r="N27" i="4"/>
  <c r="P27" i="4"/>
  <c r="C27" i="6"/>
  <c r="B28" i="3" s="1"/>
  <c r="C28" i="3" s="1"/>
  <c r="J28" i="4"/>
  <c r="K28" i="4" s="1"/>
  <c r="C30" i="4"/>
  <c r="H29" i="4"/>
  <c r="G29" i="4"/>
  <c r="E29" i="4"/>
  <c r="F29" i="4"/>
  <c r="B31" i="4"/>
  <c r="K19" i="5" l="1"/>
  <c r="J19" i="11"/>
  <c r="J19" i="5"/>
  <c r="I19" i="11"/>
  <c r="H19" i="11"/>
  <c r="K19" i="11"/>
  <c r="D27" i="3"/>
  <c r="H26" i="3"/>
  <c r="I26" i="3"/>
  <c r="F26" i="3"/>
  <c r="G26" i="3"/>
  <c r="C20" i="5"/>
  <c r="D20" i="5"/>
  <c r="B20" i="5"/>
  <c r="E20" i="5"/>
  <c r="B20" i="11"/>
  <c r="S26" i="3"/>
  <c r="T26" i="3"/>
  <c r="U26" i="3"/>
  <c r="V26" i="3"/>
  <c r="K20" i="5" s="1"/>
  <c r="K28" i="3"/>
  <c r="L28" i="3" s="1"/>
  <c r="N28" i="3"/>
  <c r="O28" i="3" s="1"/>
  <c r="D20" i="11"/>
  <c r="E20" i="11"/>
  <c r="Q27" i="3"/>
  <c r="C20" i="11"/>
  <c r="P28" i="4"/>
  <c r="O28" i="4"/>
  <c r="N28" i="4"/>
  <c r="M28" i="4"/>
  <c r="C28" i="6"/>
  <c r="B29" i="3" s="1"/>
  <c r="C29" i="3" s="1"/>
  <c r="J29" i="4"/>
  <c r="K29" i="4" s="1"/>
  <c r="F30" i="4"/>
  <c r="H30" i="4"/>
  <c r="G30" i="4"/>
  <c r="C31" i="4"/>
  <c r="E30" i="4"/>
  <c r="B32" i="4"/>
  <c r="J20" i="5" l="1"/>
  <c r="I20" i="5"/>
  <c r="H20" i="5"/>
  <c r="H20" i="11"/>
  <c r="K20" i="11"/>
  <c r="D28" i="3"/>
  <c r="F27" i="3"/>
  <c r="H27" i="3"/>
  <c r="I27" i="3"/>
  <c r="G27" i="3"/>
  <c r="J20" i="11"/>
  <c r="I20" i="11"/>
  <c r="C21" i="5"/>
  <c r="D21" i="5"/>
  <c r="B21" i="5"/>
  <c r="E21" i="5"/>
  <c r="D21" i="11"/>
  <c r="E21" i="11"/>
  <c r="K29" i="3"/>
  <c r="L29" i="3" s="1"/>
  <c r="N29" i="3"/>
  <c r="O29" i="3" s="1"/>
  <c r="V27" i="3"/>
  <c r="T27" i="3"/>
  <c r="I21" i="5" s="1"/>
  <c r="S27" i="3"/>
  <c r="U27" i="3"/>
  <c r="B21" i="11"/>
  <c r="C21" i="11"/>
  <c r="Q28" i="3"/>
  <c r="N29" i="4"/>
  <c r="P29" i="4"/>
  <c r="O29" i="4"/>
  <c r="M29" i="4"/>
  <c r="C29" i="6"/>
  <c r="B30" i="3" s="1"/>
  <c r="C30" i="3" s="1"/>
  <c r="J30" i="4"/>
  <c r="K30" i="4" s="1"/>
  <c r="B33" i="4"/>
  <c r="G31" i="4"/>
  <c r="H31" i="4"/>
  <c r="E31" i="4"/>
  <c r="C32" i="4"/>
  <c r="F31" i="4"/>
  <c r="J21" i="11" l="1"/>
  <c r="J21" i="5"/>
  <c r="H21" i="11"/>
  <c r="H21" i="5"/>
  <c r="K21" i="11"/>
  <c r="K21" i="5"/>
  <c r="I21" i="11"/>
  <c r="D29" i="3"/>
  <c r="I28" i="3"/>
  <c r="H28" i="3"/>
  <c r="F28" i="3"/>
  <c r="G28" i="3"/>
  <c r="E22" i="11"/>
  <c r="B22" i="5"/>
  <c r="C22" i="5"/>
  <c r="D22" i="5"/>
  <c r="E22" i="5"/>
  <c r="Q29" i="3"/>
  <c r="D22" i="11"/>
  <c r="V28" i="3"/>
  <c r="K22" i="5" s="1"/>
  <c r="S28" i="3"/>
  <c r="T28" i="3"/>
  <c r="U28" i="3"/>
  <c r="J22" i="5" s="1"/>
  <c r="K30" i="3"/>
  <c r="L30" i="3" s="1"/>
  <c r="N30" i="3"/>
  <c r="O30" i="3" s="1"/>
  <c r="C22" i="11"/>
  <c r="B22" i="11"/>
  <c r="M30" i="4"/>
  <c r="O30" i="4"/>
  <c r="N30" i="4"/>
  <c r="P30" i="4"/>
  <c r="C30" i="6"/>
  <c r="B31" i="3" s="1"/>
  <c r="C31" i="3" s="1"/>
  <c r="J31" i="4"/>
  <c r="K31" i="4" s="1"/>
  <c r="F32" i="4"/>
  <c r="E32" i="4"/>
  <c r="C33" i="4"/>
  <c r="H32" i="4"/>
  <c r="G32" i="4"/>
  <c r="B34" i="4"/>
  <c r="I22" i="11" l="1"/>
  <c r="I22" i="5"/>
  <c r="H22" i="5"/>
  <c r="J22" i="11"/>
  <c r="H22" i="11"/>
  <c r="K22" i="11"/>
  <c r="D30" i="3"/>
  <c r="H29" i="3"/>
  <c r="F29" i="3"/>
  <c r="I29" i="3"/>
  <c r="G29" i="3"/>
  <c r="D23" i="11"/>
  <c r="E23" i="5"/>
  <c r="D23" i="5"/>
  <c r="C23" i="5"/>
  <c r="B23" i="5"/>
  <c r="S29" i="3"/>
  <c r="H23" i="5" s="1"/>
  <c r="T29" i="3"/>
  <c r="U29" i="3"/>
  <c r="B23" i="11"/>
  <c r="E23" i="11"/>
  <c r="C23" i="11"/>
  <c r="V29" i="3"/>
  <c r="Q30" i="3"/>
  <c r="K31" i="3"/>
  <c r="L31" i="3" s="1"/>
  <c r="N31" i="3"/>
  <c r="O31" i="3" s="1"/>
  <c r="M31" i="4"/>
  <c r="P31" i="4"/>
  <c r="O31" i="4"/>
  <c r="N31" i="4"/>
  <c r="C31" i="6"/>
  <c r="B32" i="3" s="1"/>
  <c r="C32" i="3" s="1"/>
  <c r="J32" i="4"/>
  <c r="K32" i="4" s="1"/>
  <c r="G33" i="4"/>
  <c r="F33" i="4"/>
  <c r="C34" i="4"/>
  <c r="H33" i="4"/>
  <c r="E33" i="4"/>
  <c r="B35" i="4"/>
  <c r="J23" i="5" l="1"/>
  <c r="K23" i="11"/>
  <c r="K23" i="5"/>
  <c r="I23" i="5"/>
  <c r="H23" i="11"/>
  <c r="E24" i="11"/>
  <c r="C24" i="11"/>
  <c r="J23" i="11"/>
  <c r="D31" i="3"/>
  <c r="I30" i="3"/>
  <c r="F30" i="3"/>
  <c r="H30" i="3"/>
  <c r="G30" i="3"/>
  <c r="I23" i="11"/>
  <c r="D24" i="11"/>
  <c r="B24" i="5"/>
  <c r="C24" i="5"/>
  <c r="E24" i="5"/>
  <c r="D24" i="5"/>
  <c r="B24" i="11"/>
  <c r="K32" i="3"/>
  <c r="L32" i="3" s="1"/>
  <c r="N32" i="3"/>
  <c r="O32" i="3" s="1"/>
  <c r="Q31" i="3"/>
  <c r="U30" i="3"/>
  <c r="J24" i="5" s="1"/>
  <c r="V30" i="3"/>
  <c r="T30" i="3"/>
  <c r="I24" i="5" s="1"/>
  <c r="S30" i="3"/>
  <c r="N32" i="4"/>
  <c r="P32" i="4"/>
  <c r="O32" i="4"/>
  <c r="M32" i="4"/>
  <c r="C32" i="6"/>
  <c r="B33" i="3" s="1"/>
  <c r="C33" i="3" s="1"/>
  <c r="J33" i="4"/>
  <c r="K33" i="4" s="1"/>
  <c r="H34" i="4"/>
  <c r="F34" i="4"/>
  <c r="G34" i="4"/>
  <c r="E34" i="4"/>
  <c r="C35" i="4"/>
  <c r="B36" i="4"/>
  <c r="H24" i="11" l="1"/>
  <c r="H24" i="5"/>
  <c r="K24" i="5"/>
  <c r="J24" i="11"/>
  <c r="I24" i="11"/>
  <c r="K24" i="11"/>
  <c r="D32" i="3"/>
  <c r="F31" i="3"/>
  <c r="G31" i="3"/>
  <c r="I31" i="3"/>
  <c r="H31" i="3"/>
  <c r="C25" i="5"/>
  <c r="E25" i="5"/>
  <c r="B25" i="5"/>
  <c r="D25" i="5"/>
  <c r="C25" i="11"/>
  <c r="Q32" i="3"/>
  <c r="K33" i="3"/>
  <c r="L33" i="3" s="1"/>
  <c r="N33" i="3"/>
  <c r="O33" i="3" s="1"/>
  <c r="U31" i="3"/>
  <c r="J25" i="5" s="1"/>
  <c r="V31" i="3"/>
  <c r="T31" i="3"/>
  <c r="I25" i="5" s="1"/>
  <c r="S31" i="3"/>
  <c r="B25" i="11"/>
  <c r="D25" i="11"/>
  <c r="E25" i="11"/>
  <c r="N33" i="4"/>
  <c r="M33" i="4"/>
  <c r="P33" i="4"/>
  <c r="O33" i="4"/>
  <c r="C33" i="6"/>
  <c r="B34" i="3" s="1"/>
  <c r="C34" i="3" s="1"/>
  <c r="J34" i="4"/>
  <c r="K34" i="4" s="1"/>
  <c r="H35" i="4"/>
  <c r="F35" i="4"/>
  <c r="C36" i="4"/>
  <c r="G35" i="4"/>
  <c r="E35" i="4"/>
  <c r="B37" i="4"/>
  <c r="H25" i="5" l="1"/>
  <c r="K25" i="5"/>
  <c r="J25" i="11"/>
  <c r="K25" i="11"/>
  <c r="C26" i="11"/>
  <c r="H25" i="11"/>
  <c r="D33" i="3"/>
  <c r="H32" i="3"/>
  <c r="G32" i="3"/>
  <c r="I32" i="3"/>
  <c r="F32" i="3"/>
  <c r="D26" i="11"/>
  <c r="I25" i="11"/>
  <c r="E26" i="5"/>
  <c r="C26" i="5"/>
  <c r="D26" i="5"/>
  <c r="B26" i="5"/>
  <c r="K34" i="3"/>
  <c r="L34" i="3" s="1"/>
  <c r="N34" i="3"/>
  <c r="O34" i="3" s="1"/>
  <c r="U32" i="3"/>
  <c r="T32" i="3"/>
  <c r="I26" i="5" s="1"/>
  <c r="V32" i="3"/>
  <c r="S32" i="3"/>
  <c r="H26" i="5" s="1"/>
  <c r="Q33" i="3"/>
  <c r="E26" i="11"/>
  <c r="B26" i="11"/>
  <c r="M34" i="4"/>
  <c r="P34" i="4"/>
  <c r="N34" i="4"/>
  <c r="O34" i="4"/>
  <c r="C34" i="6"/>
  <c r="B35" i="3" s="1"/>
  <c r="C35" i="3" s="1"/>
  <c r="J35" i="4"/>
  <c r="K35" i="4" s="1"/>
  <c r="B38" i="4"/>
  <c r="E36" i="4"/>
  <c r="G36" i="4"/>
  <c r="F36" i="4"/>
  <c r="C37" i="4"/>
  <c r="H36" i="4"/>
  <c r="J26" i="11" l="1"/>
  <c r="J26" i="5"/>
  <c r="K26" i="11"/>
  <c r="K26" i="5"/>
  <c r="I26" i="11"/>
  <c r="H26" i="11"/>
  <c r="E27" i="11"/>
  <c r="D34" i="3"/>
  <c r="F33" i="3"/>
  <c r="G33" i="3"/>
  <c r="H33" i="3"/>
  <c r="I33" i="3"/>
  <c r="C27" i="11"/>
  <c r="D27" i="5"/>
  <c r="C27" i="5"/>
  <c r="B27" i="5"/>
  <c r="E27" i="5"/>
  <c r="B27" i="11"/>
  <c r="D27" i="11"/>
  <c r="K35" i="3"/>
  <c r="L35" i="3" s="1"/>
  <c r="N35" i="3"/>
  <c r="O35" i="3" s="1"/>
  <c r="Q34" i="3"/>
  <c r="V33" i="3"/>
  <c r="T33" i="3"/>
  <c r="I27" i="5" s="1"/>
  <c r="S33" i="3"/>
  <c r="H27" i="5" s="1"/>
  <c r="U33" i="3"/>
  <c r="O35" i="4"/>
  <c r="N35" i="4"/>
  <c r="M35" i="4"/>
  <c r="P35" i="4"/>
  <c r="C35" i="6"/>
  <c r="B36" i="3" s="1"/>
  <c r="C36" i="3" s="1"/>
  <c r="J36" i="4"/>
  <c r="K36" i="4" s="1"/>
  <c r="E37" i="4"/>
  <c r="G37" i="4"/>
  <c r="C38" i="4"/>
  <c r="H37" i="4"/>
  <c r="F37" i="4"/>
  <c r="B39" i="4"/>
  <c r="K27" i="5" l="1"/>
  <c r="J27" i="5"/>
  <c r="H27" i="11"/>
  <c r="D28" i="11"/>
  <c r="K27" i="11"/>
  <c r="J27" i="11"/>
  <c r="I27" i="11"/>
  <c r="D35" i="3"/>
  <c r="H34" i="3"/>
  <c r="F34" i="3"/>
  <c r="G34" i="3"/>
  <c r="I34" i="3"/>
  <c r="B28" i="5"/>
  <c r="C28" i="5"/>
  <c r="E28" i="5"/>
  <c r="D28" i="5"/>
  <c r="B28" i="11"/>
  <c r="C28" i="11"/>
  <c r="S34" i="3"/>
  <c r="H28" i="5" s="1"/>
  <c r="T34" i="3"/>
  <c r="I28" i="5" s="1"/>
  <c r="U34" i="3"/>
  <c r="V34" i="3"/>
  <c r="Q35" i="3"/>
  <c r="K36" i="3"/>
  <c r="L36" i="3" s="1"/>
  <c r="N36" i="3"/>
  <c r="O36" i="3" s="1"/>
  <c r="E28" i="11"/>
  <c r="P36" i="4"/>
  <c r="O36" i="4"/>
  <c r="N36" i="4"/>
  <c r="M36" i="4"/>
  <c r="C36" i="6"/>
  <c r="B37" i="3" s="1"/>
  <c r="C37" i="3" s="1"/>
  <c r="J37" i="4"/>
  <c r="K37" i="4" s="1"/>
  <c r="G38" i="4"/>
  <c r="C39" i="4"/>
  <c r="E38" i="4"/>
  <c r="F38" i="4"/>
  <c r="H38" i="4"/>
  <c r="B40" i="4"/>
  <c r="K28" i="5" l="1"/>
  <c r="J28" i="11"/>
  <c r="J28" i="5"/>
  <c r="H28" i="11"/>
  <c r="D29" i="11"/>
  <c r="I28" i="11"/>
  <c r="D36" i="3"/>
  <c r="F35" i="3"/>
  <c r="G35" i="3"/>
  <c r="I35" i="3"/>
  <c r="H35" i="3"/>
  <c r="K28" i="11"/>
  <c r="B29" i="11"/>
  <c r="C29" i="11"/>
  <c r="E29" i="5"/>
  <c r="D29" i="5"/>
  <c r="B29" i="5"/>
  <c r="C29" i="5"/>
  <c r="Q36" i="3"/>
  <c r="V35" i="3"/>
  <c r="K29" i="5" s="1"/>
  <c r="U35" i="3"/>
  <c r="T35" i="3"/>
  <c r="S35" i="3"/>
  <c r="K37" i="3"/>
  <c r="L37" i="3" s="1"/>
  <c r="N37" i="3"/>
  <c r="O37" i="3" s="1"/>
  <c r="E29" i="11"/>
  <c r="P37" i="4"/>
  <c r="O37" i="4"/>
  <c r="N37" i="4"/>
  <c r="M37" i="4"/>
  <c r="C37" i="6"/>
  <c r="B38" i="3" s="1"/>
  <c r="C38" i="3" s="1"/>
  <c r="J38" i="4"/>
  <c r="K38" i="4" s="1"/>
  <c r="B41" i="4"/>
  <c r="C40" i="4"/>
  <c r="F39" i="4"/>
  <c r="G39" i="4"/>
  <c r="H39" i="4"/>
  <c r="E39" i="4"/>
  <c r="H29" i="5" l="1"/>
  <c r="I29" i="11"/>
  <c r="I29" i="5"/>
  <c r="J29" i="5"/>
  <c r="E30" i="11"/>
  <c r="D30" i="11"/>
  <c r="J29" i="11"/>
  <c r="H29" i="11"/>
  <c r="K29" i="11"/>
  <c r="D37" i="3"/>
  <c r="I36" i="3"/>
  <c r="F36" i="3"/>
  <c r="G36" i="3"/>
  <c r="H36" i="3"/>
  <c r="E30" i="5"/>
  <c r="C30" i="5"/>
  <c r="B30" i="5"/>
  <c r="D30" i="5"/>
  <c r="B30" i="11"/>
  <c r="T36" i="3"/>
  <c r="I30" i="5" s="1"/>
  <c r="U36" i="3"/>
  <c r="V36" i="3"/>
  <c r="S36" i="3"/>
  <c r="K38" i="3"/>
  <c r="L38" i="3" s="1"/>
  <c r="N38" i="3"/>
  <c r="O38" i="3" s="1"/>
  <c r="Q37" i="3"/>
  <c r="C30" i="11"/>
  <c r="M38" i="4"/>
  <c r="P38" i="4"/>
  <c r="O38" i="4"/>
  <c r="N38" i="4"/>
  <c r="C38" i="6"/>
  <c r="B39" i="3" s="1"/>
  <c r="C39" i="3" s="1"/>
  <c r="J39" i="4"/>
  <c r="K39" i="4" s="1"/>
  <c r="B42" i="4"/>
  <c r="F40" i="4"/>
  <c r="G40" i="4"/>
  <c r="H40" i="4"/>
  <c r="C41" i="4"/>
  <c r="E40" i="4"/>
  <c r="H30" i="5" l="1"/>
  <c r="K30" i="5"/>
  <c r="J30" i="5"/>
  <c r="I30" i="11"/>
  <c r="H30" i="11"/>
  <c r="K30" i="11"/>
  <c r="D38" i="3"/>
  <c r="G37" i="3"/>
  <c r="F37" i="3"/>
  <c r="H37" i="3"/>
  <c r="I37" i="3"/>
  <c r="J30" i="11"/>
  <c r="D31" i="11"/>
  <c r="C31" i="11"/>
  <c r="B31" i="5"/>
  <c r="C31" i="5"/>
  <c r="E31" i="5"/>
  <c r="D31" i="5"/>
  <c r="E31" i="11"/>
  <c r="B31" i="11"/>
  <c r="Q38" i="3"/>
  <c r="K39" i="3"/>
  <c r="L39" i="3" s="1"/>
  <c r="N39" i="3"/>
  <c r="O39" i="3" s="1"/>
  <c r="S37" i="3"/>
  <c r="H31" i="5" s="1"/>
  <c r="U37" i="3"/>
  <c r="V37" i="3"/>
  <c r="T37" i="3"/>
  <c r="O39" i="4"/>
  <c r="M39" i="4"/>
  <c r="P39" i="4"/>
  <c r="N39" i="4"/>
  <c r="C39" i="6"/>
  <c r="B40" i="3" s="1"/>
  <c r="C40" i="3" s="1"/>
  <c r="J40" i="4"/>
  <c r="K40" i="4" s="1"/>
  <c r="F41" i="4"/>
  <c r="G41" i="4"/>
  <c r="H41" i="4"/>
  <c r="C42" i="4"/>
  <c r="E41" i="4"/>
  <c r="B43" i="4"/>
  <c r="I31" i="5" l="1"/>
  <c r="K31" i="5"/>
  <c r="J31" i="5"/>
  <c r="H31" i="11"/>
  <c r="I31" i="11"/>
  <c r="D39" i="3"/>
  <c r="F38" i="3"/>
  <c r="H38" i="3"/>
  <c r="I38" i="3"/>
  <c r="G38" i="3"/>
  <c r="K31" i="11"/>
  <c r="B32" i="11"/>
  <c r="J31" i="11"/>
  <c r="E32" i="11"/>
  <c r="C32" i="5"/>
  <c r="D32" i="5"/>
  <c r="E32" i="5"/>
  <c r="B32" i="5"/>
  <c r="Q39" i="3"/>
  <c r="T38" i="3"/>
  <c r="I32" i="5" s="1"/>
  <c r="U38" i="3"/>
  <c r="V38" i="3"/>
  <c r="S38" i="3"/>
  <c r="K40" i="3"/>
  <c r="L40" i="3" s="1"/>
  <c r="N40" i="3"/>
  <c r="O40" i="3" s="1"/>
  <c r="D32" i="11"/>
  <c r="C32" i="11"/>
  <c r="N40" i="4"/>
  <c r="O40" i="4"/>
  <c r="M40" i="4"/>
  <c r="P40" i="4"/>
  <c r="C40" i="6"/>
  <c r="B41" i="3" s="1"/>
  <c r="C41" i="3" s="1"/>
  <c r="J41" i="4"/>
  <c r="K41" i="4" s="1"/>
  <c r="B44" i="4"/>
  <c r="E42" i="4"/>
  <c r="H42" i="4"/>
  <c r="C43" i="4"/>
  <c r="F42" i="4"/>
  <c r="G42" i="4"/>
  <c r="H32" i="11" l="1"/>
  <c r="H32" i="5"/>
  <c r="K32" i="11"/>
  <c r="K32" i="5"/>
  <c r="J32" i="5"/>
  <c r="I32" i="11"/>
  <c r="D40" i="3"/>
  <c r="H39" i="3"/>
  <c r="I39" i="3"/>
  <c r="F39" i="3"/>
  <c r="G39" i="3"/>
  <c r="J32" i="11"/>
  <c r="B33" i="5"/>
  <c r="C33" i="5"/>
  <c r="D33" i="5"/>
  <c r="E33" i="5"/>
  <c r="B33" i="11"/>
  <c r="D33" i="11"/>
  <c r="Q40" i="3"/>
  <c r="V39" i="3"/>
  <c r="K33" i="5" s="1"/>
  <c r="T39" i="3"/>
  <c r="S39" i="3"/>
  <c r="H33" i="5" s="1"/>
  <c r="U39" i="3"/>
  <c r="K41" i="3"/>
  <c r="L41" i="3" s="1"/>
  <c r="N41" i="3"/>
  <c r="O41" i="3" s="1"/>
  <c r="C33" i="11"/>
  <c r="E33" i="11"/>
  <c r="M41" i="4"/>
  <c r="P41" i="4"/>
  <c r="O41" i="4"/>
  <c r="N41" i="4"/>
  <c r="C41" i="6"/>
  <c r="B42" i="3" s="1"/>
  <c r="C42" i="3" s="1"/>
  <c r="J42" i="4"/>
  <c r="K42" i="4" s="1"/>
  <c r="B45" i="4"/>
  <c r="G43" i="4"/>
  <c r="C44" i="4"/>
  <c r="E43" i="4"/>
  <c r="H43" i="4"/>
  <c r="F43" i="4"/>
  <c r="J33" i="5" l="1"/>
  <c r="I33" i="11"/>
  <c r="I33" i="5"/>
  <c r="J33" i="11"/>
  <c r="H33" i="11"/>
  <c r="K33" i="11"/>
  <c r="D41" i="3"/>
  <c r="H40" i="3"/>
  <c r="G40" i="3"/>
  <c r="I40" i="3"/>
  <c r="F40" i="3"/>
  <c r="B34" i="11"/>
  <c r="E34" i="11"/>
  <c r="C34" i="5"/>
  <c r="E34" i="5"/>
  <c r="D34" i="5"/>
  <c r="B34" i="5"/>
  <c r="D34" i="11"/>
  <c r="Q41" i="3"/>
  <c r="K42" i="3"/>
  <c r="L42" i="3" s="1"/>
  <c r="N42" i="3"/>
  <c r="O42" i="3" s="1"/>
  <c r="S40" i="3"/>
  <c r="T40" i="3"/>
  <c r="V40" i="3"/>
  <c r="K34" i="5" s="1"/>
  <c r="U40" i="3"/>
  <c r="C34" i="11"/>
  <c r="N42" i="4"/>
  <c r="M42" i="4"/>
  <c r="P42" i="4"/>
  <c r="O42" i="4"/>
  <c r="C42" i="6"/>
  <c r="B43" i="3" s="1"/>
  <c r="C43" i="3" s="1"/>
  <c r="J43" i="4"/>
  <c r="K43" i="4" s="1"/>
  <c r="B46" i="4"/>
  <c r="C45" i="4"/>
  <c r="E44" i="4"/>
  <c r="H44" i="4"/>
  <c r="F44" i="4"/>
  <c r="G44" i="4"/>
  <c r="I34" i="11" l="1"/>
  <c r="I34" i="5"/>
  <c r="H34" i="5"/>
  <c r="J34" i="5"/>
  <c r="K34" i="11"/>
  <c r="D42" i="3"/>
  <c r="G41" i="3"/>
  <c r="H41" i="3"/>
  <c r="I41" i="3"/>
  <c r="F41" i="3"/>
  <c r="H34" i="11"/>
  <c r="J34" i="11"/>
  <c r="B35" i="11"/>
  <c r="E35" i="11"/>
  <c r="E35" i="5"/>
  <c r="D35" i="5"/>
  <c r="C35" i="5"/>
  <c r="B35" i="5"/>
  <c r="Q42" i="3"/>
  <c r="V42" i="3" s="1"/>
  <c r="D35" i="11"/>
  <c r="U41" i="3"/>
  <c r="V41" i="3"/>
  <c r="K35" i="5" s="1"/>
  <c r="T41" i="3"/>
  <c r="I35" i="5" s="1"/>
  <c r="S41" i="3"/>
  <c r="K43" i="3"/>
  <c r="L43" i="3" s="1"/>
  <c r="N43" i="3"/>
  <c r="O43" i="3" s="1"/>
  <c r="C35" i="11"/>
  <c r="O43" i="4"/>
  <c r="M43" i="4"/>
  <c r="N43" i="4"/>
  <c r="P43" i="4"/>
  <c r="C43" i="6"/>
  <c r="B44" i="3" s="1"/>
  <c r="C44" i="3" s="1"/>
  <c r="J44" i="4"/>
  <c r="K44" i="4" s="1"/>
  <c r="G45" i="4"/>
  <c r="E45" i="4"/>
  <c r="C46" i="4"/>
  <c r="H45" i="4"/>
  <c r="F45" i="4"/>
  <c r="B47" i="4"/>
  <c r="H35" i="11" l="1"/>
  <c r="H35" i="5"/>
  <c r="J35" i="5"/>
  <c r="I35" i="11"/>
  <c r="J35" i="11"/>
  <c r="E36" i="11"/>
  <c r="K35" i="11"/>
  <c r="D43" i="3"/>
  <c r="H42" i="3"/>
  <c r="F42" i="3"/>
  <c r="I42" i="3"/>
  <c r="K36" i="5" s="1"/>
  <c r="G42" i="3"/>
  <c r="U42" i="3"/>
  <c r="J36" i="5" s="1"/>
  <c r="D36" i="11"/>
  <c r="C36" i="11"/>
  <c r="B36" i="5"/>
  <c r="E36" i="5"/>
  <c r="D36" i="5"/>
  <c r="C36" i="5"/>
  <c r="T42" i="3"/>
  <c r="I36" i="5" s="1"/>
  <c r="B36" i="11"/>
  <c r="S42" i="3"/>
  <c r="H36" i="5" s="1"/>
  <c r="K44" i="3"/>
  <c r="L44" i="3" s="1"/>
  <c r="N44" i="3"/>
  <c r="O44" i="3" s="1"/>
  <c r="Q43" i="3"/>
  <c r="P44" i="4"/>
  <c r="O44" i="4"/>
  <c r="N44" i="4"/>
  <c r="M44" i="4"/>
  <c r="C44" i="6"/>
  <c r="B45" i="3" s="1"/>
  <c r="C45" i="3" s="1"/>
  <c r="J45" i="4"/>
  <c r="K45" i="4" s="1"/>
  <c r="B48" i="4"/>
  <c r="F46" i="4"/>
  <c r="G46" i="4"/>
  <c r="E46" i="4"/>
  <c r="H46" i="4"/>
  <c r="C47" i="4"/>
  <c r="J36" i="11" l="1"/>
  <c r="I36" i="11"/>
  <c r="H36" i="11"/>
  <c r="K36" i="11"/>
  <c r="D44" i="3"/>
  <c r="H43" i="3"/>
  <c r="I43" i="3"/>
  <c r="F43" i="3"/>
  <c r="G43" i="3"/>
  <c r="D37" i="5"/>
  <c r="B37" i="5"/>
  <c r="E37" i="5"/>
  <c r="C37" i="5"/>
  <c r="E37" i="11"/>
  <c r="B37" i="11"/>
  <c r="C37" i="11"/>
  <c r="K45" i="3"/>
  <c r="L45" i="3" s="1"/>
  <c r="N45" i="3"/>
  <c r="O45" i="3" s="1"/>
  <c r="V43" i="3"/>
  <c r="K37" i="5" s="1"/>
  <c r="T43" i="3"/>
  <c r="I37" i="5" s="1"/>
  <c r="S43" i="3"/>
  <c r="U43" i="3"/>
  <c r="J37" i="5" s="1"/>
  <c r="D37" i="11"/>
  <c r="Q44" i="3"/>
  <c r="O45" i="4"/>
  <c r="P45" i="4"/>
  <c r="N45" i="4"/>
  <c r="M45" i="4"/>
  <c r="C45" i="6"/>
  <c r="B46" i="3" s="1"/>
  <c r="C46" i="3" s="1"/>
  <c r="J46" i="4"/>
  <c r="K46" i="4" s="1"/>
  <c r="B49" i="4"/>
  <c r="E47" i="4"/>
  <c r="H47" i="4"/>
  <c r="F47" i="4"/>
  <c r="C48" i="4"/>
  <c r="G47" i="4"/>
  <c r="H37" i="5" l="1"/>
  <c r="H37" i="11"/>
  <c r="K37" i="11"/>
  <c r="J37" i="11"/>
  <c r="D45" i="3"/>
  <c r="G44" i="3"/>
  <c r="I44" i="3"/>
  <c r="F44" i="3"/>
  <c r="H44" i="3"/>
  <c r="I37" i="11"/>
  <c r="E38" i="5"/>
  <c r="B38" i="5"/>
  <c r="C38" i="5"/>
  <c r="D38" i="5"/>
  <c r="C38" i="11"/>
  <c r="E38" i="11"/>
  <c r="Q45" i="3"/>
  <c r="V44" i="3"/>
  <c r="S44" i="3"/>
  <c r="T44" i="3"/>
  <c r="I38" i="5" s="1"/>
  <c r="U44" i="3"/>
  <c r="J38" i="5" s="1"/>
  <c r="K46" i="3"/>
  <c r="L46" i="3" s="1"/>
  <c r="N46" i="3"/>
  <c r="O46" i="3" s="1"/>
  <c r="D38" i="11"/>
  <c r="B38" i="11"/>
  <c r="M46" i="4"/>
  <c r="N46" i="4"/>
  <c r="P46" i="4"/>
  <c r="O46" i="4"/>
  <c r="C46" i="6"/>
  <c r="B47" i="3" s="1"/>
  <c r="C47" i="3" s="1"/>
  <c r="J47" i="4"/>
  <c r="K47" i="4" s="1"/>
  <c r="H48" i="4"/>
  <c r="F48" i="4"/>
  <c r="C49" i="4"/>
  <c r="G48" i="4"/>
  <c r="E48" i="4"/>
  <c r="B50" i="4"/>
  <c r="H38" i="5" l="1"/>
  <c r="K38" i="5"/>
  <c r="D46" i="3"/>
  <c r="F45" i="3"/>
  <c r="G45" i="3"/>
  <c r="H45" i="3"/>
  <c r="I45" i="3"/>
  <c r="J38" i="11"/>
  <c r="K38" i="11"/>
  <c r="D39" i="5"/>
  <c r="B39" i="5"/>
  <c r="E39" i="5"/>
  <c r="C39" i="5"/>
  <c r="I38" i="11"/>
  <c r="H38" i="11"/>
  <c r="E39" i="11"/>
  <c r="Q46" i="3"/>
  <c r="S46" i="3" s="1"/>
  <c r="T46" i="3"/>
  <c r="C39" i="11"/>
  <c r="B39" i="11"/>
  <c r="V45" i="3"/>
  <c r="T45" i="3"/>
  <c r="I39" i="5" s="1"/>
  <c r="S45" i="3"/>
  <c r="U45" i="3"/>
  <c r="J39" i="5" s="1"/>
  <c r="K47" i="3"/>
  <c r="L47" i="3" s="1"/>
  <c r="N47" i="3"/>
  <c r="O47" i="3" s="1"/>
  <c r="D39" i="11"/>
  <c r="P47" i="4"/>
  <c r="M47" i="4"/>
  <c r="O47" i="4"/>
  <c r="N47" i="4"/>
  <c r="C47" i="6"/>
  <c r="B48" i="3" s="1"/>
  <c r="C48" i="3" s="1"/>
  <c r="J48" i="4"/>
  <c r="K48" i="4" s="1"/>
  <c r="H49" i="4"/>
  <c r="F49" i="4"/>
  <c r="G49" i="4"/>
  <c r="C50" i="4"/>
  <c r="E49" i="4"/>
  <c r="B51" i="4"/>
  <c r="H39" i="5" l="1"/>
  <c r="B40" i="11"/>
  <c r="K39" i="11"/>
  <c r="K39" i="5"/>
  <c r="J39" i="11"/>
  <c r="H39" i="11"/>
  <c r="D40" i="11"/>
  <c r="I39" i="11"/>
  <c r="V46" i="3"/>
  <c r="D47" i="3"/>
  <c r="H46" i="3"/>
  <c r="G46" i="3"/>
  <c r="I40" i="5" s="1"/>
  <c r="I46" i="3"/>
  <c r="F46" i="3"/>
  <c r="H40" i="5" s="1"/>
  <c r="C40" i="11"/>
  <c r="U46" i="3"/>
  <c r="D40" i="5"/>
  <c r="C40" i="5"/>
  <c r="E40" i="5"/>
  <c r="B40" i="5"/>
  <c r="E40" i="11"/>
  <c r="Q47" i="3"/>
  <c r="K48" i="3"/>
  <c r="L48" i="3" s="1"/>
  <c r="N48" i="3"/>
  <c r="O48" i="3" s="1"/>
  <c r="N48" i="4"/>
  <c r="M48" i="4"/>
  <c r="P48" i="4"/>
  <c r="O48" i="4"/>
  <c r="C48" i="6"/>
  <c r="B49" i="3" s="1"/>
  <c r="C49" i="3" s="1"/>
  <c r="J49" i="4"/>
  <c r="K49" i="4" s="1"/>
  <c r="B52" i="4"/>
  <c r="G50" i="4"/>
  <c r="E50" i="4"/>
  <c r="H50" i="4"/>
  <c r="F50" i="4"/>
  <c r="C51" i="4"/>
  <c r="K40" i="5" l="1"/>
  <c r="J40" i="11"/>
  <c r="J40" i="5"/>
  <c r="D48" i="3"/>
  <c r="F47" i="3"/>
  <c r="G47" i="3"/>
  <c r="H47" i="3"/>
  <c r="I47" i="3"/>
  <c r="H40" i="11"/>
  <c r="K40" i="11"/>
  <c r="I40" i="11"/>
  <c r="Q48" i="3"/>
  <c r="E42" i="5" s="1"/>
  <c r="E41" i="5"/>
  <c r="C41" i="5"/>
  <c r="B41" i="5"/>
  <c r="D41" i="5"/>
  <c r="C41" i="11"/>
  <c r="D41" i="11"/>
  <c r="K49" i="3"/>
  <c r="L49" i="3" s="1"/>
  <c r="N49" i="3"/>
  <c r="O49" i="3" s="1"/>
  <c r="V47" i="3"/>
  <c r="T47" i="3"/>
  <c r="I41" i="5" s="1"/>
  <c r="S47" i="3"/>
  <c r="H41" i="5" s="1"/>
  <c r="U47" i="3"/>
  <c r="E41" i="11"/>
  <c r="B41" i="11"/>
  <c r="N49" i="4"/>
  <c r="M49" i="4"/>
  <c r="P49" i="4"/>
  <c r="O49" i="4"/>
  <c r="C49" i="6"/>
  <c r="B50" i="3" s="1"/>
  <c r="C50" i="3" s="1"/>
  <c r="J50" i="4"/>
  <c r="K50" i="4" s="1"/>
  <c r="G51" i="4"/>
  <c r="C52" i="4"/>
  <c r="E51" i="4"/>
  <c r="H51" i="4"/>
  <c r="F51" i="4"/>
  <c r="B53" i="4"/>
  <c r="C42" i="11" l="1"/>
  <c r="D42" i="11"/>
  <c r="D42" i="5"/>
  <c r="E42" i="11"/>
  <c r="K41" i="11"/>
  <c r="K41" i="5"/>
  <c r="U48" i="3"/>
  <c r="V48" i="3"/>
  <c r="K42" i="5" s="1"/>
  <c r="B42" i="11"/>
  <c r="J41" i="5"/>
  <c r="T48" i="3"/>
  <c r="B42" i="5"/>
  <c r="J41" i="11"/>
  <c r="H41" i="11"/>
  <c r="S48" i="3"/>
  <c r="H42" i="5" s="1"/>
  <c r="C42" i="5"/>
  <c r="I41" i="11"/>
  <c r="D49" i="3"/>
  <c r="I48" i="3"/>
  <c r="H48" i="3"/>
  <c r="G48" i="3"/>
  <c r="F48" i="3"/>
  <c r="K50" i="3"/>
  <c r="L50" i="3" s="1"/>
  <c r="N50" i="3"/>
  <c r="O50" i="3" s="1"/>
  <c r="Q49" i="3"/>
  <c r="N50" i="4"/>
  <c r="P50" i="4"/>
  <c r="M50" i="4"/>
  <c r="O50" i="4"/>
  <c r="C50" i="6"/>
  <c r="B51" i="3" s="1"/>
  <c r="C51" i="3" s="1"/>
  <c r="J51" i="4"/>
  <c r="K51" i="4" s="1"/>
  <c r="B54" i="4"/>
  <c r="F52" i="4"/>
  <c r="G52" i="4"/>
  <c r="C53" i="4"/>
  <c r="E52" i="4"/>
  <c r="H52" i="4"/>
  <c r="I42" i="5" l="1"/>
  <c r="J42" i="5"/>
  <c r="K42" i="11"/>
  <c r="I42" i="11"/>
  <c r="C43" i="11"/>
  <c r="H42" i="11"/>
  <c r="D50" i="3"/>
  <c r="H49" i="3"/>
  <c r="I49" i="3"/>
  <c r="F49" i="3"/>
  <c r="G49" i="3"/>
  <c r="J42" i="11"/>
  <c r="D43" i="11"/>
  <c r="C43" i="5"/>
  <c r="D43" i="5"/>
  <c r="B43" i="5"/>
  <c r="E43" i="5"/>
  <c r="B43" i="11"/>
  <c r="E43" i="11"/>
  <c r="K51" i="3"/>
  <c r="L51" i="3" s="1"/>
  <c r="N51" i="3"/>
  <c r="O51" i="3" s="1"/>
  <c r="Q50" i="3"/>
  <c r="V49" i="3"/>
  <c r="K43" i="5" s="1"/>
  <c r="T49" i="3"/>
  <c r="S49" i="3"/>
  <c r="U49" i="3"/>
  <c r="O51" i="4"/>
  <c r="M51" i="4"/>
  <c r="N51" i="4"/>
  <c r="P51" i="4"/>
  <c r="C51" i="6"/>
  <c r="B52" i="3" s="1"/>
  <c r="C52" i="3" s="1"/>
  <c r="J52" i="4"/>
  <c r="K52" i="4" s="1"/>
  <c r="F53" i="4"/>
  <c r="C54" i="4"/>
  <c r="G53" i="4"/>
  <c r="E53" i="4"/>
  <c r="H53" i="4"/>
  <c r="B55" i="4"/>
  <c r="I43" i="11" l="1"/>
  <c r="I43" i="5"/>
  <c r="J43" i="5"/>
  <c r="H43" i="5"/>
  <c r="E44" i="11"/>
  <c r="J43" i="11"/>
  <c r="H43" i="11"/>
  <c r="K43" i="11"/>
  <c r="D51" i="3"/>
  <c r="H50" i="3"/>
  <c r="I50" i="3"/>
  <c r="F50" i="3"/>
  <c r="G50" i="3"/>
  <c r="B44" i="5"/>
  <c r="C44" i="5"/>
  <c r="D44" i="5"/>
  <c r="E44" i="5"/>
  <c r="C44" i="11"/>
  <c r="B44" i="11"/>
  <c r="D44" i="11"/>
  <c r="Q51" i="3"/>
  <c r="K52" i="3"/>
  <c r="L52" i="3" s="1"/>
  <c r="N52" i="3"/>
  <c r="O52" i="3" s="1"/>
  <c r="V50" i="3"/>
  <c r="K44" i="5" s="1"/>
  <c r="S50" i="3"/>
  <c r="T50" i="3"/>
  <c r="I44" i="5" s="1"/>
  <c r="U50" i="3"/>
  <c r="J44" i="5" s="1"/>
  <c r="C59" i="5"/>
  <c r="D59" i="5"/>
  <c r="E59" i="5"/>
  <c r="F59" i="5"/>
  <c r="P52" i="4"/>
  <c r="N52" i="4"/>
  <c r="O52" i="4"/>
  <c r="M52" i="4"/>
  <c r="C52" i="6"/>
  <c r="B53" i="3" s="1"/>
  <c r="C53" i="3" s="1"/>
  <c r="J53" i="4"/>
  <c r="K53" i="4" s="1"/>
  <c r="F54" i="4"/>
  <c r="C55" i="4"/>
  <c r="G54" i="4"/>
  <c r="E54" i="4"/>
  <c r="H54" i="4"/>
  <c r="B56" i="4"/>
  <c r="H44" i="5" l="1"/>
  <c r="K44" i="11"/>
  <c r="H44" i="11"/>
  <c r="I44" i="11"/>
  <c r="D52" i="3"/>
  <c r="H51" i="3"/>
  <c r="G51" i="3"/>
  <c r="F51" i="3"/>
  <c r="I51" i="3"/>
  <c r="J44" i="11"/>
  <c r="B45" i="11"/>
  <c r="D45" i="11"/>
  <c r="D45" i="5"/>
  <c r="B45" i="5"/>
  <c r="E45" i="5"/>
  <c r="C45" i="5"/>
  <c r="E45" i="11"/>
  <c r="K53" i="3"/>
  <c r="L53" i="3" s="1"/>
  <c r="N53" i="3"/>
  <c r="O53" i="3" s="1"/>
  <c r="V51" i="3"/>
  <c r="K45" i="5" s="1"/>
  <c r="T51" i="3"/>
  <c r="U51" i="3"/>
  <c r="J45" i="5" s="1"/>
  <c r="S51" i="3"/>
  <c r="Q52" i="3"/>
  <c r="C45" i="11"/>
  <c r="O53" i="4"/>
  <c r="N53" i="4"/>
  <c r="P53" i="4"/>
  <c r="M53" i="4"/>
  <c r="C53" i="6"/>
  <c r="B54" i="3" s="1"/>
  <c r="C54" i="3" s="1"/>
  <c r="J54" i="4"/>
  <c r="K54" i="4" s="1"/>
  <c r="B57" i="4"/>
  <c r="G55" i="4"/>
  <c r="E55" i="4"/>
  <c r="C56" i="4"/>
  <c r="H55" i="4"/>
  <c r="F55" i="4"/>
  <c r="H45" i="5" l="1"/>
  <c r="I45" i="5"/>
  <c r="E46" i="11"/>
  <c r="H45" i="11"/>
  <c r="K45" i="11"/>
  <c r="J45" i="11"/>
  <c r="I45" i="11"/>
  <c r="D53" i="3"/>
  <c r="I52" i="3"/>
  <c r="H52" i="3"/>
  <c r="G52" i="3"/>
  <c r="F52" i="3"/>
  <c r="C46" i="11"/>
  <c r="D46" i="5"/>
  <c r="E46" i="5"/>
  <c r="C46" i="5"/>
  <c r="B46" i="5"/>
  <c r="D46" i="11"/>
  <c r="Q53" i="3"/>
  <c r="K54" i="3"/>
  <c r="L54" i="3" s="1"/>
  <c r="N54" i="3"/>
  <c r="O54" i="3" s="1"/>
  <c r="T52" i="3"/>
  <c r="U52" i="3"/>
  <c r="J46" i="5" s="1"/>
  <c r="V52" i="3"/>
  <c r="K46" i="5" s="1"/>
  <c r="S52" i="3"/>
  <c r="B46" i="11"/>
  <c r="D59" i="11"/>
  <c r="C59" i="11"/>
  <c r="E59" i="11"/>
  <c r="F59" i="11"/>
  <c r="M54" i="4"/>
  <c r="P54" i="4"/>
  <c r="O54" i="4"/>
  <c r="N54" i="4"/>
  <c r="C54" i="6"/>
  <c r="B55" i="3" s="1"/>
  <c r="C55" i="3" s="1"/>
  <c r="J55" i="4"/>
  <c r="K55" i="4" s="1"/>
  <c r="B58" i="4"/>
  <c r="C78" i="5"/>
  <c r="E56" i="4"/>
  <c r="D78" i="5"/>
  <c r="F56" i="4"/>
  <c r="G56" i="4"/>
  <c r="C57" i="4"/>
  <c r="H56" i="4"/>
  <c r="I46" i="5" l="1"/>
  <c r="H46" i="5"/>
  <c r="D69" i="11"/>
  <c r="C69" i="11"/>
  <c r="C78" i="11" s="1"/>
  <c r="B53" i="7" s="1"/>
  <c r="H46" i="11"/>
  <c r="I46" i="11"/>
  <c r="K46" i="11"/>
  <c r="D54" i="3"/>
  <c r="H53" i="3"/>
  <c r="I53" i="3"/>
  <c r="F53" i="3"/>
  <c r="G53" i="3"/>
  <c r="J46" i="11"/>
  <c r="B47" i="11"/>
  <c r="B47" i="5"/>
  <c r="D47" i="5"/>
  <c r="E47" i="5"/>
  <c r="C47" i="5"/>
  <c r="U53" i="3"/>
  <c r="J47" i="5" s="1"/>
  <c r="T53" i="3"/>
  <c r="I47" i="5" s="1"/>
  <c r="S53" i="3"/>
  <c r="V53" i="3"/>
  <c r="K47" i="5" s="1"/>
  <c r="C47" i="11"/>
  <c r="D47" i="11"/>
  <c r="Q54" i="3"/>
  <c r="K55" i="3"/>
  <c r="L55" i="3" s="1"/>
  <c r="N55" i="3"/>
  <c r="O55" i="3" s="1"/>
  <c r="E47" i="11"/>
  <c r="D60" i="11"/>
  <c r="E60" i="11"/>
  <c r="F60" i="11"/>
  <c r="C60" i="11"/>
  <c r="C91" i="5"/>
  <c r="B36" i="7" s="1"/>
  <c r="M55" i="4"/>
  <c r="P55" i="4"/>
  <c r="O55" i="4"/>
  <c r="N55" i="4"/>
  <c r="C55" i="6"/>
  <c r="B56" i="3" s="1"/>
  <c r="C56" i="3" s="1"/>
  <c r="J56" i="4"/>
  <c r="K56" i="4" s="1"/>
  <c r="E60" i="5"/>
  <c r="G57" i="4"/>
  <c r="C58" i="4"/>
  <c r="E57" i="4"/>
  <c r="H57" i="4"/>
  <c r="F57" i="4"/>
  <c r="B59" i="4"/>
  <c r="F60" i="5"/>
  <c r="D60" i="5"/>
  <c r="C60" i="5"/>
  <c r="H47" i="5" l="1"/>
  <c r="C70" i="11"/>
  <c r="F66" i="5"/>
  <c r="C66" i="5"/>
  <c r="C83" i="5" s="1"/>
  <c r="E66" i="5"/>
  <c r="D66" i="5"/>
  <c r="C65" i="11"/>
  <c r="C74" i="11" s="1"/>
  <c r="E65" i="11"/>
  <c r="D74" i="11" s="1"/>
  <c r="D65" i="11"/>
  <c r="F65" i="11"/>
  <c r="F74" i="5"/>
  <c r="D74" i="5"/>
  <c r="C74" i="5"/>
  <c r="E74" i="5"/>
  <c r="I47" i="11"/>
  <c r="H47" i="11"/>
  <c r="E48" i="11"/>
  <c r="J47" i="11"/>
  <c r="D55" i="3"/>
  <c r="F54" i="3"/>
  <c r="G54" i="3"/>
  <c r="H54" i="3"/>
  <c r="I54" i="3"/>
  <c r="K47" i="11"/>
  <c r="D48" i="11"/>
  <c r="D48" i="5"/>
  <c r="C48" i="5"/>
  <c r="E48" i="5"/>
  <c r="B48" i="5"/>
  <c r="D70" i="11"/>
  <c r="B48" i="11"/>
  <c r="C48" i="11"/>
  <c r="K56" i="3"/>
  <c r="L56" i="3" s="1"/>
  <c r="N56" i="3"/>
  <c r="O56" i="3" s="1"/>
  <c r="Q55" i="3"/>
  <c r="C79" i="5"/>
  <c r="T54" i="3"/>
  <c r="S54" i="3"/>
  <c r="U54" i="3"/>
  <c r="J48" i="5" s="1"/>
  <c r="V54" i="3"/>
  <c r="K48" i="5" s="1"/>
  <c r="D79" i="5"/>
  <c r="N56" i="4"/>
  <c r="O56" i="4"/>
  <c r="M56" i="4"/>
  <c r="P56" i="4"/>
  <c r="C56" i="6"/>
  <c r="B57" i="3" s="1"/>
  <c r="C57" i="3" s="1"/>
  <c r="J57" i="4"/>
  <c r="K57" i="4" s="1"/>
  <c r="G58" i="4"/>
  <c r="C59" i="4"/>
  <c r="E58" i="4"/>
  <c r="H58" i="4"/>
  <c r="F58" i="4"/>
  <c r="D87" i="5" l="1"/>
  <c r="C87" i="5"/>
  <c r="D83" i="5"/>
  <c r="C96" i="5" s="1"/>
  <c r="B41" i="7" s="1"/>
  <c r="C65" i="5"/>
  <c r="C82" i="5" s="1"/>
  <c r="H48" i="5"/>
  <c r="D65" i="5"/>
  <c r="I48" i="5"/>
  <c r="C100" i="5"/>
  <c r="B46" i="7" s="1"/>
  <c r="B58" i="7" s="1"/>
  <c r="C58" i="7" s="1"/>
  <c r="C92" i="5"/>
  <c r="B37" i="7" s="1"/>
  <c r="C83" i="11"/>
  <c r="C79" i="11"/>
  <c r="B54" i="7" s="1"/>
  <c r="J48" i="11"/>
  <c r="E65" i="5"/>
  <c r="E64" i="11"/>
  <c r="E73" i="5"/>
  <c r="D64" i="11"/>
  <c r="D73" i="5"/>
  <c r="C64" i="11"/>
  <c r="C73" i="5"/>
  <c r="C86" i="5" s="1"/>
  <c r="K48" i="11"/>
  <c r="F65" i="5"/>
  <c r="F64" i="11"/>
  <c r="F73" i="5"/>
  <c r="H48" i="11"/>
  <c r="I48" i="11"/>
  <c r="D56" i="3"/>
  <c r="H55" i="3"/>
  <c r="I55" i="3"/>
  <c r="F55" i="3"/>
  <c r="G55" i="3"/>
  <c r="E49" i="5"/>
  <c r="D49" i="5"/>
  <c r="B49" i="5"/>
  <c r="C49" i="5"/>
  <c r="B49" i="11"/>
  <c r="D49" i="11"/>
  <c r="V55" i="3"/>
  <c r="T55" i="3"/>
  <c r="I49" i="5" s="1"/>
  <c r="S55" i="3"/>
  <c r="U55" i="3"/>
  <c r="J49" i="5" s="1"/>
  <c r="K57" i="3"/>
  <c r="L57" i="3" s="1"/>
  <c r="N57" i="3"/>
  <c r="O57" i="3" s="1"/>
  <c r="C49" i="11"/>
  <c r="E49" i="11"/>
  <c r="Q56" i="3"/>
  <c r="N57" i="4"/>
  <c r="M57" i="4"/>
  <c r="P57" i="4"/>
  <c r="O57" i="4"/>
  <c r="C57" i="6"/>
  <c r="B58" i="3" s="1"/>
  <c r="C58" i="3" s="1"/>
  <c r="J58" i="4"/>
  <c r="K58" i="4" s="1"/>
  <c r="G59" i="4"/>
  <c r="E59" i="4"/>
  <c r="H59" i="4"/>
  <c r="F59" i="4"/>
  <c r="C73" i="11" l="1"/>
  <c r="B50" i="7"/>
  <c r="C50" i="7" s="1"/>
  <c r="D86" i="5"/>
  <c r="C99" i="5" s="1"/>
  <c r="B45" i="7" s="1"/>
  <c r="B57" i="7" s="1"/>
  <c r="C57" i="7" s="1"/>
  <c r="D73" i="11"/>
  <c r="C82" i="11" s="1"/>
  <c r="D82" i="5"/>
  <c r="C95" i="5" s="1"/>
  <c r="B40" i="7" s="1"/>
  <c r="H49" i="5"/>
  <c r="K49" i="5"/>
  <c r="B50" i="11"/>
  <c r="J49" i="11"/>
  <c r="H49" i="11"/>
  <c r="I49" i="11"/>
  <c r="K49" i="11"/>
  <c r="D57" i="3"/>
  <c r="G56" i="3"/>
  <c r="F56" i="3"/>
  <c r="I56" i="3"/>
  <c r="H56" i="3"/>
  <c r="E50" i="11"/>
  <c r="D50" i="5"/>
  <c r="B50" i="5"/>
  <c r="E50" i="5"/>
  <c r="C50" i="5"/>
  <c r="T56" i="3"/>
  <c r="S56" i="3"/>
  <c r="U56" i="3"/>
  <c r="V56" i="3"/>
  <c r="K58" i="3"/>
  <c r="L58" i="3" s="1"/>
  <c r="N58" i="3"/>
  <c r="O58" i="3" s="1"/>
  <c r="Q57" i="3"/>
  <c r="C50" i="11"/>
  <c r="D50" i="11"/>
  <c r="J59" i="4"/>
  <c r="K59" i="4"/>
  <c r="M58" i="4"/>
  <c r="N58" i="4"/>
  <c r="P58" i="4"/>
  <c r="O58" i="4"/>
  <c r="I50" i="5" l="1"/>
  <c r="B49" i="7"/>
  <c r="C49" i="7" s="1"/>
  <c r="H50" i="5"/>
  <c r="J50" i="5"/>
  <c r="K50" i="5"/>
  <c r="D51" i="11"/>
  <c r="J50" i="11"/>
  <c r="I50" i="11"/>
  <c r="K50" i="11"/>
  <c r="D58" i="3"/>
  <c r="I57" i="3"/>
  <c r="H57" i="3"/>
  <c r="G57" i="3"/>
  <c r="F57" i="3"/>
  <c r="H50" i="11"/>
  <c r="Q58" i="3"/>
  <c r="D51" i="5"/>
  <c r="C51" i="5"/>
  <c r="E51" i="5"/>
  <c r="B51" i="5"/>
  <c r="T57" i="3"/>
  <c r="I51" i="5" s="1"/>
  <c r="S57" i="3"/>
  <c r="H51" i="5" s="1"/>
  <c r="U57" i="3"/>
  <c r="V57" i="3"/>
  <c r="E51" i="11"/>
  <c r="C51" i="11"/>
  <c r="B51" i="11"/>
  <c r="O59" i="4"/>
  <c r="N59" i="4"/>
  <c r="M59" i="4"/>
  <c r="P59" i="4"/>
  <c r="J51" i="5" l="1"/>
  <c r="K51" i="5"/>
  <c r="I51" i="11"/>
  <c r="E52" i="5"/>
  <c r="H51" i="11"/>
  <c r="D52" i="11"/>
  <c r="K51" i="11"/>
  <c r="U58" i="3"/>
  <c r="S58" i="3"/>
  <c r="C52" i="5"/>
  <c r="C52" i="11"/>
  <c r="B52" i="5"/>
  <c r="E52" i="11"/>
  <c r="J51" i="11"/>
  <c r="V58" i="3"/>
  <c r="D52" i="5"/>
  <c r="B52" i="11"/>
  <c r="T58" i="3"/>
  <c r="F58" i="3"/>
  <c r="H58" i="3"/>
  <c r="I58" i="3"/>
  <c r="G58" i="3"/>
  <c r="H52" i="5" l="1"/>
  <c r="K52" i="5"/>
  <c r="J52" i="5"/>
  <c r="I52" i="5"/>
  <c r="I52" i="11"/>
  <c r="J52" i="11"/>
  <c r="K52" i="11"/>
  <c r="H52" i="11"/>
</calcChain>
</file>

<file path=xl/sharedStrings.xml><?xml version="1.0" encoding="utf-8"?>
<sst xmlns="http://schemas.openxmlformats.org/spreadsheetml/2006/main" count="478" uniqueCount="241">
  <si>
    <t>Money advice service quote for annuities</t>
  </si>
  <si>
    <t>DC pot</t>
  </si>
  <si>
    <t>Joint linked to RPI</t>
  </si>
  <si>
    <t>Single linked to RPI</t>
  </si>
  <si>
    <t>Assumptions:</t>
  </si>
  <si>
    <t>Retire at 65</t>
  </si>
  <si>
    <t>No guarantee period</t>
  </si>
  <si>
    <t>Indexed to RPI</t>
  </si>
  <si>
    <t>Height</t>
  </si>
  <si>
    <t>Weight</t>
  </si>
  <si>
    <t>Units of alcohol</t>
  </si>
  <si>
    <t>Joint</t>
  </si>
  <si>
    <t>Joint spouse details</t>
  </si>
  <si>
    <t>Waist</t>
  </si>
  <si>
    <t>No health conditions</t>
  </si>
  <si>
    <t>Men</t>
  </si>
  <si>
    <t>Women</t>
  </si>
  <si>
    <t>Female spouse three years younger</t>
  </si>
  <si>
    <t>The spread is -0.53% pa in years 1-10, 2.8% pa in year 11, then assumed to reduce linearly to 1.7% pa over the following 10 years and assumed to stay at 1.7% pa beyond that point. This approach therefore implicitly includes a provision for gradual investment de-risking to take place.</t>
  </si>
  <si>
    <t>The investment returns</t>
  </si>
  <si>
    <t>Linear rate of decrease</t>
  </si>
  <si>
    <t>Income</t>
  </si>
  <si>
    <t>DC pension contribution</t>
  </si>
  <si>
    <t>Annuity income</t>
  </si>
  <si>
    <t>Males</t>
  </si>
  <si>
    <t>Single</t>
  </si>
  <si>
    <t>Females</t>
  </si>
  <si>
    <t>DB benefits</t>
  </si>
  <si>
    <t>Difference in total  value</t>
  </si>
  <si>
    <t>Difference in expected income</t>
  </si>
  <si>
    <t>Annuity income costs + lump sum of 3 times pension</t>
  </si>
  <si>
    <t>USS 50%</t>
  </si>
  <si>
    <t>Male</t>
  </si>
  <si>
    <t>Female</t>
  </si>
  <si>
    <t>Gilt reversion after 10 years 1.5% improvement in life expectancy</t>
  </si>
  <si>
    <t>Date of birth</t>
  </si>
  <si>
    <t>State retirement date</t>
  </si>
  <si>
    <t xml:space="preserve">Assumes annuity rates recover by 1.15. This the ratio of 2013-14 level rates to 2017-2018. </t>
  </si>
  <si>
    <t xml:space="preserve">6 April 1953 – 5 May 1953 </t>
  </si>
  <si>
    <t xml:space="preserve">6 May 1953 – 5 June 1953 </t>
  </si>
  <si>
    <t xml:space="preserve">6 June 1953 – 5 July 1953 </t>
  </si>
  <si>
    <t xml:space="preserve">6 July 1953 – 5 August 1953 </t>
  </si>
  <si>
    <t xml:space="preserve">6 August 1953 – 5 September 1953 </t>
  </si>
  <si>
    <t xml:space="preserve">6 September 1953 – 5 October 1953 </t>
  </si>
  <si>
    <t xml:space="preserve">6 October 1953 – 5 November 1953 </t>
  </si>
  <si>
    <t xml:space="preserve">6 November 1953 – 5 December 1953 </t>
  </si>
  <si>
    <t xml:space="preserve">Women’s State Pension age under the Pensions Act 2011 </t>
  </si>
  <si>
    <t xml:space="preserve">6 December 1953 – 5 January 1954 </t>
  </si>
  <si>
    <t xml:space="preserve">6 January 1954 – 5 February 1954 </t>
  </si>
  <si>
    <t xml:space="preserve">6 February 1954 – 5 March 1954 </t>
  </si>
  <si>
    <t xml:space="preserve">6 March 1954 – 5 April 1954 </t>
  </si>
  <si>
    <t xml:space="preserve">6 April 1954 – 5 May 1954 </t>
  </si>
  <si>
    <t xml:space="preserve">6 May 1954 – 5 June 1954 </t>
  </si>
  <si>
    <t xml:space="preserve">6 June 1954 – 5 July 1954 </t>
  </si>
  <si>
    <t xml:space="preserve">6 July 1954 – 5 August 1954 </t>
  </si>
  <si>
    <t xml:space="preserve">6 August 1954 – 5 September 1954 </t>
  </si>
  <si>
    <t xml:space="preserve">6 September 1954 – 5 October 1954 </t>
  </si>
  <si>
    <t xml:space="preserve">6 October 1954 – 5 April 1960 </t>
  </si>
  <si>
    <t>Date state pension age reached</t>
  </si>
  <si>
    <t xml:space="preserve">Date of birth </t>
  </si>
  <si>
    <t xml:space="preserve">6 April 1960 – 5 May 1960 </t>
  </si>
  <si>
    <t xml:space="preserve">6 May 1960 – 5 June 1960 </t>
  </si>
  <si>
    <t xml:space="preserve">6 June 1960 – 5 July 1960 </t>
  </si>
  <si>
    <t xml:space="preserve">6 July 1960 – 5 August 1960 </t>
  </si>
  <si>
    <t xml:space="preserve">6 August 1960 – 5 September 1960 </t>
  </si>
  <si>
    <t xml:space="preserve">6 September 1960 – 5 October 1960 </t>
  </si>
  <si>
    <t xml:space="preserve">6 October 1960 – 5 November 1960 </t>
  </si>
  <si>
    <t xml:space="preserve">6 November 1960 – 5 December 1960 </t>
  </si>
  <si>
    <t xml:space="preserve">6 December 1960 – 5 January 1961 </t>
  </si>
  <si>
    <t xml:space="preserve">6 January 1961 – 5 February 1961 </t>
  </si>
  <si>
    <t xml:space="preserve">6 February 1961 – 5 March 1961 </t>
  </si>
  <si>
    <t xml:space="preserve">6 March 1961 – 5 April 1977* </t>
  </si>
  <si>
    <t>Min</t>
  </si>
  <si>
    <t>max</t>
  </si>
  <si>
    <t>All State Pension age</t>
  </si>
  <si>
    <t>Age state pension reached</t>
  </si>
  <si>
    <t xml:space="preserve">6 April 1977 – 5 May 1977 </t>
  </si>
  <si>
    <t xml:space="preserve">6 May 1977 – 5 June 1977 </t>
  </si>
  <si>
    <t xml:space="preserve">6 June 1977 – 5 July 1977 </t>
  </si>
  <si>
    <t xml:space="preserve">6 July 1977 – 5 August 1977 </t>
  </si>
  <si>
    <t xml:space="preserve">6 August 1977 – 5 September 1977 </t>
  </si>
  <si>
    <t xml:space="preserve">6 September 1977 – 5 October 1977 </t>
  </si>
  <si>
    <t xml:space="preserve">6 October 1977 – 5 November 1977 </t>
  </si>
  <si>
    <t xml:space="preserve">6 November 1977 – 5 December 1977 </t>
  </si>
  <si>
    <t xml:space="preserve">6 December 1977 – 5 January 1978 </t>
  </si>
  <si>
    <t xml:space="preserve">6 January 1978 – 5 February 1978 </t>
  </si>
  <si>
    <t xml:space="preserve">6 February 1978 – 5 March 1978 </t>
  </si>
  <si>
    <t xml:space="preserve">6 March 1978 – 5 April 1978 </t>
  </si>
  <si>
    <t xml:space="preserve">6 April 1978 onwards </t>
  </si>
  <si>
    <t>Age</t>
  </si>
  <si>
    <t>Year of</t>
  </si>
  <si>
    <t>retirement</t>
  </si>
  <si>
    <t>Increase in life expectancy per year</t>
  </si>
  <si>
    <t>Employer contribution</t>
  </si>
  <si>
    <t>Employee contribution</t>
  </si>
  <si>
    <t>USS 67%</t>
  </si>
  <si>
    <t>Single - male</t>
  </si>
  <si>
    <t>Joint - male</t>
  </si>
  <si>
    <t>Single - female</t>
  </si>
  <si>
    <t>Joint - female</t>
  </si>
  <si>
    <t>Inputs</t>
  </si>
  <si>
    <t>Expected pension income</t>
  </si>
  <si>
    <t>Defined benefit (current)</t>
  </si>
  <si>
    <t>Defined contribution (proposed)</t>
  </si>
  <si>
    <t>Total value of pension income plus lump sum at retirement</t>
  </si>
  <si>
    <t>Real increase in pay</t>
  </si>
  <si>
    <t>Increase in life expectancy</t>
  </si>
  <si>
    <t>Yes</t>
  </si>
  <si>
    <t>Assumptions</t>
  </si>
  <si>
    <t>https://www.sheffield.ac.uk/polopoly_fs/1.728969!/file/USSTechnicalprovisionsconsultationdocumentSept2017.pdf</t>
  </si>
  <si>
    <t>Most assumptions are taken from the USS valuation document:</t>
  </si>
  <si>
    <t>Further details about the assumptions are provided on the tabs below.</t>
  </si>
  <si>
    <t>Let me know if this modeller can be improved in any way.</t>
  </si>
  <si>
    <t>This modeller provides a forecast of the pensions we can expect to receive under the current defined benefit scheme and the UUK proposed defined contribution scheme. I am not an actuary, accountant or a financial advisor. This is for information only and should not be used for personal financial decisions. Before making any decisions about your pension you should seek professional advice.</t>
  </si>
  <si>
    <t>State pension age increased to 66</t>
  </si>
  <si>
    <t>State pension age increased to 67</t>
  </si>
  <si>
    <t>State pension age increased to 68</t>
  </si>
  <si>
    <t>Annuity rates published by the Money Advice Service</t>
  </si>
  <si>
    <t>According to https://www.sharingpensions.co.uk/annuity-rates-chart-latest.htm the level single annuity rate for November 2017 was £5,390, and the highest single, level annuity rate for 2013-14 was £6196.</t>
  </si>
  <si>
    <t>Gilt reversion occurs after 10 years, decreasing annuity costs by a factor of 1.15.</t>
  </si>
  <si>
    <t xml:space="preserve">The 67% estimate of returns is taken directly from the USS valuation documents. The USS expects investment returns to be higher than this 67% of the time. Thus this is a conservative estimate of investment returns. These values have been used to value to estimate the deficit of the fund. </t>
  </si>
  <si>
    <t>The 50% best estimate returns are based on the valuation consultation document and taken from Prof Mike Otuska's spreadsheet available here (https://drive.google.com/file/d/1JPUZoZDsj-lrxqzGnnlWuJpDmzPSkKvA/view). The represent the USS best estimate of investment returns. They expect returns to be higher than this 50% of the time. These figures have not been used for the main estimate the deficit of the fund. When these figures are used in the valuation the scheme has a multibillion pound surplus.</t>
  </si>
  <si>
    <t>67% "prudent" returns</t>
  </si>
  <si>
    <t>50% "best estimate" returns</t>
  </si>
  <si>
    <t>Assumptions here:</t>
  </si>
  <si>
    <t>This takes income from the input sheet and updates it by the assumed rate of salary growth of 2%. This rate can be modified on the input page.</t>
  </si>
  <si>
    <t>Defined benefit pension</t>
  </si>
  <si>
    <t>This sheet estimates the valuation of the current defined benefit pension at retirement. We currently accrue 1/75 of our salary and get 3* salary as a lump sum.</t>
  </si>
  <si>
    <t>We can work out how much a defined benefit pension costs at retirement using annuity prices given on the annuity tab. The prices given on the annuity tab are given for the amount of pension you can buy today for £100,000.</t>
  </si>
  <si>
    <t>Here we calculate how much money we would need to buy the amount of defined benefit pension you've accrued in each year.</t>
  </si>
  <si>
    <t>Note: All these calculations ignore the pension you have already accrued - because this will not change. This spreadsheet only works out what you future benefits will be.</t>
  </si>
  <si>
    <t>This page calculates how much we can expect to earn in our DC pots over time. It then estimates how much annuity income we can buy with that pension pot in each year.</t>
  </si>
  <si>
    <t>All figures are in real terms - i.e. after inflation.</t>
  </si>
  <si>
    <t>State pension age</t>
  </si>
  <si>
    <t>This tab is a look up for your state pension age based on your date of birth.</t>
  </si>
  <si>
    <t>The valuation document assumes that pay will increase by 2% after inflation. This includes the effects of pay increments.</t>
  </si>
  <si>
    <t>The modeller only models the pensions we will accrue in future - pensions already earned will not be changed.</t>
  </si>
  <si>
    <t>No</t>
  </si>
  <si>
    <t>Gender (Female or Male)</t>
  </si>
  <si>
    <t>Your details</t>
  </si>
  <si>
    <t>Annual increase in pay (after CPI)</t>
  </si>
  <si>
    <t>Do you have a spouse or partner? (Yes or No)</t>
  </si>
  <si>
    <t>Estimated pension benefits</t>
  </si>
  <si>
    <t>Technical assumptions</t>
  </si>
  <si>
    <r>
      <t>Vary the parameters in green</t>
    </r>
    <r>
      <rPr>
        <sz val="11"/>
        <color rgb="FFFF0000"/>
        <rFont val="Calibri"/>
        <family val="2"/>
        <scheme val="minor"/>
      </rPr>
      <t xml:space="preserve"> </t>
    </r>
    <r>
      <rPr>
        <sz val="11"/>
        <color theme="4"/>
        <rFont val="Calibri"/>
        <family val="2"/>
        <scheme val="minor"/>
      </rPr>
      <t xml:space="preserve">and watch the graphs and values in yellow change. </t>
    </r>
  </si>
  <si>
    <t>Input values for annuities and path of income growth can be changed on the other sheets.
The cells in yellow are returned and indicate your state retirement date, pension income under the current scheme (defined benefit) and the proposed scheme (defined contribution).</t>
  </si>
  <si>
    <r>
      <t xml:space="preserve">Expected </t>
    </r>
    <r>
      <rPr>
        <sz val="12"/>
        <color theme="4"/>
        <rFont val="Calibri (Body)_x0000_"/>
      </rPr>
      <t>annual</t>
    </r>
    <r>
      <rPr>
        <sz val="12"/>
        <color theme="1"/>
        <rFont val="Calibri"/>
        <family val="2"/>
        <scheme val="minor"/>
      </rPr>
      <t xml:space="preserve"> pension income</t>
    </r>
  </si>
  <si>
    <t>10 yr expected real return</t>
  </si>
  <si>
    <t>10 yr fwd 20 yr exp real return</t>
  </si>
  <si>
    <t>20 yr expected real return</t>
  </si>
  <si>
    <t>30 yr expected real return</t>
  </si>
  <si>
    <t>Allocation of assets in the DB reference portfolio</t>
  </si>
  <si>
    <t>Equities</t>
  </si>
  <si>
    <t>Property</t>
  </si>
  <si>
    <t>Listed Credit</t>
  </si>
  <si>
    <t>Index linked</t>
  </si>
  <si>
    <t>Cash</t>
  </si>
  <si>
    <t>Rebalancing &amp; diversification premium</t>
  </si>
  <si>
    <t>Best estimate return:</t>
  </si>
  <si>
    <r>
      <rPr>
        <b/>
        <sz val="11"/>
        <color theme="1"/>
        <rFont val="Calibri"/>
        <family val="2"/>
        <scheme val="minor"/>
      </rPr>
      <t xml:space="preserve">* Source for expected returns: </t>
    </r>
    <r>
      <rPr>
        <sz val="12"/>
        <color theme="1"/>
        <rFont val="Calibri"/>
        <family val="2"/>
        <scheme val="minor"/>
      </rPr>
      <t>USS September 2017 Consultation Document, Table 6, p. 19 &lt;https://www.sheffield.ac.uk/polopoly_fs/1.728969!/file/USSTechnicalprovisionsconsultationdocumentSept2017.pdf&gt;</t>
    </r>
  </si>
  <si>
    <t>Best estimates (50%) of returns on different assets in the USS</t>
  </si>
  <si>
    <t>Prudence</t>
  </si>
  <si>
    <t>factor (%)</t>
  </si>
  <si>
    <t>Discount rate used in valuation</t>
  </si>
  <si>
    <t>Real returns at 67% prudence</t>
  </si>
  <si>
    <t>Allocation of assets</t>
  </si>
  <si>
    <t>Growth Fund (DC)</t>
  </si>
  <si>
    <t>Moderate Growth Fund (DC)</t>
  </si>
  <si>
    <t>Cautious Growth Fund (DC)</t>
  </si>
  <si>
    <t>Cash Fund (DC)</t>
  </si>
  <si>
    <t>Cash fund (DC)</t>
  </si>
  <si>
    <t>Real returns on different investments at 67% prudence</t>
  </si>
  <si>
    <t>Year</t>
  </si>
  <si>
    <t>67% prudence returns</t>
  </si>
  <si>
    <t>50% prudence returns</t>
  </si>
  <si>
    <t>Growth Fund (DC) 50%</t>
  </si>
  <si>
    <t>Moderate Growth Fund (DC) 50%</t>
  </si>
  <si>
    <t>Cautious Growth Fund (DC) 50%</t>
  </si>
  <si>
    <t>Cash fund (DC) 50%</t>
  </si>
  <si>
    <t>Growth Fund (DC) 67%</t>
  </si>
  <si>
    <t>Moderate Growth Fund (DC) 67%</t>
  </si>
  <si>
    <t>Cautious Growth Fund (DC) 67%</t>
  </si>
  <si>
    <t>Cash fund (DC) 67%</t>
  </si>
  <si>
    <t>List</t>
  </si>
  <si>
    <t>Value</t>
  </si>
  <si>
    <t>Assumed investment returns</t>
  </si>
  <si>
    <t>Investment returns</t>
  </si>
  <si>
    <t>The model allows for five different investment returns:</t>
  </si>
  <si>
    <t>USS - the return expected for the current USS portfolio. This is not an option for a DC pension and is provided for information only.</t>
  </si>
  <si>
    <t>Cash fund - this is invested in cash.</t>
  </si>
  <si>
    <t>Growth fund. The majority of this fund is invested in company shares</t>
  </si>
  <si>
    <t>Moderate growth fund. This is invested in a mixture of shares and bonds.</t>
  </si>
  <si>
    <t>Cautious growth fund. This is mainly invested in high quality government and corporate bonds.</t>
  </si>
  <si>
    <t>Details of how the expected return for each of these investments was calculated is given on the Investment returns (2) tab.</t>
  </si>
  <si>
    <t>Life expectancy</t>
  </si>
  <si>
    <t>The assumed returns are taken from the USS valuation documents.</t>
  </si>
  <si>
    <t>The assumptions on life expectancy are taken from the USS valuation documents.</t>
  </si>
  <si>
    <t>The model assumes that if life expectancy increases by 1% the cost of purchasing a given amount of pension income increases by 1%.</t>
  </si>
  <si>
    <t>The DC pensions typically sell company shares and buy high quality government debt and corporate bonds near retirement.</t>
  </si>
  <si>
    <t>This lowers investment returns near retirement. This model does not take this into account and means the estimates of the return to DC investments to be over estimates.</t>
  </si>
  <si>
    <t>This over estimates returns because it does not allow for a linear decrease from 2.8% to 1.7% between 10 and 20 years.</t>
  </si>
  <si>
    <t>The 67% prudent returns are taken from the September 2017 consultation document. The returns on each of the assets in each period are back calculated using the prudence factors given in cells c29:f29 to get the reported 67% returns for each time period.</t>
  </si>
  <si>
    <t>Real returns at 50% prudence</t>
  </si>
  <si>
    <t>Real returns on different investments at 50% prudence</t>
  </si>
  <si>
    <t>Each investment has two sets of estimated return - the 50% "best estimate". The USS expects returns to be better than this 50% of the time.</t>
  </si>
  <si>
    <t>The second option is a more conservative 67% estimate. The USS expects returns to better than this 67% of the time.</t>
  </si>
  <si>
    <t>The modeller assumes that you will buy an annuity at retirement with your DC pot and that the DB pension is bought using an annuity.</t>
  </si>
  <si>
    <t>Salary changes take into account increments and cost of living awards.</t>
  </si>
  <si>
    <r>
      <t>Difference in pension income (</t>
    </r>
    <r>
      <rPr>
        <sz val="12"/>
        <color theme="4"/>
        <rFont val="Calibri (Body)_x0000_"/>
      </rPr>
      <t>Figure 1</t>
    </r>
    <r>
      <rPr>
        <sz val="12"/>
        <color theme="1"/>
        <rFont val="Calibri"/>
        <family val="2"/>
        <scheme val="minor"/>
      </rPr>
      <t>)</t>
    </r>
  </si>
  <si>
    <r>
      <t>Difference total pension benefits (</t>
    </r>
    <r>
      <rPr>
        <sz val="12"/>
        <color theme="4"/>
        <rFont val="Calibri (Body)_x0000_"/>
      </rPr>
      <t>Figure 2</t>
    </r>
    <r>
      <rPr>
        <sz val="12"/>
        <color theme="1"/>
        <rFont val="Calibri"/>
        <family val="2"/>
        <scheme val="minor"/>
      </rPr>
      <t>)</t>
    </r>
  </si>
  <si>
    <t>DB benefits in TPS</t>
  </si>
  <si>
    <t>Income TPS</t>
  </si>
  <si>
    <t>Post 92 Teacher Pension Scheme</t>
  </si>
  <si>
    <t>Difference in expected benefits current USS vs proposed</t>
  </si>
  <si>
    <t>Benefits TPS</t>
  </si>
  <si>
    <t>Annuity income costs</t>
  </si>
  <si>
    <t>Benefits USS DB</t>
  </si>
  <si>
    <t>Difference in expected benefits current TPS pensions in post 92 vs USS proposed</t>
  </si>
  <si>
    <t>Difference in pension income</t>
  </si>
  <si>
    <t>Difference total pension benefits</t>
  </si>
  <si>
    <t>DC pension proposed scheme</t>
  </si>
  <si>
    <t>DC pension current scheme</t>
  </si>
  <si>
    <t>Proposed USS scheme</t>
  </si>
  <si>
    <t>Current USS DC scheme</t>
  </si>
  <si>
    <t>1% match</t>
  </si>
  <si>
    <t>Did you take the 1% match?</t>
  </si>
  <si>
    <t>Pension above threshold</t>
  </si>
  <si>
    <t>Total DC pot</t>
  </si>
  <si>
    <t>Annuity income from DC pots</t>
  </si>
  <si>
    <t>Defined contribution (current)</t>
  </si>
  <si>
    <t>Defined benefit</t>
  </si>
  <si>
    <t>Defined contribution</t>
  </si>
  <si>
    <t>Total value of fund at retirement</t>
  </si>
  <si>
    <t>Defined contribution income threshold</t>
  </si>
  <si>
    <t>Current USS benefits</t>
  </si>
  <si>
    <t>Differences by gender</t>
  </si>
  <si>
    <t>Insurance companies cannot discriminate against individuals because of gender. The differences in annuity rates between</t>
  </si>
  <si>
    <t xml:space="preserve">men and women is driven by the age of spouse. We assume the male spouse is 3 years older. The annuity assumptions can be changed on the </t>
  </si>
  <si>
    <t>annuity tab.</t>
  </si>
  <si>
    <r>
      <t xml:space="preserve">This spreadsheet models the impact of the proposed reforms on </t>
    </r>
    <r>
      <rPr>
        <b/>
        <sz val="12"/>
        <color theme="1"/>
        <rFont val="Calibri"/>
        <family val="2"/>
        <scheme val="minor"/>
      </rPr>
      <t>future</t>
    </r>
    <r>
      <rPr>
        <sz val="12"/>
        <color theme="1"/>
        <rFont val="Calibri"/>
        <family val="2"/>
        <scheme val="minor"/>
      </rPr>
      <t xml:space="preserve"> benefits.</t>
    </r>
  </si>
  <si>
    <r>
      <t xml:space="preserve">Model of </t>
    </r>
    <r>
      <rPr>
        <b/>
        <sz val="12"/>
        <color theme="1"/>
        <rFont val="Calibri (Body)_x0000_"/>
      </rPr>
      <t>future</t>
    </r>
    <r>
      <rPr>
        <b/>
        <sz val="12"/>
        <color theme="1"/>
        <rFont val="Calibri"/>
        <family val="2"/>
        <scheme val="minor"/>
      </rPr>
      <t xml:space="preserve"> USS benefits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</si>
</sst>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quot;£&quot;#,##0.00"/>
    <numFmt numFmtId="165" formatCode="0.000"/>
  </numFmts>
  <fonts count="19">
    <font>
      <sz val="12"/>
      <color theme="1"/>
      <name val="Calibri"/>
      <family val="2"/>
      <scheme val="minor"/>
    </font>
    <font>
      <sz val="12"/>
      <color theme="1"/>
      <name val="Calibri"/>
      <family val="2"/>
      <scheme val="minor"/>
    </font>
    <font>
      <b/>
      <sz val="12"/>
      <color theme="1"/>
      <name val="Calibri"/>
      <family val="2"/>
      <scheme val="minor"/>
    </font>
    <font>
      <sz val="12"/>
      <color theme="0" tint="-0.34998626667073579"/>
      <name val="Calibri"/>
      <family val="2"/>
      <scheme val="minor"/>
    </font>
    <font>
      <sz val="12"/>
      <color theme="1"/>
      <name val="ArialMT"/>
    </font>
    <font>
      <b/>
      <sz val="14"/>
      <color theme="1"/>
      <name val="Arial"/>
      <family val="2"/>
    </font>
    <font>
      <b/>
      <sz val="12"/>
      <color theme="1"/>
      <name val="Arial"/>
      <family val="2"/>
    </font>
    <font>
      <b/>
      <sz val="12"/>
      <color theme="1"/>
      <name val="ArialMT"/>
    </font>
    <font>
      <sz val="12"/>
      <color rgb="FFFF0000"/>
      <name val="Calibri"/>
      <family val="2"/>
      <scheme val="minor"/>
    </font>
    <font>
      <b/>
      <sz val="16"/>
      <color rgb="FF0A0101"/>
      <name val="Helvetica Neue"/>
      <family val="2"/>
    </font>
    <font>
      <sz val="11"/>
      <color theme="1"/>
      <name val="Calibri"/>
      <family val="2"/>
      <scheme val="minor"/>
    </font>
    <font>
      <sz val="11"/>
      <color rgb="FFFF0000"/>
      <name val="Calibri"/>
      <family val="2"/>
      <scheme val="minor"/>
    </font>
    <font>
      <sz val="11"/>
      <color theme="4"/>
      <name val="Calibri"/>
      <family val="2"/>
      <scheme val="minor"/>
    </font>
    <font>
      <sz val="12"/>
      <color theme="4"/>
      <name val="Calibri (Body)_x0000_"/>
    </font>
    <font>
      <b/>
      <sz val="11"/>
      <color theme="1"/>
      <name val="Calibri"/>
      <family val="2"/>
      <scheme val="minor"/>
    </font>
    <font>
      <sz val="9"/>
      <color theme="1"/>
      <name val="Calibri"/>
      <family val="2"/>
      <scheme val="minor"/>
    </font>
    <font>
      <b/>
      <sz val="9"/>
      <color theme="1"/>
      <name val="Calibri"/>
      <family val="2"/>
      <scheme val="minor"/>
    </font>
    <font>
      <sz val="6"/>
      <color theme="1"/>
      <name val="ArialMT"/>
    </font>
    <font>
      <b/>
      <sz val="12"/>
      <color theme="1"/>
      <name val="Calibri (Body)_x0000_"/>
    </font>
  </fonts>
  <fills count="4">
    <fill>
      <patternFill patternType="none"/>
    </fill>
    <fill>
      <patternFill patternType="gray125"/>
    </fill>
    <fill>
      <patternFill patternType="solid">
        <fgColor rgb="FF00B050"/>
        <bgColor indexed="64"/>
      </patternFill>
    </fill>
    <fill>
      <patternFill patternType="solid">
        <fgColor rgb="FFFFFF00"/>
        <bgColor indexed="64"/>
      </patternFill>
    </fill>
  </fills>
  <borders count="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3">
    <xf numFmtId="0" fontId="0" fillId="0" borderId="0"/>
    <xf numFmtId="44" fontId="1" fillId="0" borderId="0" applyFont="0" applyFill="0" applyBorder="0" applyAlignment="0" applyProtection="0"/>
    <xf numFmtId="9" fontId="1" fillId="0" borderId="0" applyFont="0" applyFill="0" applyBorder="0" applyAlignment="0" applyProtection="0"/>
  </cellStyleXfs>
  <cellXfs count="102">
    <xf numFmtId="0" fontId="0" fillId="0" borderId="0" xfId="0"/>
    <xf numFmtId="44" fontId="0" fillId="0" borderId="0" xfId="1" applyFont="1"/>
    <xf numFmtId="0" fontId="0" fillId="0" borderId="0" xfId="0" applyAlignment="1">
      <alignment horizontal="left" wrapText="1"/>
    </xf>
    <xf numFmtId="0" fontId="2" fillId="0" borderId="0" xfId="0" applyFont="1"/>
    <xf numFmtId="10" fontId="0" fillId="0" borderId="0" xfId="0" applyNumberFormat="1"/>
    <xf numFmtId="44" fontId="0" fillId="0" borderId="0" xfId="0" applyNumberFormat="1"/>
    <xf numFmtId="0" fontId="3" fillId="0" borderId="0" xfId="0" applyFont="1"/>
    <xf numFmtId="44" fontId="3" fillId="0" borderId="0" xfId="1" applyFont="1"/>
    <xf numFmtId="14" fontId="0" fillId="0" borderId="0" xfId="0" applyNumberFormat="1"/>
    <xf numFmtId="3" fontId="0" fillId="0" borderId="0" xfId="0" applyNumberFormat="1"/>
    <xf numFmtId="15" fontId="0" fillId="0" borderId="0" xfId="0" applyNumberFormat="1"/>
    <xf numFmtId="0" fontId="5" fillId="0" borderId="0" xfId="0" applyFont="1"/>
    <xf numFmtId="0" fontId="4" fillId="0" borderId="0" xfId="0" applyFont="1" applyAlignment="1"/>
    <xf numFmtId="15" fontId="4" fillId="0" borderId="0" xfId="0" applyNumberFormat="1" applyFont="1" applyAlignment="1"/>
    <xf numFmtId="15" fontId="4" fillId="0" borderId="0" xfId="0" applyNumberFormat="1" applyFont="1" applyAlignment="1">
      <alignment horizontal="center"/>
    </xf>
    <xf numFmtId="0" fontId="7" fillId="0" borderId="0" xfId="0" applyFont="1" applyAlignment="1"/>
    <xf numFmtId="0" fontId="0" fillId="0" borderId="0" xfId="0" applyFont="1"/>
    <xf numFmtId="0" fontId="0" fillId="0" borderId="0" xfId="0" applyAlignment="1">
      <alignment horizontal="left" wrapText="1"/>
    </xf>
    <xf numFmtId="0" fontId="9" fillId="0" borderId="0" xfId="0" applyFont="1"/>
    <xf numFmtId="1" fontId="4" fillId="0" borderId="0" xfId="0" applyNumberFormat="1" applyFont="1" applyAlignment="1">
      <alignment horizontal="center"/>
    </xf>
    <xf numFmtId="14" fontId="4" fillId="0" borderId="0" xfId="0" applyNumberFormat="1" applyFont="1" applyAlignment="1"/>
    <xf numFmtId="44" fontId="0" fillId="3" borderId="0" xfId="1" applyFont="1" applyFill="1"/>
    <xf numFmtId="2" fontId="0" fillId="3" borderId="0" xfId="2" applyNumberFormat="1" applyFont="1" applyFill="1"/>
    <xf numFmtId="44" fontId="0" fillId="2" borderId="0" xfId="1" applyFont="1" applyFill="1" applyAlignment="1">
      <alignment horizontal="center"/>
    </xf>
    <xf numFmtId="9" fontId="0" fillId="2" borderId="0" xfId="2" applyFont="1" applyFill="1" applyAlignment="1">
      <alignment horizontal="center"/>
    </xf>
    <xf numFmtId="14" fontId="0" fillId="2" borderId="0" xfId="0" applyNumberFormat="1" applyFill="1" applyAlignment="1">
      <alignment horizontal="center"/>
    </xf>
    <xf numFmtId="1" fontId="0" fillId="3" borderId="0" xfId="0" applyNumberFormat="1" applyFill="1" applyAlignment="1">
      <alignment horizontal="center"/>
    </xf>
    <xf numFmtId="10" fontId="0" fillId="2" borderId="0" xfId="0" applyNumberFormat="1" applyFill="1" applyAlignment="1">
      <alignment horizontal="center"/>
    </xf>
    <xf numFmtId="165" fontId="0" fillId="0" borderId="0" xfId="0" applyNumberFormat="1"/>
    <xf numFmtId="0" fontId="0" fillId="0" borderId="0" xfId="0" applyAlignment="1">
      <alignment horizontal="left" vertical="top" wrapText="1"/>
    </xf>
    <xf numFmtId="0" fontId="0" fillId="0" borderId="0" xfId="0" applyAlignment="1">
      <alignment wrapText="1"/>
    </xf>
    <xf numFmtId="44" fontId="0" fillId="0" borderId="0" xfId="1" applyFont="1" applyFill="1"/>
    <xf numFmtId="0" fontId="0" fillId="2" borderId="0" xfId="0" applyFill="1" applyAlignment="1">
      <alignment horizontal="center"/>
    </xf>
    <xf numFmtId="10" fontId="0" fillId="2" borderId="0" xfId="2" applyNumberFormat="1" applyFont="1" applyFill="1" applyAlignment="1">
      <alignment horizontal="center"/>
    </xf>
    <xf numFmtId="0" fontId="2" fillId="0" borderId="0" xfId="0" applyFont="1" applyAlignment="1">
      <alignment wrapText="1"/>
    </xf>
    <xf numFmtId="44" fontId="0" fillId="0" borderId="0" xfId="1" applyFont="1" applyFill="1" applyAlignment="1">
      <alignment horizontal="center"/>
    </xf>
    <xf numFmtId="0" fontId="2" fillId="0" borderId="0" xfId="0" applyFont="1" applyAlignment="1">
      <alignment horizontal="center"/>
    </xf>
    <xf numFmtId="0" fontId="10" fillId="0" borderId="0" xfId="0" applyFont="1"/>
    <xf numFmtId="0" fontId="15" fillId="0" borderId="4" xfId="0" applyFont="1" applyBorder="1" applyAlignment="1">
      <alignment vertical="top" wrapText="1"/>
    </xf>
    <xf numFmtId="0" fontId="15" fillId="0" borderId="0" xfId="0" applyFont="1" applyBorder="1" applyAlignment="1">
      <alignment vertical="top" wrapText="1"/>
    </xf>
    <xf numFmtId="0" fontId="15" fillId="0" borderId="5" xfId="0" applyFont="1" applyBorder="1" applyAlignment="1">
      <alignment vertical="top" wrapText="1"/>
    </xf>
    <xf numFmtId="10" fontId="0" fillId="0" borderId="4" xfId="0" applyNumberFormat="1" applyBorder="1"/>
    <xf numFmtId="10" fontId="0" fillId="0" borderId="0" xfId="0" applyNumberFormat="1" applyBorder="1"/>
    <xf numFmtId="10" fontId="0" fillId="0" borderId="5" xfId="0" applyNumberFormat="1" applyBorder="1"/>
    <xf numFmtId="10" fontId="0" fillId="0" borderId="6" xfId="0" applyNumberFormat="1" applyBorder="1"/>
    <xf numFmtId="10" fontId="0" fillId="0" borderId="7" xfId="0" applyNumberFormat="1" applyBorder="1"/>
    <xf numFmtId="10" fontId="0" fillId="0" borderId="8" xfId="0" applyNumberFormat="1" applyBorder="1"/>
    <xf numFmtId="0" fontId="15" fillId="0" borderId="0" xfId="0" applyFont="1" applyAlignment="1">
      <alignment vertical="top" wrapText="1"/>
    </xf>
    <xf numFmtId="0" fontId="15" fillId="0" borderId="0" xfId="0" applyFont="1"/>
    <xf numFmtId="0" fontId="16" fillId="0" borderId="0" xfId="0" applyFont="1"/>
    <xf numFmtId="0" fontId="16" fillId="0" borderId="4" xfId="0" applyFont="1" applyBorder="1" applyAlignment="1">
      <alignment vertical="top" wrapText="1"/>
    </xf>
    <xf numFmtId="0" fontId="16" fillId="0" borderId="0" xfId="0" applyFont="1" applyBorder="1" applyAlignment="1">
      <alignment vertical="top" wrapText="1"/>
    </xf>
    <xf numFmtId="0" fontId="16" fillId="0" borderId="5" xfId="0" applyFont="1" applyBorder="1" applyAlignment="1">
      <alignment vertical="top" wrapText="1"/>
    </xf>
    <xf numFmtId="0" fontId="15" fillId="0" borderId="0" xfId="0" applyFont="1" applyAlignment="1">
      <alignment wrapText="1"/>
    </xf>
    <xf numFmtId="0" fontId="16" fillId="0" borderId="0" xfId="0" applyFont="1" applyAlignment="1">
      <alignment wrapText="1"/>
    </xf>
    <xf numFmtId="10" fontId="0" fillId="0" borderId="0" xfId="2" applyNumberFormat="1" applyFont="1"/>
    <xf numFmtId="1" fontId="0" fillId="0" borderId="0" xfId="0" applyNumberFormat="1" applyAlignment="1">
      <alignment horizontal="center"/>
    </xf>
    <xf numFmtId="1" fontId="0" fillId="0" borderId="0" xfId="2" applyNumberFormat="1" applyFont="1" applyAlignment="1">
      <alignment horizontal="center" wrapText="1"/>
    </xf>
    <xf numFmtId="2" fontId="0" fillId="0" borderId="0" xfId="0" applyNumberFormat="1"/>
    <xf numFmtId="0" fontId="0" fillId="2" borderId="0" xfId="0" applyFill="1" applyAlignment="1">
      <alignment horizontal="center" wrapText="1"/>
    </xf>
    <xf numFmtId="9" fontId="0" fillId="2" borderId="0" xfId="2" applyNumberFormat="1" applyFont="1" applyFill="1" applyAlignment="1">
      <alignment horizontal="center"/>
    </xf>
    <xf numFmtId="1" fontId="0" fillId="2" borderId="0" xfId="0" applyNumberFormat="1" applyFill="1" applyAlignment="1">
      <alignment horizontal="center"/>
    </xf>
    <xf numFmtId="1" fontId="0" fillId="0" borderId="0" xfId="0" applyNumberFormat="1" applyFill="1" applyAlignment="1">
      <alignment horizontal="center"/>
    </xf>
    <xf numFmtId="0" fontId="2" fillId="0" borderId="1" xfId="0" applyFont="1" applyBorder="1"/>
    <xf numFmtId="0" fontId="0" fillId="0" borderId="3" xfId="0" applyBorder="1"/>
    <xf numFmtId="0" fontId="2" fillId="0" borderId="4" xfId="0" applyFont="1" applyBorder="1"/>
    <xf numFmtId="0" fontId="0" fillId="0" borderId="5" xfId="0" applyBorder="1"/>
    <xf numFmtId="0" fontId="0" fillId="0" borderId="4" xfId="0" applyBorder="1"/>
    <xf numFmtId="0" fontId="0" fillId="0" borderId="6" xfId="0" applyBorder="1"/>
    <xf numFmtId="0" fontId="0" fillId="0" borderId="0" xfId="0" applyBorder="1"/>
    <xf numFmtId="44" fontId="0" fillId="3" borderId="0" xfId="1" applyFont="1" applyFill="1" applyBorder="1"/>
    <xf numFmtId="0" fontId="2" fillId="0" borderId="1" xfId="0" applyFont="1" applyFill="1" applyBorder="1"/>
    <xf numFmtId="44" fontId="0" fillId="0" borderId="0" xfId="1" applyFont="1" applyFill="1" applyBorder="1"/>
    <xf numFmtId="0" fontId="0" fillId="0" borderId="2" xfId="0" applyBorder="1"/>
    <xf numFmtId="164" fontId="8" fillId="3" borderId="0" xfId="1" applyNumberFormat="1" applyFont="1" applyFill="1" applyBorder="1"/>
    <xf numFmtId="9" fontId="8" fillId="0" borderId="5" xfId="2" applyFont="1" applyBorder="1"/>
    <xf numFmtId="164" fontId="8" fillId="0" borderId="0" xfId="1" applyNumberFormat="1" applyFont="1" applyFill="1" applyBorder="1"/>
    <xf numFmtId="44" fontId="0" fillId="0" borderId="0" xfId="0" applyNumberFormat="1" applyBorder="1"/>
    <xf numFmtId="164" fontId="8" fillId="3" borderId="7" xfId="1" applyNumberFormat="1" applyFont="1" applyFill="1" applyBorder="1"/>
    <xf numFmtId="9" fontId="8" fillId="0" borderId="8" xfId="2" applyFont="1" applyBorder="1"/>
    <xf numFmtId="44" fontId="0" fillId="3" borderId="7" xfId="1" applyFont="1" applyFill="1" applyBorder="1"/>
    <xf numFmtId="0" fontId="0" fillId="0" borderId="8" xfId="0" applyBorder="1"/>
    <xf numFmtId="44" fontId="0" fillId="0" borderId="2" xfId="1" applyFont="1" applyFill="1" applyBorder="1"/>
    <xf numFmtId="0" fontId="17" fillId="0" borderId="0" xfId="0" applyFont="1"/>
    <xf numFmtId="0" fontId="0" fillId="0" borderId="0" xfId="0" applyAlignment="1">
      <alignment horizontal="left" vertical="top" wrapText="1"/>
    </xf>
    <xf numFmtId="0" fontId="0" fillId="2" borderId="0" xfId="0" applyFill="1" applyAlignment="1">
      <alignment horizontal="center" wrapText="1"/>
    </xf>
    <xf numFmtId="0" fontId="10" fillId="0" borderId="0" xfId="0" applyFont="1" applyAlignment="1">
      <alignment horizontal="left" vertical="top" wrapText="1"/>
    </xf>
    <xf numFmtId="0" fontId="0" fillId="0" borderId="0" xfId="0" applyAlignment="1">
      <alignment horizontal="center"/>
    </xf>
    <xf numFmtId="0" fontId="2" fillId="0" borderId="0" xfId="0" applyFont="1" applyAlignment="1">
      <alignment horizontal="center"/>
    </xf>
    <xf numFmtId="0" fontId="0" fillId="0" borderId="0" xfId="0" applyAlignment="1">
      <alignment horizontal="center" wrapText="1"/>
    </xf>
    <xf numFmtId="10" fontId="0" fillId="0" borderId="0" xfId="2" applyNumberFormat="1" applyFont="1" applyAlignment="1">
      <alignment horizontal="center" wrapText="1"/>
    </xf>
    <xf numFmtId="0" fontId="2" fillId="0" borderId="0" xfId="0" applyFont="1" applyAlignment="1">
      <alignment horizontal="left" wrapText="1"/>
    </xf>
    <xf numFmtId="0" fontId="0" fillId="0" borderId="0" xfId="0" applyAlignment="1">
      <alignment horizontal="left" wrapText="1"/>
    </xf>
    <xf numFmtId="0" fontId="0" fillId="0" borderId="0" xfId="0" applyAlignment="1">
      <alignment horizontal="center" vertical="top" wrapText="1"/>
    </xf>
    <xf numFmtId="0" fontId="2" fillId="0" borderId="1" xfId="0" applyFont="1" applyBorder="1" applyAlignment="1">
      <alignment horizontal="center"/>
    </xf>
    <xf numFmtId="0" fontId="2" fillId="0" borderId="2" xfId="0" applyFont="1" applyBorder="1" applyAlignment="1">
      <alignment horizontal="center"/>
    </xf>
    <xf numFmtId="0" fontId="2" fillId="0" borderId="3" xfId="0" applyFont="1" applyBorder="1" applyAlignment="1">
      <alignment horizontal="center"/>
    </xf>
    <xf numFmtId="0" fontId="14" fillId="0" borderId="1" xfId="0" applyFont="1" applyBorder="1" applyAlignment="1">
      <alignment horizontal="center"/>
    </xf>
    <xf numFmtId="0" fontId="14" fillId="0" borderId="2" xfId="0" applyFont="1" applyBorder="1" applyAlignment="1">
      <alignment horizontal="center"/>
    </xf>
    <xf numFmtId="0" fontId="14" fillId="0" borderId="3" xfId="0" applyFont="1" applyBorder="1" applyAlignment="1">
      <alignment horizontal="center"/>
    </xf>
    <xf numFmtId="0" fontId="2" fillId="0" borderId="0" xfId="0" applyFont="1" applyAlignment="1">
      <alignment horizontal="center" wrapText="1"/>
    </xf>
    <xf numFmtId="0" fontId="6" fillId="0" borderId="0" xfId="0" applyFont="1"/>
  </cellXfs>
  <cellStyles count="3">
    <cellStyle name="Currency" xfId="1" builtinId="4"/>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accent1"/>
                </a:solidFill>
                <a:latin typeface="+mn-lt"/>
                <a:ea typeface="+mn-ea"/>
                <a:cs typeface="+mn-cs"/>
              </a:defRPr>
            </a:pPr>
            <a:r>
              <a:rPr lang="en-US" sz="1400" b="0" i="0" baseline="0">
                <a:solidFill>
                  <a:schemeClr val="accent1"/>
                </a:solidFill>
                <a:effectLst/>
              </a:rPr>
              <a:t>Figure 2: Difference in total pension benefits by year of retirement</a:t>
            </a:r>
            <a:endParaRPr lang="en-GB" sz="1400">
              <a:solidFill>
                <a:schemeClr val="accent1"/>
              </a:solidFill>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1"/>
              </a:solidFill>
              <a:latin typeface="+mn-lt"/>
              <a:ea typeface="+mn-ea"/>
              <a:cs typeface="+mn-cs"/>
            </a:defRPr>
          </a:pPr>
          <a:endParaRPr lang="en-US"/>
        </a:p>
      </c:txPr>
    </c:title>
    <c:autoTitleDeleted val="0"/>
    <c:plotArea>
      <c:layout/>
      <c:lineChart>
        <c:grouping val="standard"/>
        <c:varyColors val="0"/>
        <c:ser>
          <c:idx val="0"/>
          <c:order val="0"/>
          <c:tx>
            <c:strRef>
              <c:f>'Difference in benefits'!$B$3</c:f>
              <c:strCache>
                <c:ptCount val="1"/>
                <c:pt idx="0">
                  <c:v>Single - male</c:v>
                </c:pt>
              </c:strCache>
            </c:strRef>
          </c:tx>
          <c:spPr>
            <a:ln w="28575" cap="rnd">
              <a:solidFill>
                <a:schemeClr val="accent1"/>
              </a:solidFill>
              <a:round/>
            </a:ln>
            <a:effectLst/>
          </c:spPr>
          <c:marker>
            <c:symbol val="none"/>
          </c:marker>
          <c:cat>
            <c:numRef>
              <c:f>'Difference in benefits'!$A$4:$A$45</c:f>
              <c:numCache>
                <c:formatCode>General</c:formatCode>
                <c:ptCount val="4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pt idx="32">
                  <c:v>2051</c:v>
                </c:pt>
                <c:pt idx="33">
                  <c:v>2052</c:v>
                </c:pt>
                <c:pt idx="34">
                  <c:v>2053</c:v>
                </c:pt>
                <c:pt idx="35">
                  <c:v>2054</c:v>
                </c:pt>
                <c:pt idx="36">
                  <c:v>2055</c:v>
                </c:pt>
                <c:pt idx="37">
                  <c:v>2056</c:v>
                </c:pt>
                <c:pt idx="38">
                  <c:v>2057</c:v>
                </c:pt>
                <c:pt idx="39">
                  <c:v>2058</c:v>
                </c:pt>
                <c:pt idx="40">
                  <c:v>2059</c:v>
                </c:pt>
                <c:pt idx="41">
                  <c:v>2060</c:v>
                </c:pt>
              </c:numCache>
            </c:numRef>
          </c:cat>
          <c:val>
            <c:numRef>
              <c:f>'Difference in benefits'!$B$4:$B$45</c:f>
              <c:numCache>
                <c:formatCode>_("£"* #,##0.00_);_("£"* \(#,##0.00\);_("£"* "-"??_);_(@_)</c:formatCode>
                <c:ptCount val="42"/>
                <c:pt idx="0">
                  <c:v>8549.0905395996524</c:v>
                </c:pt>
                <c:pt idx="1">
                  <c:v>17734.977777341162</c:v>
                </c:pt>
                <c:pt idx="2">
                  <c:v>28445.925847895378</c:v>
                </c:pt>
                <c:pt idx="3">
                  <c:v>39302.489666100882</c:v>
                </c:pt>
                <c:pt idx="4">
                  <c:v>50894.265719128853</c:v>
                </c:pt>
                <c:pt idx="5">
                  <c:v>63251.64953941034</c:v>
                </c:pt>
                <c:pt idx="6">
                  <c:v>76406.189252218086</c:v>
                </c:pt>
                <c:pt idx="7">
                  <c:v>90390.627558909124</c:v>
                </c:pt>
                <c:pt idx="8">
                  <c:v>105238.94522450687</c:v>
                </c:pt>
                <c:pt idx="9">
                  <c:v>114047.93518265165</c:v>
                </c:pt>
                <c:pt idx="10">
                  <c:v>104270.5653380655</c:v>
                </c:pt>
                <c:pt idx="11">
                  <c:v>115230.21160846538</c:v>
                </c:pt>
                <c:pt idx="12">
                  <c:v>126672.8231163545</c:v>
                </c:pt>
                <c:pt idx="13">
                  <c:v>138618.19578432129</c:v>
                </c:pt>
                <c:pt idx="14">
                  <c:v>151086.91625336072</c:v>
                </c:pt>
                <c:pt idx="15">
                  <c:v>164100.39287701569</c:v>
                </c:pt>
                <c:pt idx="16">
                  <c:v>177680.88790917955</c:v>
                </c:pt>
                <c:pt idx="17">
                  <c:v>191851.55093079779</c:v>
                </c:pt>
                <c:pt idx="18">
                  <c:v>206636.45356239416</c:v>
                </c:pt>
                <c:pt idx="19">
                  <c:v>222060.62551110302</c:v>
                </c:pt>
                <c:pt idx="20">
                  <c:v>238150.09200270526</c:v>
                </c:pt>
                <c:pt idx="21">
                  <c:v>257292.86255843772</c:v>
                </c:pt>
                <c:pt idx="22">
                  <c:v>277377.67771513725</c:v>
                </c:pt>
                <c:pt idx="23">
                  <c:v>298444.94097252085</c:v>
                </c:pt>
                <c:pt idx="24">
                  <c:v>320536.65853070101</c:v>
                </c:pt>
                <c:pt idx="25">
                  <c:v>343696.50000077387</c:v>
                </c:pt>
                <c:pt idx="26">
                  <c:v>367969.86135205923</c:v>
                </c:pt>
                <c:pt idx="27">
                  <c:v>374854.97890115145</c:v>
                </c:pt>
                <c:pt idx="28">
                  <c:v>399885.21479148726</c:v>
                </c:pt>
                <c:pt idx="29">
                  <c:v>425664.31635966984</c:v>
                </c:pt>
                <c:pt idx="30">
                  <c:v>452209.44888036168</c:v>
                </c:pt>
                <c:pt idx="31">
                  <c:v>479538.12087484531</c:v>
                </c:pt>
                <c:pt idx="32">
                  <c:v>507668.19048446586</c:v>
                </c:pt>
                <c:pt idx="33">
                  <c:v>536617.87195685389</c:v>
                </c:pt>
                <c:pt idx="34">
                  <c:v>566405.7422468568</c:v>
                </c:pt>
                <c:pt idx="35">
                  <c:v>597050.74773413339</c:v>
                </c:pt>
                <c:pt idx="36">
                  <c:v>628572.2110594071</c:v>
                </c:pt>
                <c:pt idx="37">
                  <c:v>660989.83808139991</c:v>
                </c:pt>
                <c:pt idx="38">
                  <c:v>694323.72495650034</c:v>
                </c:pt>
                <c:pt idx="39">
                  <c:v>728594.36534326302</c:v>
                </c:pt>
                <c:pt idx="40">
                  <c:v>763822.65773386334</c:v>
                </c:pt>
                <c:pt idx="41">
                  <c:v>800029.91291466611</c:v>
                </c:pt>
              </c:numCache>
            </c:numRef>
          </c:val>
          <c:smooth val="0"/>
          <c:extLst>
            <c:ext xmlns:c16="http://schemas.microsoft.com/office/drawing/2014/chart" uri="{C3380CC4-5D6E-409C-BE32-E72D297353CC}">
              <c16:uniqueId val="{00000000-D00F-4A44-8719-221A57B5DD12}"/>
            </c:ext>
          </c:extLst>
        </c:ser>
        <c:ser>
          <c:idx val="1"/>
          <c:order val="1"/>
          <c:tx>
            <c:strRef>
              <c:f>'Difference in benefits'!$C$3</c:f>
              <c:strCache>
                <c:ptCount val="1"/>
                <c:pt idx="0">
                  <c:v>Joint - male</c:v>
                </c:pt>
              </c:strCache>
            </c:strRef>
          </c:tx>
          <c:spPr>
            <a:ln w="28575" cap="rnd">
              <a:solidFill>
                <a:schemeClr val="accent2"/>
              </a:solidFill>
              <a:round/>
            </a:ln>
            <a:effectLst/>
          </c:spPr>
          <c:marker>
            <c:symbol val="none"/>
          </c:marker>
          <c:cat>
            <c:numRef>
              <c:f>'Difference in benefits'!$A$4:$A$45</c:f>
              <c:numCache>
                <c:formatCode>General</c:formatCode>
                <c:ptCount val="4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pt idx="32">
                  <c:v>2051</c:v>
                </c:pt>
                <c:pt idx="33">
                  <c:v>2052</c:v>
                </c:pt>
                <c:pt idx="34">
                  <c:v>2053</c:v>
                </c:pt>
                <c:pt idx="35">
                  <c:v>2054</c:v>
                </c:pt>
                <c:pt idx="36">
                  <c:v>2055</c:v>
                </c:pt>
                <c:pt idx="37">
                  <c:v>2056</c:v>
                </c:pt>
                <c:pt idx="38">
                  <c:v>2057</c:v>
                </c:pt>
                <c:pt idx="39">
                  <c:v>2058</c:v>
                </c:pt>
                <c:pt idx="40">
                  <c:v>2059</c:v>
                </c:pt>
                <c:pt idx="41">
                  <c:v>2060</c:v>
                </c:pt>
              </c:numCache>
            </c:numRef>
          </c:cat>
          <c:val>
            <c:numRef>
              <c:f>'Difference in benefits'!$C$4:$C$45</c:f>
              <c:numCache>
                <c:formatCode>_("£"* #,##0.00_);_("£"* \(#,##0.00\);_("£"* "-"??_);_(@_)</c:formatCode>
                <c:ptCount val="42"/>
                <c:pt idx="0">
                  <c:v>11304.508336582196</c:v>
                </c:pt>
                <c:pt idx="1">
                  <c:v>23384.410886494479</c:v>
                </c:pt>
                <c:pt idx="2">
                  <c:v>34619.332033348735</c:v>
                </c:pt>
                <c:pt idx="3">
                  <c:v>47741.264246558421</c:v>
                </c:pt>
                <c:pt idx="4">
                  <c:v>61709.08790628409</c:v>
                </c:pt>
                <c:pt idx="5">
                  <c:v>76557.566196739805</c:v>
                </c:pt>
                <c:pt idx="6">
                  <c:v>92322.775983223488</c:v>
                </c:pt>
                <c:pt idx="7">
                  <c:v>109042.15558542628</c:v>
                </c:pt>
                <c:pt idx="8">
                  <c:v>126754.55426102594</c:v>
                </c:pt>
                <c:pt idx="9">
                  <c:v>139041.28239963818</c:v>
                </c:pt>
                <c:pt idx="10">
                  <c:v>128785.70127643223</c:v>
                </c:pt>
                <c:pt idx="11">
                  <c:v>142655.5543365053</c:v>
                </c:pt>
                <c:pt idx="12">
                  <c:v>157141.77527110884</c:v>
                </c:pt>
                <c:pt idx="13">
                  <c:v>172269.32920097915</c:v>
                </c:pt>
                <c:pt idx="14">
                  <c:v>188064.16133923005</c:v>
                </c:pt>
                <c:pt idx="15">
                  <c:v>204553.23477391369</c:v>
                </c:pt>
                <c:pt idx="16">
                  <c:v>221764.56968542805</c:v>
                </c:pt>
                <c:pt idx="17">
                  <c:v>239727.2840525436</c:v>
                </c:pt>
                <c:pt idx="18">
                  <c:v>258471.63590281529</c:v>
                </c:pt>
                <c:pt idx="19">
                  <c:v>278029.06716521102</c:v>
                </c:pt>
                <c:pt idx="20">
                  <c:v>298432.24918492918</c:v>
                </c:pt>
                <c:pt idx="21">
                  <c:v>322076.07986998581</c:v>
                </c:pt>
                <c:pt idx="22">
                  <c:v>346856.43907828676</c:v>
                </c:pt>
                <c:pt idx="23">
                  <c:v>372821.12953950092</c:v>
                </c:pt>
                <c:pt idx="24">
                  <c:v>400019.82588572236</c:v>
                </c:pt>
                <c:pt idx="25">
                  <c:v>428504.14498502872</c:v>
                </c:pt>
                <c:pt idx="26">
                  <c:v>458327.71885318361</c:v>
                </c:pt>
                <c:pt idx="27">
                  <c:v>490447.96379714564</c:v>
                </c:pt>
                <c:pt idx="28">
                  <c:v>522611.97151440749</c:v>
                </c:pt>
                <c:pt idx="29">
                  <c:v>555712.84964272194</c:v>
                </c:pt>
                <c:pt idx="30">
                  <c:v>589771.79850008735</c:v>
                </c:pt>
                <c:pt idx="31">
                  <c:v>624810.44040135574</c:v>
                </c:pt>
                <c:pt idx="32">
                  <c:v>660850.82748630014</c:v>
                </c:pt>
                <c:pt idx="33">
                  <c:v>697915.44968637847</c:v>
                </c:pt>
                <c:pt idx="34">
                  <c:v>736027.24283257674</c:v>
                </c:pt>
                <c:pt idx="35">
                  <c:v>775209.59690674557</c:v>
                </c:pt>
                <c:pt idx="36">
                  <c:v>815486.36443888675</c:v>
                </c:pt>
                <c:pt idx="37">
                  <c:v>856881.86905288883</c:v>
                </c:pt>
                <c:pt idx="38">
                  <c:v>899420.91416324861</c:v>
                </c:pt>
                <c:pt idx="39">
                  <c:v>943128.79182535957</c:v>
                </c:pt>
                <c:pt idx="40">
                  <c:v>988031.29174199735</c:v>
                </c:pt>
                <c:pt idx="41">
                  <c:v>1034154.7104286603</c:v>
                </c:pt>
              </c:numCache>
            </c:numRef>
          </c:val>
          <c:smooth val="0"/>
          <c:extLst>
            <c:ext xmlns:c16="http://schemas.microsoft.com/office/drawing/2014/chart" uri="{C3380CC4-5D6E-409C-BE32-E72D297353CC}">
              <c16:uniqueId val="{00000001-D00F-4A44-8719-221A57B5DD12}"/>
            </c:ext>
          </c:extLst>
        </c:ser>
        <c:ser>
          <c:idx val="2"/>
          <c:order val="2"/>
          <c:tx>
            <c:strRef>
              <c:f>'Difference in benefits'!$D$3</c:f>
              <c:strCache>
                <c:ptCount val="1"/>
                <c:pt idx="0">
                  <c:v>Single - female</c:v>
                </c:pt>
              </c:strCache>
            </c:strRef>
          </c:tx>
          <c:spPr>
            <a:ln w="28575" cap="rnd">
              <a:solidFill>
                <a:schemeClr val="accent3"/>
              </a:solidFill>
              <a:round/>
            </a:ln>
            <a:effectLst/>
          </c:spPr>
          <c:marker>
            <c:symbol val="none"/>
          </c:marker>
          <c:cat>
            <c:numRef>
              <c:f>'Difference in benefits'!$A$4:$A$45</c:f>
              <c:numCache>
                <c:formatCode>General</c:formatCode>
                <c:ptCount val="4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pt idx="32">
                  <c:v>2051</c:v>
                </c:pt>
                <c:pt idx="33">
                  <c:v>2052</c:v>
                </c:pt>
                <c:pt idx="34">
                  <c:v>2053</c:v>
                </c:pt>
                <c:pt idx="35">
                  <c:v>2054</c:v>
                </c:pt>
                <c:pt idx="36">
                  <c:v>2055</c:v>
                </c:pt>
                <c:pt idx="37">
                  <c:v>2056</c:v>
                </c:pt>
                <c:pt idx="38">
                  <c:v>2057</c:v>
                </c:pt>
                <c:pt idx="39">
                  <c:v>2058</c:v>
                </c:pt>
                <c:pt idx="40">
                  <c:v>2059</c:v>
                </c:pt>
                <c:pt idx="41">
                  <c:v>2060</c:v>
                </c:pt>
              </c:numCache>
            </c:numRef>
          </c:cat>
          <c:val>
            <c:numRef>
              <c:f>'Difference in benefits'!$D$4:$D$45</c:f>
              <c:numCache>
                <c:formatCode>_("£"* #,##0.00_);_("£"* \(#,##0.00\);_("£"* "-"??_);_(@_)</c:formatCode>
                <c:ptCount val="42"/>
                <c:pt idx="0">
                  <c:v>8549.0905395996524</c:v>
                </c:pt>
                <c:pt idx="1">
                  <c:v>17734.977777341162</c:v>
                </c:pt>
                <c:pt idx="2">
                  <c:v>28445.925847895378</c:v>
                </c:pt>
                <c:pt idx="3">
                  <c:v>39302.489666100882</c:v>
                </c:pt>
                <c:pt idx="4">
                  <c:v>50894.265719128853</c:v>
                </c:pt>
                <c:pt idx="5">
                  <c:v>63251.64953941034</c:v>
                </c:pt>
                <c:pt idx="6">
                  <c:v>76406.189252218086</c:v>
                </c:pt>
                <c:pt idx="7">
                  <c:v>90390.627558909124</c:v>
                </c:pt>
                <c:pt idx="8">
                  <c:v>105238.94522450687</c:v>
                </c:pt>
                <c:pt idx="9">
                  <c:v>114047.93518265165</c:v>
                </c:pt>
                <c:pt idx="10">
                  <c:v>104270.5653380655</c:v>
                </c:pt>
                <c:pt idx="11">
                  <c:v>115230.21160846538</c:v>
                </c:pt>
                <c:pt idx="12">
                  <c:v>126672.8231163545</c:v>
                </c:pt>
                <c:pt idx="13">
                  <c:v>138618.19578432129</c:v>
                </c:pt>
                <c:pt idx="14">
                  <c:v>151086.91625336072</c:v>
                </c:pt>
                <c:pt idx="15">
                  <c:v>164100.39287701569</c:v>
                </c:pt>
                <c:pt idx="16">
                  <c:v>177680.88790917955</c:v>
                </c:pt>
                <c:pt idx="17">
                  <c:v>191851.55093079779</c:v>
                </c:pt>
                <c:pt idx="18">
                  <c:v>206636.45356239416</c:v>
                </c:pt>
                <c:pt idx="19">
                  <c:v>222060.62551110302</c:v>
                </c:pt>
                <c:pt idx="20">
                  <c:v>238150.09200270526</c:v>
                </c:pt>
                <c:pt idx="21">
                  <c:v>257292.86255843772</c:v>
                </c:pt>
                <c:pt idx="22">
                  <c:v>277377.67771513725</c:v>
                </c:pt>
                <c:pt idx="23">
                  <c:v>298444.94097252085</c:v>
                </c:pt>
                <c:pt idx="24">
                  <c:v>320536.65853070101</c:v>
                </c:pt>
                <c:pt idx="25">
                  <c:v>343696.50000077387</c:v>
                </c:pt>
                <c:pt idx="26">
                  <c:v>367969.86135205923</c:v>
                </c:pt>
                <c:pt idx="27">
                  <c:v>374854.97890115145</c:v>
                </c:pt>
                <c:pt idx="28">
                  <c:v>399885.21479148726</c:v>
                </c:pt>
                <c:pt idx="29">
                  <c:v>425664.31635966984</c:v>
                </c:pt>
                <c:pt idx="30">
                  <c:v>452209.44888036168</c:v>
                </c:pt>
                <c:pt idx="31">
                  <c:v>479538.12087484531</c:v>
                </c:pt>
                <c:pt idx="32">
                  <c:v>507668.19048446586</c:v>
                </c:pt>
                <c:pt idx="33">
                  <c:v>536617.87195685389</c:v>
                </c:pt>
                <c:pt idx="34">
                  <c:v>566405.7422468568</c:v>
                </c:pt>
                <c:pt idx="35">
                  <c:v>597050.74773413339</c:v>
                </c:pt>
                <c:pt idx="36">
                  <c:v>628572.2110594071</c:v>
                </c:pt>
                <c:pt idx="37">
                  <c:v>660989.83808139991</c:v>
                </c:pt>
                <c:pt idx="38">
                  <c:v>694323.72495650034</c:v>
                </c:pt>
                <c:pt idx="39">
                  <c:v>728594.36534326302</c:v>
                </c:pt>
                <c:pt idx="40">
                  <c:v>763822.65773386334</c:v>
                </c:pt>
                <c:pt idx="41">
                  <c:v>800029.91291466611</c:v>
                </c:pt>
              </c:numCache>
            </c:numRef>
          </c:val>
          <c:smooth val="0"/>
          <c:extLst>
            <c:ext xmlns:c16="http://schemas.microsoft.com/office/drawing/2014/chart" uri="{C3380CC4-5D6E-409C-BE32-E72D297353CC}">
              <c16:uniqueId val="{00000002-D00F-4A44-8719-221A57B5DD12}"/>
            </c:ext>
          </c:extLst>
        </c:ser>
        <c:ser>
          <c:idx val="3"/>
          <c:order val="3"/>
          <c:tx>
            <c:strRef>
              <c:f>'Difference in benefits'!$E$3</c:f>
              <c:strCache>
                <c:ptCount val="1"/>
                <c:pt idx="0">
                  <c:v>Joint - female</c:v>
                </c:pt>
              </c:strCache>
            </c:strRef>
          </c:tx>
          <c:spPr>
            <a:ln w="28575" cap="rnd">
              <a:solidFill>
                <a:schemeClr val="accent4"/>
              </a:solidFill>
              <a:round/>
            </a:ln>
            <a:effectLst/>
          </c:spPr>
          <c:marker>
            <c:symbol val="none"/>
          </c:marker>
          <c:cat>
            <c:numRef>
              <c:f>'Difference in benefits'!$A$4:$A$45</c:f>
              <c:numCache>
                <c:formatCode>General</c:formatCode>
                <c:ptCount val="4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pt idx="32">
                  <c:v>2051</c:v>
                </c:pt>
                <c:pt idx="33">
                  <c:v>2052</c:v>
                </c:pt>
                <c:pt idx="34">
                  <c:v>2053</c:v>
                </c:pt>
                <c:pt idx="35">
                  <c:v>2054</c:v>
                </c:pt>
                <c:pt idx="36">
                  <c:v>2055</c:v>
                </c:pt>
                <c:pt idx="37">
                  <c:v>2056</c:v>
                </c:pt>
                <c:pt idx="38">
                  <c:v>2057</c:v>
                </c:pt>
                <c:pt idx="39">
                  <c:v>2058</c:v>
                </c:pt>
                <c:pt idx="40">
                  <c:v>2059</c:v>
                </c:pt>
                <c:pt idx="41">
                  <c:v>2060</c:v>
                </c:pt>
              </c:numCache>
            </c:numRef>
          </c:cat>
          <c:val>
            <c:numRef>
              <c:f>'Difference in benefits'!$E$4:$E$45</c:f>
              <c:numCache>
                <c:formatCode>_("£"* #,##0.00_);_("£"* \(#,##0.00\);_("£"* "-"??_);_(@_)</c:formatCode>
                <c:ptCount val="42"/>
                <c:pt idx="0">
                  <c:v>10007.260256779457</c:v>
                </c:pt>
                <c:pt idx="1">
                  <c:v>20724.663148474916</c:v>
                </c:pt>
                <c:pt idx="2">
                  <c:v>31140.444759607271</c:v>
                </c:pt>
                <c:pt idx="3">
                  <c:v>42985.77843985692</c:v>
                </c:pt>
                <c:pt idx="4">
                  <c:v>55614.632731226091</c:v>
                </c:pt>
                <c:pt idx="5">
                  <c:v>69059.309523831645</c:v>
                </c:pt>
                <c:pt idx="6">
                  <c:v>83353.333611138485</c:v>
                </c:pt>
                <c:pt idx="7">
                  <c:v>98531.497200404119</c:v>
                </c:pt>
                <c:pt idx="8">
                  <c:v>114629.90601735198</c:v>
                </c:pt>
                <c:pt idx="9">
                  <c:v>125801.39215587566</c:v>
                </c:pt>
                <c:pt idx="10">
                  <c:v>115799.13703927808</c:v>
                </c:pt>
                <c:pt idx="11">
                  <c:v>128127.34711142283</c:v>
                </c:pt>
                <c:pt idx="12">
                  <c:v>141001.25680156876</c:v>
                </c:pt>
                <c:pt idx="13">
                  <c:v>154443.09291711106</c:v>
                </c:pt>
                <c:pt idx="14">
                  <c:v>168475.96203950272</c:v>
                </c:pt>
                <c:pt idx="15">
                  <c:v>183123.88471074175</c:v>
                </c:pt>
                <c:pt idx="16">
                  <c:v>198411.8309269395</c:v>
                </c:pt>
                <c:pt idx="17">
                  <c:v>214365.75698822245</c:v>
                </c:pt>
                <c:pt idx="18">
                  <c:v>231012.64375605076</c:v>
                </c:pt>
                <c:pt idx="19">
                  <c:v>248380.53637093672</c:v>
                </c:pt>
                <c:pt idx="20">
                  <c:v>266498.58548551711</c:v>
                </c:pt>
                <c:pt idx="21">
                  <c:v>287758.03997736319</c:v>
                </c:pt>
                <c:pt idx="22">
                  <c:v>310050.99774486385</c:v>
                </c:pt>
                <c:pt idx="23">
                  <c:v>333421.34187492856</c:v>
                </c:pt>
                <c:pt idx="24">
                  <c:v>357914.68475072988</c:v>
                </c:pt>
                <c:pt idx="25">
                  <c:v>383578.43328762235</c:v>
                </c:pt>
                <c:pt idx="26">
                  <c:v>410461.85656630498</c:v>
                </c:pt>
                <c:pt idx="27">
                  <c:v>428863.18684521178</c:v>
                </c:pt>
                <c:pt idx="28">
                  <c:v>457226.51628444024</c:v>
                </c:pt>
                <c:pt idx="29">
                  <c:v>486426.55236119492</c:v>
                </c:pt>
                <c:pt idx="30">
                  <c:v>516482.34563288017</c:v>
                </c:pt>
                <c:pt idx="31">
                  <c:v>547413.32669778646</c:v>
                </c:pt>
                <c:pt idx="32">
                  <c:v>579239.3132481731</c:v>
                </c:pt>
                <c:pt idx="33">
                  <c:v>611980.5172482403</c:v>
                </c:pt>
                <c:pt idx="34">
                  <c:v>645657.5522391306</c:v>
                </c:pt>
                <c:pt idx="35">
                  <c:v>680291.44077313039</c:v>
                </c:pt>
                <c:pt idx="36">
                  <c:v>715903.62197928154</c:v>
                </c:pt>
                <c:pt idx="37">
                  <c:v>752515.95926264394</c:v>
                </c:pt>
                <c:pt idx="38">
                  <c:v>790150.74813949782</c:v>
                </c:pt>
                <c:pt idx="39">
                  <c:v>828830.72421080095</c:v>
                </c:pt>
                <c:pt idx="40">
                  <c:v>868579.07127626205</c:v>
                </c:pt>
                <c:pt idx="41">
                  <c:v>909419.42959142593</c:v>
                </c:pt>
              </c:numCache>
            </c:numRef>
          </c:val>
          <c:smooth val="0"/>
          <c:extLst>
            <c:ext xmlns:c16="http://schemas.microsoft.com/office/drawing/2014/chart" uri="{C3380CC4-5D6E-409C-BE32-E72D297353CC}">
              <c16:uniqueId val="{00000003-D00F-4A44-8719-221A57B5DD12}"/>
            </c:ext>
          </c:extLst>
        </c:ser>
        <c:dLbls>
          <c:showLegendKey val="0"/>
          <c:showVal val="0"/>
          <c:showCatName val="0"/>
          <c:showSerName val="0"/>
          <c:showPercent val="0"/>
          <c:showBubbleSize val="0"/>
        </c:dLbls>
        <c:smooth val="0"/>
        <c:axId val="2083467359"/>
        <c:axId val="2083469055"/>
      </c:lineChart>
      <c:catAx>
        <c:axId val="20834673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 of retirement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3469055"/>
        <c:crosses val="autoZero"/>
        <c:auto val="1"/>
        <c:lblAlgn val="ctr"/>
        <c:lblOffset val="100"/>
        <c:noMultiLvlLbl val="0"/>
      </c:catAx>
      <c:valAx>
        <c:axId val="2083469055"/>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346735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baseline="0">
                <a:solidFill>
                  <a:schemeClr val="accent1"/>
                </a:solidFill>
                <a:effectLst/>
              </a:rPr>
              <a:t>Figure 1: Difference in expected annual income from pension by year of retirement</a:t>
            </a:r>
            <a:endParaRPr lang="en-GB" sz="1400">
              <a:solidFill>
                <a:schemeClr val="accent1"/>
              </a:solidFill>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'Difference in benefits'!$H$3</c:f>
              <c:strCache>
                <c:ptCount val="1"/>
                <c:pt idx="0">
                  <c:v>Single - male</c:v>
                </c:pt>
              </c:strCache>
            </c:strRef>
          </c:tx>
          <c:spPr>
            <a:ln w="28575" cap="rnd">
              <a:solidFill>
                <a:schemeClr val="accent1"/>
              </a:solidFill>
              <a:round/>
            </a:ln>
            <a:effectLst/>
          </c:spPr>
          <c:marker>
            <c:symbol val="none"/>
          </c:marker>
          <c:cat>
            <c:numRef>
              <c:f>'Difference in benefits'!$G$4:$G$45</c:f>
              <c:numCache>
                <c:formatCode>General</c:formatCode>
                <c:ptCount val="4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pt idx="32">
                  <c:v>2051</c:v>
                </c:pt>
                <c:pt idx="33">
                  <c:v>2052</c:v>
                </c:pt>
                <c:pt idx="34">
                  <c:v>2053</c:v>
                </c:pt>
                <c:pt idx="35">
                  <c:v>2054</c:v>
                </c:pt>
                <c:pt idx="36">
                  <c:v>2055</c:v>
                </c:pt>
                <c:pt idx="37">
                  <c:v>2056</c:v>
                </c:pt>
                <c:pt idx="38">
                  <c:v>2057</c:v>
                </c:pt>
                <c:pt idx="39">
                  <c:v>2058</c:v>
                </c:pt>
                <c:pt idx="40">
                  <c:v>2059</c:v>
                </c:pt>
                <c:pt idx="41">
                  <c:v>2060</c:v>
                </c:pt>
              </c:numCache>
            </c:numRef>
          </c:cat>
          <c:val>
            <c:numRef>
              <c:f>'Difference in benefits'!$H$4:$H$45</c:f>
              <c:numCache>
                <c:formatCode>_("£"* #,##0.00_);_("£"* \(#,##0.00\);_("£"* "-"??_);_(@_)</c:formatCode>
                <c:ptCount val="42"/>
                <c:pt idx="0">
                  <c:v>222.05330533333336</c:v>
                </c:pt>
                <c:pt idx="1">
                  <c:v>455.98053686870281</c:v>
                </c:pt>
                <c:pt idx="2">
                  <c:v>713.740773316174</c:v>
                </c:pt>
                <c:pt idx="3">
                  <c:v>975.56838402529968</c:v>
                </c:pt>
                <c:pt idx="4">
                  <c:v>1249.541491362623</c:v>
                </c:pt>
                <c:pt idx="5">
                  <c:v>1535.7804940258866</c:v>
                </c:pt>
                <c:pt idx="6">
                  <c:v>1834.4107260920437</c:v>
                </c:pt>
                <c:pt idx="7">
                  <c:v>2145.5625055569362</c:v>
                </c:pt>
                <c:pt idx="8">
                  <c:v>2469.3711848509984</c:v>
                </c:pt>
                <c:pt idx="9">
                  <c:v>2728.2961766847093</c:v>
                </c:pt>
                <c:pt idx="10">
                  <c:v>2739.1484029946773</c:v>
                </c:pt>
                <c:pt idx="11">
                  <c:v>2983.7359307028228</c:v>
                </c:pt>
                <c:pt idx="12">
                  <c:v>3234.044057045779</c:v>
                </c:pt>
                <c:pt idx="13">
                  <c:v>3490.2172981237109</c:v>
                </c:pt>
                <c:pt idx="14">
                  <c:v>3752.4035419305669</c:v>
                </c:pt>
                <c:pt idx="15">
                  <c:v>4020.754122432777</c:v>
                </c:pt>
                <c:pt idx="16">
                  <c:v>4295.4238952169198</c:v>
                </c:pt>
                <c:pt idx="17">
                  <c:v>4576.5713147388542</c:v>
                </c:pt>
                <c:pt idx="18">
                  <c:v>4864.3585132074941</c:v>
                </c:pt>
                <c:pt idx="19">
                  <c:v>5158.9513811370789</c:v>
                </c:pt>
                <c:pt idx="20">
                  <c:v>5460.5196496024819</c:v>
                </c:pt>
                <c:pt idx="21">
                  <c:v>5831.3219762391591</c:v>
                </c:pt>
                <c:pt idx="22">
                  <c:v>6213.3560752022304</c:v>
                </c:pt>
                <c:pt idx="23">
                  <c:v>6606.874570528832</c:v>
                </c:pt>
                <c:pt idx="24">
                  <c:v>7012.1352947238165</c:v>
                </c:pt>
                <c:pt idx="25">
                  <c:v>7429.4013937332038</c:v>
                </c:pt>
                <c:pt idx="26">
                  <c:v>7858.9414340211333</c:v>
                </c:pt>
                <c:pt idx="27">
                  <c:v>8078.8715507480201</c:v>
                </c:pt>
                <c:pt idx="28">
                  <c:v>8515.3482032705324</c:v>
                </c:pt>
                <c:pt idx="29">
                  <c:v>8955.1392685688988</c:v>
                </c:pt>
                <c:pt idx="30">
                  <c:v>9398.1917819611026</c:v>
                </c:pt>
                <c:pt idx="31">
                  <c:v>9844.4535453919325</c:v>
                </c:pt>
                <c:pt idx="32">
                  <c:v>10293.873116031122</c:v>
                </c:pt>
                <c:pt idx="33">
                  <c:v>10746.399795039684</c:v>
                </c:pt>
                <c:pt idx="34">
                  <c:v>11201.983616501866</c:v>
                </c:pt>
                <c:pt idx="35">
                  <c:v>11660.575336520364</c:v>
                </c:pt>
                <c:pt idx="36">
                  <c:v>12122.126422472313</c:v>
                </c:pt>
                <c:pt idx="37">
                  <c:v>12586.589042423755</c:v>
                </c:pt>
                <c:pt idx="38">
                  <c:v>13053.916054700121</c:v>
                </c:pt>
                <c:pt idx="39">
                  <c:v>13524.060997610561</c:v>
                </c:pt>
                <c:pt idx="40">
                  <c:v>13996.978079323717</c:v>
                </c:pt>
                <c:pt idx="41">
                  <c:v>14472.622167892821</c:v>
                </c:pt>
              </c:numCache>
            </c:numRef>
          </c:val>
          <c:smooth val="0"/>
          <c:extLst>
            <c:ext xmlns:c16="http://schemas.microsoft.com/office/drawing/2014/chart" uri="{C3380CC4-5D6E-409C-BE32-E72D297353CC}">
              <c16:uniqueId val="{00000000-6CB4-7847-A5BC-34E84C7E789C}"/>
            </c:ext>
          </c:extLst>
        </c:ser>
        <c:ser>
          <c:idx val="1"/>
          <c:order val="1"/>
          <c:tx>
            <c:strRef>
              <c:f>'Difference in benefits'!$I$3</c:f>
              <c:strCache>
                <c:ptCount val="1"/>
                <c:pt idx="0">
                  <c:v>Joint - male</c:v>
                </c:pt>
              </c:strCache>
            </c:strRef>
          </c:tx>
          <c:spPr>
            <a:ln w="28575" cap="rnd">
              <a:solidFill>
                <a:schemeClr val="accent2"/>
              </a:solidFill>
              <a:round/>
            </a:ln>
            <a:effectLst/>
          </c:spPr>
          <c:marker>
            <c:symbol val="none"/>
          </c:marker>
          <c:cat>
            <c:numRef>
              <c:f>'Difference in benefits'!$G$4:$G$45</c:f>
              <c:numCache>
                <c:formatCode>General</c:formatCode>
                <c:ptCount val="4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pt idx="32">
                  <c:v>2051</c:v>
                </c:pt>
                <c:pt idx="33">
                  <c:v>2052</c:v>
                </c:pt>
                <c:pt idx="34">
                  <c:v>2053</c:v>
                </c:pt>
                <c:pt idx="35">
                  <c:v>2054</c:v>
                </c:pt>
                <c:pt idx="36">
                  <c:v>2055</c:v>
                </c:pt>
                <c:pt idx="37">
                  <c:v>2056</c:v>
                </c:pt>
                <c:pt idx="38">
                  <c:v>2057</c:v>
                </c:pt>
                <c:pt idx="39">
                  <c:v>2058</c:v>
                </c:pt>
                <c:pt idx="40">
                  <c:v>2059</c:v>
                </c:pt>
                <c:pt idx="41">
                  <c:v>2060</c:v>
                </c:pt>
              </c:numCache>
            </c:numRef>
          </c:cat>
          <c:val>
            <c:numRef>
              <c:f>'Difference in benefits'!$I$4:$I$45</c:f>
              <c:numCache>
                <c:formatCode>_("£"* #,##0.00_);_("£"* \(#,##0.00\);_("£"* "-"??_);_(@_)</c:formatCode>
                <c:ptCount val="42"/>
                <c:pt idx="0">
                  <c:v>256.56639083333334</c:v>
                </c:pt>
                <c:pt idx="1">
                  <c:v>524.48646135821014</c:v>
                </c:pt>
                <c:pt idx="2">
                  <c:v>787.11617137011956</c:v>
                </c:pt>
                <c:pt idx="3">
                  <c:v>1072.6750868382287</c:v>
                </c:pt>
                <c:pt idx="4">
                  <c:v>1370.0290049217206</c:v>
                </c:pt>
                <c:pt idx="5">
                  <c:v>1679.3059456866845</c:v>
                </c:pt>
                <c:pt idx="6">
                  <c:v>2000.6387151633105</c:v>
                </c:pt>
                <c:pt idx="7">
                  <c:v>2334.1649568887069</c:v>
                </c:pt>
                <c:pt idx="8">
                  <c:v>2680.0272053657577</c:v>
                </c:pt>
                <c:pt idx="9">
                  <c:v>2982.7015390148822</c:v>
                </c:pt>
                <c:pt idx="10">
                  <c:v>3058.6965760292028</c:v>
                </c:pt>
                <c:pt idx="11">
                  <c:v>3340.3719091872381</c:v>
                </c:pt>
                <c:pt idx="12">
                  <c:v>3628.4053944992884</c:v>
                </c:pt>
                <c:pt idx="13">
                  <c:v>3922.9505144519312</c:v>
                </c:pt>
                <c:pt idx="14">
                  <c:v>4224.1642422101622</c:v>
                </c:pt>
                <c:pt idx="15">
                  <c:v>4532.2071172369042</c:v>
                </c:pt>
                <c:pt idx="16">
                  <c:v>4847.2433225013119</c:v>
                </c:pt>
                <c:pt idx="17">
                  <c:v>5169.4407633086294</c:v>
                </c:pt>
                <c:pt idx="18">
                  <c:v>5498.9711477850278</c:v>
                </c:pt>
                <c:pt idx="19">
                  <c:v>5836.0100690515519</c:v>
                </c:pt>
                <c:pt idx="20">
                  <c:v>6180.7370891219607</c:v>
                </c:pt>
                <c:pt idx="21">
                  <c:v>6587.615514413922</c:v>
                </c:pt>
                <c:pt idx="22">
                  <c:v>7005.9675218374668</c:v>
                </c:pt>
                <c:pt idx="23">
                  <c:v>7436.0470529066688</c:v>
                </c:pt>
                <c:pt idx="24">
                  <c:v>7878.1132643422143</c:v>
                </c:pt>
                <c:pt idx="25">
                  <c:v>8332.4306330785294</c:v>
                </c:pt>
                <c:pt idx="26">
                  <c:v>8799.2690633746042</c:v>
                </c:pt>
                <c:pt idx="27">
                  <c:v>9286.638513971895</c:v>
                </c:pt>
                <c:pt idx="28">
                  <c:v>9768.9405129656407</c:v>
                </c:pt>
                <c:pt idx="29">
                  <c:v>10254.056521339375</c:v>
                </c:pt>
                <c:pt idx="30">
                  <c:v>10741.94157091259</c:v>
                </c:pt>
                <c:pt idx="31">
                  <c:v>11232.551344387781</c:v>
                </c:pt>
                <c:pt idx="32">
                  <c:v>11725.842165670078</c:v>
                </c:pt>
                <c:pt idx="33">
                  <c:v>12221.770990329551</c:v>
                </c:pt>
                <c:pt idx="34">
                  <c:v>12720.295396204227</c:v>
                </c:pt>
                <c:pt idx="35">
                  <c:v>13221.373574141689</c:v>
                </c:pt>
                <c:pt idx="36">
                  <c:v>13724.964318877177</c:v>
                </c:pt>
                <c:pt idx="37">
                  <c:v>14231.027020046218</c:v>
                </c:pt>
                <c:pt idx="38">
                  <c:v>14739.521653329761</c:v>
                </c:pt>
                <c:pt idx="39">
                  <c:v>15250.408771729879</c:v>
                </c:pt>
                <c:pt idx="40">
                  <c:v>15763.649496974122</c:v>
                </c:pt>
                <c:pt idx="41">
                  <c:v>16279.205511046543</c:v>
                </c:pt>
              </c:numCache>
            </c:numRef>
          </c:val>
          <c:smooth val="0"/>
          <c:extLst>
            <c:ext xmlns:c16="http://schemas.microsoft.com/office/drawing/2014/chart" uri="{C3380CC4-5D6E-409C-BE32-E72D297353CC}">
              <c16:uniqueId val="{00000001-6CB4-7847-A5BC-34E84C7E789C}"/>
            </c:ext>
          </c:extLst>
        </c:ser>
        <c:ser>
          <c:idx val="2"/>
          <c:order val="2"/>
          <c:tx>
            <c:strRef>
              <c:f>'Difference in benefits'!$J$3</c:f>
              <c:strCache>
                <c:ptCount val="1"/>
                <c:pt idx="0">
                  <c:v>Single - female</c:v>
                </c:pt>
              </c:strCache>
            </c:strRef>
          </c:tx>
          <c:spPr>
            <a:ln w="28575" cap="rnd">
              <a:solidFill>
                <a:schemeClr val="accent3"/>
              </a:solidFill>
              <a:round/>
            </a:ln>
            <a:effectLst/>
          </c:spPr>
          <c:marker>
            <c:symbol val="none"/>
          </c:marker>
          <c:cat>
            <c:numRef>
              <c:f>'Difference in benefits'!$G$4:$G$45</c:f>
              <c:numCache>
                <c:formatCode>General</c:formatCode>
                <c:ptCount val="4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pt idx="32">
                  <c:v>2051</c:v>
                </c:pt>
                <c:pt idx="33">
                  <c:v>2052</c:v>
                </c:pt>
                <c:pt idx="34">
                  <c:v>2053</c:v>
                </c:pt>
                <c:pt idx="35">
                  <c:v>2054</c:v>
                </c:pt>
                <c:pt idx="36">
                  <c:v>2055</c:v>
                </c:pt>
                <c:pt idx="37">
                  <c:v>2056</c:v>
                </c:pt>
                <c:pt idx="38">
                  <c:v>2057</c:v>
                </c:pt>
                <c:pt idx="39">
                  <c:v>2058</c:v>
                </c:pt>
                <c:pt idx="40">
                  <c:v>2059</c:v>
                </c:pt>
                <c:pt idx="41">
                  <c:v>2060</c:v>
                </c:pt>
              </c:numCache>
            </c:numRef>
          </c:cat>
          <c:val>
            <c:numRef>
              <c:f>'Difference in benefits'!$J$4:$J$45</c:f>
              <c:numCache>
                <c:formatCode>_("£"* #,##0.00_);_("£"* \(#,##0.00\);_("£"* "-"??_);_(@_)</c:formatCode>
                <c:ptCount val="42"/>
                <c:pt idx="0">
                  <c:v>222.05330533333336</c:v>
                </c:pt>
                <c:pt idx="1">
                  <c:v>455.98053686870281</c:v>
                </c:pt>
                <c:pt idx="2">
                  <c:v>713.740773316174</c:v>
                </c:pt>
                <c:pt idx="3">
                  <c:v>975.56838402529968</c:v>
                </c:pt>
                <c:pt idx="4">
                  <c:v>1249.541491362623</c:v>
                </c:pt>
                <c:pt idx="5">
                  <c:v>1535.7804940258866</c:v>
                </c:pt>
                <c:pt idx="6">
                  <c:v>1834.4107260920437</c:v>
                </c:pt>
                <c:pt idx="7">
                  <c:v>2145.5625055569362</c:v>
                </c:pt>
                <c:pt idx="8">
                  <c:v>2469.3711848509984</c:v>
                </c:pt>
                <c:pt idx="9">
                  <c:v>2728.2961766847093</c:v>
                </c:pt>
                <c:pt idx="10">
                  <c:v>2739.1484029946773</c:v>
                </c:pt>
                <c:pt idx="11">
                  <c:v>2983.7359307028228</c:v>
                </c:pt>
                <c:pt idx="12">
                  <c:v>3234.044057045779</c:v>
                </c:pt>
                <c:pt idx="13">
                  <c:v>3490.2172981237109</c:v>
                </c:pt>
                <c:pt idx="14">
                  <c:v>3752.4035419305669</c:v>
                </c:pt>
                <c:pt idx="15">
                  <c:v>4020.754122432777</c:v>
                </c:pt>
                <c:pt idx="16">
                  <c:v>4295.4238952169198</c:v>
                </c:pt>
                <c:pt idx="17">
                  <c:v>4576.5713147388542</c:v>
                </c:pt>
                <c:pt idx="18">
                  <c:v>4864.3585132074941</c:v>
                </c:pt>
                <c:pt idx="19">
                  <c:v>5158.9513811370789</c:v>
                </c:pt>
                <c:pt idx="20">
                  <c:v>5460.5196496024819</c:v>
                </c:pt>
                <c:pt idx="21">
                  <c:v>5831.3219762391591</c:v>
                </c:pt>
                <c:pt idx="22">
                  <c:v>6213.3560752022304</c:v>
                </c:pt>
                <c:pt idx="23">
                  <c:v>6606.874570528832</c:v>
                </c:pt>
                <c:pt idx="24">
                  <c:v>7012.1352947238165</c:v>
                </c:pt>
                <c:pt idx="25">
                  <c:v>7429.4013937332038</c:v>
                </c:pt>
                <c:pt idx="26">
                  <c:v>7858.9414340211333</c:v>
                </c:pt>
                <c:pt idx="27">
                  <c:v>8078.8715507480201</c:v>
                </c:pt>
                <c:pt idx="28">
                  <c:v>8515.3482032705324</c:v>
                </c:pt>
                <c:pt idx="29">
                  <c:v>8955.1392685688988</c:v>
                </c:pt>
                <c:pt idx="30">
                  <c:v>9398.1917819611026</c:v>
                </c:pt>
                <c:pt idx="31">
                  <c:v>9844.4535453919325</c:v>
                </c:pt>
                <c:pt idx="32">
                  <c:v>10293.873116031122</c:v>
                </c:pt>
                <c:pt idx="33">
                  <c:v>10746.399795039684</c:v>
                </c:pt>
                <c:pt idx="34">
                  <c:v>11201.983616501866</c:v>
                </c:pt>
                <c:pt idx="35">
                  <c:v>11660.575336520364</c:v>
                </c:pt>
                <c:pt idx="36">
                  <c:v>12122.126422472313</c:v>
                </c:pt>
                <c:pt idx="37">
                  <c:v>12586.589042423755</c:v>
                </c:pt>
                <c:pt idx="38">
                  <c:v>13053.916054700121</c:v>
                </c:pt>
                <c:pt idx="39">
                  <c:v>13524.060997610561</c:v>
                </c:pt>
                <c:pt idx="40">
                  <c:v>13996.978079323717</c:v>
                </c:pt>
                <c:pt idx="41">
                  <c:v>14472.622167892821</c:v>
                </c:pt>
              </c:numCache>
            </c:numRef>
          </c:val>
          <c:smooth val="0"/>
          <c:extLst>
            <c:ext xmlns:c16="http://schemas.microsoft.com/office/drawing/2014/chart" uri="{C3380CC4-5D6E-409C-BE32-E72D297353CC}">
              <c16:uniqueId val="{00000002-6CB4-7847-A5BC-34E84C7E789C}"/>
            </c:ext>
          </c:extLst>
        </c:ser>
        <c:ser>
          <c:idx val="3"/>
          <c:order val="3"/>
          <c:tx>
            <c:strRef>
              <c:f>'Difference in benefits'!$K$3</c:f>
              <c:strCache>
                <c:ptCount val="1"/>
                <c:pt idx="0">
                  <c:v>Joint - female</c:v>
                </c:pt>
              </c:strCache>
            </c:strRef>
          </c:tx>
          <c:spPr>
            <a:ln w="28575" cap="rnd">
              <a:solidFill>
                <a:schemeClr val="accent4"/>
              </a:solidFill>
              <a:round/>
            </a:ln>
            <a:effectLst/>
          </c:spPr>
          <c:marker>
            <c:symbol val="none"/>
          </c:marker>
          <c:cat>
            <c:numRef>
              <c:f>'Difference in benefits'!$G$4:$G$45</c:f>
              <c:numCache>
                <c:formatCode>General</c:formatCode>
                <c:ptCount val="4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pt idx="32">
                  <c:v>2051</c:v>
                </c:pt>
                <c:pt idx="33">
                  <c:v>2052</c:v>
                </c:pt>
                <c:pt idx="34">
                  <c:v>2053</c:v>
                </c:pt>
                <c:pt idx="35">
                  <c:v>2054</c:v>
                </c:pt>
                <c:pt idx="36">
                  <c:v>2055</c:v>
                </c:pt>
                <c:pt idx="37">
                  <c:v>2056</c:v>
                </c:pt>
                <c:pt idx="38">
                  <c:v>2057</c:v>
                </c:pt>
                <c:pt idx="39">
                  <c:v>2058</c:v>
                </c:pt>
                <c:pt idx="40">
                  <c:v>2059</c:v>
                </c:pt>
                <c:pt idx="41">
                  <c:v>2060</c:v>
                </c:pt>
              </c:numCache>
            </c:numRef>
          </c:cat>
          <c:val>
            <c:numRef>
              <c:f>'Difference in benefits'!$K$4:$K$45</c:f>
              <c:numCache>
                <c:formatCode>_("£"* #,##0.00_);_("£"* \(#,##0.00\);_("£"* "-"??_);_(@_)</c:formatCode>
                <c:ptCount val="42"/>
                <c:pt idx="0">
                  <c:v>241.83435233333336</c:v>
                </c:pt>
                <c:pt idx="1">
                  <c:v>495.24445350998354</c:v>
                </c:pt>
                <c:pt idx="2">
                  <c:v>748.07800694587547</c:v>
                </c:pt>
                <c:pt idx="3">
                  <c:v>1021.0110750352496</c:v>
                </c:pt>
                <c:pt idx="4">
                  <c:v>1305.9256202705014</c:v>
                </c:pt>
                <c:pt idx="5">
                  <c:v>1602.9456078950066</c:v>
                </c:pt>
                <c:pt idx="6">
                  <c:v>1912.1998686100737</c:v>
                </c:pt>
                <c:pt idx="7">
                  <c:v>2233.8221485199933</c:v>
                </c:pt>
                <c:pt idx="8">
                  <c:v>2567.9511610250361</c:v>
                </c:pt>
                <c:pt idx="9">
                  <c:v>2856.4698706831168</c:v>
                </c:pt>
                <c:pt idx="10">
                  <c:v>2900.142139027339</c:v>
                </c:pt>
                <c:pt idx="11">
                  <c:v>3163.4151259697796</c:v>
                </c:pt>
                <c:pt idx="12">
                  <c:v>3432.7299217170125</c:v>
                </c:pt>
                <c:pt idx="13">
                  <c:v>3708.235559785257</c:v>
                </c:pt>
                <c:pt idx="14">
                  <c:v>3990.0845054302104</c:v>
                </c:pt>
                <c:pt idx="15">
                  <c:v>4278.4327305020315</c:v>
                </c:pt>
                <c:pt idx="16">
                  <c:v>4573.4397898792849</c:v>
                </c:pt>
                <c:pt idx="17">
                  <c:v>4875.2688995144654</c:v>
                </c:pt>
                <c:pt idx="18">
                  <c:v>5184.0870161244193</c:v>
                </c:pt>
                <c:pt idx="19">
                  <c:v>5500.0649185596376</c:v>
                </c:pt>
                <c:pt idx="20">
                  <c:v>5823.3772908871051</c:v>
                </c:pt>
                <c:pt idx="21">
                  <c:v>6212.3553618844599</c:v>
                </c:pt>
                <c:pt idx="22">
                  <c:v>6612.687033048991</c:v>
                </c:pt>
                <c:pt idx="23">
                  <c:v>7024.6255921848406</c:v>
                </c:pt>
                <c:pt idx="24">
                  <c:v>7448.4295389590397</c:v>
                </c:pt>
                <c:pt idx="25">
                  <c:v>7884.3626898919174</c:v>
                </c:pt>
                <c:pt idx="26">
                  <c:v>8332.6942854511253</c:v>
                </c:pt>
                <c:pt idx="27">
                  <c:v>8692.5345219407154</c:v>
                </c:pt>
                <c:pt idx="28">
                  <c:v>9152.2949031358585</c:v>
                </c:pt>
                <c:pt idx="29">
                  <c:v>9615.1154435595672</c:v>
                </c:pt>
                <c:pt idx="30">
                  <c:v>10080.94724152957</c:v>
                </c:pt>
                <c:pt idx="31">
                  <c:v>10549.742103181321</c:v>
                </c:pt>
                <c:pt idx="32">
                  <c:v>11021.452531940793</c:v>
                </c:pt>
                <c:pt idx="33">
                  <c:v>11496.031718152552</c:v>
                </c:pt>
                <c:pt idx="34">
                  <c:v>11973.43352886076</c:v>
                </c:pt>
                <c:pt idx="35">
                  <c:v>12453.612497740913</c:v>
                </c:pt>
                <c:pt idx="36">
                  <c:v>12936.523815180046</c:v>
                </c:pt>
                <c:pt idx="37">
                  <c:v>13422.123318503183</c:v>
                </c:pt>
                <c:pt idx="38">
                  <c:v>13910.367482343923</c:v>
                </c:pt>
                <c:pt idx="39">
                  <c:v>14401.213409157015</c:v>
                </c:pt>
                <c:pt idx="40">
                  <c:v>14894.618819870782</c:v>
                </c:pt>
                <c:pt idx="41">
                  <c:v>15390.542044677404</c:v>
                </c:pt>
              </c:numCache>
            </c:numRef>
          </c:val>
          <c:smooth val="0"/>
          <c:extLst>
            <c:ext xmlns:c16="http://schemas.microsoft.com/office/drawing/2014/chart" uri="{C3380CC4-5D6E-409C-BE32-E72D297353CC}">
              <c16:uniqueId val="{00000003-6CB4-7847-A5BC-34E84C7E789C}"/>
            </c:ext>
          </c:extLst>
        </c:ser>
        <c:dLbls>
          <c:showLegendKey val="0"/>
          <c:showVal val="0"/>
          <c:showCatName val="0"/>
          <c:showSerName val="0"/>
          <c:showPercent val="0"/>
          <c:showBubbleSize val="0"/>
        </c:dLbls>
        <c:smooth val="0"/>
        <c:axId val="1651964799"/>
        <c:axId val="1651998575"/>
      </c:lineChart>
      <c:catAx>
        <c:axId val="16519647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 of retirement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1998575"/>
        <c:crosses val="autoZero"/>
        <c:auto val="1"/>
        <c:lblAlgn val="ctr"/>
        <c:lblOffset val="100"/>
        <c:noMultiLvlLbl val="0"/>
      </c:catAx>
      <c:valAx>
        <c:axId val="1651998575"/>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19647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Difference</a:t>
            </a:r>
            <a:r>
              <a:rPr lang="en-US" baseline="0"/>
              <a:t> in value of the DB versus DC pension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'Difference in benefits'!$B$3</c:f>
              <c:strCache>
                <c:ptCount val="1"/>
                <c:pt idx="0">
                  <c:v>Single - male</c:v>
                </c:pt>
              </c:strCache>
            </c:strRef>
          </c:tx>
          <c:spPr>
            <a:ln w="28575" cap="rnd">
              <a:solidFill>
                <a:schemeClr val="accent1"/>
              </a:solidFill>
              <a:round/>
            </a:ln>
            <a:effectLst/>
          </c:spPr>
          <c:marker>
            <c:symbol val="none"/>
          </c:marker>
          <c:cat>
            <c:numRef>
              <c:f>'Difference in benefits'!$A$4:$A$45</c:f>
              <c:numCache>
                <c:formatCode>General</c:formatCode>
                <c:ptCount val="4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pt idx="32">
                  <c:v>2051</c:v>
                </c:pt>
                <c:pt idx="33">
                  <c:v>2052</c:v>
                </c:pt>
                <c:pt idx="34">
                  <c:v>2053</c:v>
                </c:pt>
                <c:pt idx="35">
                  <c:v>2054</c:v>
                </c:pt>
                <c:pt idx="36">
                  <c:v>2055</c:v>
                </c:pt>
                <c:pt idx="37">
                  <c:v>2056</c:v>
                </c:pt>
                <c:pt idx="38">
                  <c:v>2057</c:v>
                </c:pt>
                <c:pt idx="39">
                  <c:v>2058</c:v>
                </c:pt>
                <c:pt idx="40">
                  <c:v>2059</c:v>
                </c:pt>
                <c:pt idx="41">
                  <c:v>2060</c:v>
                </c:pt>
              </c:numCache>
            </c:numRef>
          </c:cat>
          <c:val>
            <c:numRef>
              <c:f>'Difference in benefits'!$B$4:$B$45</c:f>
              <c:numCache>
                <c:formatCode>_("£"* #,##0.00_);_("£"* \(#,##0.00\);_("£"* "-"??_);_(@_)</c:formatCode>
                <c:ptCount val="42"/>
                <c:pt idx="0">
                  <c:v>8549.0905395996524</c:v>
                </c:pt>
                <c:pt idx="1">
                  <c:v>17734.977777341162</c:v>
                </c:pt>
                <c:pt idx="2">
                  <c:v>28445.925847895378</c:v>
                </c:pt>
                <c:pt idx="3">
                  <c:v>39302.489666100882</c:v>
                </c:pt>
                <c:pt idx="4">
                  <c:v>50894.265719128853</c:v>
                </c:pt>
                <c:pt idx="5">
                  <c:v>63251.64953941034</c:v>
                </c:pt>
                <c:pt idx="6">
                  <c:v>76406.189252218086</c:v>
                </c:pt>
                <c:pt idx="7">
                  <c:v>90390.627558909124</c:v>
                </c:pt>
                <c:pt idx="8">
                  <c:v>105238.94522450687</c:v>
                </c:pt>
                <c:pt idx="9">
                  <c:v>114047.93518265165</c:v>
                </c:pt>
                <c:pt idx="10">
                  <c:v>104270.5653380655</c:v>
                </c:pt>
                <c:pt idx="11">
                  <c:v>115230.21160846538</c:v>
                </c:pt>
                <c:pt idx="12">
                  <c:v>126672.8231163545</c:v>
                </c:pt>
                <c:pt idx="13">
                  <c:v>138618.19578432129</c:v>
                </c:pt>
                <c:pt idx="14">
                  <c:v>151086.91625336072</c:v>
                </c:pt>
                <c:pt idx="15">
                  <c:v>164100.39287701569</c:v>
                </c:pt>
                <c:pt idx="16">
                  <c:v>177680.88790917955</c:v>
                </c:pt>
                <c:pt idx="17">
                  <c:v>191851.55093079779</c:v>
                </c:pt>
                <c:pt idx="18">
                  <c:v>206636.45356239416</c:v>
                </c:pt>
                <c:pt idx="19">
                  <c:v>222060.62551110302</c:v>
                </c:pt>
                <c:pt idx="20">
                  <c:v>238150.09200270526</c:v>
                </c:pt>
                <c:pt idx="21">
                  <c:v>257292.86255843772</c:v>
                </c:pt>
                <c:pt idx="22">
                  <c:v>277377.67771513725</c:v>
                </c:pt>
                <c:pt idx="23">
                  <c:v>298444.94097252085</c:v>
                </c:pt>
                <c:pt idx="24">
                  <c:v>320536.65853070101</c:v>
                </c:pt>
                <c:pt idx="25">
                  <c:v>343696.50000077387</c:v>
                </c:pt>
                <c:pt idx="26">
                  <c:v>367969.86135205923</c:v>
                </c:pt>
                <c:pt idx="27">
                  <c:v>374854.97890115145</c:v>
                </c:pt>
                <c:pt idx="28">
                  <c:v>399885.21479148726</c:v>
                </c:pt>
                <c:pt idx="29">
                  <c:v>425664.31635966984</c:v>
                </c:pt>
                <c:pt idx="30">
                  <c:v>452209.44888036168</c:v>
                </c:pt>
                <c:pt idx="31">
                  <c:v>479538.12087484531</c:v>
                </c:pt>
                <c:pt idx="32">
                  <c:v>507668.19048446586</c:v>
                </c:pt>
                <c:pt idx="33">
                  <c:v>536617.87195685389</c:v>
                </c:pt>
                <c:pt idx="34">
                  <c:v>566405.7422468568</c:v>
                </c:pt>
                <c:pt idx="35">
                  <c:v>597050.74773413339</c:v>
                </c:pt>
                <c:pt idx="36">
                  <c:v>628572.2110594071</c:v>
                </c:pt>
                <c:pt idx="37">
                  <c:v>660989.83808139991</c:v>
                </c:pt>
                <c:pt idx="38">
                  <c:v>694323.72495650034</c:v>
                </c:pt>
                <c:pt idx="39">
                  <c:v>728594.36534326302</c:v>
                </c:pt>
                <c:pt idx="40">
                  <c:v>763822.65773386334</c:v>
                </c:pt>
                <c:pt idx="41">
                  <c:v>800029.91291466611</c:v>
                </c:pt>
              </c:numCache>
            </c:numRef>
          </c:val>
          <c:smooth val="0"/>
          <c:extLst>
            <c:ext xmlns:c16="http://schemas.microsoft.com/office/drawing/2014/chart" uri="{C3380CC4-5D6E-409C-BE32-E72D297353CC}">
              <c16:uniqueId val="{00000000-F52C-2346-B059-E875B0A0DA94}"/>
            </c:ext>
          </c:extLst>
        </c:ser>
        <c:ser>
          <c:idx val="1"/>
          <c:order val="1"/>
          <c:tx>
            <c:strRef>
              <c:f>'Difference in benefits'!$C$3</c:f>
              <c:strCache>
                <c:ptCount val="1"/>
                <c:pt idx="0">
                  <c:v>Joint - male</c:v>
                </c:pt>
              </c:strCache>
            </c:strRef>
          </c:tx>
          <c:spPr>
            <a:ln w="28575" cap="rnd">
              <a:solidFill>
                <a:schemeClr val="accent2"/>
              </a:solidFill>
              <a:round/>
            </a:ln>
            <a:effectLst/>
          </c:spPr>
          <c:marker>
            <c:symbol val="none"/>
          </c:marker>
          <c:cat>
            <c:numRef>
              <c:f>'Difference in benefits'!$A$4:$A$45</c:f>
              <c:numCache>
                <c:formatCode>General</c:formatCode>
                <c:ptCount val="4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pt idx="32">
                  <c:v>2051</c:v>
                </c:pt>
                <c:pt idx="33">
                  <c:v>2052</c:v>
                </c:pt>
                <c:pt idx="34">
                  <c:v>2053</c:v>
                </c:pt>
                <c:pt idx="35">
                  <c:v>2054</c:v>
                </c:pt>
                <c:pt idx="36">
                  <c:v>2055</c:v>
                </c:pt>
                <c:pt idx="37">
                  <c:v>2056</c:v>
                </c:pt>
                <c:pt idx="38">
                  <c:v>2057</c:v>
                </c:pt>
                <c:pt idx="39">
                  <c:v>2058</c:v>
                </c:pt>
                <c:pt idx="40">
                  <c:v>2059</c:v>
                </c:pt>
                <c:pt idx="41">
                  <c:v>2060</c:v>
                </c:pt>
              </c:numCache>
            </c:numRef>
          </c:cat>
          <c:val>
            <c:numRef>
              <c:f>'Difference in benefits'!$C$4:$C$45</c:f>
              <c:numCache>
                <c:formatCode>_("£"* #,##0.00_);_("£"* \(#,##0.00\);_("£"* "-"??_);_(@_)</c:formatCode>
                <c:ptCount val="42"/>
                <c:pt idx="0">
                  <c:v>11304.508336582196</c:v>
                </c:pt>
                <c:pt idx="1">
                  <c:v>23384.410886494479</c:v>
                </c:pt>
                <c:pt idx="2">
                  <c:v>34619.332033348735</c:v>
                </c:pt>
                <c:pt idx="3">
                  <c:v>47741.264246558421</c:v>
                </c:pt>
                <c:pt idx="4">
                  <c:v>61709.08790628409</c:v>
                </c:pt>
                <c:pt idx="5">
                  <c:v>76557.566196739805</c:v>
                </c:pt>
                <c:pt idx="6">
                  <c:v>92322.775983223488</c:v>
                </c:pt>
                <c:pt idx="7">
                  <c:v>109042.15558542628</c:v>
                </c:pt>
                <c:pt idx="8">
                  <c:v>126754.55426102594</c:v>
                </c:pt>
                <c:pt idx="9">
                  <c:v>139041.28239963818</c:v>
                </c:pt>
                <c:pt idx="10">
                  <c:v>128785.70127643223</c:v>
                </c:pt>
                <c:pt idx="11">
                  <c:v>142655.5543365053</c:v>
                </c:pt>
                <c:pt idx="12">
                  <c:v>157141.77527110884</c:v>
                </c:pt>
                <c:pt idx="13">
                  <c:v>172269.32920097915</c:v>
                </c:pt>
                <c:pt idx="14">
                  <c:v>188064.16133923005</c:v>
                </c:pt>
                <c:pt idx="15">
                  <c:v>204553.23477391369</c:v>
                </c:pt>
                <c:pt idx="16">
                  <c:v>221764.56968542805</c:v>
                </c:pt>
                <c:pt idx="17">
                  <c:v>239727.2840525436</c:v>
                </c:pt>
                <c:pt idx="18">
                  <c:v>258471.63590281529</c:v>
                </c:pt>
                <c:pt idx="19">
                  <c:v>278029.06716521102</c:v>
                </c:pt>
                <c:pt idx="20">
                  <c:v>298432.24918492918</c:v>
                </c:pt>
                <c:pt idx="21">
                  <c:v>322076.07986998581</c:v>
                </c:pt>
                <c:pt idx="22">
                  <c:v>346856.43907828676</c:v>
                </c:pt>
                <c:pt idx="23">
                  <c:v>372821.12953950092</c:v>
                </c:pt>
                <c:pt idx="24">
                  <c:v>400019.82588572236</c:v>
                </c:pt>
                <c:pt idx="25">
                  <c:v>428504.14498502872</c:v>
                </c:pt>
                <c:pt idx="26">
                  <c:v>458327.71885318361</c:v>
                </c:pt>
                <c:pt idx="27">
                  <c:v>490447.96379714564</c:v>
                </c:pt>
                <c:pt idx="28">
                  <c:v>522611.97151440749</c:v>
                </c:pt>
                <c:pt idx="29">
                  <c:v>555712.84964272194</c:v>
                </c:pt>
                <c:pt idx="30">
                  <c:v>589771.79850008735</c:v>
                </c:pt>
                <c:pt idx="31">
                  <c:v>624810.44040135574</c:v>
                </c:pt>
                <c:pt idx="32">
                  <c:v>660850.82748630014</c:v>
                </c:pt>
                <c:pt idx="33">
                  <c:v>697915.44968637847</c:v>
                </c:pt>
                <c:pt idx="34">
                  <c:v>736027.24283257674</c:v>
                </c:pt>
                <c:pt idx="35">
                  <c:v>775209.59690674557</c:v>
                </c:pt>
                <c:pt idx="36">
                  <c:v>815486.36443888675</c:v>
                </c:pt>
                <c:pt idx="37">
                  <c:v>856881.86905288883</c:v>
                </c:pt>
                <c:pt idx="38">
                  <c:v>899420.91416324861</c:v>
                </c:pt>
                <c:pt idx="39">
                  <c:v>943128.79182535957</c:v>
                </c:pt>
                <c:pt idx="40">
                  <c:v>988031.29174199735</c:v>
                </c:pt>
                <c:pt idx="41">
                  <c:v>1034154.7104286603</c:v>
                </c:pt>
              </c:numCache>
            </c:numRef>
          </c:val>
          <c:smooth val="0"/>
          <c:extLst>
            <c:ext xmlns:c16="http://schemas.microsoft.com/office/drawing/2014/chart" uri="{C3380CC4-5D6E-409C-BE32-E72D297353CC}">
              <c16:uniqueId val="{00000001-F52C-2346-B059-E875B0A0DA94}"/>
            </c:ext>
          </c:extLst>
        </c:ser>
        <c:ser>
          <c:idx val="2"/>
          <c:order val="2"/>
          <c:tx>
            <c:strRef>
              <c:f>'Difference in benefits'!$D$3</c:f>
              <c:strCache>
                <c:ptCount val="1"/>
                <c:pt idx="0">
                  <c:v>Single - female</c:v>
                </c:pt>
              </c:strCache>
            </c:strRef>
          </c:tx>
          <c:spPr>
            <a:ln w="28575" cap="rnd">
              <a:solidFill>
                <a:schemeClr val="accent3"/>
              </a:solidFill>
              <a:round/>
            </a:ln>
            <a:effectLst/>
          </c:spPr>
          <c:marker>
            <c:symbol val="none"/>
          </c:marker>
          <c:cat>
            <c:numRef>
              <c:f>'Difference in benefits'!$A$4:$A$45</c:f>
              <c:numCache>
                <c:formatCode>General</c:formatCode>
                <c:ptCount val="4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pt idx="32">
                  <c:v>2051</c:v>
                </c:pt>
                <c:pt idx="33">
                  <c:v>2052</c:v>
                </c:pt>
                <c:pt idx="34">
                  <c:v>2053</c:v>
                </c:pt>
                <c:pt idx="35">
                  <c:v>2054</c:v>
                </c:pt>
                <c:pt idx="36">
                  <c:v>2055</c:v>
                </c:pt>
                <c:pt idx="37">
                  <c:v>2056</c:v>
                </c:pt>
                <c:pt idx="38">
                  <c:v>2057</c:v>
                </c:pt>
                <c:pt idx="39">
                  <c:v>2058</c:v>
                </c:pt>
                <c:pt idx="40">
                  <c:v>2059</c:v>
                </c:pt>
                <c:pt idx="41">
                  <c:v>2060</c:v>
                </c:pt>
              </c:numCache>
            </c:numRef>
          </c:cat>
          <c:val>
            <c:numRef>
              <c:f>'Difference in benefits'!$D$4:$D$45</c:f>
              <c:numCache>
                <c:formatCode>_("£"* #,##0.00_);_("£"* \(#,##0.00\);_("£"* "-"??_);_(@_)</c:formatCode>
                <c:ptCount val="42"/>
                <c:pt idx="0">
                  <c:v>8549.0905395996524</c:v>
                </c:pt>
                <c:pt idx="1">
                  <c:v>17734.977777341162</c:v>
                </c:pt>
                <c:pt idx="2">
                  <c:v>28445.925847895378</c:v>
                </c:pt>
                <c:pt idx="3">
                  <c:v>39302.489666100882</c:v>
                </c:pt>
                <c:pt idx="4">
                  <c:v>50894.265719128853</c:v>
                </c:pt>
                <c:pt idx="5">
                  <c:v>63251.64953941034</c:v>
                </c:pt>
                <c:pt idx="6">
                  <c:v>76406.189252218086</c:v>
                </c:pt>
                <c:pt idx="7">
                  <c:v>90390.627558909124</c:v>
                </c:pt>
                <c:pt idx="8">
                  <c:v>105238.94522450687</c:v>
                </c:pt>
                <c:pt idx="9">
                  <c:v>114047.93518265165</c:v>
                </c:pt>
                <c:pt idx="10">
                  <c:v>104270.5653380655</c:v>
                </c:pt>
                <c:pt idx="11">
                  <c:v>115230.21160846538</c:v>
                </c:pt>
                <c:pt idx="12">
                  <c:v>126672.8231163545</c:v>
                </c:pt>
                <c:pt idx="13">
                  <c:v>138618.19578432129</c:v>
                </c:pt>
                <c:pt idx="14">
                  <c:v>151086.91625336072</c:v>
                </c:pt>
                <c:pt idx="15">
                  <c:v>164100.39287701569</c:v>
                </c:pt>
                <c:pt idx="16">
                  <c:v>177680.88790917955</c:v>
                </c:pt>
                <c:pt idx="17">
                  <c:v>191851.55093079779</c:v>
                </c:pt>
                <c:pt idx="18">
                  <c:v>206636.45356239416</c:v>
                </c:pt>
                <c:pt idx="19">
                  <c:v>222060.62551110302</c:v>
                </c:pt>
                <c:pt idx="20">
                  <c:v>238150.09200270526</c:v>
                </c:pt>
                <c:pt idx="21">
                  <c:v>257292.86255843772</c:v>
                </c:pt>
                <c:pt idx="22">
                  <c:v>277377.67771513725</c:v>
                </c:pt>
                <c:pt idx="23">
                  <c:v>298444.94097252085</c:v>
                </c:pt>
                <c:pt idx="24">
                  <c:v>320536.65853070101</c:v>
                </c:pt>
                <c:pt idx="25">
                  <c:v>343696.50000077387</c:v>
                </c:pt>
                <c:pt idx="26">
                  <c:v>367969.86135205923</c:v>
                </c:pt>
                <c:pt idx="27">
                  <c:v>374854.97890115145</c:v>
                </c:pt>
                <c:pt idx="28">
                  <c:v>399885.21479148726</c:v>
                </c:pt>
                <c:pt idx="29">
                  <c:v>425664.31635966984</c:v>
                </c:pt>
                <c:pt idx="30">
                  <c:v>452209.44888036168</c:v>
                </c:pt>
                <c:pt idx="31">
                  <c:v>479538.12087484531</c:v>
                </c:pt>
                <c:pt idx="32">
                  <c:v>507668.19048446586</c:v>
                </c:pt>
                <c:pt idx="33">
                  <c:v>536617.87195685389</c:v>
                </c:pt>
                <c:pt idx="34">
                  <c:v>566405.7422468568</c:v>
                </c:pt>
                <c:pt idx="35">
                  <c:v>597050.74773413339</c:v>
                </c:pt>
                <c:pt idx="36">
                  <c:v>628572.2110594071</c:v>
                </c:pt>
                <c:pt idx="37">
                  <c:v>660989.83808139991</c:v>
                </c:pt>
                <c:pt idx="38">
                  <c:v>694323.72495650034</c:v>
                </c:pt>
                <c:pt idx="39">
                  <c:v>728594.36534326302</c:v>
                </c:pt>
                <c:pt idx="40">
                  <c:v>763822.65773386334</c:v>
                </c:pt>
                <c:pt idx="41">
                  <c:v>800029.91291466611</c:v>
                </c:pt>
              </c:numCache>
            </c:numRef>
          </c:val>
          <c:smooth val="0"/>
          <c:extLst>
            <c:ext xmlns:c16="http://schemas.microsoft.com/office/drawing/2014/chart" uri="{C3380CC4-5D6E-409C-BE32-E72D297353CC}">
              <c16:uniqueId val="{00000002-F52C-2346-B059-E875B0A0DA94}"/>
            </c:ext>
          </c:extLst>
        </c:ser>
        <c:ser>
          <c:idx val="3"/>
          <c:order val="3"/>
          <c:tx>
            <c:strRef>
              <c:f>'Difference in benefits'!$E$3</c:f>
              <c:strCache>
                <c:ptCount val="1"/>
                <c:pt idx="0">
                  <c:v>Joint - female</c:v>
                </c:pt>
              </c:strCache>
            </c:strRef>
          </c:tx>
          <c:spPr>
            <a:ln w="28575" cap="rnd">
              <a:solidFill>
                <a:schemeClr val="accent4"/>
              </a:solidFill>
              <a:round/>
            </a:ln>
            <a:effectLst/>
          </c:spPr>
          <c:marker>
            <c:symbol val="none"/>
          </c:marker>
          <c:cat>
            <c:numRef>
              <c:f>'Difference in benefits'!$A$4:$A$45</c:f>
              <c:numCache>
                <c:formatCode>General</c:formatCode>
                <c:ptCount val="4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pt idx="32">
                  <c:v>2051</c:v>
                </c:pt>
                <c:pt idx="33">
                  <c:v>2052</c:v>
                </c:pt>
                <c:pt idx="34">
                  <c:v>2053</c:v>
                </c:pt>
                <c:pt idx="35">
                  <c:v>2054</c:v>
                </c:pt>
                <c:pt idx="36">
                  <c:v>2055</c:v>
                </c:pt>
                <c:pt idx="37">
                  <c:v>2056</c:v>
                </c:pt>
                <c:pt idx="38">
                  <c:v>2057</c:v>
                </c:pt>
                <c:pt idx="39">
                  <c:v>2058</c:v>
                </c:pt>
                <c:pt idx="40">
                  <c:v>2059</c:v>
                </c:pt>
                <c:pt idx="41">
                  <c:v>2060</c:v>
                </c:pt>
              </c:numCache>
            </c:numRef>
          </c:cat>
          <c:val>
            <c:numRef>
              <c:f>'Difference in benefits'!$E$4:$E$45</c:f>
              <c:numCache>
                <c:formatCode>_("£"* #,##0.00_);_("£"* \(#,##0.00\);_("£"* "-"??_);_(@_)</c:formatCode>
                <c:ptCount val="42"/>
                <c:pt idx="0">
                  <c:v>10007.260256779457</c:v>
                </c:pt>
                <c:pt idx="1">
                  <c:v>20724.663148474916</c:v>
                </c:pt>
                <c:pt idx="2">
                  <c:v>31140.444759607271</c:v>
                </c:pt>
                <c:pt idx="3">
                  <c:v>42985.77843985692</c:v>
                </c:pt>
                <c:pt idx="4">
                  <c:v>55614.632731226091</c:v>
                </c:pt>
                <c:pt idx="5">
                  <c:v>69059.309523831645</c:v>
                </c:pt>
                <c:pt idx="6">
                  <c:v>83353.333611138485</c:v>
                </c:pt>
                <c:pt idx="7">
                  <c:v>98531.497200404119</c:v>
                </c:pt>
                <c:pt idx="8">
                  <c:v>114629.90601735198</c:v>
                </c:pt>
                <c:pt idx="9">
                  <c:v>125801.39215587566</c:v>
                </c:pt>
                <c:pt idx="10">
                  <c:v>115799.13703927808</c:v>
                </c:pt>
                <c:pt idx="11">
                  <c:v>128127.34711142283</c:v>
                </c:pt>
                <c:pt idx="12">
                  <c:v>141001.25680156876</c:v>
                </c:pt>
                <c:pt idx="13">
                  <c:v>154443.09291711106</c:v>
                </c:pt>
                <c:pt idx="14">
                  <c:v>168475.96203950272</c:v>
                </c:pt>
                <c:pt idx="15">
                  <c:v>183123.88471074175</c:v>
                </c:pt>
                <c:pt idx="16">
                  <c:v>198411.8309269395</c:v>
                </c:pt>
                <c:pt idx="17">
                  <c:v>214365.75698822245</c:v>
                </c:pt>
                <c:pt idx="18">
                  <c:v>231012.64375605076</c:v>
                </c:pt>
                <c:pt idx="19">
                  <c:v>248380.53637093672</c:v>
                </c:pt>
                <c:pt idx="20">
                  <c:v>266498.58548551711</c:v>
                </c:pt>
                <c:pt idx="21">
                  <c:v>287758.03997736319</c:v>
                </c:pt>
                <c:pt idx="22">
                  <c:v>310050.99774486385</c:v>
                </c:pt>
                <c:pt idx="23">
                  <c:v>333421.34187492856</c:v>
                </c:pt>
                <c:pt idx="24">
                  <c:v>357914.68475072988</c:v>
                </c:pt>
                <c:pt idx="25">
                  <c:v>383578.43328762235</c:v>
                </c:pt>
                <c:pt idx="26">
                  <c:v>410461.85656630498</c:v>
                </c:pt>
                <c:pt idx="27">
                  <c:v>428863.18684521178</c:v>
                </c:pt>
                <c:pt idx="28">
                  <c:v>457226.51628444024</c:v>
                </c:pt>
                <c:pt idx="29">
                  <c:v>486426.55236119492</c:v>
                </c:pt>
                <c:pt idx="30">
                  <c:v>516482.34563288017</c:v>
                </c:pt>
                <c:pt idx="31">
                  <c:v>547413.32669778646</c:v>
                </c:pt>
                <c:pt idx="32">
                  <c:v>579239.3132481731</c:v>
                </c:pt>
                <c:pt idx="33">
                  <c:v>611980.5172482403</c:v>
                </c:pt>
                <c:pt idx="34">
                  <c:v>645657.5522391306</c:v>
                </c:pt>
                <c:pt idx="35">
                  <c:v>680291.44077313039</c:v>
                </c:pt>
                <c:pt idx="36">
                  <c:v>715903.62197928154</c:v>
                </c:pt>
                <c:pt idx="37">
                  <c:v>752515.95926264394</c:v>
                </c:pt>
                <c:pt idx="38">
                  <c:v>790150.74813949782</c:v>
                </c:pt>
                <c:pt idx="39">
                  <c:v>828830.72421080095</c:v>
                </c:pt>
                <c:pt idx="40">
                  <c:v>868579.07127626205</c:v>
                </c:pt>
                <c:pt idx="41">
                  <c:v>909419.42959142593</c:v>
                </c:pt>
              </c:numCache>
            </c:numRef>
          </c:val>
          <c:smooth val="0"/>
          <c:extLst>
            <c:ext xmlns:c16="http://schemas.microsoft.com/office/drawing/2014/chart" uri="{C3380CC4-5D6E-409C-BE32-E72D297353CC}">
              <c16:uniqueId val="{00000003-F52C-2346-B059-E875B0A0DA94}"/>
            </c:ext>
          </c:extLst>
        </c:ser>
        <c:dLbls>
          <c:showLegendKey val="0"/>
          <c:showVal val="0"/>
          <c:showCatName val="0"/>
          <c:showSerName val="0"/>
          <c:showPercent val="0"/>
          <c:showBubbleSize val="0"/>
        </c:dLbls>
        <c:smooth val="0"/>
        <c:axId val="2083467359"/>
        <c:axId val="2083469055"/>
      </c:lineChart>
      <c:catAx>
        <c:axId val="20834673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3469055"/>
        <c:crosses val="autoZero"/>
        <c:auto val="1"/>
        <c:lblAlgn val="ctr"/>
        <c:lblOffset val="100"/>
        <c:noMultiLvlLbl val="0"/>
      </c:catAx>
      <c:valAx>
        <c:axId val="2083469055"/>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346735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Reduction</a:t>
            </a:r>
            <a:r>
              <a:rPr lang="en-US" baseline="0"/>
              <a:t> in annual pension income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'Difference in benefits'!$H$3</c:f>
              <c:strCache>
                <c:ptCount val="1"/>
                <c:pt idx="0">
                  <c:v>Single - male</c:v>
                </c:pt>
              </c:strCache>
            </c:strRef>
          </c:tx>
          <c:spPr>
            <a:ln w="28575" cap="rnd">
              <a:solidFill>
                <a:schemeClr val="accent1"/>
              </a:solidFill>
              <a:round/>
            </a:ln>
            <a:effectLst/>
          </c:spPr>
          <c:marker>
            <c:symbol val="none"/>
          </c:marker>
          <c:cat>
            <c:numRef>
              <c:f>'Difference in benefits'!$G$4:$G$45</c:f>
              <c:numCache>
                <c:formatCode>General</c:formatCode>
                <c:ptCount val="4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pt idx="32">
                  <c:v>2051</c:v>
                </c:pt>
                <c:pt idx="33">
                  <c:v>2052</c:v>
                </c:pt>
                <c:pt idx="34">
                  <c:v>2053</c:v>
                </c:pt>
                <c:pt idx="35">
                  <c:v>2054</c:v>
                </c:pt>
                <c:pt idx="36">
                  <c:v>2055</c:v>
                </c:pt>
                <c:pt idx="37">
                  <c:v>2056</c:v>
                </c:pt>
                <c:pt idx="38">
                  <c:v>2057</c:v>
                </c:pt>
                <c:pt idx="39">
                  <c:v>2058</c:v>
                </c:pt>
                <c:pt idx="40">
                  <c:v>2059</c:v>
                </c:pt>
                <c:pt idx="41">
                  <c:v>2060</c:v>
                </c:pt>
              </c:numCache>
            </c:numRef>
          </c:cat>
          <c:val>
            <c:numRef>
              <c:f>'Difference in benefits'!$H$4:$H$45</c:f>
              <c:numCache>
                <c:formatCode>_("£"* #,##0.00_);_("£"* \(#,##0.00\);_("£"* "-"??_);_(@_)</c:formatCode>
                <c:ptCount val="42"/>
                <c:pt idx="0">
                  <c:v>222.05330533333336</c:v>
                </c:pt>
                <c:pt idx="1">
                  <c:v>455.98053686870281</c:v>
                </c:pt>
                <c:pt idx="2">
                  <c:v>713.740773316174</c:v>
                </c:pt>
                <c:pt idx="3">
                  <c:v>975.56838402529968</c:v>
                </c:pt>
                <c:pt idx="4">
                  <c:v>1249.541491362623</c:v>
                </c:pt>
                <c:pt idx="5">
                  <c:v>1535.7804940258866</c:v>
                </c:pt>
                <c:pt idx="6">
                  <c:v>1834.4107260920437</c:v>
                </c:pt>
                <c:pt idx="7">
                  <c:v>2145.5625055569362</c:v>
                </c:pt>
                <c:pt idx="8">
                  <c:v>2469.3711848509984</c:v>
                </c:pt>
                <c:pt idx="9">
                  <c:v>2728.2961766847093</c:v>
                </c:pt>
                <c:pt idx="10">
                  <c:v>2739.1484029946773</c:v>
                </c:pt>
                <c:pt idx="11">
                  <c:v>2983.7359307028228</c:v>
                </c:pt>
                <c:pt idx="12">
                  <c:v>3234.044057045779</c:v>
                </c:pt>
                <c:pt idx="13">
                  <c:v>3490.2172981237109</c:v>
                </c:pt>
                <c:pt idx="14">
                  <c:v>3752.4035419305669</c:v>
                </c:pt>
                <c:pt idx="15">
                  <c:v>4020.754122432777</c:v>
                </c:pt>
                <c:pt idx="16">
                  <c:v>4295.4238952169198</c:v>
                </c:pt>
                <c:pt idx="17">
                  <c:v>4576.5713147388542</c:v>
                </c:pt>
                <c:pt idx="18">
                  <c:v>4864.3585132074941</c:v>
                </c:pt>
                <c:pt idx="19">
                  <c:v>5158.9513811370789</c:v>
                </c:pt>
                <c:pt idx="20">
                  <c:v>5460.5196496024819</c:v>
                </c:pt>
                <c:pt idx="21">
                  <c:v>5831.3219762391591</c:v>
                </c:pt>
                <c:pt idx="22">
                  <c:v>6213.3560752022304</c:v>
                </c:pt>
                <c:pt idx="23">
                  <c:v>6606.874570528832</c:v>
                </c:pt>
                <c:pt idx="24">
                  <c:v>7012.1352947238165</c:v>
                </c:pt>
                <c:pt idx="25">
                  <c:v>7429.4013937332038</c:v>
                </c:pt>
                <c:pt idx="26">
                  <c:v>7858.9414340211333</c:v>
                </c:pt>
                <c:pt idx="27">
                  <c:v>8078.8715507480201</c:v>
                </c:pt>
                <c:pt idx="28">
                  <c:v>8515.3482032705324</c:v>
                </c:pt>
                <c:pt idx="29">
                  <c:v>8955.1392685688988</c:v>
                </c:pt>
                <c:pt idx="30">
                  <c:v>9398.1917819611026</c:v>
                </c:pt>
                <c:pt idx="31">
                  <c:v>9844.4535453919325</c:v>
                </c:pt>
                <c:pt idx="32">
                  <c:v>10293.873116031122</c:v>
                </c:pt>
                <c:pt idx="33">
                  <c:v>10746.399795039684</c:v>
                </c:pt>
                <c:pt idx="34">
                  <c:v>11201.983616501866</c:v>
                </c:pt>
                <c:pt idx="35">
                  <c:v>11660.575336520364</c:v>
                </c:pt>
                <c:pt idx="36">
                  <c:v>12122.126422472313</c:v>
                </c:pt>
                <c:pt idx="37">
                  <c:v>12586.589042423755</c:v>
                </c:pt>
                <c:pt idx="38">
                  <c:v>13053.916054700121</c:v>
                </c:pt>
                <c:pt idx="39">
                  <c:v>13524.060997610561</c:v>
                </c:pt>
                <c:pt idx="40">
                  <c:v>13996.978079323717</c:v>
                </c:pt>
                <c:pt idx="41">
                  <c:v>14472.622167892821</c:v>
                </c:pt>
              </c:numCache>
            </c:numRef>
          </c:val>
          <c:smooth val="0"/>
          <c:extLst>
            <c:ext xmlns:c16="http://schemas.microsoft.com/office/drawing/2014/chart" uri="{C3380CC4-5D6E-409C-BE32-E72D297353CC}">
              <c16:uniqueId val="{00000000-ED44-4148-B7CE-8C271C1120E4}"/>
            </c:ext>
          </c:extLst>
        </c:ser>
        <c:ser>
          <c:idx val="1"/>
          <c:order val="1"/>
          <c:tx>
            <c:strRef>
              <c:f>'Difference in benefits'!$I$3</c:f>
              <c:strCache>
                <c:ptCount val="1"/>
                <c:pt idx="0">
                  <c:v>Joint - male</c:v>
                </c:pt>
              </c:strCache>
            </c:strRef>
          </c:tx>
          <c:spPr>
            <a:ln w="28575" cap="rnd">
              <a:solidFill>
                <a:schemeClr val="accent2"/>
              </a:solidFill>
              <a:round/>
            </a:ln>
            <a:effectLst/>
          </c:spPr>
          <c:marker>
            <c:symbol val="none"/>
          </c:marker>
          <c:cat>
            <c:numRef>
              <c:f>'Difference in benefits'!$G$4:$G$45</c:f>
              <c:numCache>
                <c:formatCode>General</c:formatCode>
                <c:ptCount val="4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pt idx="32">
                  <c:v>2051</c:v>
                </c:pt>
                <c:pt idx="33">
                  <c:v>2052</c:v>
                </c:pt>
                <c:pt idx="34">
                  <c:v>2053</c:v>
                </c:pt>
                <c:pt idx="35">
                  <c:v>2054</c:v>
                </c:pt>
                <c:pt idx="36">
                  <c:v>2055</c:v>
                </c:pt>
                <c:pt idx="37">
                  <c:v>2056</c:v>
                </c:pt>
                <c:pt idx="38">
                  <c:v>2057</c:v>
                </c:pt>
                <c:pt idx="39">
                  <c:v>2058</c:v>
                </c:pt>
                <c:pt idx="40">
                  <c:v>2059</c:v>
                </c:pt>
                <c:pt idx="41">
                  <c:v>2060</c:v>
                </c:pt>
              </c:numCache>
            </c:numRef>
          </c:cat>
          <c:val>
            <c:numRef>
              <c:f>'Difference in benefits'!$I$4:$I$45</c:f>
              <c:numCache>
                <c:formatCode>_("£"* #,##0.00_);_("£"* \(#,##0.00\);_("£"* "-"??_);_(@_)</c:formatCode>
                <c:ptCount val="42"/>
                <c:pt idx="0">
                  <c:v>256.56639083333334</c:v>
                </c:pt>
                <c:pt idx="1">
                  <c:v>524.48646135821014</c:v>
                </c:pt>
                <c:pt idx="2">
                  <c:v>787.11617137011956</c:v>
                </c:pt>
                <c:pt idx="3">
                  <c:v>1072.6750868382287</c:v>
                </c:pt>
                <c:pt idx="4">
                  <c:v>1370.0290049217206</c:v>
                </c:pt>
                <c:pt idx="5">
                  <c:v>1679.3059456866845</c:v>
                </c:pt>
                <c:pt idx="6">
                  <c:v>2000.6387151633105</c:v>
                </c:pt>
                <c:pt idx="7">
                  <c:v>2334.1649568887069</c:v>
                </c:pt>
                <c:pt idx="8">
                  <c:v>2680.0272053657577</c:v>
                </c:pt>
                <c:pt idx="9">
                  <c:v>2982.7015390148822</c:v>
                </c:pt>
                <c:pt idx="10">
                  <c:v>3058.6965760292028</c:v>
                </c:pt>
                <c:pt idx="11">
                  <c:v>3340.3719091872381</c:v>
                </c:pt>
                <c:pt idx="12">
                  <c:v>3628.4053944992884</c:v>
                </c:pt>
                <c:pt idx="13">
                  <c:v>3922.9505144519312</c:v>
                </c:pt>
                <c:pt idx="14">
                  <c:v>4224.1642422101622</c:v>
                </c:pt>
                <c:pt idx="15">
                  <c:v>4532.2071172369042</c:v>
                </c:pt>
                <c:pt idx="16">
                  <c:v>4847.2433225013119</c:v>
                </c:pt>
                <c:pt idx="17">
                  <c:v>5169.4407633086294</c:v>
                </c:pt>
                <c:pt idx="18">
                  <c:v>5498.9711477850278</c:v>
                </c:pt>
                <c:pt idx="19">
                  <c:v>5836.0100690515519</c:v>
                </c:pt>
                <c:pt idx="20">
                  <c:v>6180.7370891219607</c:v>
                </c:pt>
                <c:pt idx="21">
                  <c:v>6587.615514413922</c:v>
                </c:pt>
                <c:pt idx="22">
                  <c:v>7005.9675218374668</c:v>
                </c:pt>
                <c:pt idx="23">
                  <c:v>7436.0470529066688</c:v>
                </c:pt>
                <c:pt idx="24">
                  <c:v>7878.1132643422143</c:v>
                </c:pt>
                <c:pt idx="25">
                  <c:v>8332.4306330785294</c:v>
                </c:pt>
                <c:pt idx="26">
                  <c:v>8799.2690633746042</c:v>
                </c:pt>
                <c:pt idx="27">
                  <c:v>9286.638513971895</c:v>
                </c:pt>
                <c:pt idx="28">
                  <c:v>9768.9405129656407</c:v>
                </c:pt>
                <c:pt idx="29">
                  <c:v>10254.056521339375</c:v>
                </c:pt>
                <c:pt idx="30">
                  <c:v>10741.94157091259</c:v>
                </c:pt>
                <c:pt idx="31">
                  <c:v>11232.551344387781</c:v>
                </c:pt>
                <c:pt idx="32">
                  <c:v>11725.842165670078</c:v>
                </c:pt>
                <c:pt idx="33">
                  <c:v>12221.770990329551</c:v>
                </c:pt>
                <c:pt idx="34">
                  <c:v>12720.295396204227</c:v>
                </c:pt>
                <c:pt idx="35">
                  <c:v>13221.373574141689</c:v>
                </c:pt>
                <c:pt idx="36">
                  <c:v>13724.964318877177</c:v>
                </c:pt>
                <c:pt idx="37">
                  <c:v>14231.027020046218</c:v>
                </c:pt>
                <c:pt idx="38">
                  <c:v>14739.521653329761</c:v>
                </c:pt>
                <c:pt idx="39">
                  <c:v>15250.408771729879</c:v>
                </c:pt>
                <c:pt idx="40">
                  <c:v>15763.649496974122</c:v>
                </c:pt>
                <c:pt idx="41">
                  <c:v>16279.205511046543</c:v>
                </c:pt>
              </c:numCache>
            </c:numRef>
          </c:val>
          <c:smooth val="0"/>
          <c:extLst>
            <c:ext xmlns:c16="http://schemas.microsoft.com/office/drawing/2014/chart" uri="{C3380CC4-5D6E-409C-BE32-E72D297353CC}">
              <c16:uniqueId val="{00000001-ED44-4148-B7CE-8C271C1120E4}"/>
            </c:ext>
          </c:extLst>
        </c:ser>
        <c:ser>
          <c:idx val="2"/>
          <c:order val="2"/>
          <c:tx>
            <c:strRef>
              <c:f>'Difference in benefits'!$J$3</c:f>
              <c:strCache>
                <c:ptCount val="1"/>
                <c:pt idx="0">
                  <c:v>Single - female</c:v>
                </c:pt>
              </c:strCache>
            </c:strRef>
          </c:tx>
          <c:spPr>
            <a:ln w="28575" cap="rnd">
              <a:solidFill>
                <a:schemeClr val="accent3"/>
              </a:solidFill>
              <a:round/>
            </a:ln>
            <a:effectLst/>
          </c:spPr>
          <c:marker>
            <c:symbol val="none"/>
          </c:marker>
          <c:cat>
            <c:numRef>
              <c:f>'Difference in benefits'!$G$4:$G$45</c:f>
              <c:numCache>
                <c:formatCode>General</c:formatCode>
                <c:ptCount val="4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pt idx="32">
                  <c:v>2051</c:v>
                </c:pt>
                <c:pt idx="33">
                  <c:v>2052</c:v>
                </c:pt>
                <c:pt idx="34">
                  <c:v>2053</c:v>
                </c:pt>
                <c:pt idx="35">
                  <c:v>2054</c:v>
                </c:pt>
                <c:pt idx="36">
                  <c:v>2055</c:v>
                </c:pt>
                <c:pt idx="37">
                  <c:v>2056</c:v>
                </c:pt>
                <c:pt idx="38">
                  <c:v>2057</c:v>
                </c:pt>
                <c:pt idx="39">
                  <c:v>2058</c:v>
                </c:pt>
                <c:pt idx="40">
                  <c:v>2059</c:v>
                </c:pt>
                <c:pt idx="41">
                  <c:v>2060</c:v>
                </c:pt>
              </c:numCache>
            </c:numRef>
          </c:cat>
          <c:val>
            <c:numRef>
              <c:f>'Difference in benefits'!$J$4:$J$45</c:f>
              <c:numCache>
                <c:formatCode>_("£"* #,##0.00_);_("£"* \(#,##0.00\);_("£"* "-"??_);_(@_)</c:formatCode>
                <c:ptCount val="42"/>
                <c:pt idx="0">
                  <c:v>222.05330533333336</c:v>
                </c:pt>
                <c:pt idx="1">
                  <c:v>455.98053686870281</c:v>
                </c:pt>
                <c:pt idx="2">
                  <c:v>713.740773316174</c:v>
                </c:pt>
                <c:pt idx="3">
                  <c:v>975.56838402529968</c:v>
                </c:pt>
                <c:pt idx="4">
                  <c:v>1249.541491362623</c:v>
                </c:pt>
                <c:pt idx="5">
                  <c:v>1535.7804940258866</c:v>
                </c:pt>
                <c:pt idx="6">
                  <c:v>1834.4107260920437</c:v>
                </c:pt>
                <c:pt idx="7">
                  <c:v>2145.5625055569362</c:v>
                </c:pt>
                <c:pt idx="8">
                  <c:v>2469.3711848509984</c:v>
                </c:pt>
                <c:pt idx="9">
                  <c:v>2728.2961766847093</c:v>
                </c:pt>
                <c:pt idx="10">
                  <c:v>2739.1484029946773</c:v>
                </c:pt>
                <c:pt idx="11">
                  <c:v>2983.7359307028228</c:v>
                </c:pt>
                <c:pt idx="12">
                  <c:v>3234.044057045779</c:v>
                </c:pt>
                <c:pt idx="13">
                  <c:v>3490.2172981237109</c:v>
                </c:pt>
                <c:pt idx="14">
                  <c:v>3752.4035419305669</c:v>
                </c:pt>
                <c:pt idx="15">
                  <c:v>4020.754122432777</c:v>
                </c:pt>
                <c:pt idx="16">
                  <c:v>4295.4238952169198</c:v>
                </c:pt>
                <c:pt idx="17">
                  <c:v>4576.5713147388542</c:v>
                </c:pt>
                <c:pt idx="18">
                  <c:v>4864.3585132074941</c:v>
                </c:pt>
                <c:pt idx="19">
                  <c:v>5158.9513811370789</c:v>
                </c:pt>
                <c:pt idx="20">
                  <c:v>5460.5196496024819</c:v>
                </c:pt>
                <c:pt idx="21">
                  <c:v>5831.3219762391591</c:v>
                </c:pt>
                <c:pt idx="22">
                  <c:v>6213.3560752022304</c:v>
                </c:pt>
                <c:pt idx="23">
                  <c:v>6606.874570528832</c:v>
                </c:pt>
                <c:pt idx="24">
                  <c:v>7012.1352947238165</c:v>
                </c:pt>
                <c:pt idx="25">
                  <c:v>7429.4013937332038</c:v>
                </c:pt>
                <c:pt idx="26">
                  <c:v>7858.9414340211333</c:v>
                </c:pt>
                <c:pt idx="27">
                  <c:v>8078.8715507480201</c:v>
                </c:pt>
                <c:pt idx="28">
                  <c:v>8515.3482032705324</c:v>
                </c:pt>
                <c:pt idx="29">
                  <c:v>8955.1392685688988</c:v>
                </c:pt>
                <c:pt idx="30">
                  <c:v>9398.1917819611026</c:v>
                </c:pt>
                <c:pt idx="31">
                  <c:v>9844.4535453919325</c:v>
                </c:pt>
                <c:pt idx="32">
                  <c:v>10293.873116031122</c:v>
                </c:pt>
                <c:pt idx="33">
                  <c:v>10746.399795039684</c:v>
                </c:pt>
                <c:pt idx="34">
                  <c:v>11201.983616501866</c:v>
                </c:pt>
                <c:pt idx="35">
                  <c:v>11660.575336520364</c:v>
                </c:pt>
                <c:pt idx="36">
                  <c:v>12122.126422472313</c:v>
                </c:pt>
                <c:pt idx="37">
                  <c:v>12586.589042423755</c:v>
                </c:pt>
                <c:pt idx="38">
                  <c:v>13053.916054700121</c:v>
                </c:pt>
                <c:pt idx="39">
                  <c:v>13524.060997610561</c:v>
                </c:pt>
                <c:pt idx="40">
                  <c:v>13996.978079323717</c:v>
                </c:pt>
                <c:pt idx="41">
                  <c:v>14472.622167892821</c:v>
                </c:pt>
              </c:numCache>
            </c:numRef>
          </c:val>
          <c:smooth val="0"/>
          <c:extLst>
            <c:ext xmlns:c16="http://schemas.microsoft.com/office/drawing/2014/chart" uri="{C3380CC4-5D6E-409C-BE32-E72D297353CC}">
              <c16:uniqueId val="{00000002-ED44-4148-B7CE-8C271C1120E4}"/>
            </c:ext>
          </c:extLst>
        </c:ser>
        <c:ser>
          <c:idx val="3"/>
          <c:order val="3"/>
          <c:tx>
            <c:strRef>
              <c:f>'Difference in benefits'!$K$3</c:f>
              <c:strCache>
                <c:ptCount val="1"/>
                <c:pt idx="0">
                  <c:v>Joint - female</c:v>
                </c:pt>
              </c:strCache>
            </c:strRef>
          </c:tx>
          <c:spPr>
            <a:ln w="28575" cap="rnd">
              <a:solidFill>
                <a:schemeClr val="accent4"/>
              </a:solidFill>
              <a:round/>
            </a:ln>
            <a:effectLst/>
          </c:spPr>
          <c:marker>
            <c:symbol val="none"/>
          </c:marker>
          <c:cat>
            <c:numRef>
              <c:f>'Difference in benefits'!$G$4:$G$45</c:f>
              <c:numCache>
                <c:formatCode>General</c:formatCode>
                <c:ptCount val="4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pt idx="32">
                  <c:v>2051</c:v>
                </c:pt>
                <c:pt idx="33">
                  <c:v>2052</c:v>
                </c:pt>
                <c:pt idx="34">
                  <c:v>2053</c:v>
                </c:pt>
                <c:pt idx="35">
                  <c:v>2054</c:v>
                </c:pt>
                <c:pt idx="36">
                  <c:v>2055</c:v>
                </c:pt>
                <c:pt idx="37">
                  <c:v>2056</c:v>
                </c:pt>
                <c:pt idx="38">
                  <c:v>2057</c:v>
                </c:pt>
                <c:pt idx="39">
                  <c:v>2058</c:v>
                </c:pt>
                <c:pt idx="40">
                  <c:v>2059</c:v>
                </c:pt>
                <c:pt idx="41">
                  <c:v>2060</c:v>
                </c:pt>
              </c:numCache>
            </c:numRef>
          </c:cat>
          <c:val>
            <c:numRef>
              <c:f>'Difference in benefits'!$K$4:$K$45</c:f>
              <c:numCache>
                <c:formatCode>_("£"* #,##0.00_);_("£"* \(#,##0.00\);_("£"* "-"??_);_(@_)</c:formatCode>
                <c:ptCount val="42"/>
                <c:pt idx="0">
                  <c:v>241.83435233333336</c:v>
                </c:pt>
                <c:pt idx="1">
                  <c:v>495.24445350998354</c:v>
                </c:pt>
                <c:pt idx="2">
                  <c:v>748.07800694587547</c:v>
                </c:pt>
                <c:pt idx="3">
                  <c:v>1021.0110750352496</c:v>
                </c:pt>
                <c:pt idx="4">
                  <c:v>1305.9256202705014</c:v>
                </c:pt>
                <c:pt idx="5">
                  <c:v>1602.9456078950066</c:v>
                </c:pt>
                <c:pt idx="6">
                  <c:v>1912.1998686100737</c:v>
                </c:pt>
                <c:pt idx="7">
                  <c:v>2233.8221485199933</c:v>
                </c:pt>
                <c:pt idx="8">
                  <c:v>2567.9511610250361</c:v>
                </c:pt>
                <c:pt idx="9">
                  <c:v>2856.4698706831168</c:v>
                </c:pt>
                <c:pt idx="10">
                  <c:v>2900.142139027339</c:v>
                </c:pt>
                <c:pt idx="11">
                  <c:v>3163.4151259697796</c:v>
                </c:pt>
                <c:pt idx="12">
                  <c:v>3432.7299217170125</c:v>
                </c:pt>
                <c:pt idx="13">
                  <c:v>3708.235559785257</c:v>
                </c:pt>
                <c:pt idx="14">
                  <c:v>3990.0845054302104</c:v>
                </c:pt>
                <c:pt idx="15">
                  <c:v>4278.4327305020315</c:v>
                </c:pt>
                <c:pt idx="16">
                  <c:v>4573.4397898792849</c:v>
                </c:pt>
                <c:pt idx="17">
                  <c:v>4875.2688995144654</c:v>
                </c:pt>
                <c:pt idx="18">
                  <c:v>5184.0870161244193</c:v>
                </c:pt>
                <c:pt idx="19">
                  <c:v>5500.0649185596376</c:v>
                </c:pt>
                <c:pt idx="20">
                  <c:v>5823.3772908871051</c:v>
                </c:pt>
                <c:pt idx="21">
                  <c:v>6212.3553618844599</c:v>
                </c:pt>
                <c:pt idx="22">
                  <c:v>6612.687033048991</c:v>
                </c:pt>
                <c:pt idx="23">
                  <c:v>7024.6255921848406</c:v>
                </c:pt>
                <c:pt idx="24">
                  <c:v>7448.4295389590397</c:v>
                </c:pt>
                <c:pt idx="25">
                  <c:v>7884.3626898919174</c:v>
                </c:pt>
                <c:pt idx="26">
                  <c:v>8332.6942854511253</c:v>
                </c:pt>
                <c:pt idx="27">
                  <c:v>8692.5345219407154</c:v>
                </c:pt>
                <c:pt idx="28">
                  <c:v>9152.2949031358585</c:v>
                </c:pt>
                <c:pt idx="29">
                  <c:v>9615.1154435595672</c:v>
                </c:pt>
                <c:pt idx="30">
                  <c:v>10080.94724152957</c:v>
                </c:pt>
                <c:pt idx="31">
                  <c:v>10549.742103181321</c:v>
                </c:pt>
                <c:pt idx="32">
                  <c:v>11021.452531940793</c:v>
                </c:pt>
                <c:pt idx="33">
                  <c:v>11496.031718152552</c:v>
                </c:pt>
                <c:pt idx="34">
                  <c:v>11973.43352886076</c:v>
                </c:pt>
                <c:pt idx="35">
                  <c:v>12453.612497740913</c:v>
                </c:pt>
                <c:pt idx="36">
                  <c:v>12936.523815180046</c:v>
                </c:pt>
                <c:pt idx="37">
                  <c:v>13422.123318503183</c:v>
                </c:pt>
                <c:pt idx="38">
                  <c:v>13910.367482343923</c:v>
                </c:pt>
                <c:pt idx="39">
                  <c:v>14401.213409157015</c:v>
                </c:pt>
                <c:pt idx="40">
                  <c:v>14894.618819870782</c:v>
                </c:pt>
                <c:pt idx="41">
                  <c:v>15390.542044677404</c:v>
                </c:pt>
              </c:numCache>
            </c:numRef>
          </c:val>
          <c:smooth val="0"/>
          <c:extLst>
            <c:ext xmlns:c16="http://schemas.microsoft.com/office/drawing/2014/chart" uri="{C3380CC4-5D6E-409C-BE32-E72D297353CC}">
              <c16:uniqueId val="{00000003-ED44-4148-B7CE-8C271C1120E4}"/>
            </c:ext>
          </c:extLst>
        </c:ser>
        <c:dLbls>
          <c:showLegendKey val="0"/>
          <c:showVal val="0"/>
          <c:showCatName val="0"/>
          <c:showSerName val="0"/>
          <c:showPercent val="0"/>
          <c:showBubbleSize val="0"/>
        </c:dLbls>
        <c:smooth val="0"/>
        <c:axId val="1651964799"/>
        <c:axId val="1651998575"/>
      </c:lineChart>
      <c:catAx>
        <c:axId val="16519647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1998575"/>
        <c:crosses val="autoZero"/>
        <c:auto val="1"/>
        <c:lblAlgn val="ctr"/>
        <c:lblOffset val="100"/>
        <c:noMultiLvlLbl val="0"/>
      </c:catAx>
      <c:valAx>
        <c:axId val="1651998575"/>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19647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Difference</a:t>
            </a:r>
            <a:r>
              <a:rPr lang="en-US" baseline="0"/>
              <a:t> in value of the DB versus DC pension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'Difference in benefits TPS'!$B$3</c:f>
              <c:strCache>
                <c:ptCount val="1"/>
                <c:pt idx="0">
                  <c:v>Single - male</c:v>
                </c:pt>
              </c:strCache>
            </c:strRef>
          </c:tx>
          <c:spPr>
            <a:ln w="28575" cap="rnd">
              <a:solidFill>
                <a:schemeClr val="accent1"/>
              </a:solidFill>
              <a:round/>
            </a:ln>
            <a:effectLst/>
          </c:spPr>
          <c:marker>
            <c:symbol val="none"/>
          </c:marker>
          <c:cat>
            <c:numRef>
              <c:f>'Difference in benefits TPS'!$A$4:$A$45</c:f>
              <c:numCache>
                <c:formatCode>General</c:formatCode>
                <c:ptCount val="4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pt idx="32">
                  <c:v>2051</c:v>
                </c:pt>
                <c:pt idx="33">
                  <c:v>2052</c:v>
                </c:pt>
                <c:pt idx="34">
                  <c:v>2053</c:v>
                </c:pt>
                <c:pt idx="35">
                  <c:v>2054</c:v>
                </c:pt>
                <c:pt idx="36">
                  <c:v>2055</c:v>
                </c:pt>
                <c:pt idx="37">
                  <c:v>2056</c:v>
                </c:pt>
                <c:pt idx="38">
                  <c:v>2057</c:v>
                </c:pt>
                <c:pt idx="39">
                  <c:v>2058</c:v>
                </c:pt>
                <c:pt idx="40">
                  <c:v>2059</c:v>
                </c:pt>
                <c:pt idx="41">
                  <c:v>2060</c:v>
                </c:pt>
              </c:numCache>
            </c:numRef>
          </c:cat>
          <c:val>
            <c:numRef>
              <c:f>'Difference in benefits TPS'!$B$4:$B$45</c:f>
              <c:numCache>
                <c:formatCode>_("£"* #,##0.00_);_("£"* \(#,##0.00\);_("£"* "-"??_);_(@_)</c:formatCode>
                <c:ptCount val="42"/>
                <c:pt idx="0">
                  <c:v>13126.409254150451</c:v>
                </c:pt>
                <c:pt idx="1">
                  <c:v>27484.798548072067</c:v>
                </c:pt>
                <c:pt idx="2">
                  <c:v>44378.227343899023</c:v>
                </c:pt>
                <c:pt idx="3">
                  <c:v>61864.562661121745</c:v>
                </c:pt>
                <c:pt idx="4">
                  <c:v>80814.756523502117</c:v>
                </c:pt>
                <c:pt idx="5">
                  <c:v>101303.81733758608</c:v>
                </c:pt>
                <c:pt idx="6">
                  <c:v>123410.12152279154</c:v>
                </c:pt>
                <c:pt idx="7">
                  <c:v>147215.55444326362</c:v>
                </c:pt>
                <c:pt idx="8">
                  <c:v>172805.65699551761</c:v>
                </c:pt>
                <c:pt idx="9">
                  <c:v>189740.55731590927</c:v>
                </c:pt>
                <c:pt idx="10">
                  <c:v>178630.71861185378</c:v>
                </c:pt>
                <c:pt idx="11">
                  <c:v>200897.41899675844</c:v>
                </c:pt>
                <c:pt idx="12">
                  <c:v>224606.25500948942</c:v>
                </c:pt>
                <c:pt idx="13">
                  <c:v>249831.56230065878</c:v>
                </c:pt>
                <c:pt idx="14">
                  <c:v>276651.08495911304</c:v>
                </c:pt>
                <c:pt idx="15">
                  <c:v>305146.12121231749</c:v>
                </c:pt>
                <c:pt idx="16">
                  <c:v>335401.67507567041</c:v>
                </c:pt>
                <c:pt idx="17">
                  <c:v>367506.61418603733</c:v>
                </c:pt>
                <c:pt idx="18">
                  <c:v>401553.83406388666</c:v>
                </c:pt>
                <c:pt idx="19">
                  <c:v>437640.42905784922</c:v>
                </c:pt>
                <c:pt idx="20">
                  <c:v>475867.87023532303</c:v>
                </c:pt>
                <c:pt idx="21">
                  <c:v>518703.14040030201</c:v>
                </c:pt>
                <c:pt idx="22">
                  <c:v>564117.63306699891</c:v>
                </c:pt>
                <c:pt idx="23">
                  <c:v>612238.24291200377</c:v>
                </c:pt>
                <c:pt idx="24">
                  <c:v>663197.47051629028</c:v>
                </c:pt>
                <c:pt idx="25">
                  <c:v>717133.65483773989</c:v>
                </c:pt>
                <c:pt idx="26">
                  <c:v>774191.2149455878</c:v>
                </c:pt>
                <c:pt idx="27">
                  <c:v>802443.39421186934</c:v>
                </c:pt>
                <c:pt idx="28">
                  <c:v>864183.1771572961</c:v>
                </c:pt>
                <c:pt idx="29">
                  <c:v>929632.75188528444</c:v>
                </c:pt>
                <c:pt idx="30">
                  <c:v>998966.79161246656</c:v>
                </c:pt>
                <c:pt idx="31">
                  <c:v>1072367.4292663091</c:v>
                </c:pt>
                <c:pt idx="32">
                  <c:v>1150024.5599569734</c:v>
                </c:pt>
                <c:pt idx="33">
                  <c:v>1232136.1553266905</c:v>
                </c:pt>
                <c:pt idx="34">
                  <c:v>1318908.590233007</c:v>
                </c:pt>
                <c:pt idx="35">
                  <c:v>1410556.9822395435</c:v>
                </c:pt>
                <c:pt idx="36">
                  <c:v>1507305.5444057933</c:v>
                </c:pt>
                <c:pt idx="37">
                  <c:v>1609387.9518860767</c:v>
                </c:pt>
                <c:pt idx="38">
                  <c:v>1717047.7228670283</c:v>
                </c:pt>
                <c:pt idx="39">
                  <c:v>1830538.6143929893</c:v>
                </c:pt>
                <c:pt idx="40">
                  <c:v>1950125.0336494143</c:v>
                </c:pt>
                <c:pt idx="41">
                  <c:v>2076082.4652958929</c:v>
                </c:pt>
              </c:numCache>
            </c:numRef>
          </c:val>
          <c:smooth val="0"/>
          <c:extLst>
            <c:ext xmlns:c16="http://schemas.microsoft.com/office/drawing/2014/chart" uri="{C3380CC4-5D6E-409C-BE32-E72D297353CC}">
              <c16:uniqueId val="{00000000-D1D8-CE4E-9B67-3EA84B5A936C}"/>
            </c:ext>
          </c:extLst>
        </c:ser>
        <c:ser>
          <c:idx val="1"/>
          <c:order val="1"/>
          <c:tx>
            <c:strRef>
              <c:f>'Difference in benefits TPS'!$C$3</c:f>
              <c:strCache>
                <c:ptCount val="1"/>
                <c:pt idx="0">
                  <c:v>Joint - male</c:v>
                </c:pt>
              </c:strCache>
            </c:strRef>
          </c:tx>
          <c:spPr>
            <a:ln w="28575" cap="rnd">
              <a:solidFill>
                <a:schemeClr val="accent2"/>
              </a:solidFill>
              <a:round/>
            </a:ln>
            <a:effectLst/>
          </c:spPr>
          <c:marker>
            <c:symbol val="none"/>
          </c:marker>
          <c:cat>
            <c:numRef>
              <c:f>'Difference in benefits TPS'!$A$4:$A$45</c:f>
              <c:numCache>
                <c:formatCode>General</c:formatCode>
                <c:ptCount val="4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pt idx="32">
                  <c:v>2051</c:v>
                </c:pt>
                <c:pt idx="33">
                  <c:v>2052</c:v>
                </c:pt>
                <c:pt idx="34">
                  <c:v>2053</c:v>
                </c:pt>
                <c:pt idx="35">
                  <c:v>2054</c:v>
                </c:pt>
                <c:pt idx="36">
                  <c:v>2055</c:v>
                </c:pt>
                <c:pt idx="37">
                  <c:v>2056</c:v>
                </c:pt>
                <c:pt idx="38">
                  <c:v>2057</c:v>
                </c:pt>
                <c:pt idx="39">
                  <c:v>2058</c:v>
                </c:pt>
                <c:pt idx="40">
                  <c:v>2059</c:v>
                </c:pt>
                <c:pt idx="41">
                  <c:v>2060</c:v>
                </c:pt>
              </c:numCache>
            </c:numRef>
          </c:cat>
          <c:val>
            <c:numRef>
              <c:f>'Difference in benefits TPS'!$C$4:$C$45</c:f>
              <c:numCache>
                <c:formatCode>_("£"* #,##0.00_);_("£"* \(#,##0.00\);_("£"* "-"??_);_(@_)</c:formatCode>
                <c:ptCount val="42"/>
                <c:pt idx="0">
                  <c:v>18327.505381955936</c:v>
                </c:pt>
                <c:pt idx="1">
                  <c:v>38172.480383227215</c:v>
                </c:pt>
                <c:pt idx="2">
                  <c:v>57237.236293565955</c:v>
                </c:pt>
                <c:pt idx="3">
                  <c:v>79457.093150387998</c:v>
                </c:pt>
                <c:pt idx="4">
                  <c:v>103381.69036833858</c:v>
                </c:pt>
                <c:pt idx="5">
                  <c:v>129097.08223286024</c:v>
                </c:pt>
                <c:pt idx="6">
                  <c:v>156693.16514928476</c:v>
                </c:pt>
                <c:pt idx="7">
                  <c:v>186263.83803572261</c:v>
                </c:pt>
                <c:pt idx="8">
                  <c:v>217907.16914574613</c:v>
                </c:pt>
                <c:pt idx="9">
                  <c:v>241923.95065311823</c:v>
                </c:pt>
                <c:pt idx="10">
                  <c:v>231959.53973710685</c:v>
                </c:pt>
                <c:pt idx="11">
                  <c:v>260613.92931731345</c:v>
                </c:pt>
                <c:pt idx="12">
                  <c:v>291018.81497664092</c:v>
                </c:pt>
                <c:pt idx="13">
                  <c:v>323262.28488912276</c:v>
                </c:pt>
                <c:pt idx="14">
                  <c:v>357436.41627633933</c:v>
                </c:pt>
                <c:pt idx="15">
                  <c:v>393637.44468700193</c:v>
                </c:pt>
                <c:pt idx="16">
                  <c:v>431965.94015637325</c:v>
                </c:pt>
                <c:pt idx="17">
                  <c:v>472526.99051680078</c:v>
                </c:pt>
                <c:pt idx="18">
                  <c:v>515430.3921410956</c:v>
                </c:pt>
                <c:pt idx="19">
                  <c:v>560790.84841135587</c:v>
                </c:pt>
                <c:pt idx="20">
                  <c:v>608728.17621709895</c:v>
                </c:pt>
                <c:pt idx="21">
                  <c:v>661728.47070566099</c:v>
                </c:pt>
                <c:pt idx="22">
                  <c:v>717783.03515679261</c:v>
                </c:pt>
                <c:pt idx="23">
                  <c:v>777039.50354920188</c:v>
                </c:pt>
                <c:pt idx="24">
                  <c:v>839651.97867707117</c:v>
                </c:pt>
                <c:pt idx="25">
                  <c:v>905781.29930570046</c:v>
                </c:pt>
                <c:pt idx="26">
                  <c:v>975595.31794801378</c:v>
                </c:pt>
                <c:pt idx="27">
                  <c:v>1050885.6140036434</c:v>
                </c:pt>
                <c:pt idx="28">
                  <c:v>1128901.8456101262</c:v>
                </c:pt>
                <c:pt idx="29">
                  <c:v>1211342.4027085216</c:v>
                </c:pt>
                <c:pt idx="30">
                  <c:v>1298414.0025304786</c:v>
                </c:pt>
                <c:pt idx="31">
                  <c:v>1390332.1662594732</c:v>
                </c:pt>
                <c:pt idx="32">
                  <c:v>1487321.5756112197</c:v>
                </c:pt>
                <c:pt idx="33">
                  <c:v>1589616.4434095917</c:v>
                </c:pt>
                <c:pt idx="34">
                  <c:v>1697460.8986956668</c:v>
                </c:pt>
                <c:pt idx="35">
                  <c:v>1811109.3869278699</c:v>
                </c:pt>
                <c:pt idx="36">
                  <c:v>1930827.0858522626</c:v>
                </c:pt>
                <c:pt idx="37">
                  <c:v>2056890.3376439197</c:v>
                </c:pt>
                <c:pt idx="38">
                  <c:v>2189587.0979430284</c:v>
                </c:pt>
                <c:pt idx="39">
                  <c:v>2329217.402432878</c:v>
                </c:pt>
                <c:pt idx="40">
                  <c:v>2476093.8516313653</c:v>
                </c:pt>
                <c:pt idx="41">
                  <c:v>2630542.114592935</c:v>
                </c:pt>
              </c:numCache>
            </c:numRef>
          </c:val>
          <c:smooth val="0"/>
          <c:extLst>
            <c:ext xmlns:c16="http://schemas.microsoft.com/office/drawing/2014/chart" uri="{C3380CC4-5D6E-409C-BE32-E72D297353CC}">
              <c16:uniqueId val="{00000001-D1D8-CE4E-9B67-3EA84B5A936C}"/>
            </c:ext>
          </c:extLst>
        </c:ser>
        <c:ser>
          <c:idx val="2"/>
          <c:order val="2"/>
          <c:tx>
            <c:strRef>
              <c:f>'Difference in benefits TPS'!$D$3</c:f>
              <c:strCache>
                <c:ptCount val="1"/>
                <c:pt idx="0">
                  <c:v>Single - female</c:v>
                </c:pt>
              </c:strCache>
            </c:strRef>
          </c:tx>
          <c:spPr>
            <a:ln w="28575" cap="rnd">
              <a:solidFill>
                <a:schemeClr val="accent3"/>
              </a:solidFill>
              <a:round/>
            </a:ln>
            <a:effectLst/>
          </c:spPr>
          <c:marker>
            <c:symbol val="none"/>
          </c:marker>
          <c:cat>
            <c:numRef>
              <c:f>'Difference in benefits TPS'!$A$4:$A$45</c:f>
              <c:numCache>
                <c:formatCode>General</c:formatCode>
                <c:ptCount val="4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pt idx="32">
                  <c:v>2051</c:v>
                </c:pt>
                <c:pt idx="33">
                  <c:v>2052</c:v>
                </c:pt>
                <c:pt idx="34">
                  <c:v>2053</c:v>
                </c:pt>
                <c:pt idx="35">
                  <c:v>2054</c:v>
                </c:pt>
                <c:pt idx="36">
                  <c:v>2055</c:v>
                </c:pt>
                <c:pt idx="37">
                  <c:v>2056</c:v>
                </c:pt>
                <c:pt idx="38">
                  <c:v>2057</c:v>
                </c:pt>
                <c:pt idx="39">
                  <c:v>2058</c:v>
                </c:pt>
                <c:pt idx="40">
                  <c:v>2059</c:v>
                </c:pt>
                <c:pt idx="41">
                  <c:v>2060</c:v>
                </c:pt>
              </c:numCache>
            </c:numRef>
          </c:cat>
          <c:val>
            <c:numRef>
              <c:f>'Difference in benefits TPS'!$D$4:$D$45</c:f>
              <c:numCache>
                <c:formatCode>_("£"* #,##0.00_);_("£"* \(#,##0.00\);_("£"* "-"??_);_(@_)</c:formatCode>
                <c:ptCount val="42"/>
                <c:pt idx="0">
                  <c:v>14428.329254150452</c:v>
                </c:pt>
                <c:pt idx="1">
                  <c:v>30114.676948072069</c:v>
                </c:pt>
                <c:pt idx="2">
                  <c:v>48362.623311899028</c:v>
                </c:pt>
                <c:pt idx="3">
                  <c:v>67230.566548481744</c:v>
                </c:pt>
                <c:pt idx="4">
                  <c:v>87590.000488609337</c:v>
                </c:pt>
                <c:pt idx="5">
                  <c:v>109516.48618199542</c:v>
                </c:pt>
                <c:pt idx="6">
                  <c:v>133088.96374408907</c:v>
                </c:pt>
                <c:pt idx="7">
                  <c:v>158389.89350898709</c:v>
                </c:pt>
                <c:pt idx="8">
                  <c:v>185505.40284255557</c:v>
                </c:pt>
                <c:pt idx="9">
                  <c:v>203996.218079888</c:v>
                </c:pt>
                <c:pt idx="10">
                  <c:v>194473.41259111205</c:v>
                </c:pt>
                <c:pt idx="11">
                  <c:v>218358.88685560189</c:v>
                </c:pt>
                <c:pt idx="12">
                  <c:v>243718.87222550972</c:v>
                </c:pt>
                <c:pt idx="13">
                  <c:v>270628.35186099954</c:v>
                </c:pt>
                <c:pt idx="14">
                  <c:v>299165.73031066055</c:v>
                </c:pt>
                <c:pt idx="15">
                  <c:v>329412.97947089601</c:v>
                </c:pt>
                <c:pt idx="16">
                  <c:v>361455.79049942049</c:v>
                </c:pt>
                <c:pt idx="17">
                  <c:v>395383.73191826243</c:v>
                </c:pt>
                <c:pt idx="18">
                  <c:v>431290.4141507562</c:v>
                </c:pt>
                <c:pt idx="19">
                  <c:v>469273.66074645612</c:v>
                </c:pt>
                <c:pt idx="20">
                  <c:v>509435.68655770208</c:v>
                </c:pt>
                <c:pt idx="21">
                  <c:v>554244.23304912867</c:v>
                </c:pt>
                <c:pt idx="22">
                  <c:v>601671.46756880207</c:v>
                </c:pt>
                <c:pt idx="23">
                  <c:v>651845.07410384307</c:v>
                </c:pt>
                <c:pt idx="24">
                  <c:v>704898.35833196621</c:v>
                </c:pt>
                <c:pt idx="25">
                  <c:v>760970.48040972953</c:v>
                </c:pt>
                <c:pt idx="26">
                  <c:v>820206.69702901714</c:v>
                </c:pt>
                <c:pt idx="27">
                  <c:v>850678.87629529869</c:v>
                </c:pt>
                <c:pt idx="28">
                  <c:v>914638.65924072545</c:v>
                </c:pt>
                <c:pt idx="29">
                  <c:v>982308.23396871379</c:v>
                </c:pt>
                <c:pt idx="30">
                  <c:v>1053862.2736958959</c:v>
                </c:pt>
                <c:pt idx="31">
                  <c:v>1129482.9113497385</c:v>
                </c:pt>
                <c:pt idx="32">
                  <c:v>1209360.0420404028</c:v>
                </c:pt>
                <c:pt idx="33">
                  <c:v>1293691.6374101199</c:v>
                </c:pt>
                <c:pt idx="34">
                  <c:v>1382684.0723164361</c:v>
                </c:pt>
                <c:pt idx="35">
                  <c:v>1476552.4643229728</c:v>
                </c:pt>
                <c:pt idx="36">
                  <c:v>1575521.0264892227</c:v>
                </c:pt>
                <c:pt idx="37">
                  <c:v>1679823.4339695063</c:v>
                </c:pt>
                <c:pt idx="38">
                  <c:v>1789703.2049504579</c:v>
                </c:pt>
                <c:pt idx="39">
                  <c:v>1905414.0964764189</c:v>
                </c:pt>
                <c:pt idx="40">
                  <c:v>2027220.5157328439</c:v>
                </c:pt>
                <c:pt idx="41">
                  <c:v>2155397.9473793227</c:v>
                </c:pt>
              </c:numCache>
            </c:numRef>
          </c:val>
          <c:smooth val="0"/>
          <c:extLst>
            <c:ext xmlns:c16="http://schemas.microsoft.com/office/drawing/2014/chart" uri="{C3380CC4-5D6E-409C-BE32-E72D297353CC}">
              <c16:uniqueId val="{00000002-D1D8-CE4E-9B67-3EA84B5A936C}"/>
            </c:ext>
          </c:extLst>
        </c:ser>
        <c:ser>
          <c:idx val="3"/>
          <c:order val="3"/>
          <c:tx>
            <c:strRef>
              <c:f>'Difference in benefits TPS'!$E$3</c:f>
              <c:strCache>
                <c:ptCount val="1"/>
                <c:pt idx="0">
                  <c:v>Joint - female</c:v>
                </c:pt>
              </c:strCache>
            </c:strRef>
          </c:tx>
          <c:spPr>
            <a:ln w="28575" cap="rnd">
              <a:solidFill>
                <a:schemeClr val="accent4"/>
              </a:solidFill>
              <a:round/>
            </a:ln>
            <a:effectLst/>
          </c:spPr>
          <c:marker>
            <c:symbol val="none"/>
          </c:marker>
          <c:cat>
            <c:numRef>
              <c:f>'Difference in benefits TPS'!$A$4:$A$45</c:f>
              <c:numCache>
                <c:formatCode>General</c:formatCode>
                <c:ptCount val="4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pt idx="32">
                  <c:v>2051</c:v>
                </c:pt>
                <c:pt idx="33">
                  <c:v>2052</c:v>
                </c:pt>
                <c:pt idx="34">
                  <c:v>2053</c:v>
                </c:pt>
                <c:pt idx="35">
                  <c:v>2054</c:v>
                </c:pt>
                <c:pt idx="36">
                  <c:v>2055</c:v>
                </c:pt>
                <c:pt idx="37">
                  <c:v>2056</c:v>
                </c:pt>
                <c:pt idx="38">
                  <c:v>2057</c:v>
                </c:pt>
                <c:pt idx="39">
                  <c:v>2058</c:v>
                </c:pt>
                <c:pt idx="40">
                  <c:v>2059</c:v>
                </c:pt>
                <c:pt idx="41">
                  <c:v>2060</c:v>
                </c:pt>
              </c:numCache>
            </c:numRef>
          </c:cat>
          <c:val>
            <c:numRef>
              <c:f>'Difference in benefits TPS'!$E$4:$E$45</c:f>
              <c:numCache>
                <c:formatCode>_("£"* #,##0.00_);_("£"* \(#,##0.00\);_("£"* "-"??_);_(@_)</c:formatCode>
                <c:ptCount val="42"/>
                <c:pt idx="0">
                  <c:v>16491.77696714074</c:v>
                </c:pt>
                <c:pt idx="1">
                  <c:v>34378.874184875021</c:v>
                </c:pt>
                <c:pt idx="2">
                  <c:v>52236.143341987445</c:v>
                </c:pt>
                <c:pt idx="3">
                  <c:v>72567.103002378703</c:v>
                </c:pt>
                <c:pt idx="4">
                  <c:v>94482.630869724409</c:v>
                </c:pt>
                <c:pt idx="5">
                  <c:v>118062.86799726746</c:v>
                </c:pt>
                <c:pt idx="6">
                  <c:v>143391.53661415615</c:v>
                </c:pt>
                <c:pt idx="7">
                  <c:v>170556.08967606811</c:v>
                </c:pt>
                <c:pt idx="8">
                  <c:v>199647.86641194476</c:v>
                </c:pt>
                <c:pt idx="9">
                  <c:v>221832.24336378582</c:v>
                </c:pt>
                <c:pt idx="10">
                  <c:v>212101.76699591181</c:v>
                </c:pt>
                <c:pt idx="11">
                  <c:v>238229.88769289435</c:v>
                </c:pt>
                <c:pt idx="12">
                  <c:v>265962.30513326934</c:v>
                </c:pt>
                <c:pt idx="13">
                  <c:v>295380.16528585978</c:v>
                </c:pt>
                <c:pt idx="14">
                  <c:v>326568.30245723482</c:v>
                </c:pt>
                <c:pt idx="15">
                  <c:v>359615.39621773298</c:v>
                </c:pt>
                <c:pt idx="16">
                  <c:v>394614.13471693028</c:v>
                </c:pt>
                <c:pt idx="17">
                  <c:v>431661.384640823</c:v>
                </c:pt>
                <c:pt idx="18">
                  <c:v>470858.3680727242</c:v>
                </c:pt>
                <c:pt idx="19">
                  <c:v>512310.84652999195</c:v>
                </c:pt>
                <c:pt idx="20">
                  <c:v>556129.31245919201</c:v>
                </c:pt>
                <c:pt idx="21">
                  <c:v>604790.13839058054</c:v>
                </c:pt>
                <c:pt idx="22">
                  <c:v>656274.4906009282</c:v>
                </c:pt>
                <c:pt idx="23">
                  <c:v>710719.43482865556</c:v>
                </c:pt>
                <c:pt idx="24">
                  <c:v>768268.05687462189</c:v>
                </c:pt>
                <c:pt idx="25">
                  <c:v>829069.71155210189</c:v>
                </c:pt>
                <c:pt idx="26">
                  <c:v>893280.28154108999</c:v>
                </c:pt>
                <c:pt idx="27">
                  <c:v>944220.94661801856</c:v>
                </c:pt>
                <c:pt idx="28">
                  <c:v>1014748.2872999669</c:v>
                </c:pt>
                <c:pt idx="29">
                  <c:v>1089319.2694802915</c:v>
                </c:pt>
                <c:pt idx="30">
                  <c:v>1168123.5382169343</c:v>
                </c:pt>
                <c:pt idx="31">
                  <c:v>1251358.8263448735</c:v>
                </c:pt>
                <c:pt idx="32">
                  <c:v>1339231.2822289828</c:v>
                </c:pt>
                <c:pt idx="33">
                  <c:v>1431955.8103839853</c:v>
                </c:pt>
                <c:pt idx="34">
                  <c:v>1529756.4254558347</c:v>
                </c:pt>
                <c:pt idx="35">
                  <c:v>1632866.6200775604</c:v>
                </c:pt>
                <c:pt idx="36">
                  <c:v>1741529.7471319982</c:v>
                </c:pt>
                <c:pt idx="37">
                  <c:v>1855999.4169739594</c:v>
                </c:pt>
                <c:pt idx="38">
                  <c:v>1976539.9101852537</c:v>
                </c:pt>
                <c:pt idx="39">
                  <c:v>2103426.6064576353</c:v>
                </c:pt>
                <c:pt idx="40">
                  <c:v>2236946.4302212023</c:v>
                </c:pt>
                <c:pt idx="41">
                  <c:v>2377398.3136590701</c:v>
                </c:pt>
              </c:numCache>
            </c:numRef>
          </c:val>
          <c:smooth val="0"/>
          <c:extLst>
            <c:ext xmlns:c16="http://schemas.microsoft.com/office/drawing/2014/chart" uri="{C3380CC4-5D6E-409C-BE32-E72D297353CC}">
              <c16:uniqueId val="{00000003-D1D8-CE4E-9B67-3EA84B5A936C}"/>
            </c:ext>
          </c:extLst>
        </c:ser>
        <c:dLbls>
          <c:showLegendKey val="0"/>
          <c:showVal val="0"/>
          <c:showCatName val="0"/>
          <c:showSerName val="0"/>
          <c:showPercent val="0"/>
          <c:showBubbleSize val="0"/>
        </c:dLbls>
        <c:smooth val="0"/>
        <c:axId val="2083467359"/>
        <c:axId val="2083469055"/>
      </c:lineChart>
      <c:catAx>
        <c:axId val="20834673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3469055"/>
        <c:crosses val="autoZero"/>
        <c:auto val="1"/>
        <c:lblAlgn val="ctr"/>
        <c:lblOffset val="100"/>
        <c:noMultiLvlLbl val="0"/>
      </c:catAx>
      <c:valAx>
        <c:axId val="2083469055"/>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346735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Reduction</a:t>
            </a:r>
            <a:r>
              <a:rPr lang="en-US" baseline="0"/>
              <a:t> in annual pension income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'Difference in benefits TPS'!$H$3</c:f>
              <c:strCache>
                <c:ptCount val="1"/>
                <c:pt idx="0">
                  <c:v>Single - male</c:v>
                </c:pt>
              </c:strCache>
            </c:strRef>
          </c:tx>
          <c:spPr>
            <a:ln w="28575" cap="rnd">
              <a:solidFill>
                <a:schemeClr val="accent1"/>
              </a:solidFill>
              <a:round/>
            </a:ln>
            <a:effectLst/>
          </c:spPr>
          <c:marker>
            <c:symbol val="none"/>
          </c:marker>
          <c:cat>
            <c:numRef>
              <c:f>'Difference in benefits TPS'!$G$4:$G$45</c:f>
              <c:numCache>
                <c:formatCode>General</c:formatCode>
                <c:ptCount val="4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pt idx="32">
                  <c:v>2051</c:v>
                </c:pt>
                <c:pt idx="33">
                  <c:v>2052</c:v>
                </c:pt>
                <c:pt idx="34">
                  <c:v>2053</c:v>
                </c:pt>
                <c:pt idx="35">
                  <c:v>2054</c:v>
                </c:pt>
                <c:pt idx="36">
                  <c:v>2055</c:v>
                </c:pt>
                <c:pt idx="37">
                  <c:v>2056</c:v>
                </c:pt>
                <c:pt idx="38">
                  <c:v>2057</c:v>
                </c:pt>
                <c:pt idx="39">
                  <c:v>2058</c:v>
                </c:pt>
                <c:pt idx="40">
                  <c:v>2059</c:v>
                </c:pt>
                <c:pt idx="41">
                  <c:v>2060</c:v>
                </c:pt>
              </c:numCache>
            </c:numRef>
          </c:cat>
          <c:val>
            <c:numRef>
              <c:f>'Difference in benefits TPS'!$H$4:$H$45</c:f>
              <c:numCache>
                <c:formatCode>_("£"* #,##0.00_);_("£"* \(#,##0.00\);_("£"* "-"??_);_(@_)</c:formatCode>
                <c:ptCount val="42"/>
                <c:pt idx="0">
                  <c:v>402.19317954716985</c:v>
                </c:pt>
                <c:pt idx="1">
                  <c:v>829.68889410140719</c:v>
                </c:pt>
                <c:pt idx="2">
                  <c:v>1294.8720075300105</c:v>
                </c:pt>
                <c:pt idx="3">
                  <c:v>1778.4137054506077</c:v>
                </c:pt>
                <c:pt idx="4">
                  <c:v>2288.8402184774004</c:v>
                </c:pt>
                <c:pt idx="5">
                  <c:v>2826.731612265432</c:v>
                </c:pt>
                <c:pt idx="6">
                  <c:v>3392.6847192775049</c:v>
                </c:pt>
                <c:pt idx="7">
                  <c:v>3987.3134661618633</c:v>
                </c:pt>
                <c:pt idx="8">
                  <c:v>4611.2492093580058</c:v>
                </c:pt>
                <c:pt idx="9">
                  <c:v>5187.4600524202124</c:v>
                </c:pt>
                <c:pt idx="10">
                  <c:v>5533.2785929683923</c:v>
                </c:pt>
                <c:pt idx="11">
                  <c:v>6131.0478631204242</c:v>
                </c:pt>
                <c:pt idx="12">
                  <c:v>6753.3017263077891</c:v>
                </c:pt>
                <c:pt idx="13">
                  <c:v>7400.7471842714858</c:v>
                </c:pt>
                <c:pt idx="14">
                  <c:v>8074.108855651164</c:v>
                </c:pt>
                <c:pt idx="15">
                  <c:v>8774.1293828885846</c:v>
                </c:pt>
                <c:pt idx="16">
                  <c:v>9501.5698481233485</c:v>
                </c:pt>
                <c:pt idx="17">
                  <c:v>10257.210198274113</c:v>
                </c:pt>
                <c:pt idx="18">
                  <c:v>11041.849679502626</c:v>
                </c:pt>
                <c:pt idx="19">
                  <c:v>11856.307281262041</c:v>
                </c:pt>
                <c:pt idx="20">
                  <c:v>12701.42219013527</c:v>
                </c:pt>
                <c:pt idx="21">
                  <c:v>13640.139255679744</c:v>
                </c:pt>
                <c:pt idx="22">
                  <c:v>14615.159508671659</c:v>
                </c:pt>
                <c:pt idx="23">
                  <c:v>15627.45641137605</c:v>
                </c:pt>
                <c:pt idx="24">
                  <c:v>16678.026561849048</c:v>
                </c:pt>
                <c:pt idx="25">
                  <c:v>17767.890213626721</c:v>
                </c:pt>
                <c:pt idx="26">
                  <c:v>18898.091806710443</c:v>
                </c:pt>
                <c:pt idx="27">
                  <c:v>19848.285762934276</c:v>
                </c:pt>
                <c:pt idx="28">
                  <c:v>21059.514906967459</c:v>
                </c:pt>
                <c:pt idx="29">
                  <c:v>22319.678222834085</c:v>
                </c:pt>
                <c:pt idx="30">
                  <c:v>23629.88033638092</c:v>
                </c:pt>
                <c:pt idx="31">
                  <c:v>24991.253715017687</c:v>
                </c:pt>
                <c:pt idx="32">
                  <c:v>26404.95926058391</c:v>
                </c:pt>
                <c:pt idx="33">
                  <c:v>27872.186915473703</c:v>
                </c:pt>
                <c:pt idx="34">
                  <c:v>29394.15628229369</c:v>
                </c:pt>
                <c:pt idx="35">
                  <c:v>30972.117257335423</c:v>
                </c:pt>
                <c:pt idx="36">
                  <c:v>32607.350678149505</c:v>
                </c:pt>
                <c:pt idx="37">
                  <c:v>34301.168985514545</c:v>
                </c:pt>
                <c:pt idx="38">
                  <c:v>36054.916900100681</c:v>
                </c:pt>
                <c:pt idx="39">
                  <c:v>37869.972114133365</c:v>
                </c:pt>
                <c:pt idx="40">
                  <c:v>39747.745998369726</c:v>
                </c:pt>
                <c:pt idx="41">
                  <c:v>41689.684324706694</c:v>
                </c:pt>
              </c:numCache>
            </c:numRef>
          </c:val>
          <c:smooth val="0"/>
          <c:extLst>
            <c:ext xmlns:c16="http://schemas.microsoft.com/office/drawing/2014/chart" uri="{C3380CC4-5D6E-409C-BE32-E72D297353CC}">
              <c16:uniqueId val="{00000000-13D3-094E-8535-A6EBBE3434F9}"/>
            </c:ext>
          </c:extLst>
        </c:ser>
        <c:ser>
          <c:idx val="1"/>
          <c:order val="1"/>
          <c:tx>
            <c:strRef>
              <c:f>'Difference in benefits TPS'!$I$3</c:f>
              <c:strCache>
                <c:ptCount val="1"/>
                <c:pt idx="0">
                  <c:v>Joint - male</c:v>
                </c:pt>
              </c:strCache>
            </c:strRef>
          </c:tx>
          <c:spPr>
            <a:ln w="28575" cap="rnd">
              <a:solidFill>
                <a:schemeClr val="accent2"/>
              </a:solidFill>
              <a:round/>
            </a:ln>
            <a:effectLst/>
          </c:spPr>
          <c:marker>
            <c:symbol val="none"/>
          </c:marker>
          <c:cat>
            <c:numRef>
              <c:f>'Difference in benefits TPS'!$G$4:$G$45</c:f>
              <c:numCache>
                <c:formatCode>General</c:formatCode>
                <c:ptCount val="4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pt idx="32">
                  <c:v>2051</c:v>
                </c:pt>
                <c:pt idx="33">
                  <c:v>2052</c:v>
                </c:pt>
                <c:pt idx="34">
                  <c:v>2053</c:v>
                </c:pt>
                <c:pt idx="35">
                  <c:v>2054</c:v>
                </c:pt>
                <c:pt idx="36">
                  <c:v>2055</c:v>
                </c:pt>
                <c:pt idx="37">
                  <c:v>2056</c:v>
                </c:pt>
                <c:pt idx="38">
                  <c:v>2057</c:v>
                </c:pt>
                <c:pt idx="39">
                  <c:v>2058</c:v>
                </c:pt>
                <c:pt idx="40">
                  <c:v>2059</c:v>
                </c:pt>
                <c:pt idx="41">
                  <c:v>2060</c:v>
                </c:pt>
              </c:numCache>
            </c:numRef>
          </c:cat>
          <c:val>
            <c:numRef>
              <c:f>'Difference in benefits TPS'!$I$4:$I$45</c:f>
              <c:numCache>
                <c:formatCode>_("£"* #,##0.00_);_("£"* \(#,##0.00\);_("£"* "-"??_);_(@_)</c:formatCode>
                <c:ptCount val="42"/>
                <c:pt idx="0">
                  <c:v>436.70626504716984</c:v>
                </c:pt>
                <c:pt idx="1">
                  <c:v>898.19481859091456</c:v>
                </c:pt>
                <c:pt idx="2">
                  <c:v>1368.2474055839562</c:v>
                </c:pt>
                <c:pt idx="3">
                  <c:v>1875.5204082635369</c:v>
                </c:pt>
                <c:pt idx="4">
                  <c:v>2409.3277320364982</c:v>
                </c:pt>
                <c:pt idx="5">
                  <c:v>2970.2570639262299</c:v>
                </c:pt>
                <c:pt idx="6">
                  <c:v>3558.912708348772</c:v>
                </c:pt>
                <c:pt idx="7">
                  <c:v>4175.915917493634</c:v>
                </c:pt>
                <c:pt idx="8">
                  <c:v>4821.9052298727656</c:v>
                </c:pt>
                <c:pt idx="9">
                  <c:v>5441.8654147503858</c:v>
                </c:pt>
                <c:pt idx="10">
                  <c:v>5852.8267660029178</c:v>
                </c:pt>
                <c:pt idx="11">
                  <c:v>6487.6838416048395</c:v>
                </c:pt>
                <c:pt idx="12">
                  <c:v>7147.663063761298</c:v>
                </c:pt>
                <c:pt idx="13">
                  <c:v>7833.4804005997066</c:v>
                </c:pt>
                <c:pt idx="14">
                  <c:v>8545.8695559307598</c:v>
                </c:pt>
                <c:pt idx="15">
                  <c:v>9285.5823776927118</c:v>
                </c:pt>
                <c:pt idx="16">
                  <c:v>10053.389275407741</c:v>
                </c:pt>
                <c:pt idx="17">
                  <c:v>10850.079646843889</c:v>
                </c:pt>
                <c:pt idx="18">
                  <c:v>11676.46231408016</c:v>
                </c:pt>
                <c:pt idx="19">
                  <c:v>12533.365969176515</c:v>
                </c:pt>
                <c:pt idx="20">
                  <c:v>13421.63962965475</c:v>
                </c:pt>
                <c:pt idx="21">
                  <c:v>14396.432793854507</c:v>
                </c:pt>
                <c:pt idx="22">
                  <c:v>15407.770955306894</c:v>
                </c:pt>
                <c:pt idx="23">
                  <c:v>16456.628893753885</c:v>
                </c:pt>
                <c:pt idx="24">
                  <c:v>17544.004531467446</c:v>
                </c:pt>
                <c:pt idx="25">
                  <c:v>18670.919452972044</c:v>
                </c:pt>
                <c:pt idx="26">
                  <c:v>19838.419436063916</c:v>
                </c:pt>
                <c:pt idx="27">
                  <c:v>21056.052726158148</c:v>
                </c:pt>
                <c:pt idx="28">
                  <c:v>22313.107216662567</c:v>
                </c:pt>
                <c:pt idx="29">
                  <c:v>23618.595475604561</c:v>
                </c:pt>
                <c:pt idx="30">
                  <c:v>24973.630125332409</c:v>
                </c:pt>
                <c:pt idx="31">
                  <c:v>26379.351514013542</c:v>
                </c:pt>
                <c:pt idx="32">
                  <c:v>27836.928310222869</c:v>
                </c:pt>
                <c:pt idx="33">
                  <c:v>29347.55811076357</c:v>
                </c:pt>
                <c:pt idx="34">
                  <c:v>30912.468061996042</c:v>
                </c:pt>
                <c:pt idx="35">
                  <c:v>32532.915494956749</c:v>
                </c:pt>
                <c:pt idx="36">
                  <c:v>34210.18857455437</c:v>
                </c:pt>
                <c:pt idx="37">
                  <c:v>35945.606963137012</c:v>
                </c:pt>
                <c:pt idx="38">
                  <c:v>37740.522498730323</c:v>
                </c:pt>
                <c:pt idx="39">
                  <c:v>39596.319888252678</c:v>
                </c:pt>
                <c:pt idx="40">
                  <c:v>41514.417416020129</c:v>
                </c:pt>
                <c:pt idx="41">
                  <c:v>43496.267667860418</c:v>
                </c:pt>
              </c:numCache>
            </c:numRef>
          </c:val>
          <c:smooth val="0"/>
          <c:extLst>
            <c:ext xmlns:c16="http://schemas.microsoft.com/office/drawing/2014/chart" uri="{C3380CC4-5D6E-409C-BE32-E72D297353CC}">
              <c16:uniqueId val="{00000001-13D3-094E-8535-A6EBBE3434F9}"/>
            </c:ext>
          </c:extLst>
        </c:ser>
        <c:ser>
          <c:idx val="2"/>
          <c:order val="2"/>
          <c:tx>
            <c:strRef>
              <c:f>'Difference in benefits TPS'!$J$3</c:f>
              <c:strCache>
                <c:ptCount val="1"/>
                <c:pt idx="0">
                  <c:v>Single - female</c:v>
                </c:pt>
              </c:strCache>
            </c:strRef>
          </c:tx>
          <c:spPr>
            <a:ln w="28575" cap="rnd">
              <a:solidFill>
                <a:schemeClr val="accent3"/>
              </a:solidFill>
              <a:round/>
            </a:ln>
            <a:effectLst/>
          </c:spPr>
          <c:marker>
            <c:symbol val="none"/>
          </c:marker>
          <c:cat>
            <c:numRef>
              <c:f>'Difference in benefits TPS'!$G$4:$G$45</c:f>
              <c:numCache>
                <c:formatCode>General</c:formatCode>
                <c:ptCount val="4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pt idx="32">
                  <c:v>2051</c:v>
                </c:pt>
                <c:pt idx="33">
                  <c:v>2052</c:v>
                </c:pt>
                <c:pt idx="34">
                  <c:v>2053</c:v>
                </c:pt>
                <c:pt idx="35">
                  <c:v>2054</c:v>
                </c:pt>
                <c:pt idx="36">
                  <c:v>2055</c:v>
                </c:pt>
                <c:pt idx="37">
                  <c:v>2056</c:v>
                </c:pt>
                <c:pt idx="38">
                  <c:v>2057</c:v>
                </c:pt>
                <c:pt idx="39">
                  <c:v>2058</c:v>
                </c:pt>
                <c:pt idx="40">
                  <c:v>2059</c:v>
                </c:pt>
                <c:pt idx="41">
                  <c:v>2060</c:v>
                </c:pt>
              </c:numCache>
            </c:numRef>
          </c:cat>
          <c:val>
            <c:numRef>
              <c:f>'Difference in benefits TPS'!$J$4:$J$45</c:f>
              <c:numCache>
                <c:formatCode>_("£"* #,##0.00_);_("£"* \(#,##0.00\);_("£"* "-"??_);_(@_)</c:formatCode>
                <c:ptCount val="42"/>
                <c:pt idx="0">
                  <c:v>402.19317954716985</c:v>
                </c:pt>
                <c:pt idx="1">
                  <c:v>829.68889410140719</c:v>
                </c:pt>
                <c:pt idx="2">
                  <c:v>1294.8720075300105</c:v>
                </c:pt>
                <c:pt idx="3">
                  <c:v>1778.4137054506077</c:v>
                </c:pt>
                <c:pt idx="4">
                  <c:v>2288.8402184774004</c:v>
                </c:pt>
                <c:pt idx="5">
                  <c:v>2826.731612265432</c:v>
                </c:pt>
                <c:pt idx="6">
                  <c:v>3392.6847192775049</c:v>
                </c:pt>
                <c:pt idx="7">
                  <c:v>3987.3134661618633</c:v>
                </c:pt>
                <c:pt idx="8">
                  <c:v>4611.2492093580058</c:v>
                </c:pt>
                <c:pt idx="9">
                  <c:v>5187.4600524202124</c:v>
                </c:pt>
                <c:pt idx="10">
                  <c:v>5533.2785929683923</c:v>
                </c:pt>
                <c:pt idx="11">
                  <c:v>6131.0478631204242</c:v>
                </c:pt>
                <c:pt idx="12">
                  <c:v>6753.3017263077891</c:v>
                </c:pt>
                <c:pt idx="13">
                  <c:v>7400.7471842714858</c:v>
                </c:pt>
                <c:pt idx="14">
                  <c:v>8074.108855651164</c:v>
                </c:pt>
                <c:pt idx="15">
                  <c:v>8774.1293828885846</c:v>
                </c:pt>
                <c:pt idx="16">
                  <c:v>9501.5698481233485</c:v>
                </c:pt>
                <c:pt idx="17">
                  <c:v>10257.210198274113</c:v>
                </c:pt>
                <c:pt idx="18">
                  <c:v>11041.849679502626</c:v>
                </c:pt>
                <c:pt idx="19">
                  <c:v>11856.307281262041</c:v>
                </c:pt>
                <c:pt idx="20">
                  <c:v>12701.42219013527</c:v>
                </c:pt>
                <c:pt idx="21">
                  <c:v>13640.139255679744</c:v>
                </c:pt>
                <c:pt idx="22">
                  <c:v>14615.159508671659</c:v>
                </c:pt>
                <c:pt idx="23">
                  <c:v>15627.45641137605</c:v>
                </c:pt>
                <c:pt idx="24">
                  <c:v>16678.026561849048</c:v>
                </c:pt>
                <c:pt idx="25">
                  <c:v>17767.890213626721</c:v>
                </c:pt>
                <c:pt idx="26">
                  <c:v>18898.091806710443</c:v>
                </c:pt>
                <c:pt idx="27">
                  <c:v>19848.285762934276</c:v>
                </c:pt>
                <c:pt idx="28">
                  <c:v>21059.514906967459</c:v>
                </c:pt>
                <c:pt idx="29">
                  <c:v>22319.678222834085</c:v>
                </c:pt>
                <c:pt idx="30">
                  <c:v>23629.88033638092</c:v>
                </c:pt>
                <c:pt idx="31">
                  <c:v>24991.253715017687</c:v>
                </c:pt>
                <c:pt idx="32">
                  <c:v>26404.95926058391</c:v>
                </c:pt>
                <c:pt idx="33">
                  <c:v>27872.186915473703</c:v>
                </c:pt>
                <c:pt idx="34">
                  <c:v>29394.15628229369</c:v>
                </c:pt>
                <c:pt idx="35">
                  <c:v>30972.117257335423</c:v>
                </c:pt>
                <c:pt idx="36">
                  <c:v>32607.350678149505</c:v>
                </c:pt>
                <c:pt idx="37">
                  <c:v>34301.168985514545</c:v>
                </c:pt>
                <c:pt idx="38">
                  <c:v>36054.916900100681</c:v>
                </c:pt>
                <c:pt idx="39">
                  <c:v>37869.972114133365</c:v>
                </c:pt>
                <c:pt idx="40">
                  <c:v>39747.745998369726</c:v>
                </c:pt>
                <c:pt idx="41">
                  <c:v>41689.684324706694</c:v>
                </c:pt>
              </c:numCache>
            </c:numRef>
          </c:val>
          <c:smooth val="0"/>
          <c:extLst>
            <c:ext xmlns:c16="http://schemas.microsoft.com/office/drawing/2014/chart" uri="{C3380CC4-5D6E-409C-BE32-E72D297353CC}">
              <c16:uniqueId val="{00000002-13D3-094E-8535-A6EBBE3434F9}"/>
            </c:ext>
          </c:extLst>
        </c:ser>
        <c:ser>
          <c:idx val="3"/>
          <c:order val="3"/>
          <c:tx>
            <c:strRef>
              <c:f>'Difference in benefits TPS'!$K$3</c:f>
              <c:strCache>
                <c:ptCount val="1"/>
                <c:pt idx="0">
                  <c:v>Joint - female</c:v>
                </c:pt>
              </c:strCache>
            </c:strRef>
          </c:tx>
          <c:spPr>
            <a:ln w="28575" cap="rnd">
              <a:solidFill>
                <a:schemeClr val="accent4"/>
              </a:solidFill>
              <a:round/>
            </a:ln>
            <a:effectLst/>
          </c:spPr>
          <c:marker>
            <c:symbol val="none"/>
          </c:marker>
          <c:cat>
            <c:numRef>
              <c:f>'Difference in benefits TPS'!$G$4:$G$45</c:f>
              <c:numCache>
                <c:formatCode>General</c:formatCode>
                <c:ptCount val="4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pt idx="32">
                  <c:v>2051</c:v>
                </c:pt>
                <c:pt idx="33">
                  <c:v>2052</c:v>
                </c:pt>
                <c:pt idx="34">
                  <c:v>2053</c:v>
                </c:pt>
                <c:pt idx="35">
                  <c:v>2054</c:v>
                </c:pt>
                <c:pt idx="36">
                  <c:v>2055</c:v>
                </c:pt>
                <c:pt idx="37">
                  <c:v>2056</c:v>
                </c:pt>
                <c:pt idx="38">
                  <c:v>2057</c:v>
                </c:pt>
                <c:pt idx="39">
                  <c:v>2058</c:v>
                </c:pt>
                <c:pt idx="40">
                  <c:v>2059</c:v>
                </c:pt>
                <c:pt idx="41">
                  <c:v>2060</c:v>
                </c:pt>
              </c:numCache>
            </c:numRef>
          </c:cat>
          <c:val>
            <c:numRef>
              <c:f>'Difference in benefits TPS'!$K$4:$K$45</c:f>
              <c:numCache>
                <c:formatCode>_("£"* #,##0.00_);_("£"* \(#,##0.00\);_("£"* "-"??_);_(@_)</c:formatCode>
                <c:ptCount val="42"/>
                <c:pt idx="0">
                  <c:v>421.97422654716985</c:v>
                </c:pt>
                <c:pt idx="1">
                  <c:v>868.95281074268792</c:v>
                </c:pt>
                <c:pt idx="2">
                  <c:v>1329.2092411597118</c:v>
                </c:pt>
                <c:pt idx="3">
                  <c:v>1823.8563964605578</c:v>
                </c:pt>
                <c:pt idx="4">
                  <c:v>2345.2243473852791</c:v>
                </c:pt>
                <c:pt idx="5">
                  <c:v>2893.896726134552</c:v>
                </c:pt>
                <c:pt idx="6">
                  <c:v>3470.473861795535</c:v>
                </c:pt>
                <c:pt idx="7">
                  <c:v>4075.5731091249204</c:v>
                </c:pt>
                <c:pt idx="8">
                  <c:v>4709.829185532044</c:v>
                </c:pt>
                <c:pt idx="9">
                  <c:v>5315.6337464186199</c:v>
                </c:pt>
                <c:pt idx="10">
                  <c:v>5694.2723290010545</c:v>
                </c:pt>
                <c:pt idx="11">
                  <c:v>6310.7270583873815</c:v>
                </c:pt>
                <c:pt idx="12">
                  <c:v>6951.9875909790226</c:v>
                </c:pt>
                <c:pt idx="13">
                  <c:v>7618.7654459330315</c:v>
                </c:pt>
                <c:pt idx="14">
                  <c:v>8311.7898191508066</c:v>
                </c:pt>
                <c:pt idx="15">
                  <c:v>9031.8079909578391</c:v>
                </c:pt>
                <c:pt idx="16">
                  <c:v>9779.5857427857136</c:v>
                </c:pt>
                <c:pt idx="17">
                  <c:v>10555.907783049724</c:v>
                </c:pt>
                <c:pt idx="18">
                  <c:v>11361.578182419551</c:v>
                </c:pt>
                <c:pt idx="19">
                  <c:v>12197.420818684601</c:v>
                </c:pt>
                <c:pt idx="20">
                  <c:v>13064.279831419894</c:v>
                </c:pt>
                <c:pt idx="21">
                  <c:v>14021.172641325045</c:v>
                </c:pt>
                <c:pt idx="22">
                  <c:v>15014.490466518419</c:v>
                </c:pt>
                <c:pt idx="23">
                  <c:v>16045.207433032057</c:v>
                </c:pt>
                <c:pt idx="24">
                  <c:v>17114.32080608427</c:v>
                </c:pt>
                <c:pt idx="25">
                  <c:v>18222.851509785432</c:v>
                </c:pt>
                <c:pt idx="26">
                  <c:v>19371.844658140439</c:v>
                </c:pt>
                <c:pt idx="27">
                  <c:v>20461.948734126971</c:v>
                </c:pt>
                <c:pt idx="28">
                  <c:v>21696.461606832785</c:v>
                </c:pt>
                <c:pt idx="29">
                  <c:v>22979.654397824754</c:v>
                </c:pt>
                <c:pt idx="30">
                  <c:v>24312.635795949391</c:v>
                </c:pt>
                <c:pt idx="31">
                  <c:v>25696.542272807077</c:v>
                </c:pt>
                <c:pt idx="32">
                  <c:v>27132.538676493583</c:v>
                </c:pt>
                <c:pt idx="33">
                  <c:v>28621.818838586572</c:v>
                </c:pt>
                <c:pt idx="34">
                  <c:v>30165.606194652573</c:v>
                </c:pt>
                <c:pt idx="35">
                  <c:v>31765.15441855598</c:v>
                </c:pt>
                <c:pt idx="36">
                  <c:v>33421.74807085724</c:v>
                </c:pt>
                <c:pt idx="37">
                  <c:v>35136.703261593982</c:v>
                </c:pt>
                <c:pt idx="38">
                  <c:v>36911.368327744494</c:v>
                </c:pt>
                <c:pt idx="39">
                  <c:v>38747.124525679814</c:v>
                </c:pt>
                <c:pt idx="40">
                  <c:v>40645.386738916801</c:v>
                </c:pt>
                <c:pt idx="41">
                  <c:v>42607.604201491282</c:v>
                </c:pt>
              </c:numCache>
            </c:numRef>
          </c:val>
          <c:smooth val="0"/>
          <c:extLst>
            <c:ext xmlns:c16="http://schemas.microsoft.com/office/drawing/2014/chart" uri="{C3380CC4-5D6E-409C-BE32-E72D297353CC}">
              <c16:uniqueId val="{00000003-13D3-094E-8535-A6EBBE3434F9}"/>
            </c:ext>
          </c:extLst>
        </c:ser>
        <c:dLbls>
          <c:showLegendKey val="0"/>
          <c:showVal val="0"/>
          <c:showCatName val="0"/>
          <c:showSerName val="0"/>
          <c:showPercent val="0"/>
          <c:showBubbleSize val="0"/>
        </c:dLbls>
        <c:smooth val="0"/>
        <c:axId val="1651964799"/>
        <c:axId val="1651998575"/>
      </c:lineChart>
      <c:catAx>
        <c:axId val="16519647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1998575"/>
        <c:crosses val="autoZero"/>
        <c:auto val="1"/>
        <c:lblAlgn val="ctr"/>
        <c:lblOffset val="100"/>
        <c:noMultiLvlLbl val="0"/>
      </c:catAx>
      <c:valAx>
        <c:axId val="1651998575"/>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19647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5</xdr:col>
      <xdr:colOff>812800</xdr:colOff>
      <xdr:row>36</xdr:row>
      <xdr:rowOff>0</xdr:rowOff>
    </xdr:from>
    <xdr:to>
      <xdr:col>16</xdr:col>
      <xdr:colOff>0</xdr:colOff>
      <xdr:row>81</xdr:row>
      <xdr:rowOff>38100</xdr:rowOff>
    </xdr:to>
    <xdr:graphicFrame macro="">
      <xdr:nvGraphicFramePr>
        <xdr:cNvPr id="2" name="Chart 1">
          <a:extLst>
            <a:ext uri="{FF2B5EF4-FFF2-40B4-BE49-F238E27FC236}">
              <a16:creationId xmlns:a16="http://schemas.microsoft.com/office/drawing/2014/main" id="{F62A287C-5000-434F-B923-CBB7E7A473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4</xdr:row>
      <xdr:rowOff>0</xdr:rowOff>
    </xdr:from>
    <xdr:to>
      <xdr:col>16</xdr:col>
      <xdr:colOff>0</xdr:colOff>
      <xdr:row>35</xdr:row>
      <xdr:rowOff>165100</xdr:rowOff>
    </xdr:to>
    <xdr:graphicFrame macro="">
      <xdr:nvGraphicFramePr>
        <xdr:cNvPr id="3" name="Chart 2">
          <a:extLst>
            <a:ext uri="{FF2B5EF4-FFF2-40B4-BE49-F238E27FC236}">
              <a16:creationId xmlns:a16="http://schemas.microsoft.com/office/drawing/2014/main" id="{19ECC021-245B-4441-ADB1-8D89FD3272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20</xdr:col>
      <xdr:colOff>431800</xdr:colOff>
      <xdr:row>2</xdr:row>
      <xdr:rowOff>139700</xdr:rowOff>
    </xdr:from>
    <xdr:to>
      <xdr:col>31</xdr:col>
      <xdr:colOff>778933</xdr:colOff>
      <xdr:row>30</xdr:row>
      <xdr:rowOff>12700</xdr:rowOff>
    </xdr:to>
    <xdr:graphicFrame macro="">
      <xdr:nvGraphicFramePr>
        <xdr:cNvPr id="4" name="Chart 3">
          <a:extLst>
            <a:ext uri="{FF2B5EF4-FFF2-40B4-BE49-F238E27FC236}">
              <a16:creationId xmlns:a16="http://schemas.microsoft.com/office/drawing/2014/main" id="{E0AC5712-115F-7444-9837-DA3D46D55AA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245534</xdr:colOff>
      <xdr:row>30</xdr:row>
      <xdr:rowOff>194733</xdr:rowOff>
    </xdr:from>
    <xdr:to>
      <xdr:col>32</xdr:col>
      <xdr:colOff>80434</xdr:colOff>
      <xdr:row>58</xdr:row>
      <xdr:rowOff>194733</xdr:rowOff>
    </xdr:to>
    <xdr:graphicFrame macro="">
      <xdr:nvGraphicFramePr>
        <xdr:cNvPr id="5" name="Chart 4">
          <a:extLst>
            <a:ext uri="{FF2B5EF4-FFF2-40B4-BE49-F238E27FC236}">
              <a16:creationId xmlns:a16="http://schemas.microsoft.com/office/drawing/2014/main" id="{02879706-E2F7-4340-83BB-DC0637E151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11</xdr:col>
      <xdr:colOff>482600</xdr:colOff>
      <xdr:row>2</xdr:row>
      <xdr:rowOff>88900</xdr:rowOff>
    </xdr:from>
    <xdr:to>
      <xdr:col>23</xdr:col>
      <xdr:colOff>0</xdr:colOff>
      <xdr:row>29</xdr:row>
      <xdr:rowOff>165100</xdr:rowOff>
    </xdr:to>
    <xdr:graphicFrame macro="">
      <xdr:nvGraphicFramePr>
        <xdr:cNvPr id="2" name="Chart 1">
          <a:extLst>
            <a:ext uri="{FF2B5EF4-FFF2-40B4-BE49-F238E27FC236}">
              <a16:creationId xmlns:a16="http://schemas.microsoft.com/office/drawing/2014/main" id="{52EC3D5B-5C26-ED48-ADA3-3A34B9F12D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330200</xdr:colOff>
      <xdr:row>30</xdr:row>
      <xdr:rowOff>25400</xdr:rowOff>
    </xdr:from>
    <xdr:to>
      <xdr:col>23</xdr:col>
      <xdr:colOff>165100</xdr:colOff>
      <xdr:row>58</xdr:row>
      <xdr:rowOff>25400</xdr:rowOff>
    </xdr:to>
    <xdr:graphicFrame macro="">
      <xdr:nvGraphicFramePr>
        <xdr:cNvPr id="3" name="Chart 2">
          <a:extLst>
            <a:ext uri="{FF2B5EF4-FFF2-40B4-BE49-F238E27FC236}">
              <a16:creationId xmlns:a16="http://schemas.microsoft.com/office/drawing/2014/main" id="{BFB78BA2-1E23-8648-A9D7-7F23885EB3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0</xdr:colOff>
      <xdr:row>32</xdr:row>
      <xdr:rowOff>0</xdr:rowOff>
    </xdr:from>
    <xdr:to>
      <xdr:col>1</xdr:col>
      <xdr:colOff>0</xdr:colOff>
      <xdr:row>32</xdr:row>
      <xdr:rowOff>12700</xdr:rowOff>
    </xdr:to>
    <xdr:pic>
      <xdr:nvPicPr>
        <xdr:cNvPr id="2" name="Picture 1" descr="page3image310450288">
          <a:extLst>
            <a:ext uri="{FF2B5EF4-FFF2-40B4-BE49-F238E27FC236}">
              <a16:creationId xmlns:a16="http://schemas.microsoft.com/office/drawing/2014/main" id="{63D7FD2C-A6BD-934A-833C-BE2730E75F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768600" y="5918200"/>
          <a:ext cx="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00"/>
  <sheetViews>
    <sheetView tabSelected="1" topLeftCell="A3" zoomScale="112" zoomScaleNormal="100" workbookViewId="0">
      <selection activeCell="B54" sqref="B54"/>
    </sheetView>
  </sheetViews>
  <sheetFormatPr baseColWidth="10" defaultRowHeight="16"/>
  <cols>
    <col min="1" max="1" width="62.5" customWidth="1"/>
    <col min="2" max="2" width="21.1640625" customWidth="1"/>
  </cols>
  <sheetData>
    <row r="1" spans="1:3">
      <c r="A1" s="3" t="s">
        <v>240</v>
      </c>
    </row>
    <row r="2" spans="1:3">
      <c r="A2" s="16" t="s">
        <v>239</v>
      </c>
    </row>
    <row r="3" spans="1:3">
      <c r="A3" s="37" t="s">
        <v>144</v>
      </c>
    </row>
    <row r="4" spans="1:3">
      <c r="A4" s="36" t="s">
        <v>100</v>
      </c>
    </row>
    <row r="5" spans="1:3" ht="51" customHeight="1">
      <c r="A5" s="86" t="s">
        <v>145</v>
      </c>
      <c r="B5" s="86"/>
    </row>
    <row r="6" spans="1:3">
      <c r="A6" s="36"/>
    </row>
    <row r="7" spans="1:3">
      <c r="A7" s="34" t="s">
        <v>139</v>
      </c>
      <c r="B7" s="30"/>
    </row>
    <row r="9" spans="1:3">
      <c r="A9" t="s">
        <v>138</v>
      </c>
      <c r="B9" s="32" t="s">
        <v>33</v>
      </c>
    </row>
    <row r="10" spans="1:3">
      <c r="A10" t="s">
        <v>21</v>
      </c>
      <c r="B10" s="23">
        <v>32548</v>
      </c>
    </row>
    <row r="11" spans="1:3">
      <c r="A11" t="s">
        <v>141</v>
      </c>
      <c r="B11" s="32" t="s">
        <v>107</v>
      </c>
      <c r="C11" s="83"/>
    </row>
    <row r="12" spans="1:3">
      <c r="A12" t="s">
        <v>35</v>
      </c>
      <c r="B12" s="25">
        <v>33725</v>
      </c>
    </row>
    <row r="13" spans="1:3">
      <c r="A13" t="s">
        <v>36</v>
      </c>
      <c r="B13" s="26">
        <f>'State pension age'!G10</f>
        <v>2060</v>
      </c>
    </row>
    <row r="14" spans="1:3">
      <c r="A14" t="s">
        <v>225</v>
      </c>
      <c r="B14" s="61" t="s">
        <v>137</v>
      </c>
    </row>
    <row r="15" spans="1:3">
      <c r="B15" s="62"/>
    </row>
    <row r="16" spans="1:3">
      <c r="A16" s="3" t="s">
        <v>143</v>
      </c>
      <c r="B16" s="35"/>
    </row>
    <row r="17" spans="1:2">
      <c r="A17" t="s">
        <v>140</v>
      </c>
      <c r="B17" s="24">
        <v>0.02</v>
      </c>
    </row>
    <row r="18" spans="1:2">
      <c r="A18" t="s">
        <v>92</v>
      </c>
      <c r="B18" s="27">
        <v>1.4999999999999999E-2</v>
      </c>
    </row>
    <row r="19" spans="1:2">
      <c r="B19" s="27"/>
    </row>
    <row r="20" spans="1:2">
      <c r="A20" s="3" t="s">
        <v>223</v>
      </c>
    </row>
    <row r="21" spans="1:2">
      <c r="A21" t="s">
        <v>94</v>
      </c>
      <c r="B21" s="24">
        <v>0.08</v>
      </c>
    </row>
    <row r="22" spans="1:2">
      <c r="A22" t="s">
        <v>93</v>
      </c>
      <c r="B22" s="60">
        <v>0.12</v>
      </c>
    </row>
    <row r="23" spans="1:2">
      <c r="A23" t="s">
        <v>233</v>
      </c>
      <c r="B23" s="23">
        <v>55500</v>
      </c>
    </row>
    <row r="24" spans="1:2">
      <c r="B24" s="23"/>
    </row>
    <row r="25" spans="1:2">
      <c r="A25" s="3" t="s">
        <v>222</v>
      </c>
      <c r="B25" s="27"/>
    </row>
    <row r="26" spans="1:2">
      <c r="A26" t="s">
        <v>94</v>
      </c>
      <c r="B26" s="24">
        <v>0.08</v>
      </c>
    </row>
    <row r="27" spans="1:2">
      <c r="A27" t="s">
        <v>93</v>
      </c>
      <c r="B27" s="33">
        <v>0.13250000000000001</v>
      </c>
    </row>
    <row r="28" spans="1:2">
      <c r="A28" t="s">
        <v>233</v>
      </c>
      <c r="B28" s="23">
        <v>0</v>
      </c>
    </row>
    <row r="29" spans="1:2">
      <c r="B29" s="23"/>
    </row>
    <row r="30" spans="1:2" ht="15" customHeight="1">
      <c r="A30" t="s">
        <v>185</v>
      </c>
      <c r="B30" s="85" t="s">
        <v>95</v>
      </c>
    </row>
    <row r="31" spans="1:2">
      <c r="B31" s="85"/>
    </row>
    <row r="32" spans="1:2">
      <c r="B32" s="59"/>
    </row>
    <row r="33" spans="1:3" ht="17" thickBot="1">
      <c r="A33" s="3" t="s">
        <v>142</v>
      </c>
    </row>
    <row r="34" spans="1:3">
      <c r="A34" s="63" t="s">
        <v>234</v>
      </c>
      <c r="B34" s="73"/>
      <c r="C34" s="64"/>
    </row>
    <row r="35" spans="1:3">
      <c r="A35" s="65" t="s">
        <v>230</v>
      </c>
      <c r="B35" s="69"/>
      <c r="C35" s="66"/>
    </row>
    <row r="36" spans="1:3">
      <c r="A36" s="67" t="s">
        <v>146</v>
      </c>
      <c r="B36" s="70">
        <f>'Difference in benefits'!C91</f>
        <v>26438.494027809793</v>
      </c>
      <c r="C36" s="66"/>
    </row>
    <row r="37" spans="1:3">
      <c r="A37" s="67" t="s">
        <v>104</v>
      </c>
      <c r="B37" s="70">
        <f>'Difference in benefits'!C92</f>
        <v>1505301.5321486022</v>
      </c>
      <c r="C37" s="66"/>
    </row>
    <row r="38" spans="1:3">
      <c r="A38" s="67"/>
      <c r="B38" s="72"/>
      <c r="C38" s="66"/>
    </row>
    <row r="39" spans="1:3">
      <c r="A39" s="65" t="s">
        <v>231</v>
      </c>
      <c r="B39" s="69"/>
      <c r="C39" s="66"/>
    </row>
    <row r="40" spans="1:3">
      <c r="A40" s="67" t="s">
        <v>146</v>
      </c>
      <c r="B40" s="70">
        <f>'Difference in benefits'!C95</f>
        <v>511.58845342020442</v>
      </c>
      <c r="C40" s="66"/>
    </row>
    <row r="41" spans="1:3" ht="17" thickBot="1">
      <c r="A41" s="68" t="s">
        <v>232</v>
      </c>
      <c r="B41" s="80">
        <f>'Difference in benefits'!C96</f>
        <v>27593.023913702178</v>
      </c>
      <c r="C41" s="81"/>
    </row>
    <row r="42" spans="1:3" ht="17" thickBot="1">
      <c r="A42" s="69"/>
      <c r="B42" s="72"/>
    </row>
    <row r="43" spans="1:3">
      <c r="A43" s="71" t="s">
        <v>222</v>
      </c>
      <c r="B43" s="82"/>
      <c r="C43" s="64"/>
    </row>
    <row r="44" spans="1:3">
      <c r="A44" s="65" t="s">
        <v>231</v>
      </c>
      <c r="B44" s="69"/>
      <c r="C44" s="66"/>
    </row>
    <row r="45" spans="1:3">
      <c r="A45" s="67" t="s">
        <v>146</v>
      </c>
      <c r="B45" s="70">
        <f>'Difference in benefits'!C99</f>
        <v>11559.540436552594</v>
      </c>
      <c r="C45" s="75"/>
    </row>
    <row r="46" spans="1:3" ht="17" thickBot="1">
      <c r="A46" s="68" t="s">
        <v>232</v>
      </c>
      <c r="B46" s="80">
        <f>'Difference in benefits'!C100</f>
        <v>623475.12647087849</v>
      </c>
      <c r="C46" s="79"/>
    </row>
    <row r="47" spans="1:3" ht="17" thickBot="1"/>
    <row r="48" spans="1:3">
      <c r="A48" s="63" t="s">
        <v>213</v>
      </c>
      <c r="B48" s="73"/>
      <c r="C48" s="64"/>
    </row>
    <row r="49" spans="1:3">
      <c r="A49" s="67" t="s">
        <v>208</v>
      </c>
      <c r="B49" s="74">
        <f>B45-B36-B40</f>
        <v>-15390.542044677404</v>
      </c>
      <c r="C49" s="75">
        <f>B49/B36</f>
        <v>-0.58212627498709246</v>
      </c>
    </row>
    <row r="50" spans="1:3">
      <c r="A50" s="67" t="s">
        <v>209</v>
      </c>
      <c r="B50" s="74">
        <f>B46-B37-B41</f>
        <v>-909419.42959142593</v>
      </c>
      <c r="C50" s="75">
        <f>B50/B37</f>
        <v>-0.60414435923237253</v>
      </c>
    </row>
    <row r="51" spans="1:3">
      <c r="A51" s="67"/>
      <c r="B51" s="76"/>
      <c r="C51" s="75"/>
    </row>
    <row r="52" spans="1:3">
      <c r="A52" s="65" t="s">
        <v>212</v>
      </c>
      <c r="B52" s="69"/>
      <c r="C52" s="75"/>
    </row>
    <row r="53" spans="1:3">
      <c r="A53" s="67" t="s">
        <v>146</v>
      </c>
      <c r="B53" s="70">
        <f>'Difference in benefits TPS'!C78</f>
        <v>53655.556184623667</v>
      </c>
      <c r="C53" s="75"/>
    </row>
    <row r="54" spans="1:3">
      <c r="A54" s="67" t="s">
        <v>104</v>
      </c>
      <c r="B54" s="70">
        <f>'Difference in benefits TPS'!C79</f>
        <v>2973280.4162162468</v>
      </c>
      <c r="C54" s="66"/>
    </row>
    <row r="55" spans="1:3">
      <c r="A55" s="67"/>
      <c r="B55" s="77"/>
      <c r="C55" s="66"/>
    </row>
    <row r="56" spans="1:3">
      <c r="A56" s="65" t="s">
        <v>217</v>
      </c>
      <c r="B56" s="69"/>
      <c r="C56" s="66"/>
    </row>
    <row r="57" spans="1:3">
      <c r="A57" s="67" t="s">
        <v>218</v>
      </c>
      <c r="B57" s="74">
        <f>B45-B53</f>
        <v>-42096.015748071077</v>
      </c>
      <c r="C57" s="75">
        <f>B57/B53</f>
        <v>-0.78456023460501811</v>
      </c>
    </row>
    <row r="58" spans="1:3" ht="17" thickBot="1">
      <c r="A58" s="68" t="s">
        <v>219</v>
      </c>
      <c r="B58" s="78">
        <f>B46-B54</f>
        <v>-2349805.2897453681</v>
      </c>
      <c r="C58" s="79">
        <f>B58/B54</f>
        <v>-0.79030732416947602</v>
      </c>
    </row>
    <row r="61" spans="1:3">
      <c r="A61" s="3" t="s">
        <v>108</v>
      </c>
    </row>
    <row r="62" spans="1:3">
      <c r="A62" t="s">
        <v>110</v>
      </c>
      <c r="B62" s="5" t="s">
        <v>109</v>
      </c>
    </row>
    <row r="63" spans="1:3">
      <c r="A63" t="s">
        <v>132</v>
      </c>
      <c r="B63" s="5"/>
    </row>
    <row r="64" spans="1:3">
      <c r="A64" s="3" t="s">
        <v>136</v>
      </c>
      <c r="B64" s="5"/>
    </row>
    <row r="65" spans="1:3">
      <c r="A65" t="s">
        <v>111</v>
      </c>
    </row>
    <row r="66" spans="1:3">
      <c r="A66" t="s">
        <v>112</v>
      </c>
    </row>
    <row r="67" spans="1:3">
      <c r="A67" t="s">
        <v>206</v>
      </c>
    </row>
    <row r="68" spans="1:3">
      <c r="A68" t="s">
        <v>207</v>
      </c>
    </row>
    <row r="70" spans="1:3" ht="16" customHeight="1">
      <c r="A70" s="84" t="s">
        <v>113</v>
      </c>
      <c r="B70" s="84"/>
      <c r="C70" s="84"/>
    </row>
    <row r="71" spans="1:3">
      <c r="A71" s="84"/>
      <c r="B71" s="84"/>
      <c r="C71" s="84"/>
    </row>
    <row r="72" spans="1:3">
      <c r="A72" s="84"/>
      <c r="B72" s="84"/>
      <c r="C72" s="84"/>
    </row>
    <row r="73" spans="1:3">
      <c r="A73" s="84"/>
      <c r="B73" s="84"/>
      <c r="C73" s="84"/>
    </row>
    <row r="75" spans="1:3">
      <c r="A75" s="3" t="s">
        <v>186</v>
      </c>
    </row>
    <row r="76" spans="1:3">
      <c r="A76" t="s">
        <v>187</v>
      </c>
    </row>
    <row r="78" spans="1:3">
      <c r="A78" t="s">
        <v>188</v>
      </c>
    </row>
    <row r="79" spans="1:3">
      <c r="A79" t="s">
        <v>190</v>
      </c>
    </row>
    <row r="80" spans="1:3">
      <c r="A80" t="s">
        <v>191</v>
      </c>
    </row>
    <row r="81" spans="1:1">
      <c r="A81" t="s">
        <v>192</v>
      </c>
    </row>
    <row r="82" spans="1:1">
      <c r="A82" t="s">
        <v>189</v>
      </c>
    </row>
    <row r="84" spans="1:1">
      <c r="A84" t="s">
        <v>195</v>
      </c>
    </row>
    <row r="85" spans="1:1">
      <c r="A85" t="s">
        <v>193</v>
      </c>
    </row>
    <row r="87" spans="1:1">
      <c r="A87" t="s">
        <v>198</v>
      </c>
    </row>
    <row r="88" spans="1:1">
      <c r="A88" t="s">
        <v>199</v>
      </c>
    </row>
    <row r="90" spans="1:1">
      <c r="A90" t="s">
        <v>204</v>
      </c>
    </row>
    <row r="91" spans="1:1">
      <c r="A91" t="s">
        <v>205</v>
      </c>
    </row>
    <row r="93" spans="1:1">
      <c r="A93" s="3" t="s">
        <v>194</v>
      </c>
    </row>
    <row r="94" spans="1:1">
      <c r="A94" t="s">
        <v>196</v>
      </c>
    </row>
    <row r="95" spans="1:1">
      <c r="A95" t="s">
        <v>197</v>
      </c>
    </row>
    <row r="97" spans="1:1">
      <c r="A97" s="3" t="s">
        <v>235</v>
      </c>
    </row>
    <row r="98" spans="1:1">
      <c r="A98" t="s">
        <v>236</v>
      </c>
    </row>
    <row r="99" spans="1:1">
      <c r="A99" t="s">
        <v>237</v>
      </c>
    </row>
    <row r="100" spans="1:1">
      <c r="A100" t="s">
        <v>238</v>
      </c>
    </row>
  </sheetData>
  <mergeCells count="3">
    <mergeCell ref="A70:C73"/>
    <mergeCell ref="B30:B31"/>
    <mergeCell ref="A5:B5"/>
  </mergeCells>
  <pageMargins left="0.7" right="0.7" top="0.75" bottom="0.75" header="0.3" footer="0.3"/>
  <pageSetup paperSize="9" orientation="landscape" horizontalDpi="0" verticalDpi="0"/>
  <drawing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'Investment returns'!$S$23:$S$32</xm:f>
          </x14:formula1>
          <xm:sqref>B30</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AG55"/>
  <sheetViews>
    <sheetView topLeftCell="P1" workbookViewId="0">
      <selection activeCell="Y8" sqref="Y8"/>
    </sheetView>
  </sheetViews>
  <sheetFormatPr baseColWidth="10" defaultRowHeight="16"/>
  <cols>
    <col min="17" max="17" width="24.6640625" bestFit="1" customWidth="1"/>
    <col min="18" max="18" width="23.1640625" bestFit="1" customWidth="1"/>
    <col min="19" max="20" width="12.1640625" bestFit="1" customWidth="1"/>
  </cols>
  <sheetData>
    <row r="2" spans="1:33">
      <c r="A2" s="3" t="s">
        <v>160</v>
      </c>
    </row>
    <row r="3" spans="1:33" ht="17" thickBot="1"/>
    <row r="4" spans="1:33" ht="17" thickBot="1">
      <c r="C4" s="97" t="s">
        <v>202</v>
      </c>
      <c r="D4" s="98"/>
      <c r="E4" s="98"/>
      <c r="F4" s="99"/>
      <c r="L4" s="97" t="s">
        <v>165</v>
      </c>
      <c r="M4" s="98"/>
      <c r="N4" s="98"/>
      <c r="O4" s="99"/>
    </row>
    <row r="5" spans="1:33" ht="48">
      <c r="A5" s="30"/>
      <c r="B5" s="47" t="s">
        <v>151</v>
      </c>
      <c r="C5" s="38" t="s">
        <v>147</v>
      </c>
      <c r="D5" s="39" t="s">
        <v>148</v>
      </c>
      <c r="E5" s="39" t="s">
        <v>149</v>
      </c>
      <c r="F5" s="40" t="s">
        <v>150</v>
      </c>
      <c r="J5" s="47"/>
      <c r="K5" s="47"/>
      <c r="L5" s="50" t="s">
        <v>166</v>
      </c>
      <c r="M5" s="51" t="s">
        <v>167</v>
      </c>
      <c r="N5" s="51" t="s">
        <v>168</v>
      </c>
      <c r="O5" s="52" t="s">
        <v>169</v>
      </c>
      <c r="R5" s="94" t="s">
        <v>203</v>
      </c>
      <c r="S5" s="95"/>
      <c r="T5" s="95"/>
      <c r="U5" s="96"/>
      <c r="Z5" s="87" t="s">
        <v>174</v>
      </c>
      <c r="AA5" s="87"/>
      <c r="AB5" s="87"/>
      <c r="AC5" s="87"/>
      <c r="AD5" s="87" t="s">
        <v>173</v>
      </c>
      <c r="AE5" s="87"/>
      <c r="AF5" s="87"/>
      <c r="AG5" s="87"/>
    </row>
    <row r="6" spans="1:33" ht="24">
      <c r="A6" s="48" t="s">
        <v>152</v>
      </c>
      <c r="B6" s="4">
        <v>0.62509999999999999</v>
      </c>
      <c r="C6" s="41">
        <v>1.9099999999999999E-2</v>
      </c>
      <c r="D6" s="42">
        <v>4.5199999999999997E-2</v>
      </c>
      <c r="E6" s="42">
        <f>AVERAGE(C6:D6)</f>
        <v>3.2149999999999998E-2</v>
      </c>
      <c r="F6" s="43">
        <v>3.6400000000000002E-2</v>
      </c>
      <c r="K6" s="48" t="s">
        <v>152</v>
      </c>
      <c r="L6" s="41">
        <f>16.78%+36.62%+10.38%</f>
        <v>0.63780000000000003</v>
      </c>
      <c r="M6" s="42">
        <f>11.73%+25.77%+7.34%</f>
        <v>0.44840000000000002</v>
      </c>
      <c r="N6" s="42">
        <f>7.93%+16.62%+5%</f>
        <v>0.29549999999999998</v>
      </c>
      <c r="O6" s="43">
        <v>0</v>
      </c>
      <c r="R6" s="38" t="s">
        <v>147</v>
      </c>
      <c r="S6" s="39" t="s">
        <v>148</v>
      </c>
      <c r="T6" s="39" t="s">
        <v>149</v>
      </c>
      <c r="U6" s="40" t="s">
        <v>150</v>
      </c>
      <c r="Y6" t="s">
        <v>172</v>
      </c>
      <c r="Z6" s="3" t="s">
        <v>175</v>
      </c>
      <c r="AA6" s="3" t="s">
        <v>176</v>
      </c>
      <c r="AB6" s="3" t="s">
        <v>177</v>
      </c>
      <c r="AC6" s="3" t="s">
        <v>178</v>
      </c>
      <c r="AD6" s="3" t="s">
        <v>179</v>
      </c>
      <c r="AE6" s="3" t="s">
        <v>180</v>
      </c>
      <c r="AF6" s="3" t="s">
        <v>181</v>
      </c>
      <c r="AG6" s="3" t="s">
        <v>182</v>
      </c>
    </row>
    <row r="7" spans="1:33">
      <c r="A7" s="48" t="s">
        <v>153</v>
      </c>
      <c r="B7" s="4">
        <v>7.4999999999999997E-2</v>
      </c>
      <c r="C7" s="41">
        <v>2.5600000000000001E-2</v>
      </c>
      <c r="D7" s="42">
        <v>3.5700000000000003E-2</v>
      </c>
      <c r="E7" s="42">
        <f>AVERAGE(C7:D7)</f>
        <v>3.0650000000000004E-2</v>
      </c>
      <c r="F7" s="43">
        <v>3.2300000000000002E-2</v>
      </c>
      <c r="K7" s="48" t="s">
        <v>153</v>
      </c>
      <c r="L7" s="41">
        <v>8.9300000000000004E-2</v>
      </c>
      <c r="M7" s="42">
        <v>6.7000000000000004E-2</v>
      </c>
      <c r="N7" s="42">
        <v>4.4900000000000002E-2</v>
      </c>
      <c r="O7" s="43">
        <v>0</v>
      </c>
      <c r="Q7" s="3" t="s">
        <v>166</v>
      </c>
      <c r="R7" s="41">
        <f>$L6*C6+$L7*C7+$L8*C8+$L9*C9+$L10*C10</f>
        <v>1.4061860000000002E-2</v>
      </c>
      <c r="S7" s="42">
        <f>$L6*D6+$L7*D7+$L8*D8+$L9*D9+$L10*D10</f>
        <v>3.8095570000000002E-2</v>
      </c>
      <c r="T7" s="42">
        <f>$L6*E6+$L7*E7+$L8*E8+$L9*E9+$L10*E10</f>
        <v>2.6078714999999999E-2</v>
      </c>
      <c r="U7" s="43">
        <f>$L6*F6+$L7*F7+$L8*F8+$L9*F9+$L10*F10</f>
        <v>3.000856E-2</v>
      </c>
      <c r="Y7">
        <v>2019</v>
      </c>
      <c r="Z7" s="4">
        <f>R7</f>
        <v>1.4061860000000002E-2</v>
      </c>
      <c r="AA7" s="4">
        <f>R8</f>
        <v>7.4494999999999995E-3</v>
      </c>
      <c r="AB7" s="4">
        <f>R9</f>
        <v>-5.1000000000109118E-7</v>
      </c>
      <c r="AC7" s="4">
        <f>R10</f>
        <v>-1.0999999999999999E-2</v>
      </c>
      <c r="AD7" s="4">
        <f>R18</f>
        <v>-9.5755000000017102E-4</v>
      </c>
      <c r="AE7" s="4">
        <f>R19</f>
        <v>-7.5669064183583341E-3</v>
      </c>
      <c r="AF7" s="4">
        <f>R20</f>
        <v>-1.5018418209179252E-2</v>
      </c>
      <c r="AG7" s="4">
        <f>R21</f>
        <v>-2.6017908209179253E-2</v>
      </c>
    </row>
    <row r="8" spans="1:33">
      <c r="A8" s="48" t="s">
        <v>154</v>
      </c>
      <c r="B8" s="4">
        <v>0.1</v>
      </c>
      <c r="C8" s="41">
        <v>-1.4E-3</v>
      </c>
      <c r="D8" s="42">
        <v>2.2499999999999999E-2</v>
      </c>
      <c r="E8" s="42">
        <f t="shared" ref="E8:E10" si="0">AVERAGE(C8:D8)</f>
        <v>1.055E-2</v>
      </c>
      <c r="F8" s="43">
        <v>1.4500000000000001E-2</v>
      </c>
      <c r="K8" s="48" t="s">
        <v>154</v>
      </c>
      <c r="L8" s="41">
        <f>5.68%+5.48%+7.92%+7.97%</f>
        <v>0.27049999999999996</v>
      </c>
      <c r="M8" s="42">
        <f>8.05%+8.45%+11.49%+12.24%</f>
        <v>0.40229999999999999</v>
      </c>
      <c r="N8" s="42">
        <f>9.53%+9.97%+13.62%+14.5%</f>
        <v>0.47619999999999996</v>
      </c>
      <c r="O8" s="43">
        <v>0</v>
      </c>
      <c r="Q8" s="3" t="s">
        <v>167</v>
      </c>
      <c r="R8" s="41">
        <f>$M6*C6+$M7*C7+$M8*C8+$M9*C9+$M10*C10</f>
        <v>7.4494999999999995E-3</v>
      </c>
      <c r="S8" s="42">
        <f>$M6*D6+$M7*D7+$M8*D8+$M9*D9+$M10*D10</f>
        <v>3.2019039999999999E-2</v>
      </c>
      <c r="T8" s="42">
        <f>$M6*E6+$M7*E7+$M8*E8+$M9*E9+$M10*E10</f>
        <v>1.9734270000000002E-2</v>
      </c>
      <c r="U8" s="43">
        <f>$M6*F6+$M7*F7+$M8*F8+$M9*F9+$M10*F10</f>
        <v>2.3758689999999999E-2</v>
      </c>
      <c r="Y8">
        <f>Y7+1</f>
        <v>2020</v>
      </c>
      <c r="Z8" s="4">
        <f>Z7</f>
        <v>1.4061860000000002E-2</v>
      </c>
      <c r="AA8" s="4">
        <f t="shared" ref="AA8:AG16" si="1">AA7</f>
        <v>7.4494999999999995E-3</v>
      </c>
      <c r="AB8" s="4">
        <f t="shared" si="1"/>
        <v>-5.1000000000109118E-7</v>
      </c>
      <c r="AC8" s="4">
        <f t="shared" si="1"/>
        <v>-1.0999999999999999E-2</v>
      </c>
      <c r="AD8" s="4">
        <f t="shared" si="1"/>
        <v>-9.5755000000017102E-4</v>
      </c>
      <c r="AE8" s="4">
        <f t="shared" si="1"/>
        <v>-7.5669064183583341E-3</v>
      </c>
      <c r="AF8" s="4">
        <f t="shared" si="1"/>
        <v>-1.5018418209179252E-2</v>
      </c>
      <c r="AG8" s="4">
        <f t="shared" si="1"/>
        <v>-2.6017908209179253E-2</v>
      </c>
    </row>
    <row r="9" spans="1:33">
      <c r="A9" s="48" t="s">
        <v>155</v>
      </c>
      <c r="B9" s="4">
        <v>0.25</v>
      </c>
      <c r="C9" s="41">
        <v>-3.8199999999999998E-2</v>
      </c>
      <c r="D9" s="42">
        <v>8.0000000000000002E-3</v>
      </c>
      <c r="E9" s="42">
        <f t="shared" si="0"/>
        <v>-1.5099999999999999E-2</v>
      </c>
      <c r="F9" s="43">
        <v>-7.6E-3</v>
      </c>
      <c r="K9" s="48" t="s">
        <v>155</v>
      </c>
      <c r="L9" s="41">
        <v>0</v>
      </c>
      <c r="M9" s="42">
        <f>2.01%+3%</f>
        <v>5.0099999999999992E-2</v>
      </c>
      <c r="N9" s="42">
        <f>7.08%+8.03%</f>
        <v>0.15110000000000001</v>
      </c>
      <c r="O9" s="43">
        <v>0</v>
      </c>
      <c r="Q9" s="3" t="s">
        <v>168</v>
      </c>
      <c r="R9" s="41">
        <f>$N6*C6+$N7*C7+$N8*C8+$N9*C9+$N10*C10</f>
        <v>-5.1000000000109118E-7</v>
      </c>
      <c r="S9" s="42">
        <f>$N6*D6+$N7*D7+$N8*D8+$N9*D9+$N10*D10</f>
        <v>2.6789159999999996E-2</v>
      </c>
      <c r="T9" s="42">
        <f>$N6*E6+$N7*E7+$N8*E8+$N9*E9+$N10*E10</f>
        <v>1.3394324999999999E-2</v>
      </c>
      <c r="U9" s="43">
        <f>$N6*F6+$N7*F7+$N8*F8+$N9*F9+$N10*F10</f>
        <v>1.7782129999999997E-2</v>
      </c>
      <c r="Y9">
        <f t="shared" ref="Y9:Y55" si="2">Y8+1</f>
        <v>2021</v>
      </c>
      <c r="Z9" s="4">
        <f t="shared" ref="Z9:Z16" si="3">Z8</f>
        <v>1.4061860000000002E-2</v>
      </c>
      <c r="AA9" s="4">
        <f t="shared" si="1"/>
        <v>7.4494999999999995E-3</v>
      </c>
      <c r="AB9" s="4">
        <f t="shared" si="1"/>
        <v>-5.1000000000109118E-7</v>
      </c>
      <c r="AC9" s="4">
        <f t="shared" si="1"/>
        <v>-1.0999999999999999E-2</v>
      </c>
      <c r="AD9" s="4">
        <f t="shared" si="1"/>
        <v>-9.5755000000017102E-4</v>
      </c>
      <c r="AE9" s="4">
        <f t="shared" si="1"/>
        <v>-7.5669064183583341E-3</v>
      </c>
      <c r="AF9" s="4">
        <f t="shared" si="1"/>
        <v>-1.5018418209179252E-2</v>
      </c>
      <c r="AG9" s="4">
        <f t="shared" si="1"/>
        <v>-2.6017908209179253E-2</v>
      </c>
    </row>
    <row r="10" spans="1:33" ht="17" thickBot="1">
      <c r="A10" s="48" t="s">
        <v>156</v>
      </c>
      <c r="B10" s="4">
        <v>-0.05</v>
      </c>
      <c r="C10" s="44">
        <v>-1.0999999999999999E-2</v>
      </c>
      <c r="D10" s="45">
        <v>-2.8999999999999998E-3</v>
      </c>
      <c r="E10" s="45">
        <f t="shared" si="0"/>
        <v>-6.9499999999999996E-3</v>
      </c>
      <c r="F10" s="46">
        <v>-5.5999999999999999E-3</v>
      </c>
      <c r="K10" s="48" t="s">
        <v>156</v>
      </c>
      <c r="L10" s="44">
        <v>2.5000000000000001E-3</v>
      </c>
      <c r="M10" s="45">
        <f>3.21%</f>
        <v>3.2099999999999997E-2</v>
      </c>
      <c r="N10" s="45">
        <f>3.23%</f>
        <v>3.2300000000000002E-2</v>
      </c>
      <c r="O10" s="46">
        <v>1</v>
      </c>
      <c r="Q10" s="3" t="s">
        <v>170</v>
      </c>
      <c r="R10" s="44">
        <f>$O6*C6+$O7*C7+$O8*C8+$O9*C9+$O10*C10</f>
        <v>-1.0999999999999999E-2</v>
      </c>
      <c r="S10" s="45">
        <f>$O6*D6+$O7*D7+$O8*D8+$O9*D9+$O10*D10</f>
        <v>-2.8999999999999998E-3</v>
      </c>
      <c r="T10" s="45">
        <f>$O6*E6+$O7*E7+$O8*E8+$O9*E9+$O10*E10</f>
        <v>-6.9499999999999996E-3</v>
      </c>
      <c r="U10" s="46">
        <f>$O6*F6+$O7*F7+$O8*F8+$O9*F9+$O10*F10</f>
        <v>-5.5999999999999999E-3</v>
      </c>
      <c r="Y10">
        <f t="shared" si="2"/>
        <v>2022</v>
      </c>
      <c r="Z10" s="4">
        <f t="shared" si="3"/>
        <v>1.4061860000000002E-2</v>
      </c>
      <c r="AA10" s="4">
        <f t="shared" si="1"/>
        <v>7.4494999999999995E-3</v>
      </c>
      <c r="AB10" s="4">
        <f t="shared" si="1"/>
        <v>-5.1000000000109118E-7</v>
      </c>
      <c r="AC10" s="4">
        <f t="shared" si="1"/>
        <v>-1.0999999999999999E-2</v>
      </c>
      <c r="AD10" s="4">
        <f t="shared" si="1"/>
        <v>-9.5755000000017102E-4</v>
      </c>
      <c r="AE10" s="4">
        <f t="shared" si="1"/>
        <v>-7.5669064183583341E-3</v>
      </c>
      <c r="AF10" s="4">
        <f t="shared" si="1"/>
        <v>-1.5018418209179252E-2</v>
      </c>
      <c r="AG10" s="4">
        <f t="shared" si="1"/>
        <v>-2.6017908209179253E-2</v>
      </c>
    </row>
    <row r="11" spans="1:33">
      <c r="A11" s="48" t="s">
        <v>157</v>
      </c>
      <c r="B11" s="4"/>
      <c r="C11" s="4">
        <v>5.0000000000000001E-3</v>
      </c>
      <c r="D11" s="4">
        <v>5.0000000000000001E-3</v>
      </c>
      <c r="E11" s="4">
        <v>5.0000000000000001E-3</v>
      </c>
      <c r="F11" s="4">
        <v>5.0000000000000001E-3</v>
      </c>
      <c r="J11" s="49"/>
      <c r="L11" s="4"/>
      <c r="M11" s="4"/>
      <c r="N11" s="4"/>
      <c r="O11" s="4"/>
      <c r="Y11">
        <f t="shared" si="2"/>
        <v>2023</v>
      </c>
      <c r="Z11" s="4">
        <f t="shared" si="3"/>
        <v>1.4061860000000002E-2</v>
      </c>
      <c r="AA11" s="4">
        <f t="shared" si="1"/>
        <v>7.4494999999999995E-3</v>
      </c>
      <c r="AB11" s="4">
        <f t="shared" si="1"/>
        <v>-5.1000000000109118E-7</v>
      </c>
      <c r="AC11" s="4">
        <f t="shared" si="1"/>
        <v>-1.0999999999999999E-2</v>
      </c>
      <c r="AD11" s="4">
        <f t="shared" si="1"/>
        <v>-9.5755000000017102E-4</v>
      </c>
      <c r="AE11" s="4">
        <f t="shared" si="1"/>
        <v>-7.5669064183583341E-3</v>
      </c>
      <c r="AF11" s="4">
        <f t="shared" si="1"/>
        <v>-1.5018418209179252E-2</v>
      </c>
      <c r="AG11" s="4">
        <f t="shared" si="1"/>
        <v>-2.6017908209179253E-2</v>
      </c>
    </row>
    <row r="12" spans="1:33">
      <c r="A12" s="49" t="s">
        <v>158</v>
      </c>
      <c r="C12" s="4">
        <f>(SUM((B6*C6),(B7*C7),(B8*C8),(B9*C9),(B10*C10)))+C11</f>
        <v>9.7194100000000012E-3</v>
      </c>
      <c r="D12" s="4">
        <f>(SUM((B6*D6),(B7*D7),(B8*D8),(B9*D9),(B10*D10)))+D11</f>
        <v>4.0327019999999998E-2</v>
      </c>
      <c r="E12" s="4">
        <f>(SUM((B6*E6),(B7*E7),(B8*E8),(B9*E9),(B10*E10)))+E11</f>
        <v>2.5023214999999998E-2</v>
      </c>
      <c r="F12" s="4">
        <f>(SUM((B6*F6),(B7*F7),(B8*F8),(B9*F9),(B10*F10)))+F11</f>
        <v>3.0006140000000004E-2</v>
      </c>
      <c r="Y12">
        <f t="shared" si="2"/>
        <v>2024</v>
      </c>
      <c r="Z12" s="4">
        <f t="shared" si="3"/>
        <v>1.4061860000000002E-2</v>
      </c>
      <c r="AA12" s="4">
        <f t="shared" si="1"/>
        <v>7.4494999999999995E-3</v>
      </c>
      <c r="AB12" s="4">
        <f t="shared" si="1"/>
        <v>-5.1000000000109118E-7</v>
      </c>
      <c r="AC12" s="4">
        <f t="shared" si="1"/>
        <v>-1.0999999999999999E-2</v>
      </c>
      <c r="AD12" s="4">
        <f t="shared" si="1"/>
        <v>-9.5755000000017102E-4</v>
      </c>
      <c r="AE12" s="4">
        <f t="shared" si="1"/>
        <v>-7.5669064183583341E-3</v>
      </c>
      <c r="AF12" s="4">
        <f t="shared" si="1"/>
        <v>-1.5018418209179252E-2</v>
      </c>
      <c r="AG12" s="4">
        <f t="shared" si="1"/>
        <v>-2.6017908209179253E-2</v>
      </c>
    </row>
    <row r="13" spans="1:33">
      <c r="L13" s="53"/>
      <c r="M13" s="53"/>
      <c r="N13" s="53"/>
      <c r="O13" s="53"/>
      <c r="Y13">
        <f t="shared" si="2"/>
        <v>2025</v>
      </c>
      <c r="Z13" s="4">
        <f t="shared" si="3"/>
        <v>1.4061860000000002E-2</v>
      </c>
      <c r="AA13" s="4">
        <f t="shared" si="1"/>
        <v>7.4494999999999995E-3</v>
      </c>
      <c r="AB13" s="4">
        <f t="shared" si="1"/>
        <v>-5.1000000000109118E-7</v>
      </c>
      <c r="AC13" s="4">
        <f t="shared" si="1"/>
        <v>-1.0999999999999999E-2</v>
      </c>
      <c r="AD13" s="4">
        <f t="shared" si="1"/>
        <v>-9.5755000000017102E-4</v>
      </c>
      <c r="AE13" s="4">
        <f t="shared" si="1"/>
        <v>-7.5669064183583341E-3</v>
      </c>
      <c r="AF13" s="4">
        <f t="shared" si="1"/>
        <v>-1.5018418209179252E-2</v>
      </c>
      <c r="AG13" s="4">
        <f t="shared" si="1"/>
        <v>-2.6017908209179253E-2</v>
      </c>
    </row>
    <row r="14" spans="1:33" ht="17" thickBot="1">
      <c r="Y14">
        <f t="shared" si="2"/>
        <v>2026</v>
      </c>
      <c r="Z14" s="4">
        <f t="shared" si="3"/>
        <v>1.4061860000000002E-2</v>
      </c>
      <c r="AA14" s="4">
        <f t="shared" si="1"/>
        <v>7.4494999999999995E-3</v>
      </c>
      <c r="AB14" s="4">
        <f t="shared" si="1"/>
        <v>-5.1000000000109118E-7</v>
      </c>
      <c r="AC14" s="4">
        <f t="shared" si="1"/>
        <v>-1.0999999999999999E-2</v>
      </c>
      <c r="AD14" s="4">
        <f t="shared" si="1"/>
        <v>-9.5755000000017102E-4</v>
      </c>
      <c r="AE14" s="4">
        <f t="shared" si="1"/>
        <v>-7.5669064183583341E-3</v>
      </c>
      <c r="AF14" s="4">
        <f t="shared" si="1"/>
        <v>-1.5018418209179252E-2</v>
      </c>
      <c r="AG14" s="4">
        <f t="shared" si="1"/>
        <v>-2.6017908209179253E-2</v>
      </c>
    </row>
    <row r="15" spans="1:33" ht="17" thickBot="1">
      <c r="C15" s="97" t="s">
        <v>164</v>
      </c>
      <c r="D15" s="98"/>
      <c r="E15" s="98"/>
      <c r="F15" s="99"/>
      <c r="J15" s="53"/>
      <c r="K15" s="54"/>
      <c r="Y15">
        <f t="shared" si="2"/>
        <v>2027</v>
      </c>
      <c r="Z15" s="4">
        <f t="shared" si="3"/>
        <v>1.4061860000000002E-2</v>
      </c>
      <c r="AA15" s="4">
        <f t="shared" si="1"/>
        <v>7.4494999999999995E-3</v>
      </c>
      <c r="AB15" s="4">
        <f t="shared" si="1"/>
        <v>-5.1000000000109118E-7</v>
      </c>
      <c r="AC15" s="4">
        <f t="shared" si="1"/>
        <v>-1.0999999999999999E-2</v>
      </c>
      <c r="AD15" s="4">
        <f t="shared" si="1"/>
        <v>-9.5755000000017102E-4</v>
      </c>
      <c r="AE15" s="4">
        <f t="shared" si="1"/>
        <v>-7.5669064183583341E-3</v>
      </c>
      <c r="AF15" s="4">
        <f t="shared" si="1"/>
        <v>-1.5018418209179252E-2</v>
      </c>
      <c r="AG15" s="4">
        <f t="shared" si="1"/>
        <v>-2.6017908209179253E-2</v>
      </c>
    </row>
    <row r="16" spans="1:33" ht="48">
      <c r="A16" s="30"/>
      <c r="B16" s="47" t="s">
        <v>151</v>
      </c>
      <c r="C16" s="38" t="s">
        <v>147</v>
      </c>
      <c r="D16" s="39" t="s">
        <v>148</v>
      </c>
      <c r="E16" s="39" t="s">
        <v>149</v>
      </c>
      <c r="F16" s="40" t="s">
        <v>150</v>
      </c>
      <c r="K16" s="4"/>
      <c r="N16" s="4"/>
      <c r="R16" s="94" t="s">
        <v>171</v>
      </c>
      <c r="S16" s="95"/>
      <c r="T16" s="95"/>
      <c r="U16" s="96"/>
      <c r="Y16">
        <f t="shared" si="2"/>
        <v>2028</v>
      </c>
      <c r="Z16" s="4">
        <f t="shared" si="3"/>
        <v>1.4061860000000002E-2</v>
      </c>
      <c r="AA16" s="4">
        <f t="shared" si="1"/>
        <v>7.4494999999999995E-3</v>
      </c>
      <c r="AB16" s="4">
        <f t="shared" si="1"/>
        <v>-5.1000000000109118E-7</v>
      </c>
      <c r="AC16" s="4">
        <f t="shared" si="1"/>
        <v>-1.0999999999999999E-2</v>
      </c>
      <c r="AD16" s="4">
        <f t="shared" si="1"/>
        <v>-9.5755000000017102E-4</v>
      </c>
      <c r="AE16" s="4">
        <f t="shared" si="1"/>
        <v>-7.5669064183583341E-3</v>
      </c>
      <c r="AF16" s="4">
        <f t="shared" si="1"/>
        <v>-1.5018418209179252E-2</v>
      </c>
      <c r="AG16" s="4">
        <f t="shared" si="1"/>
        <v>-2.6017908209179253E-2</v>
      </c>
    </row>
    <row r="17" spans="1:33" ht="24">
      <c r="A17" s="48" t="s">
        <v>152</v>
      </c>
      <c r="B17" s="4">
        <v>0.62509999999999999</v>
      </c>
      <c r="C17" s="41">
        <f t="shared" ref="C17:F21" si="4">C6-C$29</f>
        <v>4.0820917908207452E-3</v>
      </c>
      <c r="D17" s="42">
        <f t="shared" si="4"/>
        <v>3.2874212578742117E-2</v>
      </c>
      <c r="E17" s="42">
        <f t="shared" si="4"/>
        <v>2.4127587241275873E-2</v>
      </c>
      <c r="F17" s="43">
        <f t="shared" si="4"/>
        <v>2.3034061693830467E-2</v>
      </c>
      <c r="K17" s="4"/>
      <c r="R17" s="38" t="s">
        <v>147</v>
      </c>
      <c r="S17" s="39" t="s">
        <v>148</v>
      </c>
      <c r="T17" s="39" t="s">
        <v>149</v>
      </c>
      <c r="U17" s="40" t="s">
        <v>150</v>
      </c>
      <c r="Y17">
        <f t="shared" si="2"/>
        <v>2029</v>
      </c>
      <c r="Z17" s="4">
        <f>S7</f>
        <v>3.8095570000000002E-2</v>
      </c>
      <c r="AA17" s="4">
        <f>S8</f>
        <v>3.2019039999999999E-2</v>
      </c>
      <c r="AB17" s="4">
        <f>S9</f>
        <v>2.6789159999999996E-2</v>
      </c>
      <c r="AC17" s="4">
        <f>S10</f>
        <v>-2.8999999999999998E-3</v>
      </c>
      <c r="AD17" s="4">
        <f>S18</f>
        <v>2.5768549999999994E-2</v>
      </c>
      <c r="AE17" s="4">
        <f>S19</f>
        <v>1.9694485157484246E-2</v>
      </c>
      <c r="AF17" s="4">
        <f>S20</f>
        <v>1.4463372578742121E-2</v>
      </c>
      <c r="AG17" s="4">
        <f>S21</f>
        <v>-1.5225787421257879E-2</v>
      </c>
    </row>
    <row r="18" spans="1:33">
      <c r="A18" s="48" t="s">
        <v>153</v>
      </c>
      <c r="B18" s="4">
        <v>7.4999999999999997E-2</v>
      </c>
      <c r="C18" s="41">
        <f t="shared" si="4"/>
        <v>1.0582091790820747E-2</v>
      </c>
      <c r="D18" s="42">
        <f t="shared" si="4"/>
        <v>2.3374212578742122E-2</v>
      </c>
      <c r="E18" s="42">
        <f t="shared" si="4"/>
        <v>2.2627587241275879E-2</v>
      </c>
      <c r="F18" s="43">
        <f t="shared" si="4"/>
        <v>1.8934061693830467E-2</v>
      </c>
      <c r="K18" s="4"/>
      <c r="Q18" s="3" t="s">
        <v>166</v>
      </c>
      <c r="R18" s="41">
        <f>$L6*C17+$L7*C18+$L8*C19+$L9*C20+$L10*C21</f>
        <v>-9.5755000000017102E-4</v>
      </c>
      <c r="S18" s="42">
        <f>$L6*D17+$L7*D18+$L8*D19+$L9*D20+$L10*D21</f>
        <v>2.5768549999999994E-2</v>
      </c>
      <c r="T18" s="42">
        <f>$L6*E17+$L7*E18+$L8*E19+$L9*E20+$L10*E21</f>
        <v>1.8055500000000002E-2</v>
      </c>
      <c r="U18" s="43">
        <f>$L6*F17+$L7*F18+$L8*F19+$L9*F20+$L10*F21</f>
        <v>1.6641285099999851E-2</v>
      </c>
      <c r="Y18">
        <f t="shared" si="2"/>
        <v>2030</v>
      </c>
      <c r="Z18" s="4">
        <f>Z17</f>
        <v>3.8095570000000002E-2</v>
      </c>
      <c r="AA18" s="4">
        <f t="shared" ref="AA18:AG18" si="5">AA17</f>
        <v>3.2019039999999999E-2</v>
      </c>
      <c r="AB18" s="4">
        <f t="shared" si="5"/>
        <v>2.6789159999999996E-2</v>
      </c>
      <c r="AC18" s="4">
        <f t="shared" si="5"/>
        <v>-2.8999999999999998E-3</v>
      </c>
      <c r="AD18" s="4">
        <f t="shared" si="5"/>
        <v>2.5768549999999994E-2</v>
      </c>
      <c r="AE18" s="4">
        <f t="shared" si="5"/>
        <v>1.9694485157484246E-2</v>
      </c>
      <c r="AF18" s="4">
        <f t="shared" si="5"/>
        <v>1.4463372578742121E-2</v>
      </c>
      <c r="AG18" s="4">
        <f t="shared" si="5"/>
        <v>-1.5225787421257879E-2</v>
      </c>
    </row>
    <row r="19" spans="1:33">
      <c r="A19" s="48" t="s">
        <v>154</v>
      </c>
      <c r="B19" s="4">
        <v>0.1</v>
      </c>
      <c r="C19" s="41">
        <f t="shared" si="4"/>
        <v>-1.6417908209179252E-2</v>
      </c>
      <c r="D19" s="42">
        <f t="shared" si="4"/>
        <v>1.017421257874212E-2</v>
      </c>
      <c r="E19" s="42">
        <f t="shared" si="4"/>
        <v>2.5275872412758738E-3</v>
      </c>
      <c r="F19" s="43">
        <f t="shared" si="4"/>
        <v>1.134061693830464E-3</v>
      </c>
      <c r="K19" s="4"/>
      <c r="Q19" s="3" t="s">
        <v>167</v>
      </c>
      <c r="R19" s="41">
        <f>$M6*C17+$M7*C18+$M8*C19+$M9*C20+$M10*C21</f>
        <v>-7.5669064183583341E-3</v>
      </c>
      <c r="S19" s="42">
        <f>$M6*D17+$M7*D18+$M8*D19+$M9*D20+$M10*D21</f>
        <v>1.9694485157484246E-2</v>
      </c>
      <c r="T19" s="42">
        <f>$M6*E17+$M7*E18+$M8*E19+$M9*E20+$M10*E21</f>
        <v>1.1712659482551745E-2</v>
      </c>
      <c r="U19" s="43">
        <f>$M6*F17+$M7*F18+$M8*F19+$M9*F20+$M10*F21</f>
        <v>1.0394088287661083E-2</v>
      </c>
      <c r="Y19">
        <f t="shared" si="2"/>
        <v>2031</v>
      </c>
      <c r="Z19" s="4">
        <f t="shared" ref="Z19:Z26" si="6">Z18</f>
        <v>3.8095570000000002E-2</v>
      </c>
      <c r="AA19" s="4">
        <f t="shared" ref="AA19:AA26" si="7">AA18</f>
        <v>3.2019039999999999E-2</v>
      </c>
      <c r="AB19" s="4">
        <f t="shared" ref="AB19:AB26" si="8">AB18</f>
        <v>2.6789159999999996E-2</v>
      </c>
      <c r="AC19" s="4">
        <f t="shared" ref="AC19:AC26" si="9">AC18</f>
        <v>-2.8999999999999998E-3</v>
      </c>
      <c r="AD19" s="4">
        <f t="shared" ref="AD19:AD26" si="10">AD18</f>
        <v>2.5768549999999994E-2</v>
      </c>
      <c r="AE19" s="4">
        <f t="shared" ref="AE19:AE26" si="11">AE18</f>
        <v>1.9694485157484246E-2</v>
      </c>
      <c r="AF19" s="4">
        <f t="shared" ref="AF19:AF26" si="12">AF18</f>
        <v>1.4463372578742121E-2</v>
      </c>
      <c r="AG19" s="4">
        <f t="shared" ref="AG19:AG26" si="13">AG18</f>
        <v>-1.5225787421257879E-2</v>
      </c>
    </row>
    <row r="20" spans="1:33">
      <c r="A20" s="48" t="s">
        <v>155</v>
      </c>
      <c r="B20" s="4">
        <v>0.25</v>
      </c>
      <c r="C20" s="41">
        <f t="shared" si="4"/>
        <v>-5.3217908209179252E-2</v>
      </c>
      <c r="D20" s="42">
        <f t="shared" si="4"/>
        <v>-4.3257874212578786E-3</v>
      </c>
      <c r="E20" s="42">
        <f t="shared" si="4"/>
        <v>-2.3122412758724127E-2</v>
      </c>
      <c r="F20" s="43">
        <f t="shared" si="4"/>
        <v>-2.0965938306169538E-2</v>
      </c>
      <c r="K20" s="4"/>
      <c r="Q20" s="3" t="s">
        <v>168</v>
      </c>
      <c r="R20" s="41">
        <f>$N6*C17+$N7*C18+$N8*C19+$N9*C20+$N10*C21</f>
        <v>-1.5018418209179252E-2</v>
      </c>
      <c r="S20" s="42">
        <f>$N6*D17+$N7*D18+$N8*D19+$N9*D20+$N10*D21</f>
        <v>1.4463372578742121E-2</v>
      </c>
      <c r="T20" s="42">
        <f>$N6*E17+$N7*E18+$N8*E19+$N9*E20+$N10*E21</f>
        <v>5.3719122412758738E-3</v>
      </c>
      <c r="U20" s="43">
        <f>$N6*F17+$N7*F18+$N8*F19+$N9*F20+$N10*F21</f>
        <v>4.4161916938304643E-3</v>
      </c>
      <c r="Y20">
        <f t="shared" si="2"/>
        <v>2032</v>
      </c>
      <c r="Z20" s="4">
        <f t="shared" si="6"/>
        <v>3.8095570000000002E-2</v>
      </c>
      <c r="AA20" s="4">
        <f t="shared" si="7"/>
        <v>3.2019039999999999E-2</v>
      </c>
      <c r="AB20" s="4">
        <f t="shared" si="8"/>
        <v>2.6789159999999996E-2</v>
      </c>
      <c r="AC20" s="4">
        <f t="shared" si="9"/>
        <v>-2.8999999999999998E-3</v>
      </c>
      <c r="AD20" s="4">
        <f t="shared" si="10"/>
        <v>2.5768549999999994E-2</v>
      </c>
      <c r="AE20" s="4">
        <f t="shared" si="11"/>
        <v>1.9694485157484246E-2</v>
      </c>
      <c r="AF20" s="4">
        <f t="shared" si="12"/>
        <v>1.4463372578742121E-2</v>
      </c>
      <c r="AG20" s="4">
        <f t="shared" si="13"/>
        <v>-1.5225787421257879E-2</v>
      </c>
    </row>
    <row r="21" spans="1:33" ht="17" thickBot="1">
      <c r="A21" s="48" t="s">
        <v>156</v>
      </c>
      <c r="B21" s="4">
        <v>-0.05</v>
      </c>
      <c r="C21" s="44">
        <f t="shared" si="4"/>
        <v>-2.6017908209179253E-2</v>
      </c>
      <c r="D21" s="45">
        <f t="shared" si="4"/>
        <v>-1.5225787421257879E-2</v>
      </c>
      <c r="E21" s="45">
        <f t="shared" si="4"/>
        <v>-1.4972412758724126E-2</v>
      </c>
      <c r="F21" s="46">
        <f t="shared" si="4"/>
        <v>-1.8965938306169536E-2</v>
      </c>
      <c r="K21" s="4"/>
      <c r="Q21" s="3" t="s">
        <v>170</v>
      </c>
      <c r="R21" s="44">
        <f>$O6*C17+$O7*C18+$O8*C19+$O9*C20+$O10*C21</f>
        <v>-2.6017908209179253E-2</v>
      </c>
      <c r="S21" s="45">
        <f>$O6*D17+$O7*D18+$O8*D19+$O9*D20+$O10*D21</f>
        <v>-1.5225787421257879E-2</v>
      </c>
      <c r="T21" s="45">
        <f>$O6*E17+$O7*E18+$O8*E19+$O9*E20+$O10*E21</f>
        <v>-1.4972412758724126E-2</v>
      </c>
      <c r="U21" s="46">
        <f>$O6*F17+$O7*F18+$O8*F19+$O9*F20+$O10*F21</f>
        <v>-1.8965938306169536E-2</v>
      </c>
      <c r="Y21">
        <f t="shared" si="2"/>
        <v>2033</v>
      </c>
      <c r="Z21" s="4">
        <f t="shared" si="6"/>
        <v>3.8095570000000002E-2</v>
      </c>
      <c r="AA21" s="4">
        <f t="shared" si="7"/>
        <v>3.2019039999999999E-2</v>
      </c>
      <c r="AB21" s="4">
        <f t="shared" si="8"/>
        <v>2.6789159999999996E-2</v>
      </c>
      <c r="AC21" s="4">
        <f t="shared" si="9"/>
        <v>-2.8999999999999998E-3</v>
      </c>
      <c r="AD21" s="4">
        <f t="shared" si="10"/>
        <v>2.5768549999999994E-2</v>
      </c>
      <c r="AE21" s="4">
        <f t="shared" si="11"/>
        <v>1.9694485157484246E-2</v>
      </c>
      <c r="AF21" s="4">
        <f t="shared" si="12"/>
        <v>1.4463372578742121E-2</v>
      </c>
      <c r="AG21" s="4">
        <f t="shared" si="13"/>
        <v>-1.5225787421257879E-2</v>
      </c>
    </row>
    <row r="22" spans="1:33">
      <c r="A22" s="48" t="s">
        <v>157</v>
      </c>
      <c r="B22" s="4"/>
      <c r="C22" s="4">
        <v>5.0000000000000001E-3</v>
      </c>
      <c r="D22" s="4">
        <v>5.0000000000000001E-3</v>
      </c>
      <c r="E22" s="4">
        <v>5.0000000000000001E-3</v>
      </c>
      <c r="F22" s="4">
        <v>5.0000000000000001E-3</v>
      </c>
      <c r="K22" s="4"/>
      <c r="Y22">
        <f t="shared" si="2"/>
        <v>2034</v>
      </c>
      <c r="Z22" s="4">
        <f t="shared" si="6"/>
        <v>3.8095570000000002E-2</v>
      </c>
      <c r="AA22" s="4">
        <f t="shared" si="7"/>
        <v>3.2019039999999999E-2</v>
      </c>
      <c r="AB22" s="4">
        <f t="shared" si="8"/>
        <v>2.6789159999999996E-2</v>
      </c>
      <c r="AC22" s="4">
        <f t="shared" si="9"/>
        <v>-2.8999999999999998E-3</v>
      </c>
      <c r="AD22" s="4">
        <f t="shared" si="10"/>
        <v>2.5768549999999994E-2</v>
      </c>
      <c r="AE22" s="4">
        <f t="shared" si="11"/>
        <v>1.9694485157484246E-2</v>
      </c>
      <c r="AF22" s="4">
        <f t="shared" si="12"/>
        <v>1.4463372578742121E-2</v>
      </c>
      <c r="AG22" s="4">
        <f t="shared" si="13"/>
        <v>-1.5225787421257879E-2</v>
      </c>
    </row>
    <row r="23" spans="1:33">
      <c r="A23" s="49" t="s">
        <v>158</v>
      </c>
      <c r="C23" s="4">
        <f>(SUM((B17*C17),(B18*C18),(B19*C19),(B20*C20),(B21*C21)))+C22</f>
        <v>-5.3000000000001735E-3</v>
      </c>
      <c r="D23" s="4">
        <f>(SUM((B17*D17),(B18*D18),(B19*D19),(B20*D20),(B21*D21)))+D22</f>
        <v>2.7999999999999997E-2</v>
      </c>
      <c r="E23" s="4">
        <f>(SUM((B17*E17),(B18*E18),(B19*E19),(B20*E20),(B21*E21)))+E22</f>
        <v>1.7000000000000001E-2</v>
      </c>
      <c r="F23" s="4">
        <f>(SUM((B17*F17),(B18*F18),(B19*F19),(B20*F20),(B21*F21)))+F22</f>
        <v>1.6638865099999848E-2</v>
      </c>
      <c r="K23" s="4"/>
      <c r="Y23">
        <f t="shared" si="2"/>
        <v>2035</v>
      </c>
      <c r="Z23" s="4">
        <f t="shared" si="6"/>
        <v>3.8095570000000002E-2</v>
      </c>
      <c r="AA23" s="4">
        <f t="shared" si="7"/>
        <v>3.2019039999999999E-2</v>
      </c>
      <c r="AB23" s="4">
        <f t="shared" si="8"/>
        <v>2.6789159999999996E-2</v>
      </c>
      <c r="AC23" s="4">
        <f t="shared" si="9"/>
        <v>-2.8999999999999998E-3</v>
      </c>
      <c r="AD23" s="4">
        <f t="shared" si="10"/>
        <v>2.5768549999999994E-2</v>
      </c>
      <c r="AE23" s="4">
        <f t="shared" si="11"/>
        <v>1.9694485157484246E-2</v>
      </c>
      <c r="AF23" s="4">
        <f t="shared" si="12"/>
        <v>1.4463372578742121E-2</v>
      </c>
      <c r="AG23" s="4">
        <f t="shared" si="13"/>
        <v>-1.5225787421257879E-2</v>
      </c>
    </row>
    <row r="24" spans="1:33">
      <c r="K24" s="4"/>
      <c r="Y24">
        <f t="shared" si="2"/>
        <v>2036</v>
      </c>
      <c r="Z24" s="4">
        <f t="shared" si="6"/>
        <v>3.8095570000000002E-2</v>
      </c>
      <c r="AA24" s="4">
        <f t="shared" si="7"/>
        <v>3.2019039999999999E-2</v>
      </c>
      <c r="AB24" s="4">
        <f t="shared" si="8"/>
        <v>2.6789159999999996E-2</v>
      </c>
      <c r="AC24" s="4">
        <f t="shared" si="9"/>
        <v>-2.8999999999999998E-3</v>
      </c>
      <c r="AD24" s="4">
        <f t="shared" si="10"/>
        <v>2.5768549999999994E-2</v>
      </c>
      <c r="AE24" s="4">
        <f t="shared" si="11"/>
        <v>1.9694485157484246E-2</v>
      </c>
      <c r="AF24" s="4">
        <f t="shared" si="12"/>
        <v>1.4463372578742121E-2</v>
      </c>
      <c r="AG24" s="4">
        <f t="shared" si="13"/>
        <v>-1.5225787421257879E-2</v>
      </c>
    </row>
    <row r="25" spans="1:33">
      <c r="A25" s="48" t="s">
        <v>163</v>
      </c>
      <c r="C25" s="4">
        <v>-5.3E-3</v>
      </c>
      <c r="D25" s="4">
        <v>2.8000000000000001E-2</v>
      </c>
      <c r="E25" s="4">
        <v>1.7000000000000001E-2</v>
      </c>
      <c r="F25" s="4">
        <v>1.7000000000000001E-2</v>
      </c>
      <c r="K25" s="4"/>
      <c r="Y25">
        <f t="shared" si="2"/>
        <v>2037</v>
      </c>
      <c r="Z25" s="4">
        <f t="shared" si="6"/>
        <v>3.8095570000000002E-2</v>
      </c>
      <c r="AA25" s="4">
        <f t="shared" si="7"/>
        <v>3.2019039999999999E-2</v>
      </c>
      <c r="AB25" s="4">
        <f t="shared" si="8"/>
        <v>2.6789159999999996E-2</v>
      </c>
      <c r="AC25" s="4">
        <f t="shared" si="9"/>
        <v>-2.8999999999999998E-3</v>
      </c>
      <c r="AD25" s="4">
        <f t="shared" si="10"/>
        <v>2.5768549999999994E-2</v>
      </c>
      <c r="AE25" s="4">
        <f t="shared" si="11"/>
        <v>1.9694485157484246E-2</v>
      </c>
      <c r="AF25" s="4">
        <f t="shared" si="12"/>
        <v>1.4463372578742121E-2</v>
      </c>
      <c r="AG25" s="4">
        <f t="shared" si="13"/>
        <v>-1.5225787421257879E-2</v>
      </c>
    </row>
    <row r="26" spans="1:33">
      <c r="K26" s="4"/>
      <c r="Y26">
        <f t="shared" si="2"/>
        <v>2038</v>
      </c>
      <c r="Z26" s="4">
        <f t="shared" si="6"/>
        <v>3.8095570000000002E-2</v>
      </c>
      <c r="AA26" s="4">
        <f t="shared" si="7"/>
        <v>3.2019039999999999E-2</v>
      </c>
      <c r="AB26" s="4">
        <f t="shared" si="8"/>
        <v>2.6789159999999996E-2</v>
      </c>
      <c r="AC26" s="4">
        <f t="shared" si="9"/>
        <v>-2.8999999999999998E-3</v>
      </c>
      <c r="AD26" s="4">
        <f t="shared" si="10"/>
        <v>2.5768549999999994E-2</v>
      </c>
      <c r="AE26" s="4">
        <f t="shared" si="11"/>
        <v>1.9694485157484246E-2</v>
      </c>
      <c r="AF26" s="4">
        <f t="shared" si="12"/>
        <v>1.4463372578742121E-2</v>
      </c>
      <c r="AG26" s="4">
        <f t="shared" si="13"/>
        <v>-1.5225787421257879E-2</v>
      </c>
    </row>
    <row r="27" spans="1:33">
      <c r="K27" s="4"/>
      <c r="Y27">
        <f t="shared" si="2"/>
        <v>2039</v>
      </c>
      <c r="Z27" s="4">
        <f>T7</f>
        <v>2.6078714999999999E-2</v>
      </c>
      <c r="AA27" s="4">
        <f>T8</f>
        <v>1.9734270000000002E-2</v>
      </c>
      <c r="AB27" s="4">
        <f>T9</f>
        <v>1.3394324999999999E-2</v>
      </c>
      <c r="AC27" s="4">
        <f>T10</f>
        <v>-6.9499999999999996E-3</v>
      </c>
      <c r="AD27" s="4">
        <f>T18</f>
        <v>1.8055500000000002E-2</v>
      </c>
      <c r="AE27" s="4">
        <f>T19</f>
        <v>1.1712659482551745E-2</v>
      </c>
      <c r="AF27" s="4">
        <f>T20</f>
        <v>5.3719122412758738E-3</v>
      </c>
      <c r="AG27" s="4">
        <f>T21</f>
        <v>-1.4972412758724126E-2</v>
      </c>
    </row>
    <row r="28" spans="1:33">
      <c r="B28" t="s">
        <v>161</v>
      </c>
      <c r="Y28">
        <f t="shared" si="2"/>
        <v>2040</v>
      </c>
      <c r="Z28" s="4">
        <f>Z27</f>
        <v>2.6078714999999999E-2</v>
      </c>
      <c r="AA28" s="4">
        <f t="shared" ref="AA28:AG28" si="14">AA27</f>
        <v>1.9734270000000002E-2</v>
      </c>
      <c r="AB28" s="4">
        <f t="shared" si="14"/>
        <v>1.3394324999999999E-2</v>
      </c>
      <c r="AC28" s="4">
        <f t="shared" si="14"/>
        <v>-6.9499999999999996E-3</v>
      </c>
      <c r="AD28" s="4">
        <f t="shared" si="14"/>
        <v>1.8055500000000002E-2</v>
      </c>
      <c r="AE28" s="4">
        <f t="shared" si="14"/>
        <v>1.1712659482551745E-2</v>
      </c>
      <c r="AF28" s="4">
        <f t="shared" si="14"/>
        <v>5.3719122412758738E-3</v>
      </c>
      <c r="AG28" s="4">
        <f t="shared" si="14"/>
        <v>-1.4972412758724126E-2</v>
      </c>
    </row>
    <row r="29" spans="1:33">
      <c r="B29" t="s">
        <v>162</v>
      </c>
      <c r="C29">
        <v>1.5017908209179254E-2</v>
      </c>
      <c r="D29">
        <v>1.2325787421257879E-2</v>
      </c>
      <c r="E29">
        <v>8.0224127587241265E-3</v>
      </c>
      <c r="F29">
        <v>1.3365938306169537E-2</v>
      </c>
      <c r="Y29">
        <f t="shared" si="2"/>
        <v>2041</v>
      </c>
      <c r="Z29" s="4">
        <f t="shared" ref="Z29:Z36" si="15">Z28</f>
        <v>2.6078714999999999E-2</v>
      </c>
      <c r="AA29" s="4">
        <f t="shared" ref="AA29:AA36" si="16">AA28</f>
        <v>1.9734270000000002E-2</v>
      </c>
      <c r="AB29" s="4">
        <f t="shared" ref="AB29:AB36" si="17">AB28</f>
        <v>1.3394324999999999E-2</v>
      </c>
      <c r="AC29" s="4">
        <f t="shared" ref="AC29:AC36" si="18">AC28</f>
        <v>-6.9499999999999996E-3</v>
      </c>
      <c r="AD29" s="4">
        <f t="shared" ref="AD29:AD36" si="19">AD28</f>
        <v>1.8055500000000002E-2</v>
      </c>
      <c r="AE29" s="4">
        <f t="shared" ref="AE29:AE36" si="20">AE28</f>
        <v>1.1712659482551745E-2</v>
      </c>
      <c r="AF29" s="4">
        <f t="shared" ref="AF29:AF36" si="21">AF28</f>
        <v>5.3719122412758738E-3</v>
      </c>
      <c r="AG29" s="4">
        <f t="shared" ref="AG29:AG36" si="22">AG28</f>
        <v>-1.4972412758724126E-2</v>
      </c>
    </row>
    <row r="30" spans="1:33">
      <c r="Y30">
        <f t="shared" si="2"/>
        <v>2042</v>
      </c>
      <c r="Z30" s="4">
        <f t="shared" si="15"/>
        <v>2.6078714999999999E-2</v>
      </c>
      <c r="AA30" s="4">
        <f t="shared" si="16"/>
        <v>1.9734270000000002E-2</v>
      </c>
      <c r="AB30" s="4">
        <f t="shared" si="17"/>
        <v>1.3394324999999999E-2</v>
      </c>
      <c r="AC30" s="4">
        <f t="shared" si="18"/>
        <v>-6.9499999999999996E-3</v>
      </c>
      <c r="AD30" s="4">
        <f t="shared" si="19"/>
        <v>1.8055500000000002E-2</v>
      </c>
      <c r="AE30" s="4">
        <f t="shared" si="20"/>
        <v>1.1712659482551745E-2</v>
      </c>
      <c r="AF30" s="4">
        <f t="shared" si="21"/>
        <v>5.3719122412758738E-3</v>
      </c>
      <c r="AG30" s="4">
        <f t="shared" si="22"/>
        <v>-1.4972412758724126E-2</v>
      </c>
    </row>
    <row r="31" spans="1:33">
      <c r="Y31">
        <f t="shared" si="2"/>
        <v>2043</v>
      </c>
      <c r="Z31" s="4">
        <f t="shared" si="15"/>
        <v>2.6078714999999999E-2</v>
      </c>
      <c r="AA31" s="4">
        <f t="shared" si="16"/>
        <v>1.9734270000000002E-2</v>
      </c>
      <c r="AB31" s="4">
        <f t="shared" si="17"/>
        <v>1.3394324999999999E-2</v>
      </c>
      <c r="AC31" s="4">
        <f t="shared" si="18"/>
        <v>-6.9499999999999996E-3</v>
      </c>
      <c r="AD31" s="4">
        <f t="shared" si="19"/>
        <v>1.8055500000000002E-2</v>
      </c>
      <c r="AE31" s="4">
        <f t="shared" si="20"/>
        <v>1.1712659482551745E-2</v>
      </c>
      <c r="AF31" s="4">
        <f t="shared" si="21"/>
        <v>5.3719122412758738E-3</v>
      </c>
      <c r="AG31" s="4">
        <f t="shared" si="22"/>
        <v>-1.4972412758724126E-2</v>
      </c>
    </row>
    <row r="32" spans="1:33">
      <c r="A32" t="s">
        <v>159</v>
      </c>
      <c r="Y32">
        <f t="shared" si="2"/>
        <v>2044</v>
      </c>
      <c r="Z32" s="4">
        <f t="shared" si="15"/>
        <v>2.6078714999999999E-2</v>
      </c>
      <c r="AA32" s="4">
        <f t="shared" si="16"/>
        <v>1.9734270000000002E-2</v>
      </c>
      <c r="AB32" s="4">
        <f t="shared" si="17"/>
        <v>1.3394324999999999E-2</v>
      </c>
      <c r="AC32" s="4">
        <f t="shared" si="18"/>
        <v>-6.9499999999999996E-3</v>
      </c>
      <c r="AD32" s="4">
        <f t="shared" si="19"/>
        <v>1.8055500000000002E-2</v>
      </c>
      <c r="AE32" s="4">
        <f t="shared" si="20"/>
        <v>1.1712659482551745E-2</v>
      </c>
      <c r="AF32" s="4">
        <f t="shared" si="21"/>
        <v>5.3719122412758738E-3</v>
      </c>
      <c r="AG32" s="4">
        <f t="shared" si="22"/>
        <v>-1.4972412758724126E-2</v>
      </c>
    </row>
    <row r="33" spans="1:33">
      <c r="Y33">
        <f t="shared" si="2"/>
        <v>2045</v>
      </c>
      <c r="Z33" s="4">
        <f t="shared" si="15"/>
        <v>2.6078714999999999E-2</v>
      </c>
      <c r="AA33" s="4">
        <f t="shared" si="16"/>
        <v>1.9734270000000002E-2</v>
      </c>
      <c r="AB33" s="4">
        <f t="shared" si="17"/>
        <v>1.3394324999999999E-2</v>
      </c>
      <c r="AC33" s="4">
        <f t="shared" si="18"/>
        <v>-6.9499999999999996E-3</v>
      </c>
      <c r="AD33" s="4">
        <f t="shared" si="19"/>
        <v>1.8055500000000002E-2</v>
      </c>
      <c r="AE33" s="4">
        <f t="shared" si="20"/>
        <v>1.1712659482551745E-2</v>
      </c>
      <c r="AF33" s="4">
        <f t="shared" si="21"/>
        <v>5.3719122412758738E-3</v>
      </c>
      <c r="AG33" s="4">
        <f t="shared" si="22"/>
        <v>-1.4972412758724126E-2</v>
      </c>
    </row>
    <row r="34" spans="1:33">
      <c r="A34" t="s">
        <v>201</v>
      </c>
      <c r="Y34">
        <f t="shared" si="2"/>
        <v>2046</v>
      </c>
      <c r="Z34" s="4">
        <f t="shared" si="15"/>
        <v>2.6078714999999999E-2</v>
      </c>
      <c r="AA34" s="4">
        <f t="shared" si="16"/>
        <v>1.9734270000000002E-2</v>
      </c>
      <c r="AB34" s="4">
        <f t="shared" si="17"/>
        <v>1.3394324999999999E-2</v>
      </c>
      <c r="AC34" s="4">
        <f t="shared" si="18"/>
        <v>-6.9499999999999996E-3</v>
      </c>
      <c r="AD34" s="4">
        <f t="shared" si="19"/>
        <v>1.8055500000000002E-2</v>
      </c>
      <c r="AE34" s="4">
        <f t="shared" si="20"/>
        <v>1.1712659482551745E-2</v>
      </c>
      <c r="AF34" s="4">
        <f t="shared" si="21"/>
        <v>5.3719122412758738E-3</v>
      </c>
      <c r="AG34" s="4">
        <f t="shared" si="22"/>
        <v>-1.4972412758724126E-2</v>
      </c>
    </row>
    <row r="35" spans="1:33">
      <c r="A35" t="s">
        <v>200</v>
      </c>
      <c r="Y35">
        <f t="shared" si="2"/>
        <v>2047</v>
      </c>
      <c r="Z35" s="4">
        <f t="shared" si="15"/>
        <v>2.6078714999999999E-2</v>
      </c>
      <c r="AA35" s="4">
        <f t="shared" si="16"/>
        <v>1.9734270000000002E-2</v>
      </c>
      <c r="AB35" s="4">
        <f t="shared" si="17"/>
        <v>1.3394324999999999E-2</v>
      </c>
      <c r="AC35" s="4">
        <f t="shared" si="18"/>
        <v>-6.9499999999999996E-3</v>
      </c>
      <c r="AD35" s="4">
        <f t="shared" si="19"/>
        <v>1.8055500000000002E-2</v>
      </c>
      <c r="AE35" s="4">
        <f t="shared" si="20"/>
        <v>1.1712659482551745E-2</v>
      </c>
      <c r="AF35" s="4">
        <f t="shared" si="21"/>
        <v>5.3719122412758738E-3</v>
      </c>
      <c r="AG35" s="4">
        <f t="shared" si="22"/>
        <v>-1.4972412758724126E-2</v>
      </c>
    </row>
    <row r="36" spans="1:33">
      <c r="Y36">
        <f t="shared" si="2"/>
        <v>2048</v>
      </c>
      <c r="Z36" s="4">
        <f t="shared" si="15"/>
        <v>2.6078714999999999E-2</v>
      </c>
      <c r="AA36" s="4">
        <f t="shared" si="16"/>
        <v>1.9734270000000002E-2</v>
      </c>
      <c r="AB36" s="4">
        <f t="shared" si="17"/>
        <v>1.3394324999999999E-2</v>
      </c>
      <c r="AC36" s="4">
        <f t="shared" si="18"/>
        <v>-6.9499999999999996E-3</v>
      </c>
      <c r="AD36" s="4">
        <f t="shared" si="19"/>
        <v>1.8055500000000002E-2</v>
      </c>
      <c r="AE36" s="4">
        <f t="shared" si="20"/>
        <v>1.1712659482551745E-2</v>
      </c>
      <c r="AF36" s="4">
        <f t="shared" si="21"/>
        <v>5.3719122412758738E-3</v>
      </c>
      <c r="AG36" s="4">
        <f t="shared" si="22"/>
        <v>-1.4972412758724126E-2</v>
      </c>
    </row>
    <row r="37" spans="1:33">
      <c r="Y37">
        <f t="shared" si="2"/>
        <v>2049</v>
      </c>
      <c r="Z37" s="4">
        <f>U7</f>
        <v>3.000856E-2</v>
      </c>
      <c r="AA37" s="4">
        <f>U8</f>
        <v>2.3758689999999999E-2</v>
      </c>
      <c r="AB37" s="4">
        <f>U9</f>
        <v>1.7782129999999997E-2</v>
      </c>
      <c r="AC37" s="4">
        <f>U10</f>
        <v>-5.5999999999999999E-3</v>
      </c>
      <c r="AD37" s="4">
        <f>U18</f>
        <v>1.6641285099999851E-2</v>
      </c>
      <c r="AE37" s="4">
        <f>U19</f>
        <v>1.0394088287661083E-2</v>
      </c>
      <c r="AF37" s="4">
        <f>U20</f>
        <v>4.4161916938304643E-3</v>
      </c>
      <c r="AG37" s="4">
        <f>U21</f>
        <v>-1.8965938306169536E-2</v>
      </c>
    </row>
    <row r="38" spans="1:33">
      <c r="Y38">
        <f t="shared" si="2"/>
        <v>2050</v>
      </c>
      <c r="Z38" s="4">
        <f>Z37</f>
        <v>3.000856E-2</v>
      </c>
      <c r="AA38" s="4">
        <f t="shared" ref="AA38:AG38" si="23">AA37</f>
        <v>2.3758689999999999E-2</v>
      </c>
      <c r="AB38" s="4">
        <f t="shared" si="23"/>
        <v>1.7782129999999997E-2</v>
      </c>
      <c r="AC38" s="4">
        <f t="shared" si="23"/>
        <v>-5.5999999999999999E-3</v>
      </c>
      <c r="AD38" s="4">
        <f t="shared" si="23"/>
        <v>1.6641285099999851E-2</v>
      </c>
      <c r="AE38" s="4">
        <f t="shared" si="23"/>
        <v>1.0394088287661083E-2</v>
      </c>
      <c r="AF38" s="4">
        <f t="shared" si="23"/>
        <v>4.4161916938304643E-3</v>
      </c>
      <c r="AG38" s="4">
        <f t="shared" si="23"/>
        <v>-1.8965938306169536E-2</v>
      </c>
    </row>
    <row r="39" spans="1:33">
      <c r="Y39">
        <f t="shared" si="2"/>
        <v>2051</v>
      </c>
      <c r="Z39" s="4">
        <f t="shared" ref="Z39:Z55" si="24">Z38</f>
        <v>3.000856E-2</v>
      </c>
      <c r="AA39" s="4">
        <f t="shared" ref="AA39:AA55" si="25">AA38</f>
        <v>2.3758689999999999E-2</v>
      </c>
      <c r="AB39" s="4">
        <f t="shared" ref="AB39:AB55" si="26">AB38</f>
        <v>1.7782129999999997E-2</v>
      </c>
      <c r="AC39" s="4">
        <f t="shared" ref="AC39:AC55" si="27">AC38</f>
        <v>-5.5999999999999999E-3</v>
      </c>
      <c r="AD39" s="4">
        <f t="shared" ref="AD39:AD55" si="28">AD38</f>
        <v>1.6641285099999851E-2</v>
      </c>
      <c r="AE39" s="4">
        <f t="shared" ref="AE39:AE55" si="29">AE38</f>
        <v>1.0394088287661083E-2</v>
      </c>
      <c r="AF39" s="4">
        <f t="shared" ref="AF39:AF55" si="30">AF38</f>
        <v>4.4161916938304643E-3</v>
      </c>
      <c r="AG39" s="4">
        <f t="shared" ref="AG39:AG55" si="31">AG38</f>
        <v>-1.8965938306169536E-2</v>
      </c>
    </row>
    <row r="40" spans="1:33">
      <c r="Y40">
        <f t="shared" si="2"/>
        <v>2052</v>
      </c>
      <c r="Z40" s="4">
        <f t="shared" si="24"/>
        <v>3.000856E-2</v>
      </c>
      <c r="AA40" s="4">
        <f t="shared" si="25"/>
        <v>2.3758689999999999E-2</v>
      </c>
      <c r="AB40" s="4">
        <f t="shared" si="26"/>
        <v>1.7782129999999997E-2</v>
      </c>
      <c r="AC40" s="4">
        <f t="shared" si="27"/>
        <v>-5.5999999999999999E-3</v>
      </c>
      <c r="AD40" s="4">
        <f t="shared" si="28"/>
        <v>1.6641285099999851E-2</v>
      </c>
      <c r="AE40" s="4">
        <f t="shared" si="29"/>
        <v>1.0394088287661083E-2</v>
      </c>
      <c r="AF40" s="4">
        <f t="shared" si="30"/>
        <v>4.4161916938304643E-3</v>
      </c>
      <c r="AG40" s="4">
        <f t="shared" si="31"/>
        <v>-1.8965938306169536E-2</v>
      </c>
    </row>
    <row r="41" spans="1:33">
      <c r="Y41">
        <f t="shared" si="2"/>
        <v>2053</v>
      </c>
      <c r="Z41" s="4">
        <f t="shared" si="24"/>
        <v>3.000856E-2</v>
      </c>
      <c r="AA41" s="4">
        <f t="shared" si="25"/>
        <v>2.3758689999999999E-2</v>
      </c>
      <c r="AB41" s="4">
        <f t="shared" si="26"/>
        <v>1.7782129999999997E-2</v>
      </c>
      <c r="AC41" s="4">
        <f t="shared" si="27"/>
        <v>-5.5999999999999999E-3</v>
      </c>
      <c r="AD41" s="4">
        <f t="shared" si="28"/>
        <v>1.6641285099999851E-2</v>
      </c>
      <c r="AE41" s="4">
        <f t="shared" si="29"/>
        <v>1.0394088287661083E-2</v>
      </c>
      <c r="AF41" s="4">
        <f t="shared" si="30"/>
        <v>4.4161916938304643E-3</v>
      </c>
      <c r="AG41" s="4">
        <f t="shared" si="31"/>
        <v>-1.8965938306169536E-2</v>
      </c>
    </row>
    <row r="42" spans="1:33">
      <c r="Y42">
        <f t="shared" si="2"/>
        <v>2054</v>
      </c>
      <c r="Z42" s="4">
        <f t="shared" si="24"/>
        <v>3.000856E-2</v>
      </c>
      <c r="AA42" s="4">
        <f t="shared" si="25"/>
        <v>2.3758689999999999E-2</v>
      </c>
      <c r="AB42" s="4">
        <f t="shared" si="26"/>
        <v>1.7782129999999997E-2</v>
      </c>
      <c r="AC42" s="4">
        <f t="shared" si="27"/>
        <v>-5.5999999999999999E-3</v>
      </c>
      <c r="AD42" s="4">
        <f t="shared" si="28"/>
        <v>1.6641285099999851E-2</v>
      </c>
      <c r="AE42" s="4">
        <f t="shared" si="29"/>
        <v>1.0394088287661083E-2</v>
      </c>
      <c r="AF42" s="4">
        <f t="shared" si="30"/>
        <v>4.4161916938304643E-3</v>
      </c>
      <c r="AG42" s="4">
        <f t="shared" si="31"/>
        <v>-1.8965938306169536E-2</v>
      </c>
    </row>
    <row r="43" spans="1:33">
      <c r="Y43">
        <f t="shared" si="2"/>
        <v>2055</v>
      </c>
      <c r="Z43" s="4">
        <f t="shared" si="24"/>
        <v>3.000856E-2</v>
      </c>
      <c r="AA43" s="4">
        <f t="shared" si="25"/>
        <v>2.3758689999999999E-2</v>
      </c>
      <c r="AB43" s="4">
        <f t="shared" si="26"/>
        <v>1.7782129999999997E-2</v>
      </c>
      <c r="AC43" s="4">
        <f t="shared" si="27"/>
        <v>-5.5999999999999999E-3</v>
      </c>
      <c r="AD43" s="4">
        <f t="shared" si="28"/>
        <v>1.6641285099999851E-2</v>
      </c>
      <c r="AE43" s="4">
        <f t="shared" si="29"/>
        <v>1.0394088287661083E-2</v>
      </c>
      <c r="AF43" s="4">
        <f t="shared" si="30"/>
        <v>4.4161916938304643E-3</v>
      </c>
      <c r="AG43" s="4">
        <f t="shared" si="31"/>
        <v>-1.8965938306169536E-2</v>
      </c>
    </row>
    <row r="44" spans="1:33">
      <c r="Y44">
        <f t="shared" si="2"/>
        <v>2056</v>
      </c>
      <c r="Z44" s="4">
        <f t="shared" si="24"/>
        <v>3.000856E-2</v>
      </c>
      <c r="AA44" s="4">
        <f t="shared" si="25"/>
        <v>2.3758689999999999E-2</v>
      </c>
      <c r="AB44" s="4">
        <f t="shared" si="26"/>
        <v>1.7782129999999997E-2</v>
      </c>
      <c r="AC44" s="4">
        <f t="shared" si="27"/>
        <v>-5.5999999999999999E-3</v>
      </c>
      <c r="AD44" s="4">
        <f t="shared" si="28"/>
        <v>1.6641285099999851E-2</v>
      </c>
      <c r="AE44" s="4">
        <f t="shared" si="29"/>
        <v>1.0394088287661083E-2</v>
      </c>
      <c r="AF44" s="4">
        <f t="shared" si="30"/>
        <v>4.4161916938304643E-3</v>
      </c>
      <c r="AG44" s="4">
        <f t="shared" si="31"/>
        <v>-1.8965938306169536E-2</v>
      </c>
    </row>
    <row r="45" spans="1:33">
      <c r="Y45">
        <f t="shared" si="2"/>
        <v>2057</v>
      </c>
      <c r="Z45" s="4">
        <f t="shared" si="24"/>
        <v>3.000856E-2</v>
      </c>
      <c r="AA45" s="4">
        <f t="shared" si="25"/>
        <v>2.3758689999999999E-2</v>
      </c>
      <c r="AB45" s="4">
        <f t="shared" si="26"/>
        <v>1.7782129999999997E-2</v>
      </c>
      <c r="AC45" s="4">
        <f t="shared" si="27"/>
        <v>-5.5999999999999999E-3</v>
      </c>
      <c r="AD45" s="4">
        <f t="shared" si="28"/>
        <v>1.6641285099999851E-2</v>
      </c>
      <c r="AE45" s="4">
        <f t="shared" si="29"/>
        <v>1.0394088287661083E-2</v>
      </c>
      <c r="AF45" s="4">
        <f t="shared" si="30"/>
        <v>4.4161916938304643E-3</v>
      </c>
      <c r="AG45" s="4">
        <f t="shared" si="31"/>
        <v>-1.8965938306169536E-2</v>
      </c>
    </row>
    <row r="46" spans="1:33">
      <c r="Y46">
        <f t="shared" si="2"/>
        <v>2058</v>
      </c>
      <c r="Z46" s="4">
        <f t="shared" si="24"/>
        <v>3.000856E-2</v>
      </c>
      <c r="AA46" s="4">
        <f t="shared" si="25"/>
        <v>2.3758689999999999E-2</v>
      </c>
      <c r="AB46" s="4">
        <f t="shared" si="26"/>
        <v>1.7782129999999997E-2</v>
      </c>
      <c r="AC46" s="4">
        <f t="shared" si="27"/>
        <v>-5.5999999999999999E-3</v>
      </c>
      <c r="AD46" s="4">
        <f t="shared" si="28"/>
        <v>1.6641285099999851E-2</v>
      </c>
      <c r="AE46" s="4">
        <f t="shared" si="29"/>
        <v>1.0394088287661083E-2</v>
      </c>
      <c r="AF46" s="4">
        <f t="shared" si="30"/>
        <v>4.4161916938304643E-3</v>
      </c>
      <c r="AG46" s="4">
        <f t="shared" si="31"/>
        <v>-1.8965938306169536E-2</v>
      </c>
    </row>
    <row r="47" spans="1:33">
      <c r="Y47">
        <f t="shared" si="2"/>
        <v>2059</v>
      </c>
      <c r="Z47" s="4">
        <f t="shared" si="24"/>
        <v>3.000856E-2</v>
      </c>
      <c r="AA47" s="4">
        <f t="shared" si="25"/>
        <v>2.3758689999999999E-2</v>
      </c>
      <c r="AB47" s="4">
        <f t="shared" si="26"/>
        <v>1.7782129999999997E-2</v>
      </c>
      <c r="AC47" s="4">
        <f t="shared" si="27"/>
        <v>-5.5999999999999999E-3</v>
      </c>
      <c r="AD47" s="4">
        <f t="shared" si="28"/>
        <v>1.6641285099999851E-2</v>
      </c>
      <c r="AE47" s="4">
        <f t="shared" si="29"/>
        <v>1.0394088287661083E-2</v>
      </c>
      <c r="AF47" s="4">
        <f t="shared" si="30"/>
        <v>4.4161916938304643E-3</v>
      </c>
      <c r="AG47" s="4">
        <f t="shared" si="31"/>
        <v>-1.8965938306169536E-2</v>
      </c>
    </row>
    <row r="48" spans="1:33">
      <c r="Y48">
        <f t="shared" si="2"/>
        <v>2060</v>
      </c>
      <c r="Z48" s="4">
        <f t="shared" si="24"/>
        <v>3.000856E-2</v>
      </c>
      <c r="AA48" s="4">
        <f t="shared" si="25"/>
        <v>2.3758689999999999E-2</v>
      </c>
      <c r="AB48" s="4">
        <f t="shared" si="26"/>
        <v>1.7782129999999997E-2</v>
      </c>
      <c r="AC48" s="4">
        <f t="shared" si="27"/>
        <v>-5.5999999999999999E-3</v>
      </c>
      <c r="AD48" s="4">
        <f t="shared" si="28"/>
        <v>1.6641285099999851E-2</v>
      </c>
      <c r="AE48" s="4">
        <f t="shared" si="29"/>
        <v>1.0394088287661083E-2</v>
      </c>
      <c r="AF48" s="4">
        <f t="shared" si="30"/>
        <v>4.4161916938304643E-3</v>
      </c>
      <c r="AG48" s="4">
        <f t="shared" si="31"/>
        <v>-1.8965938306169536E-2</v>
      </c>
    </row>
    <row r="49" spans="25:33">
      <c r="Y49">
        <f t="shared" si="2"/>
        <v>2061</v>
      </c>
      <c r="Z49" s="4">
        <f t="shared" si="24"/>
        <v>3.000856E-2</v>
      </c>
      <c r="AA49" s="4">
        <f t="shared" si="25"/>
        <v>2.3758689999999999E-2</v>
      </c>
      <c r="AB49" s="4">
        <f t="shared" si="26"/>
        <v>1.7782129999999997E-2</v>
      </c>
      <c r="AC49" s="4">
        <f t="shared" si="27"/>
        <v>-5.5999999999999999E-3</v>
      </c>
      <c r="AD49" s="4">
        <f t="shared" si="28"/>
        <v>1.6641285099999851E-2</v>
      </c>
      <c r="AE49" s="4">
        <f t="shared" si="29"/>
        <v>1.0394088287661083E-2</v>
      </c>
      <c r="AF49" s="4">
        <f t="shared" si="30"/>
        <v>4.4161916938304643E-3</v>
      </c>
      <c r="AG49" s="4">
        <f t="shared" si="31"/>
        <v>-1.8965938306169536E-2</v>
      </c>
    </row>
    <row r="50" spans="25:33">
      <c r="Y50">
        <f t="shared" si="2"/>
        <v>2062</v>
      </c>
      <c r="Z50" s="4">
        <f t="shared" si="24"/>
        <v>3.000856E-2</v>
      </c>
      <c r="AA50" s="4">
        <f t="shared" si="25"/>
        <v>2.3758689999999999E-2</v>
      </c>
      <c r="AB50" s="4">
        <f t="shared" si="26"/>
        <v>1.7782129999999997E-2</v>
      </c>
      <c r="AC50" s="4">
        <f t="shared" si="27"/>
        <v>-5.5999999999999999E-3</v>
      </c>
      <c r="AD50" s="4">
        <f t="shared" si="28"/>
        <v>1.6641285099999851E-2</v>
      </c>
      <c r="AE50" s="4">
        <f t="shared" si="29"/>
        <v>1.0394088287661083E-2</v>
      </c>
      <c r="AF50" s="4">
        <f t="shared" si="30"/>
        <v>4.4161916938304643E-3</v>
      </c>
      <c r="AG50" s="4">
        <f t="shared" si="31"/>
        <v>-1.8965938306169536E-2</v>
      </c>
    </row>
    <row r="51" spans="25:33">
      <c r="Y51">
        <f t="shared" si="2"/>
        <v>2063</v>
      </c>
      <c r="Z51" s="4">
        <f t="shared" si="24"/>
        <v>3.000856E-2</v>
      </c>
      <c r="AA51" s="4">
        <f t="shared" si="25"/>
        <v>2.3758689999999999E-2</v>
      </c>
      <c r="AB51" s="4">
        <f t="shared" si="26"/>
        <v>1.7782129999999997E-2</v>
      </c>
      <c r="AC51" s="4">
        <f t="shared" si="27"/>
        <v>-5.5999999999999999E-3</v>
      </c>
      <c r="AD51" s="4">
        <f t="shared" si="28"/>
        <v>1.6641285099999851E-2</v>
      </c>
      <c r="AE51" s="4">
        <f t="shared" si="29"/>
        <v>1.0394088287661083E-2</v>
      </c>
      <c r="AF51" s="4">
        <f t="shared" si="30"/>
        <v>4.4161916938304643E-3</v>
      </c>
      <c r="AG51" s="4">
        <f t="shared" si="31"/>
        <v>-1.8965938306169536E-2</v>
      </c>
    </row>
    <row r="52" spans="25:33">
      <c r="Y52">
        <f t="shared" si="2"/>
        <v>2064</v>
      </c>
      <c r="Z52" s="4">
        <f t="shared" si="24"/>
        <v>3.000856E-2</v>
      </c>
      <c r="AA52" s="4">
        <f t="shared" si="25"/>
        <v>2.3758689999999999E-2</v>
      </c>
      <c r="AB52" s="4">
        <f t="shared" si="26"/>
        <v>1.7782129999999997E-2</v>
      </c>
      <c r="AC52" s="4">
        <f t="shared" si="27"/>
        <v>-5.5999999999999999E-3</v>
      </c>
      <c r="AD52" s="4">
        <f t="shared" si="28"/>
        <v>1.6641285099999851E-2</v>
      </c>
      <c r="AE52" s="4">
        <f t="shared" si="29"/>
        <v>1.0394088287661083E-2</v>
      </c>
      <c r="AF52" s="4">
        <f t="shared" si="30"/>
        <v>4.4161916938304643E-3</v>
      </c>
      <c r="AG52" s="4">
        <f t="shared" si="31"/>
        <v>-1.8965938306169536E-2</v>
      </c>
    </row>
    <row r="53" spans="25:33">
      <c r="Y53">
        <f t="shared" si="2"/>
        <v>2065</v>
      </c>
      <c r="Z53" s="4">
        <f t="shared" si="24"/>
        <v>3.000856E-2</v>
      </c>
      <c r="AA53" s="4">
        <f t="shared" si="25"/>
        <v>2.3758689999999999E-2</v>
      </c>
      <c r="AB53" s="4">
        <f t="shared" si="26"/>
        <v>1.7782129999999997E-2</v>
      </c>
      <c r="AC53" s="4">
        <f t="shared" si="27"/>
        <v>-5.5999999999999999E-3</v>
      </c>
      <c r="AD53" s="4">
        <f t="shared" si="28"/>
        <v>1.6641285099999851E-2</v>
      </c>
      <c r="AE53" s="4">
        <f t="shared" si="29"/>
        <v>1.0394088287661083E-2</v>
      </c>
      <c r="AF53" s="4">
        <f t="shared" si="30"/>
        <v>4.4161916938304643E-3</v>
      </c>
      <c r="AG53" s="4">
        <f t="shared" si="31"/>
        <v>-1.8965938306169536E-2</v>
      </c>
    </row>
    <row r="54" spans="25:33">
      <c r="Y54">
        <f t="shared" si="2"/>
        <v>2066</v>
      </c>
      <c r="Z54" s="4">
        <f t="shared" si="24"/>
        <v>3.000856E-2</v>
      </c>
      <c r="AA54" s="4">
        <f t="shared" si="25"/>
        <v>2.3758689999999999E-2</v>
      </c>
      <c r="AB54" s="4">
        <f t="shared" si="26"/>
        <v>1.7782129999999997E-2</v>
      </c>
      <c r="AC54" s="4">
        <f t="shared" si="27"/>
        <v>-5.5999999999999999E-3</v>
      </c>
      <c r="AD54" s="4">
        <f t="shared" si="28"/>
        <v>1.6641285099999851E-2</v>
      </c>
      <c r="AE54" s="4">
        <f t="shared" si="29"/>
        <v>1.0394088287661083E-2</v>
      </c>
      <c r="AF54" s="4">
        <f t="shared" si="30"/>
        <v>4.4161916938304643E-3</v>
      </c>
      <c r="AG54" s="4">
        <f t="shared" si="31"/>
        <v>-1.8965938306169536E-2</v>
      </c>
    </row>
    <row r="55" spans="25:33">
      <c r="Y55">
        <f t="shared" si="2"/>
        <v>2067</v>
      </c>
      <c r="Z55" s="4">
        <f t="shared" si="24"/>
        <v>3.000856E-2</v>
      </c>
      <c r="AA55" s="4">
        <f t="shared" si="25"/>
        <v>2.3758689999999999E-2</v>
      </c>
      <c r="AB55" s="4">
        <f t="shared" si="26"/>
        <v>1.7782129999999997E-2</v>
      </c>
      <c r="AC55" s="4">
        <f t="shared" si="27"/>
        <v>-5.5999999999999999E-3</v>
      </c>
      <c r="AD55" s="4">
        <f t="shared" si="28"/>
        <v>1.6641285099999851E-2</v>
      </c>
      <c r="AE55" s="4">
        <f t="shared" si="29"/>
        <v>1.0394088287661083E-2</v>
      </c>
      <c r="AF55" s="4">
        <f t="shared" si="30"/>
        <v>4.4161916938304643E-3</v>
      </c>
      <c r="AG55" s="4">
        <f t="shared" si="31"/>
        <v>-1.8965938306169536E-2</v>
      </c>
    </row>
  </sheetData>
  <mergeCells count="7">
    <mergeCell ref="R5:U5"/>
    <mergeCell ref="R16:U16"/>
    <mergeCell ref="Z5:AC5"/>
    <mergeCell ref="AD5:AG5"/>
    <mergeCell ref="C4:F4"/>
    <mergeCell ref="C15:F15"/>
    <mergeCell ref="L4:O4"/>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G63"/>
  <sheetViews>
    <sheetView topLeftCell="A10" workbookViewId="0">
      <selection activeCell="A3" sqref="A3"/>
    </sheetView>
  </sheetViews>
  <sheetFormatPr baseColWidth="10" defaultRowHeight="16"/>
  <cols>
    <col min="1" max="1" width="36.33203125" bestFit="1" customWidth="1"/>
    <col min="4" max="4" width="16.5" customWidth="1"/>
  </cols>
  <sheetData>
    <row r="1" spans="1:7">
      <c r="A1" s="3" t="s">
        <v>133</v>
      </c>
    </row>
    <row r="2" spans="1:7">
      <c r="A2" t="s">
        <v>134</v>
      </c>
    </row>
    <row r="4" spans="1:7">
      <c r="F4" s="8">
        <v>19456</v>
      </c>
    </row>
    <row r="5" spans="1:7">
      <c r="A5" t="s">
        <v>90</v>
      </c>
      <c r="G5" t="s">
        <v>90</v>
      </c>
    </row>
    <row r="6" spans="1:7">
      <c r="A6" t="s">
        <v>91</v>
      </c>
      <c r="G6" t="s">
        <v>91</v>
      </c>
    </row>
    <row r="7" spans="1:7" ht="18">
      <c r="A7" s="11" t="s">
        <v>46</v>
      </c>
    </row>
    <row r="8" spans="1:7">
      <c r="B8" s="3" t="s">
        <v>35</v>
      </c>
      <c r="C8" s="3"/>
      <c r="D8" s="100" t="s">
        <v>58</v>
      </c>
    </row>
    <row r="9" spans="1:7">
      <c r="B9" s="3" t="s">
        <v>72</v>
      </c>
      <c r="C9" s="3" t="s">
        <v>73</v>
      </c>
      <c r="D9" s="100"/>
    </row>
    <row r="10" spans="1:7">
      <c r="A10" s="12" t="s">
        <v>38</v>
      </c>
      <c r="B10" s="14">
        <v>19455</v>
      </c>
      <c r="C10" s="14">
        <v>19484</v>
      </c>
      <c r="D10" s="14">
        <v>42557</v>
      </c>
      <c r="G10" s="19">
        <f>YEAR(LOOKUP(2,1/($B$10:$B$62&lt;=Inputs!B12)/($C$10:$C$62&gt;=Inputs!B12),$D$10:$D$62))</f>
        <v>2060</v>
      </c>
    </row>
    <row r="11" spans="1:7">
      <c r="A11" s="12" t="s">
        <v>39</v>
      </c>
      <c r="B11" s="14">
        <v>19485</v>
      </c>
      <c r="C11" s="14">
        <v>19515</v>
      </c>
      <c r="D11" s="14">
        <v>42680</v>
      </c>
    </row>
    <row r="12" spans="1:7">
      <c r="A12" s="12" t="s">
        <v>40</v>
      </c>
      <c r="B12" s="14">
        <v>19516</v>
      </c>
      <c r="C12" s="14">
        <v>19545</v>
      </c>
      <c r="D12" s="14">
        <v>42800</v>
      </c>
    </row>
    <row r="13" spans="1:7">
      <c r="A13" s="12" t="s">
        <v>41</v>
      </c>
      <c r="B13" s="14">
        <v>19546</v>
      </c>
      <c r="C13" s="14">
        <v>19576</v>
      </c>
      <c r="D13" s="14">
        <v>42922</v>
      </c>
    </row>
    <row r="14" spans="1:7">
      <c r="A14" s="12" t="s">
        <v>42</v>
      </c>
      <c r="B14" s="14">
        <v>19577</v>
      </c>
      <c r="C14" s="14">
        <v>19607</v>
      </c>
      <c r="D14" s="14">
        <v>43045</v>
      </c>
    </row>
    <row r="15" spans="1:7">
      <c r="A15" s="12" t="s">
        <v>43</v>
      </c>
      <c r="B15" s="14">
        <v>19608</v>
      </c>
      <c r="C15" s="14">
        <v>19637</v>
      </c>
      <c r="D15" s="14">
        <v>43165</v>
      </c>
    </row>
    <row r="16" spans="1:7" ht="20">
      <c r="A16" s="12" t="s">
        <v>44</v>
      </c>
      <c r="B16" s="14">
        <v>19638</v>
      </c>
      <c r="C16" s="14">
        <v>19668</v>
      </c>
      <c r="D16" s="14">
        <v>43287</v>
      </c>
      <c r="G16" s="18"/>
    </row>
    <row r="17" spans="1:7">
      <c r="A17" s="12" t="s">
        <v>45</v>
      </c>
      <c r="B17" s="14">
        <v>19669</v>
      </c>
      <c r="C17" s="14">
        <v>19698</v>
      </c>
      <c r="D17" s="14">
        <v>43410</v>
      </c>
    </row>
    <row r="18" spans="1:7">
      <c r="A18" s="12"/>
      <c r="D18" s="13"/>
    </row>
    <row r="20" spans="1:7">
      <c r="A20" s="15" t="s">
        <v>74</v>
      </c>
    </row>
    <row r="21" spans="1:7">
      <c r="A21" s="12" t="s">
        <v>47</v>
      </c>
      <c r="B21" s="10">
        <f>B17+30</f>
        <v>19699</v>
      </c>
      <c r="C21" s="10">
        <f>C17+31</f>
        <v>19729</v>
      </c>
      <c r="D21" s="13">
        <v>43530</v>
      </c>
    </row>
    <row r="22" spans="1:7">
      <c r="A22" s="12" t="s">
        <v>48</v>
      </c>
      <c r="B22" s="10">
        <f>B21+31</f>
        <v>19730</v>
      </c>
      <c r="C22" s="10">
        <f>C21+31</f>
        <v>19760</v>
      </c>
      <c r="D22" s="13">
        <v>43591</v>
      </c>
    </row>
    <row r="23" spans="1:7">
      <c r="A23" s="12" t="s">
        <v>49</v>
      </c>
      <c r="B23" s="10">
        <f>C22+1</f>
        <v>19761</v>
      </c>
      <c r="C23" s="10">
        <f>C22+28</f>
        <v>19788</v>
      </c>
      <c r="D23" s="13">
        <v>43652</v>
      </c>
    </row>
    <row r="24" spans="1:7">
      <c r="A24" s="12" t="s">
        <v>50</v>
      </c>
      <c r="B24" s="10">
        <f t="shared" ref="B24:B31" si="0">C23+1</f>
        <v>19789</v>
      </c>
      <c r="C24" s="10">
        <f>C23+31</f>
        <v>19819</v>
      </c>
      <c r="D24" s="13">
        <v>43714</v>
      </c>
    </row>
    <row r="25" spans="1:7" ht="20">
      <c r="A25" s="12" t="s">
        <v>51</v>
      </c>
      <c r="B25" s="10">
        <f t="shared" si="0"/>
        <v>19820</v>
      </c>
      <c r="C25" s="10">
        <f>C24+30</f>
        <v>19849</v>
      </c>
      <c r="D25" s="13">
        <v>43775</v>
      </c>
      <c r="G25" s="18"/>
    </row>
    <row r="26" spans="1:7">
      <c r="A26" s="12" t="s">
        <v>52</v>
      </c>
      <c r="B26" s="10">
        <f t="shared" si="0"/>
        <v>19850</v>
      </c>
      <c r="C26" s="10">
        <f>C25+31</f>
        <v>19880</v>
      </c>
      <c r="D26" s="13">
        <v>43836</v>
      </c>
    </row>
    <row r="27" spans="1:7">
      <c r="A27" s="12" t="s">
        <v>53</v>
      </c>
      <c r="B27" s="10">
        <f t="shared" si="0"/>
        <v>19881</v>
      </c>
      <c r="C27" s="10">
        <f t="shared" ref="C27:C30" si="1">C26+30</f>
        <v>19910</v>
      </c>
      <c r="D27" s="13">
        <v>43896</v>
      </c>
    </row>
    <row r="28" spans="1:7">
      <c r="A28" s="12" t="s">
        <v>54</v>
      </c>
      <c r="B28" s="10">
        <f t="shared" si="0"/>
        <v>19911</v>
      </c>
      <c r="C28" s="10">
        <f>C27+31</f>
        <v>19941</v>
      </c>
      <c r="D28" s="13">
        <v>43957</v>
      </c>
    </row>
    <row r="29" spans="1:7">
      <c r="A29" s="12" t="s">
        <v>55</v>
      </c>
      <c r="B29" s="10">
        <f t="shared" si="0"/>
        <v>19942</v>
      </c>
      <c r="C29" s="10">
        <f>C28+31</f>
        <v>19972</v>
      </c>
      <c r="D29" s="13">
        <v>44018</v>
      </c>
    </row>
    <row r="30" spans="1:7">
      <c r="A30" s="12" t="s">
        <v>56</v>
      </c>
      <c r="B30" s="10">
        <f t="shared" si="0"/>
        <v>19973</v>
      </c>
      <c r="C30" s="10">
        <f t="shared" si="1"/>
        <v>20002</v>
      </c>
      <c r="D30" s="13">
        <v>44080</v>
      </c>
    </row>
    <row r="31" spans="1:7">
      <c r="A31" s="12" t="s">
        <v>57</v>
      </c>
      <c r="B31" s="10">
        <f t="shared" si="0"/>
        <v>20003</v>
      </c>
      <c r="C31" s="10">
        <v>22011</v>
      </c>
      <c r="D31" s="20">
        <f>Inputs!B$12+365.25/12*E37+66*365.25</f>
        <v>57861.9375</v>
      </c>
    </row>
    <row r="33" spans="1:7">
      <c r="A33" s="101" t="s">
        <v>59</v>
      </c>
    </row>
    <row r="34" spans="1:7">
      <c r="A34" s="101"/>
      <c r="D34" s="100" t="s">
        <v>75</v>
      </c>
    </row>
    <row r="35" spans="1:7">
      <c r="A35" s="101"/>
      <c r="B35" s="3" t="s">
        <v>35</v>
      </c>
      <c r="C35" s="3"/>
      <c r="D35" s="100"/>
    </row>
    <row r="36" spans="1:7">
      <c r="A36" s="101"/>
      <c r="B36" s="3" t="s">
        <v>72</v>
      </c>
      <c r="C36" s="3" t="s">
        <v>73</v>
      </c>
    </row>
    <row r="37" spans="1:7">
      <c r="A37" s="12" t="s">
        <v>60</v>
      </c>
      <c r="B37" s="10">
        <f>C31+1</f>
        <v>22012</v>
      </c>
      <c r="C37" s="10">
        <f>B37+29</f>
        <v>22041</v>
      </c>
      <c r="D37" s="20">
        <f>Inputs!B$12+365.25/12*E37+66*365.25</f>
        <v>57861.9375</v>
      </c>
      <c r="E37">
        <v>1</v>
      </c>
    </row>
    <row r="38" spans="1:7">
      <c r="A38" s="12" t="s">
        <v>61</v>
      </c>
      <c r="B38" s="10">
        <f>C37+1</f>
        <v>22042</v>
      </c>
      <c r="C38" s="10">
        <f>C37+31</f>
        <v>22072</v>
      </c>
      <c r="D38" s="20">
        <f>Inputs!B$12+365.25/12*E38+66*365.25</f>
        <v>57892.375</v>
      </c>
      <c r="E38">
        <f>E37+1</f>
        <v>2</v>
      </c>
    </row>
    <row r="39" spans="1:7">
      <c r="A39" s="12" t="s">
        <v>62</v>
      </c>
      <c r="B39" s="10">
        <f t="shared" ref="B39:B48" si="2">C38+1</f>
        <v>22073</v>
      </c>
      <c r="C39" s="10">
        <f>C38+30</f>
        <v>22102</v>
      </c>
      <c r="D39" s="20">
        <f>Inputs!B$12+365.25/12*E39+66*365.25</f>
        <v>57922.8125</v>
      </c>
      <c r="E39">
        <f t="shared" ref="E39:E48" si="3">E38+1</f>
        <v>3</v>
      </c>
      <c r="G39" s="16"/>
    </row>
    <row r="40" spans="1:7">
      <c r="A40" s="12" t="s">
        <v>63</v>
      </c>
      <c r="B40" s="10">
        <f t="shared" si="2"/>
        <v>22103</v>
      </c>
      <c r="C40" s="10">
        <f>C39+31</f>
        <v>22133</v>
      </c>
      <c r="D40" s="20">
        <f>Inputs!B$12+365.25/12*E40+66*365.25</f>
        <v>57953.25</v>
      </c>
      <c r="E40">
        <f t="shared" si="3"/>
        <v>4</v>
      </c>
      <c r="G40" s="16"/>
    </row>
    <row r="41" spans="1:7">
      <c r="A41" s="12" t="s">
        <v>64</v>
      </c>
      <c r="B41" s="10">
        <f t="shared" si="2"/>
        <v>22134</v>
      </c>
      <c r="C41" s="10">
        <f>C40+31</f>
        <v>22164</v>
      </c>
      <c r="D41" s="20">
        <f>Inputs!B$12+365.25/12*E41+66*365.25</f>
        <v>57983.6875</v>
      </c>
      <c r="E41">
        <f t="shared" si="3"/>
        <v>5</v>
      </c>
      <c r="G41" s="16"/>
    </row>
    <row r="42" spans="1:7">
      <c r="A42" s="12" t="s">
        <v>65</v>
      </c>
      <c r="B42" s="10">
        <f t="shared" si="2"/>
        <v>22165</v>
      </c>
      <c r="C42" s="10">
        <f>C41+30</f>
        <v>22194</v>
      </c>
      <c r="D42" s="20">
        <f>Inputs!B$12+365.25/12*E42+66*365.25</f>
        <v>58014.125</v>
      </c>
      <c r="E42">
        <f t="shared" si="3"/>
        <v>6</v>
      </c>
    </row>
    <row r="43" spans="1:7">
      <c r="A43" s="12" t="s">
        <v>66</v>
      </c>
      <c r="B43" s="10">
        <f t="shared" si="2"/>
        <v>22195</v>
      </c>
      <c r="C43" s="10">
        <f>C42+31</f>
        <v>22225</v>
      </c>
      <c r="D43" s="20">
        <f>Inputs!B$12+365.25/12*E43+66*365.25</f>
        <v>58044.5625</v>
      </c>
      <c r="E43">
        <f t="shared" si="3"/>
        <v>7</v>
      </c>
    </row>
    <row r="44" spans="1:7">
      <c r="A44" s="12" t="s">
        <v>67</v>
      </c>
      <c r="B44" s="10">
        <f t="shared" si="2"/>
        <v>22226</v>
      </c>
      <c r="C44" s="10">
        <f>C43+30</f>
        <v>22255</v>
      </c>
      <c r="D44" s="20">
        <f>Inputs!B$12+365.25/12*E44+66*365.25</f>
        <v>58075</v>
      </c>
      <c r="E44">
        <f t="shared" si="3"/>
        <v>8</v>
      </c>
    </row>
    <row r="45" spans="1:7">
      <c r="A45" s="12" t="s">
        <v>68</v>
      </c>
      <c r="B45" s="10">
        <f t="shared" si="2"/>
        <v>22256</v>
      </c>
      <c r="C45" s="10">
        <f>C44+31</f>
        <v>22286</v>
      </c>
      <c r="D45" s="20">
        <f>Inputs!B$12+365.25/12*E45+66*365.25</f>
        <v>58105.4375</v>
      </c>
      <c r="E45">
        <f t="shared" si="3"/>
        <v>9</v>
      </c>
    </row>
    <row r="46" spans="1:7">
      <c r="A46" s="12" t="s">
        <v>69</v>
      </c>
      <c r="B46" s="10">
        <f t="shared" si="2"/>
        <v>22287</v>
      </c>
      <c r="C46" s="10">
        <f>C45+31</f>
        <v>22317</v>
      </c>
      <c r="D46" s="20">
        <f>Inputs!B$12+365.25/12*E46+66*365.25</f>
        <v>58135.875</v>
      </c>
      <c r="E46">
        <f t="shared" si="3"/>
        <v>10</v>
      </c>
    </row>
    <row r="47" spans="1:7">
      <c r="A47" s="12" t="s">
        <v>70</v>
      </c>
      <c r="B47" s="10">
        <f t="shared" si="2"/>
        <v>22318</v>
      </c>
      <c r="C47" s="10">
        <f>C46+28</f>
        <v>22345</v>
      </c>
      <c r="D47" s="20">
        <f>Inputs!B$12+365.25/12*E47+66*365.25</f>
        <v>58166.3125</v>
      </c>
      <c r="E47">
        <f t="shared" si="3"/>
        <v>11</v>
      </c>
    </row>
    <row r="48" spans="1:7">
      <c r="A48" s="12" t="s">
        <v>71</v>
      </c>
      <c r="B48" s="10">
        <f t="shared" si="2"/>
        <v>22346</v>
      </c>
      <c r="C48" s="10">
        <v>28220</v>
      </c>
      <c r="D48" s="20">
        <f>Inputs!B$12+365.25/12*E37+67*365.25</f>
        <v>58227.1875</v>
      </c>
      <c r="E48">
        <f t="shared" si="3"/>
        <v>12</v>
      </c>
    </row>
    <row r="49" spans="1:4">
      <c r="A49" s="12"/>
      <c r="B49" s="12"/>
    </row>
    <row r="50" spans="1:4">
      <c r="A50" s="12" t="s">
        <v>76</v>
      </c>
      <c r="B50" s="10">
        <f>C48+1</f>
        <v>28221</v>
      </c>
      <c r="C50" s="10">
        <f>B50+29</f>
        <v>28250</v>
      </c>
      <c r="D50" s="13">
        <v>52723</v>
      </c>
    </row>
    <row r="51" spans="1:4">
      <c r="A51" s="12" t="s">
        <v>77</v>
      </c>
      <c r="B51" s="10">
        <f>C50+1</f>
        <v>28251</v>
      </c>
      <c r="C51" s="10">
        <f>C50+31</f>
        <v>28281</v>
      </c>
      <c r="D51" s="13">
        <v>52784</v>
      </c>
    </row>
    <row r="52" spans="1:4">
      <c r="A52" s="12" t="s">
        <v>78</v>
      </c>
      <c r="B52" s="10">
        <f t="shared" ref="B52:B61" si="4">C51+1</f>
        <v>28282</v>
      </c>
      <c r="C52" s="10">
        <f>C51+30</f>
        <v>28311</v>
      </c>
      <c r="D52" s="13">
        <v>52846</v>
      </c>
    </row>
    <row r="53" spans="1:4">
      <c r="A53" s="12" t="s">
        <v>79</v>
      </c>
      <c r="B53" s="10">
        <f t="shared" si="4"/>
        <v>28312</v>
      </c>
      <c r="C53" s="10">
        <f>C52+31</f>
        <v>28342</v>
      </c>
      <c r="D53" s="13">
        <v>52907</v>
      </c>
    </row>
    <row r="54" spans="1:4">
      <c r="A54" s="12" t="s">
        <v>80</v>
      </c>
      <c r="B54" s="10">
        <f t="shared" si="4"/>
        <v>28343</v>
      </c>
      <c r="C54" s="10">
        <f>C53+31</f>
        <v>28373</v>
      </c>
      <c r="D54" s="13">
        <v>52968</v>
      </c>
    </row>
    <row r="55" spans="1:4">
      <c r="A55" s="12" t="s">
        <v>81</v>
      </c>
      <c r="B55" s="10">
        <f t="shared" si="4"/>
        <v>28374</v>
      </c>
      <c r="C55" s="10">
        <f>C54+30</f>
        <v>28403</v>
      </c>
      <c r="D55" s="13">
        <v>53027</v>
      </c>
    </row>
    <row r="56" spans="1:4">
      <c r="A56" s="12" t="s">
        <v>82</v>
      </c>
      <c r="B56" s="10">
        <f t="shared" si="4"/>
        <v>28404</v>
      </c>
      <c r="C56" s="10">
        <f>C55+31</f>
        <v>28434</v>
      </c>
      <c r="D56" s="13">
        <v>53088</v>
      </c>
    </row>
    <row r="57" spans="1:4">
      <c r="A57" s="12" t="s">
        <v>83</v>
      </c>
      <c r="B57" s="10">
        <f t="shared" si="4"/>
        <v>28435</v>
      </c>
      <c r="C57" s="10">
        <f>C56+30</f>
        <v>28464</v>
      </c>
      <c r="D57" s="13">
        <v>53149</v>
      </c>
    </row>
    <row r="58" spans="1:4">
      <c r="A58" s="12" t="s">
        <v>84</v>
      </c>
      <c r="B58" s="10">
        <f t="shared" si="4"/>
        <v>28465</v>
      </c>
      <c r="C58" s="10">
        <f>C57+31</f>
        <v>28495</v>
      </c>
      <c r="D58" s="13">
        <v>53211</v>
      </c>
    </row>
    <row r="59" spans="1:4">
      <c r="A59" s="12" t="s">
        <v>85</v>
      </c>
      <c r="B59" s="10">
        <f t="shared" si="4"/>
        <v>28496</v>
      </c>
      <c r="C59" s="10">
        <f>C58+31</f>
        <v>28526</v>
      </c>
      <c r="D59" s="13">
        <v>53272</v>
      </c>
    </row>
    <row r="60" spans="1:4">
      <c r="A60" s="12" t="s">
        <v>86</v>
      </c>
      <c r="B60" s="10">
        <f t="shared" si="4"/>
        <v>28527</v>
      </c>
      <c r="C60" s="10">
        <f>C59+28</f>
        <v>28554</v>
      </c>
      <c r="D60" s="13">
        <v>53333</v>
      </c>
    </row>
    <row r="61" spans="1:4">
      <c r="A61" s="12" t="s">
        <v>87</v>
      </c>
      <c r="B61" s="10">
        <f t="shared" si="4"/>
        <v>28555</v>
      </c>
      <c r="C61" s="10">
        <v>28220</v>
      </c>
      <c r="D61" s="13">
        <v>53392</v>
      </c>
    </row>
    <row r="62" spans="1:4">
      <c r="A62" s="12" t="s">
        <v>88</v>
      </c>
      <c r="B62" s="10">
        <f>C61+1</f>
        <v>28221</v>
      </c>
      <c r="C62" s="8">
        <v>38353</v>
      </c>
      <c r="D62" s="20">
        <f>Inputs!B$12+68*365.25</f>
        <v>58562</v>
      </c>
    </row>
    <row r="63" spans="1:4">
      <c r="A63" s="12"/>
      <c r="B63" s="12"/>
    </row>
  </sheetData>
  <mergeCells count="3">
    <mergeCell ref="D34:D35"/>
    <mergeCell ref="D8:D9"/>
    <mergeCell ref="A33:A36"/>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3650BC-6FEA-644E-B89A-C01F4E2CE8F5}">
  <dimension ref="A1"/>
  <sheetViews>
    <sheetView workbookViewId="0"/>
  </sheetViews>
  <sheetFormatPr baseColWidth="10" defaultRowHeight="16"/>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100"/>
  <sheetViews>
    <sheetView zoomScale="75" workbookViewId="0">
      <selection activeCell="G5" sqref="G5"/>
    </sheetView>
  </sheetViews>
  <sheetFormatPr baseColWidth="10" defaultRowHeight="16"/>
  <cols>
    <col min="2" max="2" width="15" customWidth="1"/>
    <col min="3" max="3" width="18" customWidth="1"/>
    <col min="4" max="4" width="17.6640625" customWidth="1"/>
    <col min="5" max="5" width="17.83203125" customWidth="1"/>
    <col min="6" max="6" width="17.5" customWidth="1"/>
    <col min="8" max="8" width="15.33203125" customWidth="1"/>
    <col min="9" max="9" width="16.83203125" customWidth="1"/>
    <col min="10" max="10" width="13.6640625" bestFit="1" customWidth="1"/>
    <col min="11" max="11" width="12.5" bestFit="1" customWidth="1"/>
  </cols>
  <sheetData>
    <row r="1" spans="1:11">
      <c r="B1" t="s">
        <v>28</v>
      </c>
      <c r="H1" t="s">
        <v>29</v>
      </c>
    </row>
    <row r="2" spans="1:11">
      <c r="A2" t="s">
        <v>90</v>
      </c>
      <c r="B2" t="s">
        <v>24</v>
      </c>
      <c r="D2" t="s">
        <v>26</v>
      </c>
      <c r="G2" t="s">
        <v>90</v>
      </c>
      <c r="H2" t="s">
        <v>24</v>
      </c>
      <c r="J2" t="s">
        <v>26</v>
      </c>
    </row>
    <row r="3" spans="1:11">
      <c r="A3" t="s">
        <v>91</v>
      </c>
      <c r="B3" t="s">
        <v>96</v>
      </c>
      <c r="C3" t="s">
        <v>97</v>
      </c>
      <c r="D3" t="s">
        <v>98</v>
      </c>
      <c r="E3" t="s">
        <v>99</v>
      </c>
      <c r="G3" t="s">
        <v>91</v>
      </c>
      <c r="H3" t="s">
        <v>96</v>
      </c>
      <c r="I3" t="s">
        <v>97</v>
      </c>
      <c r="J3" t="s">
        <v>98</v>
      </c>
      <c r="K3" t="s">
        <v>99</v>
      </c>
    </row>
    <row r="4" spans="1:11">
      <c r="A4">
        <v>2019</v>
      </c>
      <c r="B4" s="5">
        <f>'DB pension'!E11+'DC pension'!Q10-'DC pension'!D10</f>
        <v>8549.0905395996524</v>
      </c>
      <c r="C4" s="5">
        <f>'DB pension'!F11+'DC pension'!Q10-'DC pension'!D10</f>
        <v>11304.508336582196</v>
      </c>
      <c r="D4" s="5">
        <f>'DB pension'!G11+'DC pension'!Q10-'DC pension'!D10</f>
        <v>8549.0905395996524</v>
      </c>
      <c r="E4" s="5">
        <f>'DB pension'!H11+'DC pension'!Q10-'DC pension'!D10</f>
        <v>10007.260256779457</v>
      </c>
      <c r="F4" s="5"/>
      <c r="G4">
        <v>2019</v>
      </c>
      <c r="H4" s="5">
        <f>'DB pension'!$C11+'DC pension'!S10-'DC pension'!F10</f>
        <v>222.05330533333336</v>
      </c>
      <c r="I4" s="5">
        <f>'DB pension'!$C11+'DC pension'!T10-'DC pension'!G10</f>
        <v>256.56639083333334</v>
      </c>
      <c r="J4" s="5">
        <f>'DB pension'!$C11+'DC pension'!U10-'DC pension'!H10</f>
        <v>222.05330533333336</v>
      </c>
      <c r="K4" s="5">
        <f>'DB pension'!$C11+'DC pension'!V10-'DC pension'!I10</f>
        <v>241.83435233333336</v>
      </c>
    </row>
    <row r="5" spans="1:11">
      <c r="A5">
        <f>A4+1</f>
        <v>2020</v>
      </c>
      <c r="B5" s="5">
        <f>'DB pension'!E12+'DC pension'!Q11-'DC pension'!D11</f>
        <v>17734.977777341162</v>
      </c>
      <c r="C5" s="5">
        <f>'DB pension'!F12+'DC pension'!Q11-'DC pension'!D11</f>
        <v>23384.410886494479</v>
      </c>
      <c r="D5" s="5">
        <f>'DB pension'!G12+'DC pension'!Q11-'DC pension'!D11</f>
        <v>17734.977777341162</v>
      </c>
      <c r="E5" s="5">
        <f>'DB pension'!H12+'DC pension'!Q11-'DC pension'!D11</f>
        <v>20724.663148474916</v>
      </c>
      <c r="F5" s="5"/>
      <c r="G5">
        <f>G4+1</f>
        <v>2020</v>
      </c>
      <c r="H5" s="5">
        <f>'DB pension'!$C12+'DC pension'!S11-'DC pension'!F11</f>
        <v>455.98053686870281</v>
      </c>
      <c r="I5" s="5">
        <f>'DB pension'!$C12+'DC pension'!T11-'DC pension'!G11</f>
        <v>524.48646135821014</v>
      </c>
      <c r="J5" s="5">
        <f>'DB pension'!$C12+'DC pension'!U11-'DC pension'!H11</f>
        <v>455.98053686870281</v>
      </c>
      <c r="K5" s="5">
        <f>'DB pension'!$C12+'DC pension'!V11-'DC pension'!I11</f>
        <v>495.24445350998354</v>
      </c>
    </row>
    <row r="6" spans="1:11">
      <c r="A6">
        <f t="shared" ref="A6:A52" si="0">A5+1</f>
        <v>2021</v>
      </c>
      <c r="B6" s="5">
        <f>'DB pension'!E13+'DC pension'!Q12-'DC pension'!D12</f>
        <v>28445.925847895378</v>
      </c>
      <c r="C6" s="5">
        <f>'DB pension'!F13+'DC pension'!Q12-'DC pension'!D12</f>
        <v>34619.332033348735</v>
      </c>
      <c r="D6" s="5">
        <f>'DB pension'!G13+'DC pension'!Q12-'DC pension'!D12</f>
        <v>28445.925847895378</v>
      </c>
      <c r="E6" s="5">
        <f>'DB pension'!H13+'DC pension'!Q12-'DC pension'!D12</f>
        <v>31140.444759607271</v>
      </c>
      <c r="F6" s="5"/>
      <c r="G6">
        <f t="shared" ref="G6:G52" si="1">G5+1</f>
        <v>2021</v>
      </c>
      <c r="H6" s="5">
        <f>'DB pension'!$C13+'DC pension'!S12-'DC pension'!F12</f>
        <v>713.740773316174</v>
      </c>
      <c r="I6" s="5">
        <f>'DB pension'!$C13+'DC pension'!T12-'DC pension'!G12</f>
        <v>787.11617137011956</v>
      </c>
      <c r="J6" s="5">
        <f>'DB pension'!$C13+'DC pension'!U12-'DC pension'!H12</f>
        <v>713.740773316174</v>
      </c>
      <c r="K6" s="5">
        <f>'DB pension'!$C13+'DC pension'!V12-'DC pension'!I12</f>
        <v>748.07800694587547</v>
      </c>
    </row>
    <row r="7" spans="1:11">
      <c r="A7">
        <f t="shared" si="0"/>
        <v>2022</v>
      </c>
      <c r="B7" s="5">
        <f>'DB pension'!E14+'DC pension'!Q13-'DC pension'!D13</f>
        <v>39302.489666100882</v>
      </c>
      <c r="C7" s="5">
        <f>'DB pension'!F14+'DC pension'!Q13-'DC pension'!D13</f>
        <v>47741.264246558421</v>
      </c>
      <c r="D7" s="5">
        <f>'DB pension'!G14+'DC pension'!Q13-'DC pension'!D13</f>
        <v>39302.489666100882</v>
      </c>
      <c r="E7" s="5">
        <f>'DB pension'!H14+'DC pension'!Q13-'DC pension'!D13</f>
        <v>42985.77843985692</v>
      </c>
      <c r="F7" s="5"/>
      <c r="G7">
        <f t="shared" si="1"/>
        <v>2022</v>
      </c>
      <c r="H7" s="5">
        <f>'DB pension'!$C14+'DC pension'!S13-'DC pension'!F13</f>
        <v>975.56838402529968</v>
      </c>
      <c r="I7" s="5">
        <f>'DB pension'!$C14+'DC pension'!T13-'DC pension'!G13</f>
        <v>1072.6750868382287</v>
      </c>
      <c r="J7" s="5">
        <f>'DB pension'!$C14+'DC pension'!U13-'DC pension'!H13</f>
        <v>975.56838402529968</v>
      </c>
      <c r="K7" s="5">
        <f>'DB pension'!$C14+'DC pension'!V13-'DC pension'!I13</f>
        <v>1021.0110750352496</v>
      </c>
    </row>
    <row r="8" spans="1:11">
      <c r="A8">
        <f t="shared" si="0"/>
        <v>2023</v>
      </c>
      <c r="B8" s="5">
        <f>'DB pension'!E15+'DC pension'!Q14-'DC pension'!D14</f>
        <v>50894.265719128853</v>
      </c>
      <c r="C8" s="5">
        <f>'DB pension'!F15+'DC pension'!Q14-'DC pension'!D14</f>
        <v>61709.08790628409</v>
      </c>
      <c r="D8" s="5">
        <f>'DB pension'!G15+'DC pension'!Q14-'DC pension'!D14</f>
        <v>50894.265719128853</v>
      </c>
      <c r="E8" s="5">
        <f>'DB pension'!H15+'DC pension'!Q14-'DC pension'!D14</f>
        <v>55614.632731226091</v>
      </c>
      <c r="F8" s="5"/>
      <c r="G8">
        <f t="shared" si="1"/>
        <v>2023</v>
      </c>
      <c r="H8" s="5">
        <f>'DB pension'!$C15+'DC pension'!S14-'DC pension'!F14</f>
        <v>1249.541491362623</v>
      </c>
      <c r="I8" s="5">
        <f>'DB pension'!$C15+'DC pension'!T14-'DC pension'!G14</f>
        <v>1370.0290049217206</v>
      </c>
      <c r="J8" s="5">
        <f>'DB pension'!$C15+'DC pension'!U14-'DC pension'!H14</f>
        <v>1249.541491362623</v>
      </c>
      <c r="K8" s="5">
        <f>'DB pension'!$C15+'DC pension'!V14-'DC pension'!I14</f>
        <v>1305.9256202705014</v>
      </c>
    </row>
    <row r="9" spans="1:11">
      <c r="A9">
        <f t="shared" si="0"/>
        <v>2024</v>
      </c>
      <c r="B9" s="5">
        <f>'DB pension'!E16+'DC pension'!Q15-'DC pension'!D15</f>
        <v>63251.64953941034</v>
      </c>
      <c r="C9" s="5">
        <f>'DB pension'!F16+'DC pension'!Q15-'DC pension'!D15</f>
        <v>76557.566196739805</v>
      </c>
      <c r="D9" s="5">
        <f>'DB pension'!G16+'DC pension'!Q15-'DC pension'!D15</f>
        <v>63251.64953941034</v>
      </c>
      <c r="E9" s="5">
        <f>'DB pension'!H16+'DC pension'!Q15-'DC pension'!D15</f>
        <v>69059.309523831645</v>
      </c>
      <c r="F9" s="5"/>
      <c r="G9">
        <f t="shared" si="1"/>
        <v>2024</v>
      </c>
      <c r="H9" s="5">
        <f>'DB pension'!$C16+'DC pension'!S15-'DC pension'!F15</f>
        <v>1535.7804940258866</v>
      </c>
      <c r="I9" s="5">
        <f>'DB pension'!$C16+'DC pension'!T15-'DC pension'!G15</f>
        <v>1679.3059456866845</v>
      </c>
      <c r="J9" s="5">
        <f>'DB pension'!$C16+'DC pension'!U15-'DC pension'!H15</f>
        <v>1535.7804940258866</v>
      </c>
      <c r="K9" s="5">
        <f>'DB pension'!$C16+'DC pension'!V15-'DC pension'!I15</f>
        <v>1602.9456078950066</v>
      </c>
    </row>
    <row r="10" spans="1:11">
      <c r="A10">
        <f t="shared" si="0"/>
        <v>2025</v>
      </c>
      <c r="B10" s="5">
        <f>'DB pension'!E17+'DC pension'!Q16-'DC pension'!D16</f>
        <v>76406.189252218086</v>
      </c>
      <c r="C10" s="5">
        <f>'DB pension'!F17+'DC pension'!Q16-'DC pension'!D16</f>
        <v>92322.775983223488</v>
      </c>
      <c r="D10" s="5">
        <f>'DB pension'!G17+'DC pension'!Q16-'DC pension'!D16</f>
        <v>76406.189252218086</v>
      </c>
      <c r="E10" s="5">
        <f>'DB pension'!H17+'DC pension'!Q16-'DC pension'!D16</f>
        <v>83353.333611138485</v>
      </c>
      <c r="F10" s="5"/>
      <c r="G10">
        <f t="shared" si="1"/>
        <v>2025</v>
      </c>
      <c r="H10" s="5">
        <f>'DB pension'!$C17+'DC pension'!S16-'DC pension'!F16</f>
        <v>1834.4107260920437</v>
      </c>
      <c r="I10" s="5">
        <f>'DB pension'!$C17+'DC pension'!T16-'DC pension'!G16</f>
        <v>2000.6387151633105</v>
      </c>
      <c r="J10" s="5">
        <f>'DB pension'!$C17+'DC pension'!U16-'DC pension'!H16</f>
        <v>1834.4107260920437</v>
      </c>
      <c r="K10" s="5">
        <f>'DB pension'!$C17+'DC pension'!V16-'DC pension'!I16</f>
        <v>1912.1998686100737</v>
      </c>
    </row>
    <row r="11" spans="1:11">
      <c r="A11">
        <f t="shared" si="0"/>
        <v>2026</v>
      </c>
      <c r="B11" s="5">
        <f>'DB pension'!E18+'DC pension'!Q17-'DC pension'!D17</f>
        <v>90390.627558909124</v>
      </c>
      <c r="C11" s="5">
        <f>'DB pension'!F18+'DC pension'!Q17-'DC pension'!D17</f>
        <v>109042.15558542628</v>
      </c>
      <c r="D11" s="5">
        <f>'DB pension'!G18+'DC pension'!Q17-'DC pension'!D17</f>
        <v>90390.627558909124</v>
      </c>
      <c r="E11" s="5">
        <f>'DB pension'!H18+'DC pension'!Q17-'DC pension'!D17</f>
        <v>98531.497200404119</v>
      </c>
      <c r="F11" s="5"/>
      <c r="G11">
        <f t="shared" si="1"/>
        <v>2026</v>
      </c>
      <c r="H11" s="5">
        <f>'DB pension'!$C18+'DC pension'!S17-'DC pension'!F17</f>
        <v>2145.5625055569362</v>
      </c>
      <c r="I11" s="5">
        <f>'DB pension'!$C18+'DC pension'!T17-'DC pension'!G17</f>
        <v>2334.1649568887069</v>
      </c>
      <c r="J11" s="5">
        <f>'DB pension'!$C18+'DC pension'!U17-'DC pension'!H17</f>
        <v>2145.5625055569362</v>
      </c>
      <c r="K11" s="5">
        <f>'DB pension'!$C18+'DC pension'!V17-'DC pension'!I17</f>
        <v>2233.8221485199933</v>
      </c>
    </row>
    <row r="12" spans="1:11">
      <c r="A12">
        <f t="shared" si="0"/>
        <v>2027</v>
      </c>
      <c r="B12" s="5">
        <f>'DB pension'!E19+'DC pension'!Q18-'DC pension'!D18</f>
        <v>105238.94522450687</v>
      </c>
      <c r="C12" s="5">
        <f>'DB pension'!F19+'DC pension'!Q18-'DC pension'!D18</f>
        <v>126754.55426102594</v>
      </c>
      <c r="D12" s="5">
        <f>'DB pension'!G19+'DC pension'!Q18-'DC pension'!D18</f>
        <v>105238.94522450687</v>
      </c>
      <c r="E12" s="5">
        <f>'DB pension'!H19+'DC pension'!Q18-'DC pension'!D18</f>
        <v>114629.90601735198</v>
      </c>
      <c r="F12" s="5"/>
      <c r="G12">
        <f t="shared" si="1"/>
        <v>2027</v>
      </c>
      <c r="H12" s="5">
        <f>'DB pension'!$C19+'DC pension'!S18-'DC pension'!F18</f>
        <v>2469.3711848509984</v>
      </c>
      <c r="I12" s="5">
        <f>'DB pension'!$C19+'DC pension'!T18-'DC pension'!G18</f>
        <v>2680.0272053657577</v>
      </c>
      <c r="J12" s="5">
        <f>'DB pension'!$C19+'DC pension'!U18-'DC pension'!H18</f>
        <v>2469.3711848509984</v>
      </c>
      <c r="K12" s="5">
        <f>'DB pension'!$C19+'DC pension'!V18-'DC pension'!I18</f>
        <v>2567.9511610250361</v>
      </c>
    </row>
    <row r="13" spans="1:11">
      <c r="A13">
        <f t="shared" si="0"/>
        <v>2028</v>
      </c>
      <c r="B13" s="5">
        <f>'DB pension'!E20+'DC pension'!Q19-'DC pension'!D19</f>
        <v>114047.93518265165</v>
      </c>
      <c r="C13" s="5">
        <f>'DB pension'!F20+'DC pension'!Q19-'DC pension'!D19</f>
        <v>139041.28239963818</v>
      </c>
      <c r="D13" s="5">
        <f>'DB pension'!G20+'DC pension'!Q19-'DC pension'!D19</f>
        <v>114047.93518265165</v>
      </c>
      <c r="E13" s="5">
        <f>'DB pension'!H20+'DC pension'!Q19-'DC pension'!D19</f>
        <v>125801.39215587566</v>
      </c>
      <c r="F13" s="5"/>
      <c r="G13">
        <f t="shared" si="1"/>
        <v>2028</v>
      </c>
      <c r="H13" s="5">
        <f>'DB pension'!$C20+'DC pension'!S19-'DC pension'!F19</f>
        <v>2728.2961766847093</v>
      </c>
      <c r="I13" s="5">
        <f>'DB pension'!$C20+'DC pension'!T19-'DC pension'!G19</f>
        <v>2982.7015390148822</v>
      </c>
      <c r="J13" s="5">
        <f>'DB pension'!$C20+'DC pension'!U19-'DC pension'!H19</f>
        <v>2728.2961766847093</v>
      </c>
      <c r="K13" s="5">
        <f>'DB pension'!$C20+'DC pension'!V19-'DC pension'!I19</f>
        <v>2856.4698706831168</v>
      </c>
    </row>
    <row r="14" spans="1:11">
      <c r="A14">
        <f t="shared" si="0"/>
        <v>2029</v>
      </c>
      <c r="B14" s="5">
        <f>'DB pension'!E21+'DC pension'!Q20-'DC pension'!D20</f>
        <v>104270.5653380655</v>
      </c>
      <c r="C14" s="5">
        <f>'DB pension'!F21+'DC pension'!Q20-'DC pension'!D20</f>
        <v>128785.70127643223</v>
      </c>
      <c r="D14" s="5">
        <f>'DB pension'!G21+'DC pension'!Q20-'DC pension'!D20</f>
        <v>104270.5653380655</v>
      </c>
      <c r="E14" s="5">
        <f>'DB pension'!H21+'DC pension'!Q20-'DC pension'!D20</f>
        <v>115799.13703927808</v>
      </c>
      <c r="F14" s="5"/>
      <c r="G14">
        <f t="shared" si="1"/>
        <v>2029</v>
      </c>
      <c r="H14" s="5">
        <f>'DB pension'!$C21+'DC pension'!S20-'DC pension'!F20</f>
        <v>2739.1484029946773</v>
      </c>
      <c r="I14" s="5">
        <f>'DB pension'!$C21+'DC pension'!T20-'DC pension'!G20</f>
        <v>3058.6965760292028</v>
      </c>
      <c r="J14" s="5">
        <f>'DB pension'!$C21+'DC pension'!U20-'DC pension'!H20</f>
        <v>2739.1484029946773</v>
      </c>
      <c r="K14" s="5">
        <f>'DB pension'!$C21+'DC pension'!V20-'DC pension'!I20</f>
        <v>2900.142139027339</v>
      </c>
    </row>
    <row r="15" spans="1:11">
      <c r="A15">
        <f t="shared" si="0"/>
        <v>2030</v>
      </c>
      <c r="B15" s="5">
        <f>'DB pension'!E22+'DC pension'!Q21-'DC pension'!D21</f>
        <v>115230.21160846538</v>
      </c>
      <c r="C15" s="5">
        <f>'DB pension'!F22+'DC pension'!Q21-'DC pension'!D21</f>
        <v>142655.5543365053</v>
      </c>
      <c r="D15" s="5">
        <f>'DB pension'!G22+'DC pension'!Q21-'DC pension'!D21</f>
        <v>115230.21160846538</v>
      </c>
      <c r="E15" s="5">
        <f>'DB pension'!H22+'DC pension'!Q21-'DC pension'!D21</f>
        <v>128127.34711142283</v>
      </c>
      <c r="F15" s="5"/>
      <c r="G15">
        <f t="shared" si="1"/>
        <v>2030</v>
      </c>
      <c r="H15" s="5">
        <f>'DB pension'!$C22+'DC pension'!S21-'DC pension'!F21</f>
        <v>2983.7359307028228</v>
      </c>
      <c r="I15" s="5">
        <f>'DB pension'!$C22+'DC pension'!T21-'DC pension'!G21</f>
        <v>3340.3719091872381</v>
      </c>
      <c r="J15" s="5">
        <f>'DB pension'!$C22+'DC pension'!U21-'DC pension'!H21</f>
        <v>2983.7359307028228</v>
      </c>
      <c r="K15" s="5">
        <f>'DB pension'!$C22+'DC pension'!V21-'DC pension'!I21</f>
        <v>3163.4151259697796</v>
      </c>
    </row>
    <row r="16" spans="1:11">
      <c r="A16">
        <f t="shared" si="0"/>
        <v>2031</v>
      </c>
      <c r="B16" s="5">
        <f>'DB pension'!E23+'DC pension'!Q22-'DC pension'!D22</f>
        <v>126672.8231163545</v>
      </c>
      <c r="C16" s="5">
        <f>'DB pension'!F23+'DC pension'!Q22-'DC pension'!D22</f>
        <v>157141.77527110884</v>
      </c>
      <c r="D16" s="5">
        <f>'DB pension'!G23+'DC pension'!Q22-'DC pension'!D22</f>
        <v>126672.8231163545</v>
      </c>
      <c r="E16" s="5">
        <f>'DB pension'!H23+'DC pension'!Q22-'DC pension'!D22</f>
        <v>141001.25680156876</v>
      </c>
      <c r="F16" s="5"/>
      <c r="G16">
        <f t="shared" si="1"/>
        <v>2031</v>
      </c>
      <c r="H16" s="5">
        <f>'DB pension'!$C23+'DC pension'!S22-'DC pension'!F22</f>
        <v>3234.044057045779</v>
      </c>
      <c r="I16" s="5">
        <f>'DB pension'!$C23+'DC pension'!T22-'DC pension'!G22</f>
        <v>3628.4053944992884</v>
      </c>
      <c r="J16" s="5">
        <f>'DB pension'!$C23+'DC pension'!U22-'DC pension'!H22</f>
        <v>3234.044057045779</v>
      </c>
      <c r="K16" s="5">
        <f>'DB pension'!$C23+'DC pension'!V22-'DC pension'!I22</f>
        <v>3432.7299217170125</v>
      </c>
    </row>
    <row r="17" spans="1:11">
      <c r="A17">
        <f t="shared" si="0"/>
        <v>2032</v>
      </c>
      <c r="B17" s="5">
        <f>'DB pension'!E24+'DC pension'!Q23-'DC pension'!D23</f>
        <v>138618.19578432129</v>
      </c>
      <c r="C17" s="5">
        <f>'DB pension'!F24+'DC pension'!Q23-'DC pension'!D23</f>
        <v>172269.32920097915</v>
      </c>
      <c r="D17" s="5">
        <f>'DB pension'!G24+'DC pension'!Q23-'DC pension'!D23</f>
        <v>138618.19578432129</v>
      </c>
      <c r="E17" s="5">
        <f>'DB pension'!H24+'DC pension'!Q23-'DC pension'!D23</f>
        <v>154443.09291711106</v>
      </c>
      <c r="F17" s="5"/>
      <c r="G17">
        <f t="shared" si="1"/>
        <v>2032</v>
      </c>
      <c r="H17" s="5">
        <f>'DB pension'!$C24+'DC pension'!S23-'DC pension'!F23</f>
        <v>3490.2172981237109</v>
      </c>
      <c r="I17" s="5">
        <f>'DB pension'!$C24+'DC pension'!T23-'DC pension'!G23</f>
        <v>3922.9505144519312</v>
      </c>
      <c r="J17" s="5">
        <f>'DB pension'!$C24+'DC pension'!U23-'DC pension'!H23</f>
        <v>3490.2172981237109</v>
      </c>
      <c r="K17" s="5">
        <f>'DB pension'!$C24+'DC pension'!V23-'DC pension'!I23</f>
        <v>3708.235559785257</v>
      </c>
    </row>
    <row r="18" spans="1:11">
      <c r="A18">
        <f t="shared" si="0"/>
        <v>2033</v>
      </c>
      <c r="B18" s="5">
        <f>'DB pension'!E25+'DC pension'!Q24-'DC pension'!D24</f>
        <v>151086.91625336072</v>
      </c>
      <c r="C18" s="5">
        <f>'DB pension'!F25+'DC pension'!Q24-'DC pension'!D24</f>
        <v>188064.16133923005</v>
      </c>
      <c r="D18" s="5">
        <f>'DB pension'!G25+'DC pension'!Q24-'DC pension'!D24</f>
        <v>151086.91625336072</v>
      </c>
      <c r="E18" s="5">
        <f>'DB pension'!H25+'DC pension'!Q24-'DC pension'!D24</f>
        <v>168475.96203950272</v>
      </c>
      <c r="F18" s="5"/>
      <c r="G18">
        <f t="shared" si="1"/>
        <v>2033</v>
      </c>
      <c r="H18" s="5">
        <f>'DB pension'!$C25+'DC pension'!S24-'DC pension'!F24</f>
        <v>3752.4035419305669</v>
      </c>
      <c r="I18" s="5">
        <f>'DB pension'!$C25+'DC pension'!T24-'DC pension'!G24</f>
        <v>4224.1642422101622</v>
      </c>
      <c r="J18" s="5">
        <f>'DB pension'!$C25+'DC pension'!U24-'DC pension'!H24</f>
        <v>3752.4035419305669</v>
      </c>
      <c r="K18" s="5">
        <f>'DB pension'!$C25+'DC pension'!V24-'DC pension'!I24</f>
        <v>3990.0845054302104</v>
      </c>
    </row>
    <row r="19" spans="1:11">
      <c r="A19">
        <f t="shared" si="0"/>
        <v>2034</v>
      </c>
      <c r="B19" s="5">
        <f>'DB pension'!E26+'DC pension'!Q25-'DC pension'!D25</f>
        <v>164100.39287701569</v>
      </c>
      <c r="C19" s="5">
        <f>'DB pension'!F26+'DC pension'!Q25-'DC pension'!D25</f>
        <v>204553.23477391369</v>
      </c>
      <c r="D19" s="5">
        <f>'DB pension'!G26+'DC pension'!Q25-'DC pension'!D25</f>
        <v>164100.39287701569</v>
      </c>
      <c r="E19" s="5">
        <f>'DB pension'!H26+'DC pension'!Q25-'DC pension'!D25</f>
        <v>183123.88471074175</v>
      </c>
      <c r="F19" s="5"/>
      <c r="G19">
        <f t="shared" si="1"/>
        <v>2034</v>
      </c>
      <c r="H19" s="5">
        <f>'DB pension'!$C26+'DC pension'!S25-'DC pension'!F25</f>
        <v>4020.754122432777</v>
      </c>
      <c r="I19" s="5">
        <f>'DB pension'!$C26+'DC pension'!T25-'DC pension'!G25</f>
        <v>4532.2071172369042</v>
      </c>
      <c r="J19" s="5">
        <f>'DB pension'!$C26+'DC pension'!U25-'DC pension'!H25</f>
        <v>4020.754122432777</v>
      </c>
      <c r="K19" s="5">
        <f>'DB pension'!$C26+'DC pension'!V25-'DC pension'!I25</f>
        <v>4278.4327305020315</v>
      </c>
    </row>
    <row r="20" spans="1:11">
      <c r="A20">
        <f t="shared" si="0"/>
        <v>2035</v>
      </c>
      <c r="B20" s="5">
        <f>'DB pension'!E27+'DC pension'!Q26-'DC pension'!D26</f>
        <v>177680.88790917955</v>
      </c>
      <c r="C20" s="5">
        <f>'DB pension'!F27+'DC pension'!Q26-'DC pension'!D26</f>
        <v>221764.56968542805</v>
      </c>
      <c r="D20" s="5">
        <f>'DB pension'!G27+'DC pension'!Q26-'DC pension'!D26</f>
        <v>177680.88790917955</v>
      </c>
      <c r="E20" s="5">
        <f>'DB pension'!H27+'DC pension'!Q26-'DC pension'!D26</f>
        <v>198411.8309269395</v>
      </c>
      <c r="F20" s="5"/>
      <c r="G20">
        <f t="shared" si="1"/>
        <v>2035</v>
      </c>
      <c r="H20" s="5">
        <f>'DB pension'!$C27+'DC pension'!S26-'DC pension'!F26</f>
        <v>4295.4238952169198</v>
      </c>
      <c r="I20" s="5">
        <f>'DB pension'!$C27+'DC pension'!T26-'DC pension'!G26</f>
        <v>4847.2433225013119</v>
      </c>
      <c r="J20" s="5">
        <f>'DB pension'!$C27+'DC pension'!U26-'DC pension'!H26</f>
        <v>4295.4238952169198</v>
      </c>
      <c r="K20" s="5">
        <f>'DB pension'!$C27+'DC pension'!V26-'DC pension'!I26</f>
        <v>4573.4397898792849</v>
      </c>
    </row>
    <row r="21" spans="1:11">
      <c r="A21">
        <f t="shared" si="0"/>
        <v>2036</v>
      </c>
      <c r="B21" s="5">
        <f>'DB pension'!E28+'DC pension'!Q27-'DC pension'!D27</f>
        <v>191851.55093079779</v>
      </c>
      <c r="C21" s="5">
        <f>'DB pension'!F28+'DC pension'!Q27-'DC pension'!D27</f>
        <v>239727.2840525436</v>
      </c>
      <c r="D21" s="5">
        <f>'DB pension'!G28+'DC pension'!Q27-'DC pension'!D27</f>
        <v>191851.55093079779</v>
      </c>
      <c r="E21" s="5">
        <f>'DB pension'!H28+'DC pension'!Q27-'DC pension'!D27</f>
        <v>214365.75698822245</v>
      </c>
      <c r="F21" s="5"/>
      <c r="G21">
        <f t="shared" si="1"/>
        <v>2036</v>
      </c>
      <c r="H21" s="5">
        <f>'DB pension'!$C28+'DC pension'!S27-'DC pension'!F27</f>
        <v>4576.5713147388542</v>
      </c>
      <c r="I21" s="5">
        <f>'DB pension'!$C28+'DC pension'!T27-'DC pension'!G27</f>
        <v>5169.4407633086294</v>
      </c>
      <c r="J21" s="5">
        <f>'DB pension'!$C28+'DC pension'!U27-'DC pension'!H27</f>
        <v>4576.5713147388542</v>
      </c>
      <c r="K21" s="5">
        <f>'DB pension'!$C28+'DC pension'!V27-'DC pension'!I27</f>
        <v>4875.2688995144654</v>
      </c>
    </row>
    <row r="22" spans="1:11">
      <c r="A22">
        <f t="shared" si="0"/>
        <v>2037</v>
      </c>
      <c r="B22" s="5">
        <f>'DB pension'!E29+'DC pension'!Q28-'DC pension'!D28</f>
        <v>206636.45356239416</v>
      </c>
      <c r="C22" s="5">
        <f>'DB pension'!F29+'DC pension'!Q28-'DC pension'!D28</f>
        <v>258471.63590281529</v>
      </c>
      <c r="D22" s="5">
        <f>'DB pension'!G29+'DC pension'!Q28-'DC pension'!D28</f>
        <v>206636.45356239416</v>
      </c>
      <c r="E22" s="5">
        <f>'DB pension'!H29+'DC pension'!Q28-'DC pension'!D28</f>
        <v>231012.64375605076</v>
      </c>
      <c r="F22" s="5"/>
      <c r="G22">
        <f t="shared" si="1"/>
        <v>2037</v>
      </c>
      <c r="H22" s="5">
        <f>'DB pension'!$C29+'DC pension'!S28-'DC pension'!F28</f>
        <v>4864.3585132074941</v>
      </c>
      <c r="I22" s="5">
        <f>'DB pension'!$C29+'DC pension'!T28-'DC pension'!G28</f>
        <v>5498.9711477850278</v>
      </c>
      <c r="J22" s="5">
        <f>'DB pension'!$C29+'DC pension'!U28-'DC pension'!H28</f>
        <v>4864.3585132074941</v>
      </c>
      <c r="K22" s="5">
        <f>'DB pension'!$C29+'DC pension'!V28-'DC pension'!I28</f>
        <v>5184.0870161244193</v>
      </c>
    </row>
    <row r="23" spans="1:11">
      <c r="A23">
        <f t="shared" si="0"/>
        <v>2038</v>
      </c>
      <c r="B23" s="5">
        <f>'DB pension'!E30+'DC pension'!Q29-'DC pension'!D29</f>
        <v>222060.62551110302</v>
      </c>
      <c r="C23" s="5">
        <f>'DB pension'!F30+'DC pension'!Q29-'DC pension'!D29</f>
        <v>278029.06716521102</v>
      </c>
      <c r="D23" s="5">
        <f>'DB pension'!G30+'DC pension'!Q29-'DC pension'!D29</f>
        <v>222060.62551110302</v>
      </c>
      <c r="E23" s="5">
        <f>'DB pension'!H30+'DC pension'!Q29-'DC pension'!D29</f>
        <v>248380.53637093672</v>
      </c>
      <c r="F23" s="5"/>
      <c r="G23">
        <f t="shared" si="1"/>
        <v>2038</v>
      </c>
      <c r="H23" s="5">
        <f>'DB pension'!$C30+'DC pension'!S29-'DC pension'!F29</f>
        <v>5158.9513811370789</v>
      </c>
      <c r="I23" s="5">
        <f>'DB pension'!$C30+'DC pension'!T29-'DC pension'!G29</f>
        <v>5836.0100690515519</v>
      </c>
      <c r="J23" s="5">
        <f>'DB pension'!$C30+'DC pension'!U29-'DC pension'!H29</f>
        <v>5158.9513811370789</v>
      </c>
      <c r="K23" s="5">
        <f>'DB pension'!$C30+'DC pension'!V29-'DC pension'!I29</f>
        <v>5500.0649185596376</v>
      </c>
    </row>
    <row r="24" spans="1:11">
      <c r="A24">
        <f t="shared" si="0"/>
        <v>2039</v>
      </c>
      <c r="B24" s="5">
        <f>'DB pension'!E31+'DC pension'!Q30-'DC pension'!D30</f>
        <v>238150.09200270526</v>
      </c>
      <c r="C24" s="5">
        <f>'DB pension'!F31+'DC pension'!Q30-'DC pension'!D30</f>
        <v>298432.24918492918</v>
      </c>
      <c r="D24" s="5">
        <f>'DB pension'!G31+'DC pension'!Q30-'DC pension'!D30</f>
        <v>238150.09200270526</v>
      </c>
      <c r="E24" s="5">
        <f>'DB pension'!H31+'DC pension'!Q30-'DC pension'!D30</f>
        <v>266498.58548551711</v>
      </c>
      <c r="F24" s="5"/>
      <c r="G24">
        <f t="shared" si="1"/>
        <v>2039</v>
      </c>
      <c r="H24" s="5">
        <f>'DB pension'!$C31+'DC pension'!S30-'DC pension'!F30</f>
        <v>5460.5196496024819</v>
      </c>
      <c r="I24" s="5">
        <f>'DB pension'!$C31+'DC pension'!T30-'DC pension'!G30</f>
        <v>6180.7370891219607</v>
      </c>
      <c r="J24" s="5">
        <f>'DB pension'!$C31+'DC pension'!U30-'DC pension'!H30</f>
        <v>5460.5196496024819</v>
      </c>
      <c r="K24" s="5">
        <f>'DB pension'!$C31+'DC pension'!V30-'DC pension'!I30</f>
        <v>5823.3772908871051</v>
      </c>
    </row>
    <row r="25" spans="1:11">
      <c r="A25">
        <f t="shared" si="0"/>
        <v>2040</v>
      </c>
      <c r="B25" s="5">
        <f>'DB pension'!E32+'DC pension'!Q31-'DC pension'!D31</f>
        <v>257292.86255843772</v>
      </c>
      <c r="C25" s="5">
        <f>'DB pension'!F32+'DC pension'!Q31-'DC pension'!D31</f>
        <v>322076.07986998581</v>
      </c>
      <c r="D25" s="5">
        <f>'DB pension'!G32+'DC pension'!Q31-'DC pension'!D31</f>
        <v>257292.86255843772</v>
      </c>
      <c r="E25" s="5">
        <f>'DB pension'!H32+'DC pension'!Q31-'DC pension'!D31</f>
        <v>287758.03997736319</v>
      </c>
      <c r="F25" s="5"/>
      <c r="G25">
        <f t="shared" si="1"/>
        <v>2040</v>
      </c>
      <c r="H25" s="5">
        <f>'DB pension'!$C32+'DC pension'!S31-'DC pension'!F31</f>
        <v>5831.3219762391591</v>
      </c>
      <c r="I25" s="5">
        <f>'DB pension'!$C32+'DC pension'!T31-'DC pension'!G31</f>
        <v>6587.615514413922</v>
      </c>
      <c r="J25" s="5">
        <f>'DB pension'!$C32+'DC pension'!U31-'DC pension'!H31</f>
        <v>5831.3219762391591</v>
      </c>
      <c r="K25" s="5">
        <f>'DB pension'!$C32+'DC pension'!V31-'DC pension'!I31</f>
        <v>6212.3553618844599</v>
      </c>
    </row>
    <row r="26" spans="1:11">
      <c r="A26">
        <f t="shared" si="0"/>
        <v>2041</v>
      </c>
      <c r="B26" s="5">
        <f>'DB pension'!E33+'DC pension'!Q32-'DC pension'!D32</f>
        <v>277377.67771513725</v>
      </c>
      <c r="C26" s="5">
        <f>'DB pension'!F33+'DC pension'!Q32-'DC pension'!D32</f>
        <v>346856.43907828676</v>
      </c>
      <c r="D26" s="5">
        <f>'DB pension'!G33+'DC pension'!Q32-'DC pension'!D32</f>
        <v>277377.67771513725</v>
      </c>
      <c r="E26" s="5">
        <f>'DB pension'!H33+'DC pension'!Q32-'DC pension'!D32</f>
        <v>310050.99774486385</v>
      </c>
      <c r="F26" s="5"/>
      <c r="G26">
        <f t="shared" si="1"/>
        <v>2041</v>
      </c>
      <c r="H26" s="5">
        <f>'DB pension'!$C33+'DC pension'!S32-'DC pension'!F32</f>
        <v>6213.3560752022304</v>
      </c>
      <c r="I26" s="5">
        <f>'DB pension'!$C33+'DC pension'!T32-'DC pension'!G32</f>
        <v>7005.9675218374668</v>
      </c>
      <c r="J26" s="5">
        <f>'DB pension'!$C33+'DC pension'!U32-'DC pension'!H32</f>
        <v>6213.3560752022304</v>
      </c>
      <c r="K26" s="5">
        <f>'DB pension'!$C33+'DC pension'!V32-'DC pension'!I32</f>
        <v>6612.687033048991</v>
      </c>
    </row>
    <row r="27" spans="1:11">
      <c r="A27">
        <f t="shared" si="0"/>
        <v>2042</v>
      </c>
      <c r="B27" s="5">
        <f>'DB pension'!E34+'DC pension'!Q33-'DC pension'!D33</f>
        <v>298444.94097252085</v>
      </c>
      <c r="C27" s="5">
        <f>'DB pension'!F34+'DC pension'!Q33-'DC pension'!D33</f>
        <v>372821.12953950092</v>
      </c>
      <c r="D27" s="5">
        <f>'DB pension'!G34+'DC pension'!Q33-'DC pension'!D33</f>
        <v>298444.94097252085</v>
      </c>
      <c r="E27" s="5">
        <f>'DB pension'!H34+'DC pension'!Q33-'DC pension'!D33</f>
        <v>333421.34187492856</v>
      </c>
      <c r="F27" s="5"/>
      <c r="G27">
        <f t="shared" si="1"/>
        <v>2042</v>
      </c>
      <c r="H27" s="5">
        <f>'DB pension'!$C34+'DC pension'!S33-'DC pension'!F33</f>
        <v>6606.874570528832</v>
      </c>
      <c r="I27" s="5">
        <f>'DB pension'!$C34+'DC pension'!T33-'DC pension'!G33</f>
        <v>7436.0470529066688</v>
      </c>
      <c r="J27" s="5">
        <f>'DB pension'!$C34+'DC pension'!U33-'DC pension'!H33</f>
        <v>6606.874570528832</v>
      </c>
      <c r="K27" s="5">
        <f>'DB pension'!$C34+'DC pension'!V33-'DC pension'!I33</f>
        <v>7024.6255921848406</v>
      </c>
    </row>
    <row r="28" spans="1:11">
      <c r="A28">
        <f t="shared" si="0"/>
        <v>2043</v>
      </c>
      <c r="B28" s="5">
        <f>'DB pension'!E35+'DC pension'!Q34-'DC pension'!D34</f>
        <v>320536.65853070101</v>
      </c>
      <c r="C28" s="5">
        <f>'DB pension'!F35+'DC pension'!Q34-'DC pension'!D34</f>
        <v>400019.82588572236</v>
      </c>
      <c r="D28" s="5">
        <f>'DB pension'!G35+'DC pension'!Q34-'DC pension'!D34</f>
        <v>320536.65853070101</v>
      </c>
      <c r="E28" s="5">
        <f>'DB pension'!H35+'DC pension'!Q34-'DC pension'!D34</f>
        <v>357914.68475072988</v>
      </c>
      <c r="F28" s="5"/>
      <c r="G28">
        <f t="shared" si="1"/>
        <v>2043</v>
      </c>
      <c r="H28" s="5">
        <f>'DB pension'!$C35+'DC pension'!S34-'DC pension'!F34</f>
        <v>7012.1352947238165</v>
      </c>
      <c r="I28" s="5">
        <f>'DB pension'!$C35+'DC pension'!T34-'DC pension'!G34</f>
        <v>7878.1132643422143</v>
      </c>
      <c r="J28" s="5">
        <f>'DB pension'!$C35+'DC pension'!U34-'DC pension'!H34</f>
        <v>7012.1352947238165</v>
      </c>
      <c r="K28" s="5">
        <f>'DB pension'!$C35+'DC pension'!V34-'DC pension'!I34</f>
        <v>7448.4295389590397</v>
      </c>
    </row>
    <row r="29" spans="1:11">
      <c r="A29">
        <f t="shared" si="0"/>
        <v>2044</v>
      </c>
      <c r="B29" s="5">
        <f>'DB pension'!E36+'DC pension'!Q35-'DC pension'!D35</f>
        <v>343696.50000077387</v>
      </c>
      <c r="C29" s="5">
        <f>'DB pension'!F36+'DC pension'!Q35-'DC pension'!D35</f>
        <v>428504.14498502872</v>
      </c>
      <c r="D29" s="5">
        <f>'DB pension'!G36+'DC pension'!Q35-'DC pension'!D35</f>
        <v>343696.50000077387</v>
      </c>
      <c r="E29" s="5">
        <f>'DB pension'!H36+'DC pension'!Q35-'DC pension'!D35</f>
        <v>383578.43328762235</v>
      </c>
      <c r="F29" s="5"/>
      <c r="G29">
        <f t="shared" si="1"/>
        <v>2044</v>
      </c>
      <c r="H29" s="5">
        <f>'DB pension'!$C36+'DC pension'!S35-'DC pension'!F35</f>
        <v>7429.4013937332038</v>
      </c>
      <c r="I29" s="5">
        <f>'DB pension'!$C36+'DC pension'!T35-'DC pension'!G35</f>
        <v>8332.4306330785294</v>
      </c>
      <c r="J29" s="5">
        <f>'DB pension'!$C36+'DC pension'!U35-'DC pension'!H35</f>
        <v>7429.4013937332038</v>
      </c>
      <c r="K29" s="5">
        <f>'DB pension'!$C36+'DC pension'!V35-'DC pension'!I35</f>
        <v>7884.3626898919174</v>
      </c>
    </row>
    <row r="30" spans="1:11">
      <c r="A30">
        <f t="shared" si="0"/>
        <v>2045</v>
      </c>
      <c r="B30" s="5">
        <f>'DB pension'!E37+'DC pension'!Q36-'DC pension'!D36</f>
        <v>367969.86135205923</v>
      </c>
      <c r="C30" s="5">
        <f>'DB pension'!F37+'DC pension'!Q36-'DC pension'!D36</f>
        <v>458327.71885318361</v>
      </c>
      <c r="D30" s="5">
        <f>'DB pension'!G37+'DC pension'!Q36-'DC pension'!D36</f>
        <v>367969.86135205923</v>
      </c>
      <c r="E30" s="5">
        <f>'DB pension'!H37+'DC pension'!Q36-'DC pension'!D36</f>
        <v>410461.85656630498</v>
      </c>
      <c r="F30" s="5"/>
      <c r="G30">
        <f t="shared" si="1"/>
        <v>2045</v>
      </c>
      <c r="H30" s="5">
        <f>'DB pension'!$C37+'DC pension'!S36-'DC pension'!F36</f>
        <v>7858.9414340211333</v>
      </c>
      <c r="I30" s="5">
        <f>'DB pension'!$C37+'DC pension'!T36-'DC pension'!G36</f>
        <v>8799.2690633746042</v>
      </c>
      <c r="J30" s="5">
        <f>'DB pension'!$C37+'DC pension'!U36-'DC pension'!H36</f>
        <v>7858.9414340211333</v>
      </c>
      <c r="K30" s="5">
        <f>'DB pension'!$C37+'DC pension'!V36-'DC pension'!I36</f>
        <v>8332.6942854511253</v>
      </c>
    </row>
    <row r="31" spans="1:11">
      <c r="A31">
        <f t="shared" si="0"/>
        <v>2046</v>
      </c>
      <c r="B31" s="5">
        <f>'DB pension'!E38+'DC pension'!Q37-'DC pension'!D37</f>
        <v>374854.97890115145</v>
      </c>
      <c r="C31" s="5">
        <f>'DB pension'!F38+'DC pension'!Q37-'DC pension'!D37</f>
        <v>490447.96379714564</v>
      </c>
      <c r="D31" s="5">
        <f>'DB pension'!G38+'DC pension'!Q37-'DC pension'!D37</f>
        <v>374854.97890115145</v>
      </c>
      <c r="E31" s="5">
        <f>'DB pension'!H38+'DC pension'!Q37-'DC pension'!D37</f>
        <v>428863.18684521178</v>
      </c>
      <c r="F31" s="5"/>
      <c r="G31">
        <f t="shared" si="1"/>
        <v>2046</v>
      </c>
      <c r="H31" s="5">
        <f>'DB pension'!$C38+'DC pension'!S37-'DC pension'!F37</f>
        <v>8078.8715507480201</v>
      </c>
      <c r="I31" s="5">
        <f>'DB pension'!$C38+'DC pension'!T37-'DC pension'!G37</f>
        <v>9286.638513971895</v>
      </c>
      <c r="J31" s="5">
        <f>'DB pension'!$C38+'DC pension'!U37-'DC pension'!H37</f>
        <v>8078.8715507480201</v>
      </c>
      <c r="K31" s="5">
        <f>'DB pension'!$C38+'DC pension'!V37-'DC pension'!I37</f>
        <v>8692.5345219407154</v>
      </c>
    </row>
    <row r="32" spans="1:11">
      <c r="A32">
        <f t="shared" si="0"/>
        <v>2047</v>
      </c>
      <c r="B32" s="5">
        <f>'DB pension'!E39+'DC pension'!Q38-'DC pension'!D38</f>
        <v>399885.21479148726</v>
      </c>
      <c r="C32" s="5">
        <f>'DB pension'!F39+'DC pension'!Q38-'DC pension'!D38</f>
        <v>522611.97151440749</v>
      </c>
      <c r="D32" s="5">
        <f>'DB pension'!G39+'DC pension'!Q38-'DC pension'!D38</f>
        <v>399885.21479148726</v>
      </c>
      <c r="E32" s="5">
        <f>'DB pension'!H39+'DC pension'!Q38-'DC pension'!D38</f>
        <v>457226.51628444024</v>
      </c>
      <c r="F32" s="5"/>
      <c r="G32">
        <f t="shared" si="1"/>
        <v>2047</v>
      </c>
      <c r="H32" s="5">
        <f>'DB pension'!$C39+'DC pension'!S38-'DC pension'!F38</f>
        <v>8515.3482032705324</v>
      </c>
      <c r="I32" s="5">
        <f>'DB pension'!$C39+'DC pension'!T38-'DC pension'!G38</f>
        <v>9768.9405129656407</v>
      </c>
      <c r="J32" s="5">
        <f>'DB pension'!$C39+'DC pension'!U38-'DC pension'!H38</f>
        <v>8515.3482032705324</v>
      </c>
      <c r="K32" s="5">
        <f>'DB pension'!$C39+'DC pension'!V38-'DC pension'!I38</f>
        <v>9152.2949031358585</v>
      </c>
    </row>
    <row r="33" spans="1:11">
      <c r="A33">
        <f t="shared" si="0"/>
        <v>2048</v>
      </c>
      <c r="B33" s="5">
        <f>'DB pension'!E40+'DC pension'!Q39-'DC pension'!D39</f>
        <v>425664.31635966984</v>
      </c>
      <c r="C33" s="5">
        <f>'DB pension'!F40+'DC pension'!Q39-'DC pension'!D39</f>
        <v>555712.84964272194</v>
      </c>
      <c r="D33" s="5">
        <f>'DB pension'!G40+'DC pension'!Q39-'DC pension'!D39</f>
        <v>425664.31635966984</v>
      </c>
      <c r="E33" s="5">
        <f>'DB pension'!H40+'DC pension'!Q39-'DC pension'!D39</f>
        <v>486426.55236119492</v>
      </c>
      <c r="F33" s="5"/>
      <c r="G33">
        <f t="shared" si="1"/>
        <v>2048</v>
      </c>
      <c r="H33" s="5">
        <f>'DB pension'!$C40+'DC pension'!S39-'DC pension'!F39</f>
        <v>8955.1392685688988</v>
      </c>
      <c r="I33" s="5">
        <f>'DB pension'!$C40+'DC pension'!T39-'DC pension'!G39</f>
        <v>10254.056521339375</v>
      </c>
      <c r="J33" s="5">
        <f>'DB pension'!$C40+'DC pension'!U39-'DC pension'!H39</f>
        <v>8955.1392685688988</v>
      </c>
      <c r="K33" s="5">
        <f>'DB pension'!$C40+'DC pension'!V39-'DC pension'!I39</f>
        <v>9615.1154435595672</v>
      </c>
    </row>
    <row r="34" spans="1:11">
      <c r="A34">
        <f t="shared" si="0"/>
        <v>2049</v>
      </c>
      <c r="B34" s="5">
        <f>'DB pension'!E41+'DC pension'!Q40-'DC pension'!D40</f>
        <v>452209.44888036168</v>
      </c>
      <c r="C34" s="5">
        <f>'DB pension'!F41+'DC pension'!Q40-'DC pension'!D40</f>
        <v>589771.79850008735</v>
      </c>
      <c r="D34" s="5">
        <f>'DB pension'!G41+'DC pension'!Q40-'DC pension'!D40</f>
        <v>452209.44888036168</v>
      </c>
      <c r="E34" s="5">
        <f>'DB pension'!H41+'DC pension'!Q40-'DC pension'!D40</f>
        <v>516482.34563288017</v>
      </c>
      <c r="F34" s="5"/>
      <c r="G34">
        <f t="shared" si="1"/>
        <v>2049</v>
      </c>
      <c r="H34" s="5">
        <f>'DB pension'!$C41+'DC pension'!S40-'DC pension'!F40</f>
        <v>9398.1917819611026</v>
      </c>
      <c r="I34" s="5">
        <f>'DB pension'!$C41+'DC pension'!T40-'DC pension'!G40</f>
        <v>10741.94157091259</v>
      </c>
      <c r="J34" s="5">
        <f>'DB pension'!$C41+'DC pension'!U40-'DC pension'!H40</f>
        <v>9398.1917819611026</v>
      </c>
      <c r="K34" s="5">
        <f>'DB pension'!$C41+'DC pension'!V40-'DC pension'!I40</f>
        <v>10080.94724152957</v>
      </c>
    </row>
    <row r="35" spans="1:11">
      <c r="A35">
        <f t="shared" si="0"/>
        <v>2050</v>
      </c>
      <c r="B35" s="5">
        <f>'DB pension'!E42+'DC pension'!Q41-'DC pension'!D41</f>
        <v>479538.12087484531</v>
      </c>
      <c r="C35" s="5">
        <f>'DB pension'!F42+'DC pension'!Q41-'DC pension'!D41</f>
        <v>624810.44040135574</v>
      </c>
      <c r="D35" s="5">
        <f>'DB pension'!G42+'DC pension'!Q41-'DC pension'!D41</f>
        <v>479538.12087484531</v>
      </c>
      <c r="E35" s="5">
        <f>'DB pension'!H42+'DC pension'!Q41-'DC pension'!D41</f>
        <v>547413.32669778646</v>
      </c>
      <c r="F35" s="5"/>
      <c r="G35">
        <f t="shared" si="1"/>
        <v>2050</v>
      </c>
      <c r="H35" s="5">
        <f>'DB pension'!$C42+'DC pension'!S41-'DC pension'!F41</f>
        <v>9844.4535453919325</v>
      </c>
      <c r="I35" s="5">
        <f>'DB pension'!$C42+'DC pension'!T41-'DC pension'!G41</f>
        <v>11232.551344387781</v>
      </c>
      <c r="J35" s="5">
        <f>'DB pension'!$C42+'DC pension'!U41-'DC pension'!H41</f>
        <v>9844.4535453919325</v>
      </c>
      <c r="K35" s="5">
        <f>'DB pension'!$C42+'DC pension'!V41-'DC pension'!I41</f>
        <v>10549.742103181321</v>
      </c>
    </row>
    <row r="36" spans="1:11">
      <c r="A36" s="6">
        <f t="shared" si="0"/>
        <v>2051</v>
      </c>
      <c r="B36" s="5">
        <f>'DB pension'!E43+'DC pension'!Q42-'DC pension'!D42</f>
        <v>507668.19048446586</v>
      </c>
      <c r="C36" s="5">
        <f>'DB pension'!F43+'DC pension'!Q42-'DC pension'!D42</f>
        <v>660850.82748630014</v>
      </c>
      <c r="D36" s="5">
        <f>'DB pension'!G43+'DC pension'!Q42-'DC pension'!D42</f>
        <v>507668.19048446586</v>
      </c>
      <c r="E36" s="5">
        <f>'DB pension'!H43+'DC pension'!Q42-'DC pension'!D42</f>
        <v>579239.3132481731</v>
      </c>
      <c r="F36" s="5"/>
      <c r="G36" s="16">
        <f t="shared" si="1"/>
        <v>2051</v>
      </c>
      <c r="H36" s="5">
        <f>'DB pension'!$C43+'DC pension'!S42-'DC pension'!F42</f>
        <v>10293.873116031122</v>
      </c>
      <c r="I36" s="5">
        <f>'DB pension'!$C43+'DC pension'!T42-'DC pension'!G42</f>
        <v>11725.842165670078</v>
      </c>
      <c r="J36" s="5">
        <f>'DB pension'!$C43+'DC pension'!U42-'DC pension'!H42</f>
        <v>10293.873116031122</v>
      </c>
      <c r="K36" s="5">
        <f>'DB pension'!$C43+'DC pension'!V42-'DC pension'!I42</f>
        <v>11021.452531940793</v>
      </c>
    </row>
    <row r="37" spans="1:11">
      <c r="A37" s="6">
        <f t="shared" si="0"/>
        <v>2052</v>
      </c>
      <c r="B37" s="5">
        <f>'DB pension'!E44+'DC pension'!Q43-'DC pension'!D43</f>
        <v>536617.87195685389</v>
      </c>
      <c r="C37" s="5">
        <f>'DB pension'!F44+'DC pension'!Q43-'DC pension'!D43</f>
        <v>697915.44968637847</v>
      </c>
      <c r="D37" s="5">
        <f>'DB pension'!G44+'DC pension'!Q43-'DC pension'!D43</f>
        <v>536617.87195685389</v>
      </c>
      <c r="E37" s="5">
        <f>'DB pension'!H44+'DC pension'!Q43-'DC pension'!D43</f>
        <v>611980.5172482403</v>
      </c>
      <c r="F37" s="5"/>
      <c r="G37" s="16">
        <f t="shared" si="1"/>
        <v>2052</v>
      </c>
      <c r="H37" s="5">
        <f>'DB pension'!$C44+'DC pension'!S43-'DC pension'!F43</f>
        <v>10746.399795039684</v>
      </c>
      <c r="I37" s="5">
        <f>'DB pension'!$C44+'DC pension'!T43-'DC pension'!G43</f>
        <v>12221.770990329551</v>
      </c>
      <c r="J37" s="5">
        <f>'DB pension'!$C44+'DC pension'!U43-'DC pension'!H43</f>
        <v>10746.399795039684</v>
      </c>
      <c r="K37" s="5">
        <f>'DB pension'!$C44+'DC pension'!V43-'DC pension'!I43</f>
        <v>11496.031718152552</v>
      </c>
    </row>
    <row r="38" spans="1:11">
      <c r="A38" s="6">
        <f t="shared" si="0"/>
        <v>2053</v>
      </c>
      <c r="B38" s="5">
        <f>'DB pension'!E45+'DC pension'!Q44-'DC pension'!D44</f>
        <v>566405.7422468568</v>
      </c>
      <c r="C38" s="5">
        <f>'DB pension'!F45+'DC pension'!Q44-'DC pension'!D44</f>
        <v>736027.24283257674</v>
      </c>
      <c r="D38" s="5">
        <f>'DB pension'!G45+'DC pension'!Q44-'DC pension'!D44</f>
        <v>566405.7422468568</v>
      </c>
      <c r="E38" s="5">
        <f>'DB pension'!H45+'DC pension'!Q44-'DC pension'!D44</f>
        <v>645657.5522391306</v>
      </c>
      <c r="F38" s="5"/>
      <c r="G38" s="16">
        <f t="shared" si="1"/>
        <v>2053</v>
      </c>
      <c r="H38" s="5">
        <f>'DB pension'!$C45+'DC pension'!S44-'DC pension'!F44</f>
        <v>11201.983616501866</v>
      </c>
      <c r="I38" s="5">
        <f>'DB pension'!$C45+'DC pension'!T44-'DC pension'!G44</f>
        <v>12720.295396204227</v>
      </c>
      <c r="J38" s="5">
        <f>'DB pension'!$C45+'DC pension'!U44-'DC pension'!H44</f>
        <v>11201.983616501866</v>
      </c>
      <c r="K38" s="5">
        <f>'DB pension'!$C45+'DC pension'!V44-'DC pension'!I44</f>
        <v>11973.43352886076</v>
      </c>
    </row>
    <row r="39" spans="1:11">
      <c r="A39" s="6">
        <f t="shared" si="0"/>
        <v>2054</v>
      </c>
      <c r="B39" s="5">
        <f>'DB pension'!E46+'DC pension'!Q45-'DC pension'!D45</f>
        <v>597050.74773413339</v>
      </c>
      <c r="C39" s="5">
        <f>'DB pension'!F46+'DC pension'!Q45-'DC pension'!D45</f>
        <v>775209.59690674557</v>
      </c>
      <c r="D39" s="5">
        <f>'DB pension'!G46+'DC pension'!Q45-'DC pension'!D45</f>
        <v>597050.74773413339</v>
      </c>
      <c r="E39" s="5">
        <f>'DB pension'!H46+'DC pension'!Q45-'DC pension'!D45</f>
        <v>680291.44077313039</v>
      </c>
      <c r="F39" s="5"/>
      <c r="G39" s="6">
        <f t="shared" si="1"/>
        <v>2054</v>
      </c>
      <c r="H39" s="5">
        <f>'DB pension'!$C46+'DC pension'!S45-'DC pension'!F45</f>
        <v>11660.575336520364</v>
      </c>
      <c r="I39" s="5">
        <f>'DB pension'!$C46+'DC pension'!T45-'DC pension'!G45</f>
        <v>13221.373574141689</v>
      </c>
      <c r="J39" s="5">
        <f>'DB pension'!$C46+'DC pension'!U45-'DC pension'!H45</f>
        <v>11660.575336520364</v>
      </c>
      <c r="K39" s="5">
        <f>'DB pension'!$C46+'DC pension'!V45-'DC pension'!I45</f>
        <v>12453.612497740913</v>
      </c>
    </row>
    <row r="40" spans="1:11">
      <c r="A40" s="6">
        <f t="shared" si="0"/>
        <v>2055</v>
      </c>
      <c r="B40" s="5">
        <f>'DB pension'!E47+'DC pension'!Q46-'DC pension'!D46</f>
        <v>628572.2110594071</v>
      </c>
      <c r="C40" s="5">
        <f>'DB pension'!F47+'DC pension'!Q46-'DC pension'!D46</f>
        <v>815486.36443888675</v>
      </c>
      <c r="D40" s="5">
        <f>'DB pension'!G47+'DC pension'!Q46-'DC pension'!D46</f>
        <v>628572.2110594071</v>
      </c>
      <c r="E40" s="5">
        <f>'DB pension'!H47+'DC pension'!Q46-'DC pension'!D46</f>
        <v>715903.62197928154</v>
      </c>
      <c r="F40" s="5"/>
      <c r="G40" s="6">
        <f t="shared" si="1"/>
        <v>2055</v>
      </c>
      <c r="H40" s="5">
        <f>'DB pension'!$C47+'DC pension'!S46-'DC pension'!F46</f>
        <v>12122.126422472313</v>
      </c>
      <c r="I40" s="5">
        <f>'DB pension'!$C47+'DC pension'!T46-'DC pension'!G46</f>
        <v>13724.964318877177</v>
      </c>
      <c r="J40" s="5">
        <f>'DB pension'!$C47+'DC pension'!U46-'DC pension'!H46</f>
        <v>12122.126422472313</v>
      </c>
      <c r="K40" s="5">
        <f>'DB pension'!$C47+'DC pension'!V46-'DC pension'!I46</f>
        <v>12936.523815180046</v>
      </c>
    </row>
    <row r="41" spans="1:11">
      <c r="A41" s="6">
        <f t="shared" si="0"/>
        <v>2056</v>
      </c>
      <c r="B41" s="5">
        <f>'DB pension'!E48+'DC pension'!Q47-'DC pension'!D47</f>
        <v>660989.83808139991</v>
      </c>
      <c r="C41" s="5">
        <f>'DB pension'!F48+'DC pension'!Q47-'DC pension'!D47</f>
        <v>856881.86905288883</v>
      </c>
      <c r="D41" s="5">
        <f>'DB pension'!G48+'DC pension'!Q47-'DC pension'!D47</f>
        <v>660989.83808139991</v>
      </c>
      <c r="E41" s="5">
        <f>'DB pension'!H48+'DC pension'!Q47-'DC pension'!D47</f>
        <v>752515.95926264394</v>
      </c>
      <c r="F41" s="5"/>
      <c r="G41" s="6">
        <f t="shared" si="1"/>
        <v>2056</v>
      </c>
      <c r="H41" s="5">
        <f>'DB pension'!$C48+'DC pension'!S47-'DC pension'!F47</f>
        <v>12586.589042423755</v>
      </c>
      <c r="I41" s="5">
        <f>'DB pension'!$C48+'DC pension'!T47-'DC pension'!G47</f>
        <v>14231.027020046218</v>
      </c>
      <c r="J41" s="5">
        <f>'DB pension'!$C48+'DC pension'!U47-'DC pension'!H47</f>
        <v>12586.589042423755</v>
      </c>
      <c r="K41" s="5">
        <f>'DB pension'!$C48+'DC pension'!V47-'DC pension'!I47</f>
        <v>13422.123318503183</v>
      </c>
    </row>
    <row r="42" spans="1:11">
      <c r="A42" s="6">
        <f t="shared" si="0"/>
        <v>2057</v>
      </c>
      <c r="B42" s="5">
        <f>'DB pension'!E49+'DC pension'!Q48-'DC pension'!D48</f>
        <v>694323.72495650034</v>
      </c>
      <c r="C42" s="5">
        <f>'DB pension'!F49+'DC pension'!Q48-'DC pension'!D48</f>
        <v>899420.91416324861</v>
      </c>
      <c r="D42" s="5">
        <f>'DB pension'!G49+'DC pension'!Q48-'DC pension'!D48</f>
        <v>694323.72495650034</v>
      </c>
      <c r="E42" s="5">
        <f>'DB pension'!H49+'DC pension'!Q48-'DC pension'!D48</f>
        <v>790150.74813949782</v>
      </c>
      <c r="F42" s="5"/>
      <c r="G42" s="6">
        <f t="shared" si="1"/>
        <v>2057</v>
      </c>
      <c r="H42" s="5">
        <f>'DB pension'!$C49+'DC pension'!S48-'DC pension'!F48</f>
        <v>13053.916054700121</v>
      </c>
      <c r="I42" s="5">
        <f>'DB pension'!$C49+'DC pension'!T48-'DC pension'!G48</f>
        <v>14739.521653329761</v>
      </c>
      <c r="J42" s="5">
        <f>'DB pension'!$C49+'DC pension'!U48-'DC pension'!H48</f>
        <v>13053.916054700121</v>
      </c>
      <c r="K42" s="5">
        <f>'DB pension'!$C49+'DC pension'!V48-'DC pension'!I48</f>
        <v>13910.367482343923</v>
      </c>
    </row>
    <row r="43" spans="1:11">
      <c r="A43" s="6">
        <f t="shared" si="0"/>
        <v>2058</v>
      </c>
      <c r="B43" s="5">
        <f>'DB pension'!E50+'DC pension'!Q49-'DC pension'!D49</f>
        <v>728594.36534326302</v>
      </c>
      <c r="C43" s="5">
        <f>'DB pension'!F50+'DC pension'!Q49-'DC pension'!D49</f>
        <v>943128.79182535957</v>
      </c>
      <c r="D43" s="5">
        <f>'DB pension'!G50+'DC pension'!Q49-'DC pension'!D49</f>
        <v>728594.36534326302</v>
      </c>
      <c r="E43" s="5">
        <f>'DB pension'!H50+'DC pension'!Q49-'DC pension'!D49</f>
        <v>828830.72421080095</v>
      </c>
      <c r="F43" s="5"/>
      <c r="G43" s="6">
        <f t="shared" si="1"/>
        <v>2058</v>
      </c>
      <c r="H43" s="5">
        <f>'DB pension'!$C50+'DC pension'!S49-'DC pension'!F49</f>
        <v>13524.060997610561</v>
      </c>
      <c r="I43" s="5">
        <f>'DB pension'!$C50+'DC pension'!T49-'DC pension'!G49</f>
        <v>15250.408771729879</v>
      </c>
      <c r="J43" s="5">
        <f>'DB pension'!$C50+'DC pension'!U49-'DC pension'!H49</f>
        <v>13524.060997610561</v>
      </c>
      <c r="K43" s="5">
        <f>'DB pension'!$C50+'DC pension'!V49-'DC pension'!I49</f>
        <v>14401.213409157015</v>
      </c>
    </row>
    <row r="44" spans="1:11">
      <c r="A44" s="6">
        <f t="shared" si="0"/>
        <v>2059</v>
      </c>
      <c r="B44" s="5">
        <f>'DB pension'!E51+'DC pension'!Q50-'DC pension'!D50</f>
        <v>763822.65773386334</v>
      </c>
      <c r="C44" s="5">
        <f>'DB pension'!F51+'DC pension'!Q50-'DC pension'!D50</f>
        <v>988031.29174199735</v>
      </c>
      <c r="D44" s="5">
        <f>'DB pension'!G51+'DC pension'!Q50-'DC pension'!D50</f>
        <v>763822.65773386334</v>
      </c>
      <c r="E44" s="5">
        <f>'DB pension'!H51+'DC pension'!Q50-'DC pension'!D50</f>
        <v>868579.07127626205</v>
      </c>
      <c r="F44" s="5"/>
      <c r="G44" s="6">
        <f t="shared" si="1"/>
        <v>2059</v>
      </c>
      <c r="H44" s="5">
        <f>'DB pension'!$C51+'DC pension'!S50-'DC pension'!F50</f>
        <v>13996.978079323717</v>
      </c>
      <c r="I44" s="5">
        <f>'DB pension'!$C51+'DC pension'!T50-'DC pension'!G50</f>
        <v>15763.649496974122</v>
      </c>
      <c r="J44" s="5">
        <f>'DB pension'!$C51+'DC pension'!U50-'DC pension'!H50</f>
        <v>13996.978079323717</v>
      </c>
      <c r="K44" s="5">
        <f>'DB pension'!$C51+'DC pension'!V50-'DC pension'!I50</f>
        <v>14894.618819870782</v>
      </c>
    </row>
    <row r="45" spans="1:11">
      <c r="A45" s="6">
        <f t="shared" si="0"/>
        <v>2060</v>
      </c>
      <c r="B45" s="5">
        <f>'DB pension'!E52+'DC pension'!Q51-'DC pension'!D51</f>
        <v>800029.91291466611</v>
      </c>
      <c r="C45" s="5">
        <f>'DB pension'!F52+'DC pension'!Q51-'DC pension'!D51</f>
        <v>1034154.7104286603</v>
      </c>
      <c r="D45" s="5">
        <f>'DB pension'!G52+'DC pension'!Q51-'DC pension'!D51</f>
        <v>800029.91291466611</v>
      </c>
      <c r="E45" s="5">
        <f>'DB pension'!H52+'DC pension'!Q51-'DC pension'!D51</f>
        <v>909419.42959142593</v>
      </c>
      <c r="F45" s="5"/>
      <c r="G45" s="6">
        <f t="shared" si="1"/>
        <v>2060</v>
      </c>
      <c r="H45" s="5">
        <f>'DB pension'!$C52+'DC pension'!S51-'DC pension'!F51</f>
        <v>14472.622167892821</v>
      </c>
      <c r="I45" s="5">
        <f>'DB pension'!$C52+'DC pension'!T51-'DC pension'!G51</f>
        <v>16279.205511046543</v>
      </c>
      <c r="J45" s="5">
        <f>'DB pension'!$C52+'DC pension'!U51-'DC pension'!H51</f>
        <v>14472.622167892821</v>
      </c>
      <c r="K45" s="5">
        <f>'DB pension'!$C52+'DC pension'!V51-'DC pension'!I51</f>
        <v>15390.542044677404</v>
      </c>
    </row>
    <row r="46" spans="1:11">
      <c r="A46" s="6">
        <f t="shared" si="0"/>
        <v>2061</v>
      </c>
      <c r="B46" s="5">
        <f>'DB pension'!E53+'DC pension'!Q52-'DC pension'!D52</f>
        <v>837237.86155810847</v>
      </c>
      <c r="C46" s="5">
        <f>'DB pension'!F53+'DC pension'!Q52-'DC pension'!D52</f>
        <v>1081525.8605404869</v>
      </c>
      <c r="D46" s="5">
        <f>'DB pension'!G53+'DC pension'!Q52-'DC pension'!D52</f>
        <v>837237.86155810847</v>
      </c>
      <c r="E46" s="5">
        <f>'DB pension'!H53+'DC pension'!Q52-'DC pension'!D52</f>
        <v>951375.90427021321</v>
      </c>
      <c r="F46" s="5"/>
      <c r="G46" s="6">
        <f t="shared" si="1"/>
        <v>2061</v>
      </c>
      <c r="H46" s="5">
        <f>'DB pension'!$C53+'DC pension'!S52-'DC pension'!F52</f>
        <v>14950.948781427775</v>
      </c>
      <c r="I46" s="5">
        <f>'DB pension'!$C53+'DC pension'!T52-'DC pension'!G52</f>
        <v>16797.039047843638</v>
      </c>
      <c r="J46" s="5">
        <f>'DB pension'!$C53+'DC pension'!U52-'DC pension'!H52</f>
        <v>14950.948781427775</v>
      </c>
      <c r="K46" s="5">
        <f>'DB pension'!$C53+'DC pension'!V52-'DC pension'!I52</f>
        <v>15888.942013958911</v>
      </c>
    </row>
    <row r="47" spans="1:11">
      <c r="A47" s="6">
        <f t="shared" si="0"/>
        <v>2062</v>
      </c>
      <c r="B47" s="5">
        <f>'DB pension'!E54+'DC pension'!Q53-'DC pension'!D53</f>
        <v>875468.66194813023</v>
      </c>
      <c r="C47" s="5">
        <f>'DB pension'!F54+'DC pension'!Q53-'DC pension'!D53</f>
        <v>1130172.0803635032</v>
      </c>
      <c r="D47" s="5">
        <f>'DB pension'!G54+'DC pension'!Q53-'DC pension'!D53</f>
        <v>875468.66194813023</v>
      </c>
      <c r="E47" s="5">
        <f>'DB pension'!H54+'DC pension'!Q53-'DC pension'!D53</f>
        <v>994473.07383538783</v>
      </c>
      <c r="F47" s="5"/>
      <c r="G47" s="6">
        <f t="shared" si="1"/>
        <v>2062</v>
      </c>
      <c r="H47" s="5">
        <f>'DB pension'!$C54+'DC pension'!S53-'DC pension'!F53</f>
        <v>15431.914078412179</v>
      </c>
      <c r="I47" s="5">
        <f>'DB pension'!$C54+'DC pension'!T53-'DC pension'!G53</f>
        <v>17317.112884953258</v>
      </c>
      <c r="J47" s="5">
        <f>'DB pension'!$C54+'DC pension'!U53-'DC pension'!H53</f>
        <v>15431.914078412179</v>
      </c>
      <c r="K47" s="5">
        <f>'DB pension'!$C54+'DC pension'!V53-'DC pension'!I53</f>
        <v>16389.778249347019</v>
      </c>
    </row>
    <row r="48" spans="1:11">
      <c r="A48" s="6">
        <f t="shared" si="0"/>
        <v>2063</v>
      </c>
      <c r="B48" s="5">
        <f>'DB pension'!E55+'DC pension'!Q54-'DC pension'!D54</f>
        <v>914744.90784141712</v>
      </c>
      <c r="C48" s="5">
        <f>'DB pension'!F55+'DC pension'!Q54-'DC pension'!D54</f>
        <v>1180121.2434730041</v>
      </c>
      <c r="D48" s="5">
        <f>'DB pension'!G55+'DC pension'!Q54-'DC pension'!D54</f>
        <v>914744.90784141712</v>
      </c>
      <c r="E48" s="5">
        <f>'DB pension'!H55+'DC pension'!Q54-'DC pension'!D54</f>
        <v>1038735.9989194722</v>
      </c>
      <c r="F48" s="5"/>
      <c r="G48" s="6">
        <f t="shared" si="1"/>
        <v>2063</v>
      </c>
      <c r="H48" s="5">
        <f>'DB pension'!$C55+'DC pension'!S54-'DC pension'!F54</f>
        <v>15915.474848163045</v>
      </c>
      <c r="I48" s="5">
        <f>'DB pension'!$C55+'DC pension'!T54-'DC pension'!G54</f>
        <v>17839.390335554701</v>
      </c>
      <c r="J48" s="5">
        <f>'DB pension'!$C55+'DC pension'!U54-'DC pension'!H54</f>
        <v>15915.474848163045</v>
      </c>
      <c r="K48" s="5">
        <f>'DB pension'!$C55+'DC pension'!V54-'DC pension'!I54</f>
        <v>16893.010854914675</v>
      </c>
    </row>
    <row r="49" spans="1:11">
      <c r="A49" s="6">
        <f t="shared" si="0"/>
        <v>2064</v>
      </c>
      <c r="B49" s="5">
        <f>'DB pension'!E56+'DC pension'!Q55-'DC pension'!D55</f>
        <v>955089.63646677311</v>
      </c>
      <c r="C49" s="5">
        <f>'DB pension'!F56+'DC pension'!Q55-'DC pension'!D55</f>
        <v>1231401.7685619169</v>
      </c>
      <c r="D49" s="5">
        <f>'DB pension'!G56+'DC pension'!Q55-'DC pension'!D55</f>
        <v>955089.63646677311</v>
      </c>
      <c r="E49" s="5">
        <f>'DB pension'!H56+'DC pension'!Q55-'DC pension'!D55</f>
        <v>1084190.2311186749</v>
      </c>
      <c r="F49" s="5"/>
      <c r="G49" s="6">
        <f t="shared" si="1"/>
        <v>2064</v>
      </c>
      <c r="H49" s="5">
        <f>'DB pension'!$C56+'DC pension'!S55-'DC pension'!F55</f>
        <v>16401.588501431179</v>
      </c>
      <c r="I49" s="5">
        <f>'DB pension'!$C56+'DC pension'!T55-'DC pension'!G55</f>
        <v>18363.835240438217</v>
      </c>
      <c r="J49" s="5">
        <f>'DB pension'!$C56+'DC pension'!U55-'DC pension'!H55</f>
        <v>16401.588501431179</v>
      </c>
      <c r="K49" s="5">
        <f>'DB pension'!$C56+'DC pension'!V55-'DC pension'!I55</f>
        <v>17398.600508497504</v>
      </c>
    </row>
    <row r="50" spans="1:11">
      <c r="A50" s="6">
        <f t="shared" si="0"/>
        <v>2065</v>
      </c>
      <c r="B50" s="5">
        <f>'DB pension'!E57+'DC pension'!Q56-'DC pension'!D56</f>
        <v>996526.33666495909</v>
      </c>
      <c r="C50" s="5">
        <f>'DB pension'!F57+'DC pension'!Q56-'DC pension'!D56</f>
        <v>1284042.6294420485</v>
      </c>
      <c r="D50" s="5">
        <f>'DB pension'!G57+'DC pension'!Q56-'DC pension'!D56</f>
        <v>996526.33666495909</v>
      </c>
      <c r="E50" s="5">
        <f>'DB pension'!H57+'DC pension'!Q56-'DC pension'!D56</f>
        <v>1130861.82200243</v>
      </c>
      <c r="F50" s="5"/>
      <c r="G50" s="6">
        <f t="shared" si="1"/>
        <v>2065</v>
      </c>
      <c r="H50" s="5">
        <f>'DB pension'!$C57+'DC pension'!S56-'DC pension'!F56</f>
        <v>16890.213061140061</v>
      </c>
      <c r="I50" s="5">
        <f>'DB pension'!$C57+'DC pension'!T56-'DC pension'!G56</f>
        <v>18890.411960142155</v>
      </c>
      <c r="J50" s="5">
        <f>'DB pension'!$C57+'DC pension'!U56-'DC pension'!H56</f>
        <v>16890.213061140061</v>
      </c>
      <c r="K50" s="5">
        <f>'DB pension'!$C57+'DC pension'!V56-'DC pension'!I56</f>
        <v>17906.508453143142</v>
      </c>
    </row>
    <row r="51" spans="1:11">
      <c r="A51" s="6">
        <f t="shared" si="0"/>
        <v>2066</v>
      </c>
      <c r="B51" s="5">
        <f>'DB pension'!E58+'DC pension'!Q57-'DC pension'!D57</f>
        <v>1039078.9571713866</v>
      </c>
      <c r="C51" s="5">
        <f>'DB pension'!F58+'DC pension'!Q57-'DC pension'!D57</f>
        <v>1338073.3652211593</v>
      </c>
      <c r="D51" s="5">
        <f>'DB pension'!G58+'DC pension'!Q57-'DC pension'!D57</f>
        <v>1039078.9571713866</v>
      </c>
      <c r="E51" s="5">
        <f>'DB pension'!H58+'DC pension'!Q57-'DC pension'!D57</f>
        <v>1178777.3322811974</v>
      </c>
      <c r="F51" s="5"/>
      <c r="G51" s="6">
        <f t="shared" si="1"/>
        <v>2066</v>
      </c>
      <c r="H51" s="5">
        <f>'DB pension'!$C58+'DC pension'!S57-'DC pension'!F57</f>
        <v>17381.307153261267</v>
      </c>
      <c r="I51" s="5">
        <f>'DB pension'!$C58+'DC pension'!T57-'DC pension'!G57</f>
        <v>19419.085367205938</v>
      </c>
      <c r="J51" s="5">
        <f>'DB pension'!$C58+'DC pension'!U57-'DC pension'!H57</f>
        <v>17381.307153261267</v>
      </c>
      <c r="K51" s="5">
        <f>'DB pension'!$C58+'DC pension'!V57-'DC pension'!I57</f>
        <v>18416.69648868659</v>
      </c>
    </row>
    <row r="52" spans="1:11">
      <c r="A52" s="6">
        <f t="shared" si="0"/>
        <v>2067</v>
      </c>
      <c r="B52" s="5">
        <f>'DB pension'!E59+'DC pension'!Q58-'DC pension'!D58</f>
        <v>1082771.9150440933</v>
      </c>
      <c r="C52" s="5">
        <f>'DB pension'!F59+'DC pension'!Q58-'DC pension'!D58</f>
        <v>1393524.0906588549</v>
      </c>
      <c r="D52" s="5">
        <f>'DB pension'!G59+'DC pension'!Q58-'DC pension'!D58</f>
        <v>1082771.9150440933</v>
      </c>
      <c r="E52" s="5">
        <f>'DB pension'!H59+'DC pension'!Q58-'DC pension'!D58</f>
        <v>1227963.8411352132</v>
      </c>
      <c r="F52" s="5"/>
      <c r="G52" s="6">
        <f t="shared" si="1"/>
        <v>2067</v>
      </c>
      <c r="H52" s="5">
        <f>'DB pension'!$C59+'DC pension'!S58-'DC pension'!F58</f>
        <v>17874.829997824341</v>
      </c>
      <c r="I52" s="5">
        <f>'DB pension'!$C59+'DC pension'!T58-'DC pension'!G58</f>
        <v>19949.8208385373</v>
      </c>
      <c r="J52" s="5">
        <f>'DB pension'!$C59+'DC pension'!U58-'DC pension'!H58</f>
        <v>17874.829997824341</v>
      </c>
      <c r="K52" s="5">
        <f>'DB pension'!$C59+'DC pension'!V58-'DC pension'!I58</f>
        <v>18929.126963449748</v>
      </c>
    </row>
    <row r="55" spans="1:11">
      <c r="C55" s="87"/>
      <c r="D55" s="87"/>
    </row>
    <row r="56" spans="1:11">
      <c r="C56" t="s">
        <v>24</v>
      </c>
      <c r="E56" t="s">
        <v>26</v>
      </c>
    </row>
    <row r="57" spans="1:11">
      <c r="B57" s="3" t="s">
        <v>102</v>
      </c>
      <c r="C57" t="s">
        <v>25</v>
      </c>
      <c r="D57" t="s">
        <v>11</v>
      </c>
      <c r="E57" t="s">
        <v>25</v>
      </c>
      <c r="F57" t="s">
        <v>11</v>
      </c>
    </row>
    <row r="58" spans="1:11">
      <c r="C58" t="s">
        <v>137</v>
      </c>
      <c r="D58" t="s">
        <v>107</v>
      </c>
      <c r="E58" t="s">
        <v>137</v>
      </c>
      <c r="F58" t="s">
        <v>107</v>
      </c>
    </row>
    <row r="59" spans="1:11">
      <c r="B59" t="s">
        <v>101</v>
      </c>
      <c r="C59" s="21">
        <f>LOOKUP(Inputs!$B13,'DB pension'!$A11:$A59,'DB pension'!C11:C59)</f>
        <v>26438.494027809793</v>
      </c>
      <c r="D59" s="21">
        <f>LOOKUP(Inputs!$B13,'DB pension'!$A11:$A59,'DB pension'!C11:C59)</f>
        <v>26438.494027809793</v>
      </c>
      <c r="E59" s="21">
        <f>LOOKUP(Inputs!$B13,'DB pension'!$A11:$A59,'DB pension'!C11:C59)</f>
        <v>26438.494027809793</v>
      </c>
      <c r="F59" s="21">
        <f>LOOKUP(Inputs!$B13,'DB pension'!$A11:$A59,'DB pension'!C11:C59)</f>
        <v>26438.494027809793</v>
      </c>
    </row>
    <row r="60" spans="1:11">
      <c r="B60" t="s">
        <v>104</v>
      </c>
      <c r="C60" s="21">
        <f>LOOKUP(Inputs!$B13,'DB pension'!$A11:$A59,'DB pension'!E11:E59)</f>
        <v>1395912.0154718424</v>
      </c>
      <c r="D60" s="21">
        <f>LOOKUP(Inputs!$B13,'DB pension'!$A11:$A59,'DB pension'!F11:F59)</f>
        <v>1630036.8129858365</v>
      </c>
      <c r="E60" s="21">
        <f>LOOKUP(Inputs!$B13,'DB pension'!$A11:$A59,'DB pension'!G11:G59)</f>
        <v>1395912.0154718424</v>
      </c>
      <c r="F60" s="21">
        <f>LOOKUP(Inputs!$B13,'DB pension'!$A11:$A59,'DB pension'!H11:H59)</f>
        <v>1505301.5321486022</v>
      </c>
    </row>
    <row r="62" spans="1:11">
      <c r="C62" t="s">
        <v>24</v>
      </c>
      <c r="E62" t="s">
        <v>26</v>
      </c>
    </row>
    <row r="63" spans="1:11">
      <c r="B63" s="3" t="s">
        <v>229</v>
      </c>
      <c r="C63" t="s">
        <v>25</v>
      </c>
      <c r="D63" t="s">
        <v>11</v>
      </c>
      <c r="E63" t="s">
        <v>25</v>
      </c>
      <c r="F63" t="s">
        <v>11</v>
      </c>
    </row>
    <row r="64" spans="1:11">
      <c r="C64" t="s">
        <v>137</v>
      </c>
      <c r="D64" t="s">
        <v>107</v>
      </c>
      <c r="E64" t="s">
        <v>137</v>
      </c>
      <c r="F64" t="s">
        <v>107</v>
      </c>
    </row>
    <row r="65" spans="2:6">
      <c r="B65" t="s">
        <v>101</v>
      </c>
      <c r="C65" s="21">
        <f>LOOKUP(Inputs!$B13,'DC pension'!$A10:$A58,'DC pension'!S10:S58)</f>
        <v>554.09381648159842</v>
      </c>
      <c r="D65" s="21">
        <f>LOOKUP(Inputs!$B13,'DC pension'!$A10:$A58,'DC pension'!T10:T58)</f>
        <v>470.43784296634482</v>
      </c>
      <c r="E65" s="21">
        <f>LOOKUP(Inputs!$B13,'DC pension'!$A10:$A58,'DC pension'!U10:U58)</f>
        <v>554.09381648159842</v>
      </c>
      <c r="F65" s="21">
        <f>LOOKUP(Inputs!$B13,'DC pension'!$A10:$A58,'DC pension'!V10:V58)</f>
        <v>511.58845342020442</v>
      </c>
    </row>
    <row r="66" spans="2:6">
      <c r="B66" t="s">
        <v>104</v>
      </c>
      <c r="C66" s="21">
        <f>LOOKUP(Inputs!$B13,'DC pension'!$A10:$A58,'DC pension'!$Q10:$Q58)</f>
        <v>27593.023913702178</v>
      </c>
      <c r="D66" s="21">
        <f>LOOKUP(Inputs!$B13,'DC pension'!$A10:$A58,'DC pension'!$Q10:$Q58)</f>
        <v>27593.023913702178</v>
      </c>
      <c r="E66" s="21">
        <f>LOOKUP(Inputs!$B13,'DC pension'!$A10:$A58,'DC pension'!$Q10:$Q58)</f>
        <v>27593.023913702178</v>
      </c>
      <c r="F66" s="21">
        <f>LOOKUP(Inputs!$B13,'DC pension'!$A10:$A58,'DC pension'!$Q10:$Q58)</f>
        <v>27593.023913702178</v>
      </c>
    </row>
    <row r="71" spans="2:6">
      <c r="B71" s="3" t="s">
        <v>103</v>
      </c>
      <c r="C71" t="s">
        <v>25</v>
      </c>
      <c r="D71" t="s">
        <v>11</v>
      </c>
      <c r="E71" t="s">
        <v>25</v>
      </c>
      <c r="F71" t="s">
        <v>11</v>
      </c>
    </row>
    <row r="72" spans="2:6">
      <c r="C72" t="s">
        <v>137</v>
      </c>
      <c r="D72" t="s">
        <v>107</v>
      </c>
      <c r="E72" t="s">
        <v>137</v>
      </c>
      <c r="F72" t="s">
        <v>107</v>
      </c>
    </row>
    <row r="73" spans="2:6">
      <c r="B73" t="s">
        <v>101</v>
      </c>
      <c r="C73" s="21">
        <f>LOOKUP(Inputs!$B13,'DC pension'!$A10:$A58,'DC pension'!F10:F58)</f>
        <v>12519.965676398571</v>
      </c>
      <c r="D73" s="21">
        <f>LOOKUP(Inputs!$B13,'DC pension'!$A10:$A58,'DC pension'!G10:G58)</f>
        <v>10629.726359729595</v>
      </c>
      <c r="E73" s="21">
        <f>LOOKUP(Inputs!$B13,'DC pension'!$A10:$A58,'DC pension'!H10:H58)</f>
        <v>12519.965676398571</v>
      </c>
      <c r="F73" s="21">
        <f>LOOKUP(Inputs!$B13,'DC pension'!$A10:$A58,'DC pension'!I10:I58)</f>
        <v>11559.540436552594</v>
      </c>
    </row>
    <row r="74" spans="2:6">
      <c r="B74" t="s">
        <v>104</v>
      </c>
      <c r="C74" s="21">
        <f>LOOKUP(Inputs!$B13,'DC pension'!$A10:$A58,'DC pension'!D10:D58)</f>
        <v>623475.12647087849</v>
      </c>
      <c r="D74" s="21">
        <f>LOOKUP(Inputs!$B13,'DC pension'!$A10:$A58,'DC pension'!D10:D58)</f>
        <v>623475.12647087849</v>
      </c>
      <c r="E74" s="21">
        <f>LOOKUP(Inputs!$B13,'DC pension'!$A10:$A58,'DC pension'!D10:D58)</f>
        <v>623475.12647087849</v>
      </c>
      <c r="F74" s="21">
        <f>LOOKUP(Inputs!$B13,'DC pension'!$A10:$A58,'DC pension'!D10:D58)</f>
        <v>623475.12647087849</v>
      </c>
    </row>
    <row r="76" spans="2:6">
      <c r="C76">
        <v>0</v>
      </c>
      <c r="D76">
        <v>1</v>
      </c>
    </row>
    <row r="77" spans="2:6">
      <c r="B77" s="3" t="s">
        <v>102</v>
      </c>
      <c r="C77" t="s">
        <v>32</v>
      </c>
      <c r="D77" t="s">
        <v>33</v>
      </c>
    </row>
    <row r="78" spans="2:6">
      <c r="B78" t="s">
        <v>101</v>
      </c>
      <c r="C78" s="21">
        <f>LOOKUP(Inputs!B11,'Difference in benefits'!C58:D58,'Difference in benefits'!C59:D59)</f>
        <v>26438.494027809793</v>
      </c>
      <c r="D78" s="21">
        <f>LOOKUP(Inputs!B11,'Difference in benefits'!E58:F58,'Difference in benefits'!E59:F59)</f>
        <v>26438.494027809793</v>
      </c>
      <c r="E78" s="31"/>
      <c r="F78" s="31"/>
    </row>
    <row r="79" spans="2:6">
      <c r="B79" t="s">
        <v>104</v>
      </c>
      <c r="C79" s="21">
        <f>LOOKUP(Inputs!B11,'Difference in benefits'!C58:D58,'Difference in benefits'!C60:D60)</f>
        <v>1630036.8129858365</v>
      </c>
      <c r="D79" s="21">
        <f>LOOKUP(Inputs!B11,'Difference in benefits'!E58:F58,'Difference in benefits'!E60:F60)</f>
        <v>1505301.5321486022</v>
      </c>
      <c r="E79" s="31"/>
      <c r="F79" s="31"/>
    </row>
    <row r="81" spans="2:4">
      <c r="B81" s="3" t="s">
        <v>102</v>
      </c>
      <c r="C81" t="s">
        <v>32</v>
      </c>
      <c r="D81" t="s">
        <v>33</v>
      </c>
    </row>
    <row r="82" spans="2:4">
      <c r="B82" t="s">
        <v>101</v>
      </c>
      <c r="C82" s="21">
        <f>LOOKUP(Inputs!B11,'Difference in benefits'!C64:D64,'Difference in benefits'!C65:D65)</f>
        <v>470.43784296634482</v>
      </c>
      <c r="D82" s="21">
        <f>LOOKUP(Inputs!B11,'Difference in benefits'!E64:F64,'Difference in benefits'!E65:F65)</f>
        <v>511.58845342020442</v>
      </c>
    </row>
    <row r="83" spans="2:4">
      <c r="B83" t="s">
        <v>104</v>
      </c>
      <c r="C83" s="21">
        <f>LOOKUP(Inputs!B11,'Difference in benefits'!C64:D64,'Difference in benefits'!C66:D66)</f>
        <v>27593.023913702178</v>
      </c>
      <c r="D83" s="21">
        <f>LOOKUP(Inputs!B11,'Difference in benefits'!E64:F64,'Difference in benefits'!E66:F66)</f>
        <v>27593.023913702178</v>
      </c>
    </row>
    <row r="85" spans="2:4">
      <c r="B85" s="3" t="s">
        <v>103</v>
      </c>
      <c r="C85" t="s">
        <v>32</v>
      </c>
      <c r="D85" t="s">
        <v>33</v>
      </c>
    </row>
    <row r="86" spans="2:4">
      <c r="B86" t="s">
        <v>101</v>
      </c>
      <c r="C86" s="21">
        <f>LOOKUP(Inputs!B11,'Difference in benefits'!C72:D72,'Difference in benefits'!C73:D73)</f>
        <v>10629.726359729595</v>
      </c>
      <c r="D86" s="21">
        <f>LOOKUP(Inputs!B11,'Difference in benefits'!E72:F72,'Difference in benefits'!E73:F73)</f>
        <v>11559.540436552594</v>
      </c>
    </row>
    <row r="87" spans="2:4">
      <c r="B87" t="s">
        <v>104</v>
      </c>
      <c r="C87" s="21">
        <f>LOOKUP(Inputs!B11,'Difference in benefits'!C72:D72,'Difference in benefits'!C74:D74)</f>
        <v>623475.12647087849</v>
      </c>
      <c r="D87" s="21">
        <f>LOOKUP(Inputs!B11,'Difference in benefits'!E72:F72,'Difference in benefits'!E74:F74)</f>
        <v>623475.12647087849</v>
      </c>
    </row>
    <row r="89" spans="2:4">
      <c r="C89">
        <f>IF(Inputs!B9="Female",1,IF(Inputs!B9="Male",0,-1))</f>
        <v>1</v>
      </c>
    </row>
    <row r="90" spans="2:4">
      <c r="B90" s="3" t="s">
        <v>102</v>
      </c>
    </row>
    <row r="91" spans="2:4">
      <c r="B91" t="s">
        <v>101</v>
      </c>
      <c r="C91" s="21">
        <f>LOOKUP(C89,'Difference in benefits'!C76:D76,'Difference in benefits'!C78:D78)</f>
        <v>26438.494027809793</v>
      </c>
    </row>
    <row r="92" spans="2:4">
      <c r="B92" t="s">
        <v>104</v>
      </c>
      <c r="C92" s="21">
        <f>LOOKUP(C89,'Difference in benefits'!C76:D76,'Difference in benefits'!C79:D79)</f>
        <v>1505301.5321486022</v>
      </c>
    </row>
    <row r="94" spans="2:4">
      <c r="B94" s="3" t="s">
        <v>229</v>
      </c>
    </row>
    <row r="95" spans="2:4">
      <c r="B95" t="s">
        <v>101</v>
      </c>
      <c r="C95" s="21">
        <f>LOOKUP(C89,'Difference in benefits'!C76:D76,'Difference in benefits'!C82:D82)</f>
        <v>511.58845342020442</v>
      </c>
    </row>
    <row r="96" spans="2:4">
      <c r="B96" t="s">
        <v>104</v>
      </c>
      <c r="C96" s="21">
        <f>LOOKUP(C89,'Difference in benefits'!C76:D76,'Difference in benefits'!C83:D83)</f>
        <v>27593.023913702178</v>
      </c>
    </row>
    <row r="98" spans="2:3">
      <c r="B98" s="3" t="s">
        <v>103</v>
      </c>
    </row>
    <row r="99" spans="2:3">
      <c r="B99" t="s">
        <v>101</v>
      </c>
      <c r="C99" s="21">
        <f>LOOKUP(C89,'Difference in benefits'!C76:D76,'Difference in benefits'!C86:D86)</f>
        <v>11559.540436552594</v>
      </c>
    </row>
    <row r="100" spans="2:3">
      <c r="B100" t="s">
        <v>104</v>
      </c>
      <c r="C100" s="21">
        <f>LOOKUP(C89,'Difference in benefits'!C76:D76,'Difference in benefits'!C87:D87)</f>
        <v>623475.12647087849</v>
      </c>
    </row>
  </sheetData>
  <mergeCells count="1">
    <mergeCell ref="C55:D55"/>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18A2B9-FF68-484E-8473-663DE53735B5}">
  <dimension ref="A1:K83"/>
  <sheetViews>
    <sheetView zoomScale="75" workbookViewId="0">
      <selection activeCell="G5" sqref="G5"/>
    </sheetView>
  </sheetViews>
  <sheetFormatPr baseColWidth="10" defaultRowHeight="16"/>
  <cols>
    <col min="2" max="2" width="15" customWidth="1"/>
    <col min="3" max="3" width="18" customWidth="1"/>
    <col min="4" max="4" width="17.6640625" customWidth="1"/>
    <col min="5" max="5" width="17.83203125" customWidth="1"/>
    <col min="6" max="6" width="17.5" customWidth="1"/>
    <col min="8" max="8" width="15.33203125" customWidth="1"/>
    <col min="9" max="9" width="16.83203125" customWidth="1"/>
    <col min="10" max="10" width="13.6640625" bestFit="1" customWidth="1"/>
    <col min="11" max="11" width="14" customWidth="1"/>
  </cols>
  <sheetData>
    <row r="1" spans="1:11">
      <c r="B1" t="s">
        <v>28</v>
      </c>
      <c r="H1" t="s">
        <v>29</v>
      </c>
    </row>
    <row r="2" spans="1:11">
      <c r="A2" t="s">
        <v>90</v>
      </c>
      <c r="B2" t="s">
        <v>24</v>
      </c>
      <c r="D2" t="s">
        <v>26</v>
      </c>
      <c r="G2" t="s">
        <v>90</v>
      </c>
      <c r="H2" t="s">
        <v>24</v>
      </c>
      <c r="J2" t="s">
        <v>26</v>
      </c>
    </row>
    <row r="3" spans="1:11">
      <c r="A3" t="s">
        <v>91</v>
      </c>
      <c r="B3" t="s">
        <v>96</v>
      </c>
      <c r="C3" t="s">
        <v>97</v>
      </c>
      <c r="D3" t="s">
        <v>98</v>
      </c>
      <c r="E3" t="s">
        <v>99</v>
      </c>
      <c r="G3" t="s">
        <v>91</v>
      </c>
      <c r="H3" t="s">
        <v>96</v>
      </c>
      <c r="I3" t="s">
        <v>97</v>
      </c>
      <c r="J3" t="s">
        <v>98</v>
      </c>
      <c r="K3" t="s">
        <v>99</v>
      </c>
    </row>
    <row r="4" spans="1:11">
      <c r="A4">
        <v>2019</v>
      </c>
      <c r="B4" s="5">
        <f>'DB pension'!M11+'DC pension'!Q10-'DC pension'!D10</f>
        <v>13126.409254150451</v>
      </c>
      <c r="C4" s="5">
        <f>'DB pension'!N11+'DC pension'!Q10-'DC pension'!D10</f>
        <v>18327.505381955936</v>
      </c>
      <c r="D4" s="5">
        <f>'DB pension'!O11+'DC pension'!Q10-'DC pension'!D10</f>
        <v>14428.329254150452</v>
      </c>
      <c r="E4" s="5">
        <f>'DB pension'!P11+'DC pension'!Q10-'DC pension'!D10</f>
        <v>16491.77696714074</v>
      </c>
      <c r="F4" s="5"/>
      <c r="G4">
        <v>2019</v>
      </c>
      <c r="H4" s="5">
        <f>'DB pension'!$K11+'DC pension'!S10-'DC pension'!F10</f>
        <v>402.19317954716985</v>
      </c>
      <c r="I4" s="5">
        <f>'DB pension'!$K11+'DC pension'!T10-'DC pension'!G10</f>
        <v>436.70626504716984</v>
      </c>
      <c r="J4" s="5">
        <f>'DB pension'!$K11+'DC pension'!U10-'DC pension'!H10</f>
        <v>402.19317954716985</v>
      </c>
      <c r="K4" s="5">
        <f>'DB pension'!$K11+'DC pension'!V10-'DC pension'!I10</f>
        <v>421.97422654716985</v>
      </c>
    </row>
    <row r="5" spans="1:11">
      <c r="A5">
        <f>A4+1</f>
        <v>2020</v>
      </c>
      <c r="B5" s="5">
        <f>'DB pension'!M12+'DC pension'!Q11-'DC pension'!D11</f>
        <v>27484.798548072067</v>
      </c>
      <c r="C5" s="5">
        <f>'DB pension'!N12+'DC pension'!Q11-'DC pension'!D11</f>
        <v>38172.480383227215</v>
      </c>
      <c r="D5" s="5">
        <f>'DB pension'!O12+'DC pension'!Q11-'DC pension'!D11</f>
        <v>30114.676948072069</v>
      </c>
      <c r="E5" s="5">
        <f>'DB pension'!P12+'DC pension'!Q11-'DC pension'!D11</f>
        <v>34378.874184875021</v>
      </c>
      <c r="F5" s="5"/>
      <c r="G5">
        <f>G4+1</f>
        <v>2020</v>
      </c>
      <c r="H5" s="5">
        <f>'DB pension'!$K12+'DC pension'!S11-'DC pension'!F11</f>
        <v>829.68889410140719</v>
      </c>
      <c r="I5" s="5">
        <f>'DB pension'!$K12+'DC pension'!T11-'DC pension'!G11</f>
        <v>898.19481859091456</v>
      </c>
      <c r="J5" s="5">
        <f>'DB pension'!$K12+'DC pension'!U11-'DC pension'!H11</f>
        <v>829.68889410140719</v>
      </c>
      <c r="K5" s="5">
        <f>'DB pension'!$K12+'DC pension'!V11-'DC pension'!I11</f>
        <v>868.95281074268792</v>
      </c>
    </row>
    <row r="6" spans="1:11">
      <c r="A6">
        <f t="shared" ref="A6:A52" si="0">A5+1</f>
        <v>2021</v>
      </c>
      <c r="B6" s="5">
        <f>'DB pension'!M13+'DC pension'!Q12-'DC pension'!D12</f>
        <v>44378.227343899023</v>
      </c>
      <c r="C6" s="5">
        <f>'DB pension'!N13+'DC pension'!Q12-'DC pension'!D12</f>
        <v>57237.236293565955</v>
      </c>
      <c r="D6" s="5">
        <f>'DB pension'!O13+'DC pension'!Q12-'DC pension'!D12</f>
        <v>48362.623311899028</v>
      </c>
      <c r="E6" s="5">
        <f>'DB pension'!P13+'DC pension'!Q12-'DC pension'!D12</f>
        <v>52236.143341987445</v>
      </c>
      <c r="F6" s="5"/>
      <c r="G6">
        <f t="shared" ref="G6:G52" si="1">G5+1</f>
        <v>2021</v>
      </c>
      <c r="H6" s="5">
        <f>'DB pension'!$K13+'DC pension'!S12-'DC pension'!F12</f>
        <v>1294.8720075300105</v>
      </c>
      <c r="I6" s="5">
        <f>'DB pension'!$K13+'DC pension'!T12-'DC pension'!G12</f>
        <v>1368.2474055839562</v>
      </c>
      <c r="J6" s="5">
        <f>'DB pension'!$K13+'DC pension'!U12-'DC pension'!H12</f>
        <v>1294.8720075300105</v>
      </c>
      <c r="K6" s="5">
        <f>'DB pension'!$K13+'DC pension'!V12-'DC pension'!I12</f>
        <v>1329.2092411597118</v>
      </c>
    </row>
    <row r="7" spans="1:11">
      <c r="A7">
        <f t="shared" si="0"/>
        <v>2022</v>
      </c>
      <c r="B7" s="5">
        <f>'DB pension'!M14+'DC pension'!Q13-'DC pension'!D13</f>
        <v>61864.562661121745</v>
      </c>
      <c r="C7" s="5">
        <f>'DB pension'!N14+'DC pension'!Q13-'DC pension'!D13</f>
        <v>79457.093150387998</v>
      </c>
      <c r="D7" s="5">
        <f>'DB pension'!O14+'DC pension'!Q13-'DC pension'!D13</f>
        <v>67230.566548481744</v>
      </c>
      <c r="E7" s="5">
        <f>'DB pension'!P14+'DC pension'!Q13-'DC pension'!D13</f>
        <v>72567.103002378703</v>
      </c>
      <c r="F7" s="5"/>
      <c r="G7">
        <f t="shared" si="1"/>
        <v>2022</v>
      </c>
      <c r="H7" s="5">
        <f>'DB pension'!$K14+'DC pension'!S13-'DC pension'!F13</f>
        <v>1778.4137054506077</v>
      </c>
      <c r="I7" s="5">
        <f>'DB pension'!$K14+'DC pension'!T13-'DC pension'!G13</f>
        <v>1875.5204082635369</v>
      </c>
      <c r="J7" s="5">
        <f>'DB pension'!$K14+'DC pension'!U13-'DC pension'!H13</f>
        <v>1778.4137054506077</v>
      </c>
      <c r="K7" s="5">
        <f>'DB pension'!$K14+'DC pension'!V13-'DC pension'!I13</f>
        <v>1823.8563964605578</v>
      </c>
    </row>
    <row r="8" spans="1:11">
      <c r="A8">
        <f t="shared" si="0"/>
        <v>2023</v>
      </c>
      <c r="B8" s="5">
        <f>'DB pension'!M15+'DC pension'!Q14-'DC pension'!D14</f>
        <v>80814.756523502117</v>
      </c>
      <c r="C8" s="5">
        <f>'DB pension'!N15+'DC pension'!Q14-'DC pension'!D14</f>
        <v>103381.69036833858</v>
      </c>
      <c r="D8" s="5">
        <f>'DB pension'!O15+'DC pension'!Q14-'DC pension'!D14</f>
        <v>87590.000488609337</v>
      </c>
      <c r="E8" s="5">
        <f>'DB pension'!P15+'DC pension'!Q14-'DC pension'!D14</f>
        <v>94482.630869724409</v>
      </c>
      <c r="F8" s="5"/>
      <c r="G8">
        <f t="shared" si="1"/>
        <v>2023</v>
      </c>
      <c r="H8" s="5">
        <f>'DB pension'!$K15+'DC pension'!S14-'DC pension'!F14</f>
        <v>2288.8402184774004</v>
      </c>
      <c r="I8" s="5">
        <f>'DB pension'!$K15+'DC pension'!T14-'DC pension'!G14</f>
        <v>2409.3277320364982</v>
      </c>
      <c r="J8" s="5">
        <f>'DB pension'!$K15+'DC pension'!U14-'DC pension'!H14</f>
        <v>2288.8402184774004</v>
      </c>
      <c r="K8" s="5">
        <f>'DB pension'!$K15+'DC pension'!V14-'DC pension'!I14</f>
        <v>2345.2243473852791</v>
      </c>
    </row>
    <row r="9" spans="1:11">
      <c r="A9">
        <f t="shared" si="0"/>
        <v>2024</v>
      </c>
      <c r="B9" s="5">
        <f>'DB pension'!M16+'DC pension'!Q15-'DC pension'!D15</f>
        <v>101303.81733758608</v>
      </c>
      <c r="C9" s="5">
        <f>'DB pension'!N16+'DC pension'!Q15-'DC pension'!D15</f>
        <v>129097.08223286024</v>
      </c>
      <c r="D9" s="5">
        <f>'DB pension'!O16+'DC pension'!Q15-'DC pension'!D15</f>
        <v>109516.48618199542</v>
      </c>
      <c r="E9" s="5">
        <f>'DB pension'!P16+'DC pension'!Q15-'DC pension'!D15</f>
        <v>118062.86799726746</v>
      </c>
      <c r="F9" s="5"/>
      <c r="G9">
        <f t="shared" si="1"/>
        <v>2024</v>
      </c>
      <c r="H9" s="5">
        <f>'DB pension'!$K16+'DC pension'!S15-'DC pension'!F15</f>
        <v>2826.731612265432</v>
      </c>
      <c r="I9" s="5">
        <f>'DB pension'!$K16+'DC pension'!T15-'DC pension'!G15</f>
        <v>2970.2570639262299</v>
      </c>
      <c r="J9" s="5">
        <f>'DB pension'!$K16+'DC pension'!U15-'DC pension'!H15</f>
        <v>2826.731612265432</v>
      </c>
      <c r="K9" s="5">
        <f>'DB pension'!$K16+'DC pension'!V15-'DC pension'!I15</f>
        <v>2893.896726134552</v>
      </c>
    </row>
    <row r="10" spans="1:11">
      <c r="A10">
        <f t="shared" si="0"/>
        <v>2025</v>
      </c>
      <c r="B10" s="5">
        <f>'DB pension'!M17+'DC pension'!Q16-'DC pension'!D16</f>
        <v>123410.12152279154</v>
      </c>
      <c r="C10" s="5">
        <f>'DB pension'!N17+'DC pension'!Q16-'DC pension'!D16</f>
        <v>156693.16514928476</v>
      </c>
      <c r="D10" s="5">
        <f>'DB pension'!O17+'DC pension'!Q16-'DC pension'!D16</f>
        <v>133088.96374408907</v>
      </c>
      <c r="E10" s="5">
        <f>'DB pension'!P17+'DC pension'!Q16-'DC pension'!D16</f>
        <v>143391.53661415615</v>
      </c>
      <c r="F10" s="5"/>
      <c r="G10">
        <f t="shared" si="1"/>
        <v>2025</v>
      </c>
      <c r="H10" s="5">
        <f>'DB pension'!$K17+'DC pension'!S16-'DC pension'!F16</f>
        <v>3392.6847192775049</v>
      </c>
      <c r="I10" s="5">
        <f>'DB pension'!$K17+'DC pension'!T16-'DC pension'!G16</f>
        <v>3558.912708348772</v>
      </c>
      <c r="J10" s="5">
        <f>'DB pension'!$K17+'DC pension'!U16-'DC pension'!H16</f>
        <v>3392.6847192775049</v>
      </c>
      <c r="K10" s="5">
        <f>'DB pension'!$K17+'DC pension'!V16-'DC pension'!I16</f>
        <v>3470.473861795535</v>
      </c>
    </row>
    <row r="11" spans="1:11">
      <c r="A11">
        <f t="shared" si="0"/>
        <v>2026</v>
      </c>
      <c r="B11" s="5">
        <f>'DB pension'!M18+'DC pension'!Q17-'DC pension'!D17</f>
        <v>147215.55444326362</v>
      </c>
      <c r="C11" s="5">
        <f>'DB pension'!N18+'DC pension'!Q17-'DC pension'!D17</f>
        <v>186263.83803572261</v>
      </c>
      <c r="D11" s="5">
        <f>'DB pension'!O18+'DC pension'!Q17-'DC pension'!D17</f>
        <v>158389.89350898709</v>
      </c>
      <c r="E11" s="5">
        <f>'DB pension'!P18+'DC pension'!Q17-'DC pension'!D17</f>
        <v>170556.08967606811</v>
      </c>
      <c r="F11" s="5"/>
      <c r="G11">
        <f t="shared" si="1"/>
        <v>2026</v>
      </c>
      <c r="H11" s="5">
        <f>'DB pension'!$K18+'DC pension'!S17-'DC pension'!F17</f>
        <v>3987.3134661618633</v>
      </c>
      <c r="I11" s="5">
        <f>'DB pension'!$K18+'DC pension'!T17-'DC pension'!G17</f>
        <v>4175.915917493634</v>
      </c>
      <c r="J11" s="5">
        <f>'DB pension'!$K18+'DC pension'!U17-'DC pension'!H17</f>
        <v>3987.3134661618633</v>
      </c>
      <c r="K11" s="5">
        <f>'DB pension'!$K18+'DC pension'!V17-'DC pension'!I17</f>
        <v>4075.5731091249204</v>
      </c>
    </row>
    <row r="12" spans="1:11">
      <c r="A12">
        <f t="shared" si="0"/>
        <v>2027</v>
      </c>
      <c r="B12" s="5">
        <f>'DB pension'!M19+'DC pension'!Q18-'DC pension'!D18</f>
        <v>172805.65699551761</v>
      </c>
      <c r="C12" s="5">
        <f>'DB pension'!N19+'DC pension'!Q18-'DC pension'!D18</f>
        <v>217907.16914574613</v>
      </c>
      <c r="D12" s="5">
        <f>'DB pension'!O19+'DC pension'!Q18-'DC pension'!D18</f>
        <v>185505.40284255557</v>
      </c>
      <c r="E12" s="5">
        <f>'DB pension'!P19+'DC pension'!Q18-'DC pension'!D18</f>
        <v>199647.86641194476</v>
      </c>
      <c r="F12" s="5"/>
      <c r="G12">
        <f t="shared" si="1"/>
        <v>2027</v>
      </c>
      <c r="H12" s="5">
        <f>'DB pension'!$K19+'DC pension'!S18-'DC pension'!F18</f>
        <v>4611.2492093580058</v>
      </c>
      <c r="I12" s="5">
        <f>'DB pension'!$K19+'DC pension'!T18-'DC pension'!G18</f>
        <v>4821.9052298727656</v>
      </c>
      <c r="J12" s="5">
        <f>'DB pension'!$K19+'DC pension'!U18-'DC pension'!H18</f>
        <v>4611.2492093580058</v>
      </c>
      <c r="K12" s="5">
        <f>'DB pension'!$K19+'DC pension'!V18-'DC pension'!I18</f>
        <v>4709.829185532044</v>
      </c>
    </row>
    <row r="13" spans="1:11">
      <c r="A13">
        <f t="shared" si="0"/>
        <v>2028</v>
      </c>
      <c r="B13" s="5">
        <f>'DB pension'!M20+'DC pension'!Q19-'DC pension'!D19</f>
        <v>189740.55731590927</v>
      </c>
      <c r="C13" s="5">
        <f>'DB pension'!N20+'DC pension'!Q19-'DC pension'!D19</f>
        <v>241923.95065311823</v>
      </c>
      <c r="D13" s="5">
        <f>'DB pension'!O20+'DC pension'!Q19-'DC pension'!D19</f>
        <v>203996.218079888</v>
      </c>
      <c r="E13" s="5">
        <f>'DB pension'!P20+'DC pension'!Q19-'DC pension'!D19</f>
        <v>221832.24336378582</v>
      </c>
      <c r="F13" s="5"/>
      <c r="G13">
        <f t="shared" si="1"/>
        <v>2028</v>
      </c>
      <c r="H13" s="5">
        <f>'DB pension'!$K20+'DC pension'!S19-'DC pension'!F19</f>
        <v>5187.4600524202124</v>
      </c>
      <c r="I13" s="5">
        <f>'DB pension'!$K20+'DC pension'!T19-'DC pension'!G19</f>
        <v>5441.8654147503858</v>
      </c>
      <c r="J13" s="5">
        <f>'DB pension'!$K20+'DC pension'!U19-'DC pension'!H19</f>
        <v>5187.4600524202124</v>
      </c>
      <c r="K13" s="5">
        <f>'DB pension'!$K20+'DC pension'!V19-'DC pension'!I19</f>
        <v>5315.6337464186199</v>
      </c>
    </row>
    <row r="14" spans="1:11">
      <c r="A14">
        <f t="shared" si="0"/>
        <v>2029</v>
      </c>
      <c r="B14" s="5">
        <f>'DB pension'!M21+'DC pension'!Q20-'DC pension'!D20</f>
        <v>178630.71861185378</v>
      </c>
      <c r="C14" s="5">
        <f>'DB pension'!N21+'DC pension'!Q20-'DC pension'!D20</f>
        <v>231959.53973710685</v>
      </c>
      <c r="D14" s="5">
        <f>'DB pension'!O21+'DC pension'!Q20-'DC pension'!D20</f>
        <v>194473.41259111205</v>
      </c>
      <c r="E14" s="5">
        <f>'DB pension'!P21+'DC pension'!Q20-'DC pension'!D20</f>
        <v>212101.76699591181</v>
      </c>
      <c r="F14" s="5"/>
      <c r="G14">
        <f t="shared" si="1"/>
        <v>2029</v>
      </c>
      <c r="H14" s="5">
        <f>'DB pension'!$K21+'DC pension'!S20-'DC pension'!F20</f>
        <v>5533.2785929683923</v>
      </c>
      <c r="I14" s="5">
        <f>'DB pension'!$K21+'DC pension'!T20-'DC pension'!G20</f>
        <v>5852.8267660029178</v>
      </c>
      <c r="J14" s="5">
        <f>'DB pension'!$K21+'DC pension'!U20-'DC pension'!H20</f>
        <v>5533.2785929683923</v>
      </c>
      <c r="K14" s="5">
        <f>'DB pension'!$K21+'DC pension'!V20-'DC pension'!I20</f>
        <v>5694.2723290010545</v>
      </c>
    </row>
    <row r="15" spans="1:11">
      <c r="A15">
        <f t="shared" si="0"/>
        <v>2030</v>
      </c>
      <c r="B15" s="5">
        <f>'DB pension'!M22+'DC pension'!Q21-'DC pension'!D21</f>
        <v>200897.41899675844</v>
      </c>
      <c r="C15" s="5">
        <f>'DB pension'!N22+'DC pension'!Q21-'DC pension'!D21</f>
        <v>260613.92931731345</v>
      </c>
      <c r="D15" s="5">
        <f>'DB pension'!O22+'DC pension'!Q21-'DC pension'!D21</f>
        <v>218358.88685560189</v>
      </c>
      <c r="E15" s="5">
        <f>'DB pension'!P22+'DC pension'!Q21-'DC pension'!D21</f>
        <v>238229.88769289435</v>
      </c>
      <c r="F15" s="5"/>
      <c r="G15">
        <f t="shared" si="1"/>
        <v>2030</v>
      </c>
      <c r="H15" s="5">
        <f>'DB pension'!$K22+'DC pension'!S21-'DC pension'!F21</f>
        <v>6131.0478631204242</v>
      </c>
      <c r="I15" s="5">
        <f>'DB pension'!$K22+'DC pension'!T21-'DC pension'!G21</f>
        <v>6487.6838416048395</v>
      </c>
      <c r="J15" s="5">
        <f>'DB pension'!$K22+'DC pension'!U21-'DC pension'!H21</f>
        <v>6131.0478631204242</v>
      </c>
      <c r="K15" s="5">
        <f>'DB pension'!$K22+'DC pension'!V21-'DC pension'!I21</f>
        <v>6310.7270583873815</v>
      </c>
    </row>
    <row r="16" spans="1:11">
      <c r="A16">
        <f t="shared" si="0"/>
        <v>2031</v>
      </c>
      <c r="B16" s="5">
        <f>'DB pension'!M23+'DC pension'!Q22-'DC pension'!D22</f>
        <v>224606.25500948942</v>
      </c>
      <c r="C16" s="5">
        <f>'DB pension'!N23+'DC pension'!Q22-'DC pension'!D22</f>
        <v>291018.81497664092</v>
      </c>
      <c r="D16" s="5">
        <f>'DB pension'!O23+'DC pension'!Q22-'DC pension'!D22</f>
        <v>243718.87222550972</v>
      </c>
      <c r="E16" s="5">
        <f>'DB pension'!P23+'DC pension'!Q22-'DC pension'!D22</f>
        <v>265962.30513326934</v>
      </c>
      <c r="F16" s="5"/>
      <c r="G16">
        <f t="shared" si="1"/>
        <v>2031</v>
      </c>
      <c r="H16" s="5">
        <f>'DB pension'!$K23+'DC pension'!S22-'DC pension'!F22</f>
        <v>6753.3017263077891</v>
      </c>
      <c r="I16" s="5">
        <f>'DB pension'!$K23+'DC pension'!T22-'DC pension'!G22</f>
        <v>7147.663063761298</v>
      </c>
      <c r="J16" s="5">
        <f>'DB pension'!$K23+'DC pension'!U22-'DC pension'!H22</f>
        <v>6753.3017263077891</v>
      </c>
      <c r="K16" s="5">
        <f>'DB pension'!$K23+'DC pension'!V22-'DC pension'!I22</f>
        <v>6951.9875909790226</v>
      </c>
    </row>
    <row r="17" spans="1:11">
      <c r="A17">
        <f t="shared" si="0"/>
        <v>2032</v>
      </c>
      <c r="B17" s="5">
        <f>'DB pension'!M24+'DC pension'!Q23-'DC pension'!D23</f>
        <v>249831.56230065878</v>
      </c>
      <c r="C17" s="5">
        <f>'DB pension'!N24+'DC pension'!Q23-'DC pension'!D23</f>
        <v>323262.28488912276</v>
      </c>
      <c r="D17" s="5">
        <f>'DB pension'!O24+'DC pension'!Q23-'DC pension'!D23</f>
        <v>270628.35186099954</v>
      </c>
      <c r="E17" s="5">
        <f>'DB pension'!P24+'DC pension'!Q23-'DC pension'!D23</f>
        <v>295380.16528585978</v>
      </c>
      <c r="F17" s="5"/>
      <c r="G17">
        <f t="shared" si="1"/>
        <v>2032</v>
      </c>
      <c r="H17" s="5">
        <f>'DB pension'!$K24+'DC pension'!S23-'DC pension'!F23</f>
        <v>7400.7471842714858</v>
      </c>
      <c r="I17" s="5">
        <f>'DB pension'!$K24+'DC pension'!T23-'DC pension'!G23</f>
        <v>7833.4804005997066</v>
      </c>
      <c r="J17" s="5">
        <f>'DB pension'!$K24+'DC pension'!U23-'DC pension'!H23</f>
        <v>7400.7471842714858</v>
      </c>
      <c r="K17" s="5">
        <f>'DB pension'!$K24+'DC pension'!V23-'DC pension'!I23</f>
        <v>7618.7654459330315</v>
      </c>
    </row>
    <row r="18" spans="1:11">
      <c r="A18">
        <f t="shared" si="0"/>
        <v>2033</v>
      </c>
      <c r="B18" s="5">
        <f>'DB pension'!M25+'DC pension'!Q24-'DC pension'!D24</f>
        <v>276651.08495911304</v>
      </c>
      <c r="C18" s="5">
        <f>'DB pension'!N25+'DC pension'!Q24-'DC pension'!D24</f>
        <v>357436.41627633933</v>
      </c>
      <c r="D18" s="5">
        <f>'DB pension'!O25+'DC pension'!Q24-'DC pension'!D24</f>
        <v>299165.73031066055</v>
      </c>
      <c r="E18" s="5">
        <f>'DB pension'!P25+'DC pension'!Q24-'DC pension'!D24</f>
        <v>326568.30245723482</v>
      </c>
      <c r="F18" s="5"/>
      <c r="G18">
        <f t="shared" si="1"/>
        <v>2033</v>
      </c>
      <c r="H18" s="5">
        <f>'DB pension'!$K25+'DC pension'!S24-'DC pension'!F24</f>
        <v>8074.108855651164</v>
      </c>
      <c r="I18" s="5">
        <f>'DB pension'!$K25+'DC pension'!T24-'DC pension'!G24</f>
        <v>8545.8695559307598</v>
      </c>
      <c r="J18" s="5">
        <f>'DB pension'!$K25+'DC pension'!U24-'DC pension'!H24</f>
        <v>8074.108855651164</v>
      </c>
      <c r="K18" s="5">
        <f>'DB pension'!$K25+'DC pension'!V24-'DC pension'!I24</f>
        <v>8311.7898191508066</v>
      </c>
    </row>
    <row r="19" spans="1:11">
      <c r="A19">
        <f t="shared" si="0"/>
        <v>2034</v>
      </c>
      <c r="B19" s="5">
        <f>'DB pension'!M26+'DC pension'!Q25-'DC pension'!D25</f>
        <v>305146.12121231749</v>
      </c>
      <c r="C19" s="5">
        <f>'DB pension'!N26+'DC pension'!Q25-'DC pension'!D25</f>
        <v>393637.44468700193</v>
      </c>
      <c r="D19" s="5">
        <f>'DB pension'!O26+'DC pension'!Q25-'DC pension'!D25</f>
        <v>329412.97947089601</v>
      </c>
      <c r="E19" s="5">
        <f>'DB pension'!P26+'DC pension'!Q25-'DC pension'!D25</f>
        <v>359615.39621773298</v>
      </c>
      <c r="F19" s="5"/>
      <c r="G19">
        <f t="shared" si="1"/>
        <v>2034</v>
      </c>
      <c r="H19" s="5">
        <f>'DB pension'!$K26+'DC pension'!S25-'DC pension'!F25</f>
        <v>8774.1293828885846</v>
      </c>
      <c r="I19" s="5">
        <f>'DB pension'!$K26+'DC pension'!T25-'DC pension'!G25</f>
        <v>9285.5823776927118</v>
      </c>
      <c r="J19" s="5">
        <f>'DB pension'!$K26+'DC pension'!U25-'DC pension'!H25</f>
        <v>8774.1293828885846</v>
      </c>
      <c r="K19" s="5">
        <f>'DB pension'!$K26+'DC pension'!V25-'DC pension'!I25</f>
        <v>9031.8079909578391</v>
      </c>
    </row>
    <row r="20" spans="1:11">
      <c r="A20">
        <f t="shared" si="0"/>
        <v>2035</v>
      </c>
      <c r="B20" s="5">
        <f>'DB pension'!M27+'DC pension'!Q26-'DC pension'!D26</f>
        <v>335401.67507567041</v>
      </c>
      <c r="C20" s="5">
        <f>'DB pension'!N27+'DC pension'!Q26-'DC pension'!D26</f>
        <v>431965.94015637325</v>
      </c>
      <c r="D20" s="5">
        <f>'DB pension'!O27+'DC pension'!Q26-'DC pension'!D26</f>
        <v>361455.79049942049</v>
      </c>
      <c r="E20" s="5">
        <f>'DB pension'!P27+'DC pension'!Q26-'DC pension'!D26</f>
        <v>394614.13471693028</v>
      </c>
      <c r="F20" s="5"/>
      <c r="G20">
        <f t="shared" si="1"/>
        <v>2035</v>
      </c>
      <c r="H20" s="5">
        <f>'DB pension'!$K27+'DC pension'!S26-'DC pension'!F26</f>
        <v>9501.5698481233485</v>
      </c>
      <c r="I20" s="5">
        <f>'DB pension'!$K27+'DC pension'!T26-'DC pension'!G26</f>
        <v>10053.389275407741</v>
      </c>
      <c r="J20" s="5">
        <f>'DB pension'!$K27+'DC pension'!U26-'DC pension'!H26</f>
        <v>9501.5698481233485</v>
      </c>
      <c r="K20" s="5">
        <f>'DB pension'!$K27+'DC pension'!V26-'DC pension'!I26</f>
        <v>9779.5857427857136</v>
      </c>
    </row>
    <row r="21" spans="1:11">
      <c r="A21">
        <f t="shared" si="0"/>
        <v>2036</v>
      </c>
      <c r="B21" s="5">
        <f>'DB pension'!M28+'DC pension'!Q27-'DC pension'!D27</f>
        <v>367506.61418603733</v>
      </c>
      <c r="C21" s="5">
        <f>'DB pension'!N28+'DC pension'!Q27-'DC pension'!D27</f>
        <v>472526.99051680078</v>
      </c>
      <c r="D21" s="5">
        <f>'DB pension'!O28+'DC pension'!Q27-'DC pension'!D27</f>
        <v>395383.73191826243</v>
      </c>
      <c r="E21" s="5">
        <f>'DB pension'!P28+'DC pension'!Q27-'DC pension'!D27</f>
        <v>431661.384640823</v>
      </c>
      <c r="F21" s="5"/>
      <c r="G21">
        <f t="shared" si="1"/>
        <v>2036</v>
      </c>
      <c r="H21" s="5">
        <f>'DB pension'!$K28+'DC pension'!S27-'DC pension'!F27</f>
        <v>10257.210198274113</v>
      </c>
      <c r="I21" s="5">
        <f>'DB pension'!$K28+'DC pension'!T27-'DC pension'!G27</f>
        <v>10850.079646843889</v>
      </c>
      <c r="J21" s="5">
        <f>'DB pension'!$K28+'DC pension'!U27-'DC pension'!H27</f>
        <v>10257.210198274113</v>
      </c>
      <c r="K21" s="5">
        <f>'DB pension'!$K28+'DC pension'!V27-'DC pension'!I27</f>
        <v>10555.907783049724</v>
      </c>
    </row>
    <row r="22" spans="1:11">
      <c r="A22">
        <f t="shared" si="0"/>
        <v>2037</v>
      </c>
      <c r="B22" s="5">
        <f>'DB pension'!M29+'DC pension'!Q28-'DC pension'!D28</f>
        <v>401553.83406388666</v>
      </c>
      <c r="C22" s="5">
        <f>'DB pension'!N29+'DC pension'!Q28-'DC pension'!D28</f>
        <v>515430.3921410956</v>
      </c>
      <c r="D22" s="5">
        <f>'DB pension'!O29+'DC pension'!Q28-'DC pension'!D28</f>
        <v>431290.4141507562</v>
      </c>
      <c r="E22" s="5">
        <f>'DB pension'!P29+'DC pension'!Q28-'DC pension'!D28</f>
        <v>470858.3680727242</v>
      </c>
      <c r="F22" s="5"/>
      <c r="G22">
        <f t="shared" si="1"/>
        <v>2037</v>
      </c>
      <c r="H22" s="5">
        <f>'DB pension'!$K29+'DC pension'!S28-'DC pension'!F28</f>
        <v>11041.849679502626</v>
      </c>
      <c r="I22" s="5">
        <f>'DB pension'!$K29+'DC pension'!T28-'DC pension'!G28</f>
        <v>11676.46231408016</v>
      </c>
      <c r="J22" s="5">
        <f>'DB pension'!$K29+'DC pension'!U28-'DC pension'!H28</f>
        <v>11041.849679502626</v>
      </c>
      <c r="K22" s="5">
        <f>'DB pension'!$K29+'DC pension'!V28-'DC pension'!I28</f>
        <v>11361.578182419551</v>
      </c>
    </row>
    <row r="23" spans="1:11">
      <c r="A23">
        <f t="shared" si="0"/>
        <v>2038</v>
      </c>
      <c r="B23" s="5">
        <f>'DB pension'!M30+'DC pension'!Q29-'DC pension'!D29</f>
        <v>437640.42905784922</v>
      </c>
      <c r="C23" s="5">
        <f>'DB pension'!N30+'DC pension'!Q29-'DC pension'!D29</f>
        <v>560790.84841135587</v>
      </c>
      <c r="D23" s="5">
        <f>'DB pension'!O30+'DC pension'!Q29-'DC pension'!D29</f>
        <v>469273.66074645612</v>
      </c>
      <c r="E23" s="5">
        <f>'DB pension'!P30+'DC pension'!Q29-'DC pension'!D29</f>
        <v>512310.84652999195</v>
      </c>
      <c r="F23" s="5"/>
      <c r="G23">
        <f t="shared" si="1"/>
        <v>2038</v>
      </c>
      <c r="H23" s="5">
        <f>'DB pension'!$K30+'DC pension'!S29-'DC pension'!F29</f>
        <v>11856.307281262041</v>
      </c>
      <c r="I23" s="5">
        <f>'DB pension'!$K30+'DC pension'!T29-'DC pension'!G29</f>
        <v>12533.365969176515</v>
      </c>
      <c r="J23" s="5">
        <f>'DB pension'!$K30+'DC pension'!U29-'DC pension'!H29</f>
        <v>11856.307281262041</v>
      </c>
      <c r="K23" s="5">
        <f>'DB pension'!$K30+'DC pension'!V29-'DC pension'!I29</f>
        <v>12197.420818684601</v>
      </c>
    </row>
    <row r="24" spans="1:11">
      <c r="A24">
        <f t="shared" si="0"/>
        <v>2039</v>
      </c>
      <c r="B24" s="5">
        <f>'DB pension'!M31+'DC pension'!Q30-'DC pension'!D30</f>
        <v>475867.87023532303</v>
      </c>
      <c r="C24" s="5">
        <f>'DB pension'!N31+'DC pension'!Q30-'DC pension'!D30</f>
        <v>608728.17621709895</v>
      </c>
      <c r="D24" s="5">
        <f>'DB pension'!O31+'DC pension'!Q30-'DC pension'!D30</f>
        <v>509435.68655770208</v>
      </c>
      <c r="E24" s="5">
        <f>'DB pension'!P31+'DC pension'!Q30-'DC pension'!D30</f>
        <v>556129.31245919201</v>
      </c>
      <c r="F24" s="5"/>
      <c r="G24">
        <f t="shared" si="1"/>
        <v>2039</v>
      </c>
      <c r="H24" s="5">
        <f>'DB pension'!$K31+'DC pension'!S30-'DC pension'!F30</f>
        <v>12701.42219013527</v>
      </c>
      <c r="I24" s="5">
        <f>'DB pension'!$K31+'DC pension'!T30-'DC pension'!G30</f>
        <v>13421.63962965475</v>
      </c>
      <c r="J24" s="5">
        <f>'DB pension'!$K31+'DC pension'!U30-'DC pension'!H30</f>
        <v>12701.42219013527</v>
      </c>
      <c r="K24" s="5">
        <f>'DB pension'!$K31+'DC pension'!V30-'DC pension'!I30</f>
        <v>13064.279831419894</v>
      </c>
    </row>
    <row r="25" spans="1:11">
      <c r="A25">
        <f t="shared" si="0"/>
        <v>2040</v>
      </c>
      <c r="B25" s="5">
        <f>'DB pension'!M32+'DC pension'!Q31-'DC pension'!D31</f>
        <v>518703.14040030201</v>
      </c>
      <c r="C25" s="5">
        <f>'DB pension'!N32+'DC pension'!Q31-'DC pension'!D31</f>
        <v>661728.47070566099</v>
      </c>
      <c r="D25" s="5">
        <f>'DB pension'!O32+'DC pension'!Q31-'DC pension'!D31</f>
        <v>554244.23304912867</v>
      </c>
      <c r="E25" s="5">
        <f>'DB pension'!P32+'DC pension'!Q31-'DC pension'!D31</f>
        <v>604790.13839058054</v>
      </c>
      <c r="F25" s="5"/>
      <c r="G25">
        <f t="shared" si="1"/>
        <v>2040</v>
      </c>
      <c r="H25" s="5">
        <f>'DB pension'!$K32+'DC pension'!S31-'DC pension'!F31</f>
        <v>13640.139255679744</v>
      </c>
      <c r="I25" s="5">
        <f>'DB pension'!$K32+'DC pension'!T31-'DC pension'!G31</f>
        <v>14396.432793854507</v>
      </c>
      <c r="J25" s="5">
        <f>'DB pension'!$K32+'DC pension'!U31-'DC pension'!H31</f>
        <v>13640.139255679744</v>
      </c>
      <c r="K25" s="5">
        <f>'DB pension'!$K32+'DC pension'!V31-'DC pension'!I31</f>
        <v>14021.172641325045</v>
      </c>
    </row>
    <row r="26" spans="1:11">
      <c r="A26">
        <f t="shared" si="0"/>
        <v>2041</v>
      </c>
      <c r="B26" s="5">
        <f>'DB pension'!M33+'DC pension'!Q32-'DC pension'!D32</f>
        <v>564117.63306699891</v>
      </c>
      <c r="C26" s="5">
        <f>'DB pension'!N33+'DC pension'!Q32-'DC pension'!D32</f>
        <v>717783.03515679261</v>
      </c>
      <c r="D26" s="5">
        <f>'DB pension'!O33+'DC pension'!Q32-'DC pension'!D32</f>
        <v>601671.46756880207</v>
      </c>
      <c r="E26" s="5">
        <f>'DB pension'!P33+'DC pension'!Q32-'DC pension'!D32</f>
        <v>656274.4906009282</v>
      </c>
      <c r="F26" s="5"/>
      <c r="G26">
        <f t="shared" si="1"/>
        <v>2041</v>
      </c>
      <c r="H26" s="5">
        <f>'DB pension'!$K33+'DC pension'!S32-'DC pension'!F32</f>
        <v>14615.159508671659</v>
      </c>
      <c r="I26" s="5">
        <f>'DB pension'!$K33+'DC pension'!T32-'DC pension'!G32</f>
        <v>15407.770955306894</v>
      </c>
      <c r="J26" s="5">
        <f>'DB pension'!$K33+'DC pension'!U32-'DC pension'!H32</f>
        <v>14615.159508671659</v>
      </c>
      <c r="K26" s="5">
        <f>'DB pension'!$K33+'DC pension'!V32-'DC pension'!I32</f>
        <v>15014.490466518419</v>
      </c>
    </row>
    <row r="27" spans="1:11">
      <c r="A27">
        <f t="shared" si="0"/>
        <v>2042</v>
      </c>
      <c r="B27" s="5">
        <f>'DB pension'!M34+'DC pension'!Q33-'DC pension'!D33</f>
        <v>612238.24291200377</v>
      </c>
      <c r="C27" s="5">
        <f>'DB pension'!N34+'DC pension'!Q33-'DC pension'!D33</f>
        <v>777039.50354920188</v>
      </c>
      <c r="D27" s="5">
        <f>'DB pension'!O34+'DC pension'!Q33-'DC pension'!D33</f>
        <v>651845.07410384307</v>
      </c>
      <c r="E27" s="5">
        <f>'DB pension'!P34+'DC pension'!Q33-'DC pension'!D33</f>
        <v>710719.43482865556</v>
      </c>
      <c r="F27" s="5"/>
      <c r="G27">
        <f t="shared" si="1"/>
        <v>2042</v>
      </c>
      <c r="H27" s="5">
        <f>'DB pension'!$K34+'DC pension'!S33-'DC pension'!F33</f>
        <v>15627.45641137605</v>
      </c>
      <c r="I27" s="5">
        <f>'DB pension'!$K34+'DC pension'!T33-'DC pension'!G33</f>
        <v>16456.628893753885</v>
      </c>
      <c r="J27" s="5">
        <f>'DB pension'!$K34+'DC pension'!U33-'DC pension'!H33</f>
        <v>15627.45641137605</v>
      </c>
      <c r="K27" s="5">
        <f>'DB pension'!$K34+'DC pension'!V33-'DC pension'!I33</f>
        <v>16045.207433032057</v>
      </c>
    </row>
    <row r="28" spans="1:11">
      <c r="A28">
        <f t="shared" si="0"/>
        <v>2043</v>
      </c>
      <c r="B28" s="5">
        <f>'DB pension'!M35+'DC pension'!Q34-'DC pension'!D34</f>
        <v>663197.47051629028</v>
      </c>
      <c r="C28" s="5">
        <f>'DB pension'!N35+'DC pension'!Q34-'DC pension'!D34</f>
        <v>839651.97867707117</v>
      </c>
      <c r="D28" s="5">
        <f>'DB pension'!O35+'DC pension'!Q34-'DC pension'!D34</f>
        <v>704898.35833196621</v>
      </c>
      <c r="E28" s="5">
        <f>'DB pension'!P35+'DC pension'!Q34-'DC pension'!D34</f>
        <v>768268.05687462189</v>
      </c>
      <c r="F28" s="5"/>
      <c r="G28">
        <f t="shared" si="1"/>
        <v>2043</v>
      </c>
      <c r="H28" s="5">
        <f>'DB pension'!$K35+'DC pension'!S34-'DC pension'!F34</f>
        <v>16678.026561849048</v>
      </c>
      <c r="I28" s="5">
        <f>'DB pension'!$K35+'DC pension'!T34-'DC pension'!G34</f>
        <v>17544.004531467446</v>
      </c>
      <c r="J28" s="5">
        <f>'DB pension'!$K35+'DC pension'!U34-'DC pension'!H34</f>
        <v>16678.026561849048</v>
      </c>
      <c r="K28" s="5">
        <f>'DB pension'!$K35+'DC pension'!V34-'DC pension'!I34</f>
        <v>17114.32080608427</v>
      </c>
    </row>
    <row r="29" spans="1:11">
      <c r="A29">
        <f t="shared" si="0"/>
        <v>2044</v>
      </c>
      <c r="B29" s="5">
        <f>'DB pension'!M36+'DC pension'!Q35-'DC pension'!D35</f>
        <v>717133.65483773989</v>
      </c>
      <c r="C29" s="5">
        <f>'DB pension'!N36+'DC pension'!Q35-'DC pension'!D35</f>
        <v>905781.29930570046</v>
      </c>
      <c r="D29" s="5">
        <f>'DB pension'!O36+'DC pension'!Q35-'DC pension'!D35</f>
        <v>760970.48040972953</v>
      </c>
      <c r="E29" s="5">
        <f>'DB pension'!P36+'DC pension'!Q35-'DC pension'!D35</f>
        <v>829069.71155210189</v>
      </c>
      <c r="F29" s="5"/>
      <c r="G29">
        <f t="shared" si="1"/>
        <v>2044</v>
      </c>
      <c r="H29" s="5">
        <f>'DB pension'!$K36+'DC pension'!S35-'DC pension'!F35</f>
        <v>17767.890213626721</v>
      </c>
      <c r="I29" s="5">
        <f>'DB pension'!$K36+'DC pension'!T35-'DC pension'!G35</f>
        <v>18670.919452972044</v>
      </c>
      <c r="J29" s="5">
        <f>'DB pension'!$K36+'DC pension'!U35-'DC pension'!H35</f>
        <v>17767.890213626721</v>
      </c>
      <c r="K29" s="5">
        <f>'DB pension'!$K36+'DC pension'!V35-'DC pension'!I35</f>
        <v>18222.851509785432</v>
      </c>
    </row>
    <row r="30" spans="1:11">
      <c r="A30">
        <f t="shared" si="0"/>
        <v>2045</v>
      </c>
      <c r="B30" s="5">
        <f>'DB pension'!M37+'DC pension'!Q36-'DC pension'!D36</f>
        <v>774191.2149455878</v>
      </c>
      <c r="C30" s="5">
        <f>'DB pension'!N37+'DC pension'!Q36-'DC pension'!D36</f>
        <v>975595.31794801378</v>
      </c>
      <c r="D30" s="5">
        <f>'DB pension'!O37+'DC pension'!Q36-'DC pension'!D36</f>
        <v>820206.69702901714</v>
      </c>
      <c r="E30" s="5">
        <f>'DB pension'!P37+'DC pension'!Q36-'DC pension'!D36</f>
        <v>893280.28154108999</v>
      </c>
      <c r="F30" s="5"/>
      <c r="G30">
        <f t="shared" si="1"/>
        <v>2045</v>
      </c>
      <c r="H30" s="5">
        <f>'DB pension'!$K37+'DC pension'!S36-'DC pension'!F36</f>
        <v>18898.091806710443</v>
      </c>
      <c r="I30" s="5">
        <f>'DB pension'!$K37+'DC pension'!T36-'DC pension'!G36</f>
        <v>19838.419436063916</v>
      </c>
      <c r="J30" s="5">
        <f>'DB pension'!$K37+'DC pension'!U36-'DC pension'!H36</f>
        <v>18898.091806710443</v>
      </c>
      <c r="K30" s="5">
        <f>'DB pension'!$K37+'DC pension'!V36-'DC pension'!I36</f>
        <v>19371.844658140439</v>
      </c>
    </row>
    <row r="31" spans="1:11">
      <c r="A31">
        <f t="shared" si="0"/>
        <v>2046</v>
      </c>
      <c r="B31" s="5">
        <f>'DB pension'!M38+'DC pension'!Q37-'DC pension'!D37</f>
        <v>802443.39421186934</v>
      </c>
      <c r="C31" s="5">
        <f>'DB pension'!N38+'DC pension'!Q37-'DC pension'!D37</f>
        <v>1050885.6140036434</v>
      </c>
      <c r="D31" s="5">
        <f>'DB pension'!O38+'DC pension'!Q37-'DC pension'!D37</f>
        <v>850678.87629529869</v>
      </c>
      <c r="E31" s="5">
        <f>'DB pension'!P38+'DC pension'!Q37-'DC pension'!D37</f>
        <v>944220.94661801856</v>
      </c>
      <c r="F31" s="5"/>
      <c r="G31">
        <f t="shared" si="1"/>
        <v>2046</v>
      </c>
      <c r="H31" s="5">
        <f>'DB pension'!$K38+'DC pension'!S37-'DC pension'!F37</f>
        <v>19848.285762934276</v>
      </c>
      <c r="I31" s="5">
        <f>'DB pension'!$K38+'DC pension'!T37-'DC pension'!G37</f>
        <v>21056.052726158148</v>
      </c>
      <c r="J31" s="5">
        <f>'DB pension'!$K38+'DC pension'!U37-'DC pension'!H37</f>
        <v>19848.285762934276</v>
      </c>
      <c r="K31" s="5">
        <f>'DB pension'!$K38+'DC pension'!V37-'DC pension'!I37</f>
        <v>20461.948734126971</v>
      </c>
    </row>
    <row r="32" spans="1:11">
      <c r="A32">
        <f t="shared" si="0"/>
        <v>2047</v>
      </c>
      <c r="B32" s="5">
        <f>'DB pension'!M39+'DC pension'!Q38-'DC pension'!D38</f>
        <v>864183.1771572961</v>
      </c>
      <c r="C32" s="5">
        <f>'DB pension'!N39+'DC pension'!Q38-'DC pension'!D38</f>
        <v>1128901.8456101262</v>
      </c>
      <c r="D32" s="5">
        <f>'DB pension'!O39+'DC pension'!Q38-'DC pension'!D38</f>
        <v>914638.65924072545</v>
      </c>
      <c r="E32" s="5">
        <f>'DB pension'!P39+'DC pension'!Q38-'DC pension'!D38</f>
        <v>1014748.2872999669</v>
      </c>
      <c r="F32" s="5"/>
      <c r="G32">
        <f t="shared" si="1"/>
        <v>2047</v>
      </c>
      <c r="H32" s="5">
        <f>'DB pension'!$K39+'DC pension'!S38-'DC pension'!F38</f>
        <v>21059.514906967459</v>
      </c>
      <c r="I32" s="5">
        <f>'DB pension'!$K39+'DC pension'!T38-'DC pension'!G38</f>
        <v>22313.107216662567</v>
      </c>
      <c r="J32" s="5">
        <f>'DB pension'!$K39+'DC pension'!U38-'DC pension'!H38</f>
        <v>21059.514906967459</v>
      </c>
      <c r="K32" s="5">
        <f>'DB pension'!$K39+'DC pension'!V38-'DC pension'!I38</f>
        <v>21696.461606832785</v>
      </c>
    </row>
    <row r="33" spans="1:11">
      <c r="A33">
        <f t="shared" si="0"/>
        <v>2048</v>
      </c>
      <c r="B33" s="5">
        <f>'DB pension'!M40+'DC pension'!Q39-'DC pension'!D39</f>
        <v>929632.75188528444</v>
      </c>
      <c r="C33" s="5">
        <f>'DB pension'!N40+'DC pension'!Q39-'DC pension'!D39</f>
        <v>1211342.4027085216</v>
      </c>
      <c r="D33" s="5">
        <f>'DB pension'!O40+'DC pension'!Q39-'DC pension'!D39</f>
        <v>982308.23396871379</v>
      </c>
      <c r="E33" s="5">
        <f>'DB pension'!P40+'DC pension'!Q39-'DC pension'!D39</f>
        <v>1089319.2694802915</v>
      </c>
      <c r="F33" s="5"/>
      <c r="G33">
        <f t="shared" si="1"/>
        <v>2048</v>
      </c>
      <c r="H33" s="5">
        <f>'DB pension'!$K40+'DC pension'!S39-'DC pension'!F39</f>
        <v>22319.678222834085</v>
      </c>
      <c r="I33" s="5">
        <f>'DB pension'!$K40+'DC pension'!T39-'DC pension'!G39</f>
        <v>23618.595475604561</v>
      </c>
      <c r="J33" s="5">
        <f>'DB pension'!$K40+'DC pension'!U39-'DC pension'!H39</f>
        <v>22319.678222834085</v>
      </c>
      <c r="K33" s="5">
        <f>'DB pension'!$K40+'DC pension'!V39-'DC pension'!I39</f>
        <v>22979.654397824754</v>
      </c>
    </row>
    <row r="34" spans="1:11">
      <c r="A34">
        <f t="shared" si="0"/>
        <v>2049</v>
      </c>
      <c r="B34" s="5">
        <f>'DB pension'!M41+'DC pension'!Q40-'DC pension'!D40</f>
        <v>998966.79161246656</v>
      </c>
      <c r="C34" s="5">
        <f>'DB pension'!N41+'DC pension'!Q40-'DC pension'!D40</f>
        <v>1298414.0025304786</v>
      </c>
      <c r="D34" s="5">
        <f>'DB pension'!O41+'DC pension'!Q40-'DC pension'!D40</f>
        <v>1053862.2736958959</v>
      </c>
      <c r="E34" s="5">
        <f>'DB pension'!P41+'DC pension'!Q40-'DC pension'!D40</f>
        <v>1168123.5382169343</v>
      </c>
      <c r="F34" s="5"/>
      <c r="G34">
        <f t="shared" si="1"/>
        <v>2049</v>
      </c>
      <c r="H34" s="5">
        <f>'DB pension'!$K41+'DC pension'!S40-'DC pension'!F40</f>
        <v>23629.88033638092</v>
      </c>
      <c r="I34" s="5">
        <f>'DB pension'!$K41+'DC pension'!T40-'DC pension'!G40</f>
        <v>24973.630125332409</v>
      </c>
      <c r="J34" s="5">
        <f>'DB pension'!$K41+'DC pension'!U40-'DC pension'!H40</f>
        <v>23629.88033638092</v>
      </c>
      <c r="K34" s="5">
        <f>'DB pension'!$K41+'DC pension'!V40-'DC pension'!I40</f>
        <v>24312.635795949391</v>
      </c>
    </row>
    <row r="35" spans="1:11">
      <c r="A35">
        <f t="shared" si="0"/>
        <v>2050</v>
      </c>
      <c r="B35" s="5">
        <f>'DB pension'!M42+'DC pension'!Q41-'DC pension'!D41</f>
        <v>1072367.4292663091</v>
      </c>
      <c r="C35" s="5">
        <f>'DB pension'!N42+'DC pension'!Q41-'DC pension'!D41</f>
        <v>1390332.1662594732</v>
      </c>
      <c r="D35" s="5">
        <f>'DB pension'!O42+'DC pension'!Q41-'DC pension'!D41</f>
        <v>1129482.9113497385</v>
      </c>
      <c r="E35" s="5">
        <f>'DB pension'!P42+'DC pension'!Q41-'DC pension'!D41</f>
        <v>1251358.8263448735</v>
      </c>
      <c r="F35" s="5"/>
      <c r="G35">
        <f t="shared" si="1"/>
        <v>2050</v>
      </c>
      <c r="H35" s="5">
        <f>'DB pension'!$K42+'DC pension'!S41-'DC pension'!F41</f>
        <v>24991.253715017687</v>
      </c>
      <c r="I35" s="5">
        <f>'DB pension'!$K42+'DC pension'!T41-'DC pension'!G41</f>
        <v>26379.351514013542</v>
      </c>
      <c r="J35" s="5">
        <f>'DB pension'!$K42+'DC pension'!U41-'DC pension'!H41</f>
        <v>24991.253715017687</v>
      </c>
      <c r="K35" s="5">
        <f>'DB pension'!$K42+'DC pension'!V41-'DC pension'!I41</f>
        <v>25696.542272807077</v>
      </c>
    </row>
    <row r="36" spans="1:11">
      <c r="A36" s="6">
        <f t="shared" si="0"/>
        <v>2051</v>
      </c>
      <c r="B36" s="5">
        <f>'DB pension'!M43+'DC pension'!Q42-'DC pension'!D42</f>
        <v>1150024.5599569734</v>
      </c>
      <c r="C36" s="5">
        <f>'DB pension'!N43+'DC pension'!Q42-'DC pension'!D42</f>
        <v>1487321.5756112197</v>
      </c>
      <c r="D36" s="5">
        <f>'DB pension'!O43+'DC pension'!Q42-'DC pension'!D42</f>
        <v>1209360.0420404028</v>
      </c>
      <c r="E36" s="5">
        <f>'DB pension'!P43+'DC pension'!Q42-'DC pension'!D42</f>
        <v>1339231.2822289828</v>
      </c>
      <c r="F36" s="5"/>
      <c r="G36" s="16">
        <f t="shared" si="1"/>
        <v>2051</v>
      </c>
      <c r="H36" s="5">
        <f>'DB pension'!$K43+'DC pension'!S42-'DC pension'!F42</f>
        <v>26404.95926058391</v>
      </c>
      <c r="I36" s="5">
        <f>'DB pension'!$K43+'DC pension'!T42-'DC pension'!G42</f>
        <v>27836.928310222869</v>
      </c>
      <c r="J36" s="5">
        <f>'DB pension'!$K43+'DC pension'!U42-'DC pension'!H42</f>
        <v>26404.95926058391</v>
      </c>
      <c r="K36" s="5">
        <f>'DB pension'!$K43+'DC pension'!V42-'DC pension'!I42</f>
        <v>27132.538676493583</v>
      </c>
    </row>
    <row r="37" spans="1:11">
      <c r="A37" s="6">
        <f t="shared" si="0"/>
        <v>2052</v>
      </c>
      <c r="B37" s="5">
        <f>'DB pension'!M44+'DC pension'!Q43-'DC pension'!D43</f>
        <v>1232136.1553266905</v>
      </c>
      <c r="C37" s="5">
        <f>'DB pension'!N44+'DC pension'!Q43-'DC pension'!D43</f>
        <v>1589616.4434095917</v>
      </c>
      <c r="D37" s="5">
        <f>'DB pension'!O44+'DC pension'!Q43-'DC pension'!D43</f>
        <v>1293691.6374101199</v>
      </c>
      <c r="E37" s="5">
        <f>'DB pension'!P44+'DC pension'!Q43-'DC pension'!D43</f>
        <v>1431955.8103839853</v>
      </c>
      <c r="F37" s="5"/>
      <c r="G37" s="16">
        <f t="shared" si="1"/>
        <v>2052</v>
      </c>
      <c r="H37" s="5">
        <f>'DB pension'!$K44+'DC pension'!S43-'DC pension'!F43</f>
        <v>27872.186915473703</v>
      </c>
      <c r="I37" s="5">
        <f>'DB pension'!$K44+'DC pension'!T43-'DC pension'!G43</f>
        <v>29347.55811076357</v>
      </c>
      <c r="J37" s="5">
        <f>'DB pension'!$K44+'DC pension'!U43-'DC pension'!H43</f>
        <v>27872.186915473703</v>
      </c>
      <c r="K37" s="5">
        <f>'DB pension'!$K44+'DC pension'!V43-'DC pension'!I43</f>
        <v>28621.818838586572</v>
      </c>
    </row>
    <row r="38" spans="1:11">
      <c r="A38" s="6">
        <f t="shared" si="0"/>
        <v>2053</v>
      </c>
      <c r="B38" s="5">
        <f>'DB pension'!M45+'DC pension'!Q44-'DC pension'!D44</f>
        <v>1318908.590233007</v>
      </c>
      <c r="C38" s="5">
        <f>'DB pension'!N45+'DC pension'!Q44-'DC pension'!D44</f>
        <v>1697460.8986956668</v>
      </c>
      <c r="D38" s="5">
        <f>'DB pension'!O45+'DC pension'!Q44-'DC pension'!D44</f>
        <v>1382684.0723164361</v>
      </c>
      <c r="E38" s="5">
        <f>'DB pension'!P45+'DC pension'!Q44-'DC pension'!D44</f>
        <v>1529756.4254558347</v>
      </c>
      <c r="F38" s="5"/>
      <c r="G38" s="16">
        <f t="shared" si="1"/>
        <v>2053</v>
      </c>
      <c r="H38" s="5">
        <f>'DB pension'!$K45+'DC pension'!S44-'DC pension'!F44</f>
        <v>29394.15628229369</v>
      </c>
      <c r="I38" s="5">
        <f>'DB pension'!$K45+'DC pension'!T44-'DC pension'!G44</f>
        <v>30912.468061996042</v>
      </c>
      <c r="J38" s="5">
        <f>'DB pension'!$K45+'DC pension'!U44-'DC pension'!H44</f>
        <v>29394.15628229369</v>
      </c>
      <c r="K38" s="5">
        <f>'DB pension'!$K45+'DC pension'!V44-'DC pension'!I44</f>
        <v>30165.606194652573</v>
      </c>
    </row>
    <row r="39" spans="1:11">
      <c r="A39" s="6">
        <f t="shared" si="0"/>
        <v>2054</v>
      </c>
      <c r="B39" s="5">
        <f>'DB pension'!M46+'DC pension'!Q45-'DC pension'!D45</f>
        <v>1410556.9822395435</v>
      </c>
      <c r="C39" s="5">
        <f>'DB pension'!N46+'DC pension'!Q45-'DC pension'!D45</f>
        <v>1811109.3869278699</v>
      </c>
      <c r="D39" s="5">
        <f>'DB pension'!O46+'DC pension'!Q45-'DC pension'!D45</f>
        <v>1476552.4643229728</v>
      </c>
      <c r="E39" s="5">
        <f>'DB pension'!P46+'DC pension'!Q45-'DC pension'!D45</f>
        <v>1632866.6200775604</v>
      </c>
      <c r="F39" s="5"/>
      <c r="G39" s="6">
        <f t="shared" si="1"/>
        <v>2054</v>
      </c>
      <c r="H39" s="5">
        <f>'DB pension'!$K46+'DC pension'!S45-'DC pension'!F45</f>
        <v>30972.117257335423</v>
      </c>
      <c r="I39" s="5">
        <f>'DB pension'!$K46+'DC pension'!T45-'DC pension'!G45</f>
        <v>32532.915494956749</v>
      </c>
      <c r="J39" s="5">
        <f>'DB pension'!$K46+'DC pension'!U45-'DC pension'!H45</f>
        <v>30972.117257335423</v>
      </c>
      <c r="K39" s="5">
        <f>'DB pension'!$K46+'DC pension'!V45-'DC pension'!I45</f>
        <v>31765.15441855598</v>
      </c>
    </row>
    <row r="40" spans="1:11">
      <c r="A40" s="6">
        <f t="shared" si="0"/>
        <v>2055</v>
      </c>
      <c r="B40" s="5">
        <f>'DB pension'!M47+'DC pension'!Q46-'DC pension'!D46</f>
        <v>1507305.5444057933</v>
      </c>
      <c r="C40" s="5">
        <f>'DB pension'!N47+'DC pension'!Q46-'DC pension'!D46</f>
        <v>1930827.0858522626</v>
      </c>
      <c r="D40" s="5">
        <f>'DB pension'!O47+'DC pension'!Q46-'DC pension'!D46</f>
        <v>1575521.0264892227</v>
      </c>
      <c r="E40" s="5">
        <f>'DB pension'!P47+'DC pension'!Q46-'DC pension'!D46</f>
        <v>1741529.7471319982</v>
      </c>
      <c r="F40" s="5"/>
      <c r="G40" s="6">
        <f t="shared" si="1"/>
        <v>2055</v>
      </c>
      <c r="H40" s="5">
        <f>'DB pension'!$K47+'DC pension'!S46-'DC pension'!F46</f>
        <v>32607.350678149505</v>
      </c>
      <c r="I40" s="5">
        <f>'DB pension'!$K47+'DC pension'!T46-'DC pension'!G46</f>
        <v>34210.18857455437</v>
      </c>
      <c r="J40" s="5">
        <f>'DB pension'!$K47+'DC pension'!U46-'DC pension'!H46</f>
        <v>32607.350678149505</v>
      </c>
      <c r="K40" s="5">
        <f>'DB pension'!$K47+'DC pension'!V46-'DC pension'!I46</f>
        <v>33421.74807085724</v>
      </c>
    </row>
    <row r="41" spans="1:11">
      <c r="A41" s="6">
        <f t="shared" si="0"/>
        <v>2056</v>
      </c>
      <c r="B41" s="5">
        <f>'DB pension'!M48+'DC pension'!Q47-'DC pension'!D47</f>
        <v>1609387.9518860767</v>
      </c>
      <c r="C41" s="5">
        <f>'DB pension'!N48+'DC pension'!Q47-'DC pension'!D47</f>
        <v>2056890.3376439197</v>
      </c>
      <c r="D41" s="5">
        <f>'DB pension'!O48+'DC pension'!Q47-'DC pension'!D47</f>
        <v>1679823.4339695063</v>
      </c>
      <c r="E41" s="5">
        <f>'DB pension'!P48+'DC pension'!Q47-'DC pension'!D47</f>
        <v>1855999.4169739594</v>
      </c>
      <c r="F41" s="5"/>
      <c r="G41" s="6">
        <f t="shared" si="1"/>
        <v>2056</v>
      </c>
      <c r="H41" s="5">
        <f>'DB pension'!$K48+'DC pension'!S47-'DC pension'!F47</f>
        <v>34301.168985514545</v>
      </c>
      <c r="I41" s="5">
        <f>'DB pension'!$K48+'DC pension'!T47-'DC pension'!G47</f>
        <v>35945.606963137012</v>
      </c>
      <c r="J41" s="5">
        <f>'DB pension'!$K48+'DC pension'!U47-'DC pension'!H47</f>
        <v>34301.168985514545</v>
      </c>
      <c r="K41" s="5">
        <f>'DB pension'!$K48+'DC pension'!V47-'DC pension'!I47</f>
        <v>35136.703261593982</v>
      </c>
    </row>
    <row r="42" spans="1:11">
      <c r="A42" s="6">
        <f t="shared" si="0"/>
        <v>2057</v>
      </c>
      <c r="B42" s="5">
        <f>'DB pension'!M49+'DC pension'!Q48-'DC pension'!D48</f>
        <v>1717047.7228670283</v>
      </c>
      <c r="C42" s="5">
        <f>'DB pension'!N49+'DC pension'!Q48-'DC pension'!D48</f>
        <v>2189587.0979430284</v>
      </c>
      <c r="D42" s="5">
        <f>'DB pension'!O49+'DC pension'!Q48-'DC pension'!D48</f>
        <v>1789703.2049504579</v>
      </c>
      <c r="E42" s="5">
        <f>'DB pension'!P49+'DC pension'!Q48-'DC pension'!D48</f>
        <v>1976539.9101852537</v>
      </c>
      <c r="F42" s="5"/>
      <c r="G42" s="6">
        <f t="shared" si="1"/>
        <v>2057</v>
      </c>
      <c r="H42" s="5">
        <f>'DB pension'!$K49+'DC pension'!S48-'DC pension'!F48</f>
        <v>36054.916900100681</v>
      </c>
      <c r="I42" s="5">
        <f>'DB pension'!$K49+'DC pension'!T48-'DC pension'!G48</f>
        <v>37740.522498730323</v>
      </c>
      <c r="J42" s="5">
        <f>'DB pension'!$K49+'DC pension'!U48-'DC pension'!H48</f>
        <v>36054.916900100681</v>
      </c>
      <c r="K42" s="5">
        <f>'DB pension'!$K49+'DC pension'!V48-'DC pension'!I48</f>
        <v>36911.368327744494</v>
      </c>
    </row>
    <row r="43" spans="1:11">
      <c r="A43" s="6">
        <f t="shared" si="0"/>
        <v>2058</v>
      </c>
      <c r="B43" s="5">
        <f>'DB pension'!M50+'DC pension'!Q49-'DC pension'!D49</f>
        <v>1830538.6143929893</v>
      </c>
      <c r="C43" s="5">
        <f>'DB pension'!N50+'DC pension'!Q49-'DC pension'!D49</f>
        <v>2329217.402432878</v>
      </c>
      <c r="D43" s="5">
        <f>'DB pension'!O50+'DC pension'!Q49-'DC pension'!D49</f>
        <v>1905414.0964764189</v>
      </c>
      <c r="E43" s="5">
        <f>'DB pension'!P50+'DC pension'!Q49-'DC pension'!D49</f>
        <v>2103426.6064576353</v>
      </c>
      <c r="F43" s="5"/>
      <c r="G43" s="6">
        <f t="shared" si="1"/>
        <v>2058</v>
      </c>
      <c r="H43" s="5">
        <f>'DB pension'!$K50+'DC pension'!S49-'DC pension'!F49</f>
        <v>37869.972114133365</v>
      </c>
      <c r="I43" s="5">
        <f>'DB pension'!$K50+'DC pension'!T49-'DC pension'!G49</f>
        <v>39596.319888252678</v>
      </c>
      <c r="J43" s="5">
        <f>'DB pension'!$K50+'DC pension'!U49-'DC pension'!H49</f>
        <v>37869.972114133365</v>
      </c>
      <c r="K43" s="5">
        <f>'DB pension'!$K50+'DC pension'!V49-'DC pension'!I49</f>
        <v>38747.124525679814</v>
      </c>
    </row>
    <row r="44" spans="1:11">
      <c r="A44" s="6">
        <f t="shared" si="0"/>
        <v>2059</v>
      </c>
      <c r="B44" s="5">
        <f>'DB pension'!M51+'DC pension'!Q50-'DC pension'!D50</f>
        <v>1950125.0336494143</v>
      </c>
      <c r="C44" s="5">
        <f>'DB pension'!N51+'DC pension'!Q50-'DC pension'!D50</f>
        <v>2476093.8516313653</v>
      </c>
      <c r="D44" s="5">
        <f>'DB pension'!O51+'DC pension'!Q50-'DC pension'!D50</f>
        <v>2027220.5157328439</v>
      </c>
      <c r="E44" s="5">
        <f>'DB pension'!P51+'DC pension'!Q50-'DC pension'!D50</f>
        <v>2236946.4302212023</v>
      </c>
      <c r="F44" s="5"/>
      <c r="G44" s="6">
        <f t="shared" si="1"/>
        <v>2059</v>
      </c>
      <c r="H44" s="5">
        <f>'DB pension'!$K51+'DC pension'!S50-'DC pension'!F50</f>
        <v>39747.745998369726</v>
      </c>
      <c r="I44" s="5">
        <f>'DB pension'!$K51+'DC pension'!T50-'DC pension'!G50</f>
        <v>41514.417416020129</v>
      </c>
      <c r="J44" s="5">
        <f>'DB pension'!$K51+'DC pension'!U50-'DC pension'!H50</f>
        <v>39747.745998369726</v>
      </c>
      <c r="K44" s="5">
        <f>'DB pension'!$K51+'DC pension'!V50-'DC pension'!I50</f>
        <v>40645.386738916801</v>
      </c>
    </row>
    <row r="45" spans="1:11">
      <c r="A45" s="6">
        <f t="shared" si="0"/>
        <v>2060</v>
      </c>
      <c r="B45" s="5">
        <f>'DB pension'!M52+'DC pension'!Q51-'DC pension'!D51</f>
        <v>2076082.4652958929</v>
      </c>
      <c r="C45" s="5">
        <f>'DB pension'!N52+'DC pension'!Q51-'DC pension'!D51</f>
        <v>2630542.114592935</v>
      </c>
      <c r="D45" s="5">
        <f>'DB pension'!O52+'DC pension'!Q51-'DC pension'!D51</f>
        <v>2155397.9473793227</v>
      </c>
      <c r="E45" s="5">
        <f>'DB pension'!P52+'DC pension'!Q51-'DC pension'!D51</f>
        <v>2377398.3136590701</v>
      </c>
      <c r="F45" s="5"/>
      <c r="G45" s="6">
        <f t="shared" si="1"/>
        <v>2060</v>
      </c>
      <c r="H45" s="5">
        <f>'DB pension'!$K52+'DC pension'!S51-'DC pension'!F51</f>
        <v>41689.684324706694</v>
      </c>
      <c r="I45" s="5">
        <f>'DB pension'!$K52+'DC pension'!T51-'DC pension'!G51</f>
        <v>43496.267667860418</v>
      </c>
      <c r="J45" s="5">
        <f>'DB pension'!$K52+'DC pension'!U51-'DC pension'!H51</f>
        <v>41689.684324706694</v>
      </c>
      <c r="K45" s="5">
        <f>'DB pension'!$K52+'DC pension'!V51-'DC pension'!I51</f>
        <v>42607.604201491282</v>
      </c>
    </row>
    <row r="46" spans="1:11">
      <c r="A46" s="6">
        <f t="shared" si="0"/>
        <v>2061</v>
      </c>
      <c r="B46" s="5">
        <f>'DB pension'!M53+'DC pension'!Q52-'DC pension'!D52</f>
        <v>2208697.9154627216</v>
      </c>
      <c r="C46" s="5">
        <f>'DB pension'!N53+'DC pension'!Q52-'DC pension'!D52</f>
        <v>2792901.4522441849</v>
      </c>
      <c r="D46" s="5">
        <f>'DB pension'!O53+'DC pension'!Q52-'DC pension'!D52</f>
        <v>2290233.3975461512</v>
      </c>
      <c r="E46" s="5">
        <f>'DB pension'!P53+'DC pension'!Q52-'DC pension'!D52</f>
        <v>2525093.6777733164</v>
      </c>
      <c r="F46" s="5"/>
      <c r="G46" s="6">
        <f t="shared" si="1"/>
        <v>2061</v>
      </c>
      <c r="H46" s="5">
        <f>'DB pension'!$K53+'DC pension'!S52-'DC pension'!F52</f>
        <v>43697.268004746154</v>
      </c>
      <c r="I46" s="5">
        <f>'DB pension'!$K53+'DC pension'!T52-'DC pension'!G52</f>
        <v>45543.358271162026</v>
      </c>
      <c r="J46" s="5">
        <f>'DB pension'!$K53+'DC pension'!U52-'DC pension'!H52</f>
        <v>43697.268004746154</v>
      </c>
      <c r="K46" s="5">
        <f>'DB pension'!$K53+'DC pension'!V52-'DC pension'!I52</f>
        <v>44635.261237277293</v>
      </c>
    </row>
    <row r="47" spans="1:11">
      <c r="A47" s="6">
        <f t="shared" si="0"/>
        <v>2062</v>
      </c>
      <c r="B47" s="5">
        <f>'DB pension'!M54+'DC pension'!Q53-'DC pension'!D53</f>
        <v>2348270.3730480932</v>
      </c>
      <c r="C47" s="5">
        <f>'DB pension'!N54+'DC pension'!Q53-'DC pension'!D53</f>
        <v>2963525.2611036254</v>
      </c>
      <c r="D47" s="5">
        <f>'DB pension'!O54+'DC pension'!Q53-'DC pension'!D53</f>
        <v>2432025.8551315228</v>
      </c>
      <c r="E47" s="5">
        <f>'DB pension'!P54+'DC pension'!Q53-'DC pension'!D53</f>
        <v>2680356.9321922427</v>
      </c>
      <c r="F47" s="5"/>
      <c r="G47" s="6">
        <f t="shared" si="1"/>
        <v>2062</v>
      </c>
      <c r="H47" s="5">
        <f>'DB pension'!$K54+'DC pension'!S53-'DC pension'!F53</f>
        <v>45772.013844650151</v>
      </c>
      <c r="I47" s="5">
        <f>'DB pension'!$K54+'DC pension'!T53-'DC pension'!G53</f>
        <v>47657.212651191236</v>
      </c>
      <c r="J47" s="5">
        <f>'DB pension'!$K54+'DC pension'!U53-'DC pension'!H53</f>
        <v>45772.013844650151</v>
      </c>
      <c r="K47" s="5">
        <f>'DB pension'!$K54+'DC pension'!V53-'DC pension'!I53</f>
        <v>46729.878015584996</v>
      </c>
    </row>
    <row r="48" spans="1:11">
      <c r="A48" s="6">
        <f t="shared" si="0"/>
        <v>2063</v>
      </c>
      <c r="B48" s="5">
        <f>'DB pension'!M55+'DC pension'!Q54-'DC pension'!D54</f>
        <v>2495111.2889769692</v>
      </c>
      <c r="C48" s="5">
        <f>'DB pension'!N55+'DC pension'!Q54-'DC pension'!D54</f>
        <v>3142781.6381643312</v>
      </c>
      <c r="D48" s="5">
        <f>'DB pension'!O55+'DC pension'!Q54-'DC pension'!D54</f>
        <v>2581086.7710603988</v>
      </c>
      <c r="E48" s="5">
        <f>'DB pension'!P55+'DC pension'!Q54-'DC pension'!D54</f>
        <v>2843525.9944350324</v>
      </c>
      <c r="F48" s="5"/>
      <c r="G48" s="6">
        <f t="shared" si="1"/>
        <v>2063</v>
      </c>
      <c r="H48" s="5">
        <f>'DB pension'!$K55+'DC pension'!S54-'DC pension'!F54</f>
        <v>47915.475316625365</v>
      </c>
      <c r="I48" s="5">
        <f>'DB pension'!$K55+'DC pension'!T54-'DC pension'!G54</f>
        <v>49839.390804017014</v>
      </c>
      <c r="J48" s="5">
        <f>'DB pension'!$K55+'DC pension'!U54-'DC pension'!H54</f>
        <v>47915.475316625365</v>
      </c>
      <c r="K48" s="5">
        <f>'DB pension'!$K55+'DC pension'!V54-'DC pension'!I54</f>
        <v>48893.011323376981</v>
      </c>
    </row>
    <row r="49" spans="1:11">
      <c r="A49" s="6">
        <f t="shared" si="0"/>
        <v>2064</v>
      </c>
      <c r="B49" s="5">
        <f>'DB pension'!M56+'DC pension'!Q55-'DC pension'!D55</f>
        <v>2649545.0741076195</v>
      </c>
      <c r="C49" s="5">
        <f>'DB pension'!N56+'DC pension'!Q55-'DC pension'!D55</f>
        <v>3331053.9677476003</v>
      </c>
      <c r="D49" s="5">
        <f>'DB pension'!O56+'DC pension'!Q55-'DC pension'!D55</f>
        <v>2737740.5561910491</v>
      </c>
      <c r="E49" s="5">
        <f>'DB pension'!P56+'DC pension'!Q55-'DC pension'!D55</f>
        <v>3014952.8293768112</v>
      </c>
      <c r="F49" s="5"/>
      <c r="G49" s="6">
        <f t="shared" si="1"/>
        <v>2064</v>
      </c>
      <c r="H49" s="5">
        <f>'DB pension'!$K56+'DC pension'!S55-'DC pension'!F55</f>
        <v>50129.24334738381</v>
      </c>
      <c r="I49" s="5">
        <f>'DB pension'!$K56+'DC pension'!T55-'DC pension'!G55</f>
        <v>52091.490086390848</v>
      </c>
      <c r="J49" s="5">
        <f>'DB pension'!$K56+'DC pension'!U55-'DC pension'!H55</f>
        <v>50129.24334738381</v>
      </c>
      <c r="K49" s="5">
        <f>'DB pension'!$K56+'DC pension'!V55-'DC pension'!I55</f>
        <v>51126.255354450135</v>
      </c>
    </row>
    <row r="50" spans="1:11">
      <c r="A50" s="6">
        <f t="shared" si="0"/>
        <v>2065</v>
      </c>
      <c r="B50" s="5">
        <f>'DB pension'!M57+'DC pension'!Q56-'DC pension'!D56</f>
        <v>2811909.6164976172</v>
      </c>
      <c r="C50" s="5">
        <f>'DB pension'!N57+'DC pension'!Q56-'DC pension'!D56</f>
        <v>3528741.5311661088</v>
      </c>
      <c r="D50" s="5">
        <f>'DB pension'!O57+'DC pension'!Q56-'DC pension'!D56</f>
        <v>2902325.0985810468</v>
      </c>
      <c r="E50" s="5">
        <f>'DB pension'!P57+'DC pension'!Q56-'DC pension'!D56</f>
        <v>3195004.0096851299</v>
      </c>
      <c r="F50" s="5"/>
      <c r="G50" s="6">
        <f t="shared" si="1"/>
        <v>2065</v>
      </c>
      <c r="H50" s="5">
        <f>'DB pension'!$K57+'DC pension'!S56-'DC pension'!F56</f>
        <v>52414.947123933853</v>
      </c>
      <c r="I50" s="5">
        <f>'DB pension'!$K57+'DC pension'!T56-'DC pension'!G56</f>
        <v>54415.146022935944</v>
      </c>
      <c r="J50" s="5">
        <f>'DB pension'!$K57+'DC pension'!U56-'DC pension'!H56</f>
        <v>52414.947123933853</v>
      </c>
      <c r="K50" s="5">
        <f>'DB pension'!$K57+'DC pension'!V56-'DC pension'!I56</f>
        <v>53431.24251593693</v>
      </c>
    </row>
    <row r="51" spans="1:11">
      <c r="A51" s="6">
        <f t="shared" si="0"/>
        <v>2066</v>
      </c>
      <c r="B51" s="5">
        <f>'DB pension'!M58+'DC pension'!Q57-'DC pension'!D57</f>
        <v>2982556.8187678978</v>
      </c>
      <c r="C51" s="5">
        <f>'DB pension'!N58+'DC pension'!Q57-'DC pension'!D57</f>
        <v>3736260.1400666479</v>
      </c>
      <c r="D51" s="5">
        <f>'DB pension'!O58+'DC pension'!Q57-'DC pension'!D57</f>
        <v>3075192.3008513274</v>
      </c>
      <c r="E51" s="5">
        <f>'DB pension'!P58+'DC pension'!Q57-'DC pension'!D57</f>
        <v>3384061.2980278917</v>
      </c>
      <c r="F51" s="5"/>
      <c r="G51" s="6">
        <f t="shared" si="1"/>
        <v>2066</v>
      </c>
      <c r="H51" s="5">
        <f>'DB pension'!$K58+'DC pension'!S57-'DC pension'!F57</f>
        <v>54774.254917062892</v>
      </c>
      <c r="I51" s="5">
        <f>'DB pension'!$K58+'DC pension'!T57-'DC pension'!G57</f>
        <v>56812.033131007556</v>
      </c>
      <c r="J51" s="5">
        <f>'DB pension'!$K58+'DC pension'!U57-'DC pension'!H57</f>
        <v>54774.254917062892</v>
      </c>
      <c r="K51" s="5">
        <f>'DB pension'!$K58+'DC pension'!V57-'DC pension'!I57</f>
        <v>55809.644252488215</v>
      </c>
    </row>
    <row r="52" spans="1:11">
      <c r="A52" s="6">
        <f t="shared" si="0"/>
        <v>2067</v>
      </c>
      <c r="B52" s="5">
        <f>'DB pension'!M59+'DC pension'!Q58-'DC pension'!D58</f>
        <v>3161853.1563312523</v>
      </c>
      <c r="C52" s="5">
        <f>'DB pension'!N59+'DC pension'!Q58-'DC pension'!D58</f>
        <v>3954042.7943552434</v>
      </c>
      <c r="D52" s="5">
        <f>'DB pension'!O59+'DC pension'!Q58-'DC pension'!D58</f>
        <v>3256708.6384146819</v>
      </c>
      <c r="E52" s="5">
        <f>'DB pension'!P59+'DC pension'!Q58-'DC pension'!D58</f>
        <v>3582522.2518828353</v>
      </c>
      <c r="F52" s="5"/>
      <c r="G52" s="6">
        <f t="shared" si="1"/>
        <v>2067</v>
      </c>
      <c r="H52" s="5">
        <f>'DB pension'!$K59+'DC pension'!S58-'DC pension'!F58</f>
        <v>57208.874922881092</v>
      </c>
      <c r="I52" s="5">
        <f>'DB pension'!$K59+'DC pension'!T58-'DC pension'!G58</f>
        <v>59283.865763594047</v>
      </c>
      <c r="J52" s="5">
        <f>'DB pension'!$K59+'DC pension'!U58-'DC pension'!H58</f>
        <v>57208.874922881092</v>
      </c>
      <c r="K52" s="5">
        <f>'DB pension'!$K59+'DC pension'!V58-'DC pension'!I58</f>
        <v>58263.171888506498</v>
      </c>
    </row>
    <row r="55" spans="1:11">
      <c r="C55" s="87"/>
      <c r="D55" s="87"/>
    </row>
    <row r="56" spans="1:11">
      <c r="C56" t="s">
        <v>24</v>
      </c>
      <c r="E56" t="s">
        <v>26</v>
      </c>
    </row>
    <row r="57" spans="1:11">
      <c r="B57" s="3" t="s">
        <v>102</v>
      </c>
      <c r="C57" t="s">
        <v>25</v>
      </c>
      <c r="D57" t="s">
        <v>11</v>
      </c>
      <c r="E57" t="s">
        <v>25</v>
      </c>
      <c r="F57" t="s">
        <v>11</v>
      </c>
    </row>
    <row r="58" spans="1:11">
      <c r="C58" t="s">
        <v>137</v>
      </c>
      <c r="D58" t="s">
        <v>107</v>
      </c>
      <c r="E58" t="s">
        <v>137</v>
      </c>
      <c r="F58" t="s">
        <v>107</v>
      </c>
    </row>
    <row r="59" spans="1:11">
      <c r="B59" t="s">
        <v>101</v>
      </c>
      <c r="C59" s="21">
        <f>LOOKUP(Inputs!$B13,'DB pension'!$A11:$A59,'DB pension'!$K11:$K59)</f>
        <v>53655.556184623667</v>
      </c>
      <c r="D59" s="21">
        <f>LOOKUP(Inputs!$B13,'DB pension'!$A11:$A59,'DB pension'!$K11:$K59)</f>
        <v>53655.556184623667</v>
      </c>
      <c r="E59" s="21">
        <f>LOOKUP(Inputs!$B13,'DB pension'!$A11:$A59,'DB pension'!$K11:$K59)</f>
        <v>53655.556184623667</v>
      </c>
      <c r="F59" s="21">
        <f>LOOKUP(Inputs!$B13,'DB pension'!$A11:$A59,'DB pension'!$K11:$K59)</f>
        <v>53655.556184623667</v>
      </c>
    </row>
    <row r="60" spans="1:11">
      <c r="B60" t="s">
        <v>104</v>
      </c>
      <c r="C60" s="21">
        <f>LOOKUP(Inputs!$B13,'DB pension'!$A11:$A59,'DB pension'!M11:M59)</f>
        <v>2671964.5678530694</v>
      </c>
      <c r="D60" s="21">
        <f>LOOKUP(Inputs!$B13,'DB pension'!$A11:$A59,'DB pension'!N11:N59)</f>
        <v>3226424.2171501112</v>
      </c>
      <c r="E60" s="21">
        <f>LOOKUP(Inputs!$B13,'DB pension'!$A11:$A59,'DB pension'!O11:O59)</f>
        <v>2751280.049936499</v>
      </c>
      <c r="F60" s="21">
        <f>LOOKUP(Inputs!$B13,'DB pension'!$A11:$A59,'DB pension'!P11:P59)</f>
        <v>2973280.4162162468</v>
      </c>
    </row>
    <row r="62" spans="1:11">
      <c r="B62" s="3" t="s">
        <v>103</v>
      </c>
      <c r="C62" t="s">
        <v>25</v>
      </c>
      <c r="D62" t="s">
        <v>11</v>
      </c>
      <c r="E62" t="s">
        <v>25</v>
      </c>
      <c r="F62" t="s">
        <v>11</v>
      </c>
    </row>
    <row r="63" spans="1:11">
      <c r="C63" t="s">
        <v>137</v>
      </c>
      <c r="D63" t="s">
        <v>107</v>
      </c>
      <c r="E63" t="s">
        <v>137</v>
      </c>
      <c r="F63" t="s">
        <v>107</v>
      </c>
    </row>
    <row r="64" spans="1:11">
      <c r="B64" t="s">
        <v>101</v>
      </c>
      <c r="C64" s="21">
        <f>LOOKUP(Inputs!$B13,'DC pension'!$A10:$A58,'DC pension'!F10:F58)</f>
        <v>12519.965676398571</v>
      </c>
      <c r="D64" s="21">
        <f>LOOKUP(Inputs!$B13,'DC pension'!$A10:$A58,'DC pension'!G10:G58)</f>
        <v>10629.726359729595</v>
      </c>
      <c r="E64" s="21">
        <f>LOOKUP(Inputs!$B13,'DC pension'!$A10:$A58,'DC pension'!H10:H58)</f>
        <v>12519.965676398571</v>
      </c>
      <c r="F64" s="21">
        <f>LOOKUP(Inputs!$B13,'DC pension'!$A10:$A58,'DC pension'!I10:I58)</f>
        <v>11559.540436552594</v>
      </c>
    </row>
    <row r="65" spans="2:6">
      <c r="B65" t="s">
        <v>104</v>
      </c>
      <c r="C65" s="21">
        <f>LOOKUP(Inputs!$B13,'DC pension'!$A10:$A58,'DC pension'!D10:D58)</f>
        <v>623475.12647087849</v>
      </c>
      <c r="D65" s="21">
        <f>LOOKUP(Inputs!$B13,'DC pension'!$A10:$A58,'DC pension'!D10:D58)</f>
        <v>623475.12647087849</v>
      </c>
      <c r="E65" s="21">
        <f>LOOKUP(Inputs!$B13,'DC pension'!$A10:$A58,'DC pension'!D10:D58)</f>
        <v>623475.12647087849</v>
      </c>
      <c r="F65" s="21">
        <f>LOOKUP(Inputs!$B13,'DC pension'!$A10:$A58,'DC pension'!D10:D58)</f>
        <v>623475.12647087849</v>
      </c>
    </row>
    <row r="67" spans="2:6">
      <c r="C67">
        <v>0</v>
      </c>
      <c r="D67">
        <v>1</v>
      </c>
    </row>
    <row r="68" spans="2:6">
      <c r="B68" s="3" t="s">
        <v>102</v>
      </c>
      <c r="C68" t="s">
        <v>32</v>
      </c>
      <c r="D68" t="s">
        <v>33</v>
      </c>
    </row>
    <row r="69" spans="2:6">
      <c r="B69" t="s">
        <v>101</v>
      </c>
      <c r="C69" s="21">
        <f>LOOKUP(Inputs!B11,'Difference in benefits TPS'!C58:D58,'Difference in benefits TPS'!C59:D59)</f>
        <v>53655.556184623667</v>
      </c>
      <c r="D69" s="21">
        <f>LOOKUP(Inputs!B11,'Difference in benefits TPS'!E58:F58,'Difference in benefits TPS'!E59:F59)</f>
        <v>53655.556184623667</v>
      </c>
      <c r="E69" s="31"/>
      <c r="F69" s="31"/>
    </row>
    <row r="70" spans="2:6">
      <c r="B70" t="s">
        <v>104</v>
      </c>
      <c r="C70" s="21">
        <f>LOOKUP(Inputs!B11,'Difference in benefits TPS'!C58:D58,'Difference in benefits TPS'!C60:D60)</f>
        <v>3226424.2171501112</v>
      </c>
      <c r="D70" s="21">
        <f>LOOKUP(Inputs!B11,'Difference in benefits TPS'!E58:F58,'Difference in benefits TPS'!E60:F60)</f>
        <v>2973280.4162162468</v>
      </c>
      <c r="E70" s="31"/>
      <c r="F70" s="31"/>
    </row>
    <row r="72" spans="2:6">
      <c r="B72" s="3" t="s">
        <v>103</v>
      </c>
      <c r="C72" t="s">
        <v>32</v>
      </c>
      <c r="D72" t="s">
        <v>33</v>
      </c>
    </row>
    <row r="73" spans="2:6">
      <c r="B73" t="s">
        <v>101</v>
      </c>
      <c r="C73" s="21">
        <f>LOOKUP(Inputs!B11,'Difference in benefits TPS'!C63:D63,'Difference in benefits TPS'!C64:D64)</f>
        <v>10629.726359729595</v>
      </c>
      <c r="D73" s="21">
        <f>LOOKUP(Inputs!B11,'Difference in benefits TPS'!E63:F63,'Difference in benefits TPS'!E64:F64)</f>
        <v>11559.540436552594</v>
      </c>
    </row>
    <row r="74" spans="2:6">
      <c r="B74" t="s">
        <v>104</v>
      </c>
      <c r="C74" s="21">
        <f>LOOKUP(Inputs!B11,'Difference in benefits TPS'!C63:D63,'Difference in benefits TPS'!C65:D65)</f>
        <v>623475.12647087849</v>
      </c>
      <c r="D74" s="21">
        <f>LOOKUP(Inputs!B11,'Difference in benefits TPS'!E63:F63,'Difference in benefits TPS'!E65:F65)</f>
        <v>623475.12647087849</v>
      </c>
    </row>
    <row r="76" spans="2:6">
      <c r="C76">
        <f>IF(Inputs!B9="Female",1,IF(Inputs!B9="Male",0,-1))</f>
        <v>1</v>
      </c>
    </row>
    <row r="77" spans="2:6">
      <c r="B77" s="3" t="s">
        <v>102</v>
      </c>
    </row>
    <row r="78" spans="2:6">
      <c r="B78" t="s">
        <v>101</v>
      </c>
      <c r="C78" s="21">
        <f>LOOKUP(C76,'Difference in benefits TPS'!C67:D67,'Difference in benefits TPS'!C69:D69)</f>
        <v>53655.556184623667</v>
      </c>
    </row>
    <row r="79" spans="2:6">
      <c r="B79" t="s">
        <v>104</v>
      </c>
      <c r="C79" s="21">
        <f>LOOKUP(C76,'Difference in benefits TPS'!C67:D67,'Difference in benefits TPS'!C70:D70)</f>
        <v>2973280.4162162468</v>
      </c>
    </row>
    <row r="81" spans="2:3">
      <c r="B81" s="3" t="s">
        <v>103</v>
      </c>
    </row>
    <row r="82" spans="2:3">
      <c r="B82" t="s">
        <v>101</v>
      </c>
      <c r="C82" s="21">
        <f>LOOKUP(C76,'Difference in benefits TPS'!C67:D67,'Difference in benefits TPS'!C73:D73)</f>
        <v>11559.540436552594</v>
      </c>
    </row>
    <row r="83" spans="2:3">
      <c r="B83" t="s">
        <v>104</v>
      </c>
      <c r="C83" s="21">
        <f>LOOKUP(C76,'Difference in benefits TPS'!C67:D67,'Difference in benefits TPS'!C74:D74)</f>
        <v>623475.12647087849</v>
      </c>
    </row>
  </sheetData>
  <mergeCells count="1">
    <mergeCell ref="C55:D55"/>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59"/>
  <sheetViews>
    <sheetView workbookViewId="0">
      <selection activeCell="H9" sqref="H9"/>
    </sheetView>
  </sheetViews>
  <sheetFormatPr baseColWidth="10" defaultRowHeight="16"/>
  <cols>
    <col min="2" max="2" width="15.1640625" customWidth="1"/>
    <col min="3" max="3" width="17" bestFit="1" customWidth="1"/>
    <col min="5" max="5" width="15.1640625" customWidth="1"/>
    <col min="9" max="9" width="11.1640625" bestFit="1" customWidth="1"/>
  </cols>
  <sheetData>
    <row r="1" spans="1:13">
      <c r="B1" s="3" t="s">
        <v>117</v>
      </c>
    </row>
    <row r="2" spans="1:13">
      <c r="B2" t="s">
        <v>15</v>
      </c>
      <c r="C2" t="s">
        <v>16</v>
      </c>
    </row>
    <row r="3" spans="1:13">
      <c r="B3" t="s">
        <v>1</v>
      </c>
      <c r="C3" s="1">
        <v>100000</v>
      </c>
    </row>
    <row r="4" spans="1:13">
      <c r="B4" t="s">
        <v>0</v>
      </c>
    </row>
    <row r="5" spans="1:13">
      <c r="A5" t="s">
        <v>89</v>
      </c>
      <c r="B5" t="s">
        <v>3</v>
      </c>
      <c r="C5" t="s">
        <v>3</v>
      </c>
      <c r="H5" s="88" t="s">
        <v>34</v>
      </c>
      <c r="I5" s="88"/>
      <c r="J5" s="88"/>
      <c r="K5" s="88"/>
      <c r="L5" s="88"/>
    </row>
    <row r="6" spans="1:13">
      <c r="A6">
        <v>65</v>
      </c>
      <c r="B6" s="1">
        <v>3064</v>
      </c>
      <c r="C6" s="1">
        <f>B6</f>
        <v>3064</v>
      </c>
      <c r="E6" s="1"/>
      <c r="H6" s="3" t="s">
        <v>90</v>
      </c>
      <c r="I6" s="3" t="s">
        <v>32</v>
      </c>
      <c r="J6" s="3"/>
      <c r="K6" s="3" t="s">
        <v>33</v>
      </c>
      <c r="L6" s="3"/>
    </row>
    <row r="7" spans="1:13">
      <c r="A7">
        <v>66</v>
      </c>
      <c r="B7" s="1">
        <v>3006</v>
      </c>
      <c r="C7" s="1">
        <f>B7</f>
        <v>3006</v>
      </c>
      <c r="H7" s="3" t="s">
        <v>91</v>
      </c>
      <c r="I7" s="3" t="s">
        <v>25</v>
      </c>
      <c r="J7" s="3" t="s">
        <v>11</v>
      </c>
      <c r="K7" s="3" t="s">
        <v>25</v>
      </c>
      <c r="L7" s="3" t="s">
        <v>11</v>
      </c>
    </row>
    <row r="8" spans="1:13">
      <c r="A8">
        <v>67</v>
      </c>
      <c r="B8" s="1">
        <v>3126</v>
      </c>
      <c r="C8" s="1">
        <f>B8</f>
        <v>3126</v>
      </c>
      <c r="G8">
        <v>1</v>
      </c>
      <c r="H8">
        <v>2019</v>
      </c>
      <c r="I8" s="1">
        <f>B6</f>
        <v>3064</v>
      </c>
      <c r="J8" s="5">
        <f>B13</f>
        <v>2565</v>
      </c>
      <c r="K8" s="5">
        <f>C6</f>
        <v>3064</v>
      </c>
      <c r="L8" s="5">
        <f>C13</f>
        <v>2778</v>
      </c>
    </row>
    <row r="9" spans="1:13">
      <c r="A9">
        <v>68</v>
      </c>
      <c r="B9" s="1">
        <v>3272</v>
      </c>
      <c r="C9" s="1">
        <f>B9</f>
        <v>3272</v>
      </c>
      <c r="G9">
        <f>G8+1</f>
        <v>2</v>
      </c>
      <c r="H9">
        <f>H8+1</f>
        <v>2020</v>
      </c>
      <c r="I9" s="1">
        <f>I8/'Annuity rates'!$C38</f>
        <v>3018.7192118226603</v>
      </c>
      <c r="J9" s="1">
        <f>J8/'Annuity rates'!$C38</f>
        <v>2527.0935960591137</v>
      </c>
      <c r="K9" s="1">
        <f>K8/'Annuity rates'!$C38</f>
        <v>3018.7192118226603</v>
      </c>
      <c r="L9" s="1">
        <f>L8/'Annuity rates'!$C38</f>
        <v>2736.9458128078822</v>
      </c>
    </row>
    <row r="10" spans="1:13">
      <c r="B10" s="1"/>
      <c r="C10" s="1"/>
      <c r="G10">
        <f t="shared" ref="G10:G56" si="0">G9+1</f>
        <v>3</v>
      </c>
      <c r="H10">
        <f t="shared" ref="H10:H56" si="1">H9+1</f>
        <v>2021</v>
      </c>
      <c r="I10" s="1">
        <f>B7/('Annuity rates'!$C38^(G10-1))</f>
        <v>2917.8092164333043</v>
      </c>
      <c r="J10" s="1">
        <f>B14/('Annuity rates'!$C38^(G10-1))</f>
        <v>2569.3416486689807</v>
      </c>
      <c r="K10" s="1">
        <f>C7/('Annuity rates'!$C38^(G10-1))</f>
        <v>2917.8092164333043</v>
      </c>
      <c r="L10" s="1">
        <f>C14/('Annuity rates'!$C38^(G10-1))</f>
        <v>2754.7380426605846</v>
      </c>
      <c r="M10" t="s">
        <v>114</v>
      </c>
    </row>
    <row r="11" spans="1:13">
      <c r="B11" s="1"/>
      <c r="C11" s="1"/>
      <c r="G11">
        <f t="shared" si="0"/>
        <v>4</v>
      </c>
      <c r="H11">
        <f t="shared" si="1"/>
        <v>2022</v>
      </c>
      <c r="I11" s="1">
        <f>I10/'Annuity rates'!$C$38</f>
        <v>2874.6888831855217</v>
      </c>
      <c r="J11" s="1">
        <f>J10/'Annuity rates'!$C$38</f>
        <v>2531.3710824324935</v>
      </c>
      <c r="K11" s="1">
        <f>K10/'Annuity rates'!$C$38</f>
        <v>2874.6888831855217</v>
      </c>
      <c r="L11" s="1">
        <f>L10/'Annuity rates'!$C$38</f>
        <v>2714.0276282370296</v>
      </c>
    </row>
    <row r="12" spans="1:13">
      <c r="A12" t="s">
        <v>89</v>
      </c>
      <c r="B12" s="1" t="s">
        <v>2</v>
      </c>
      <c r="C12" s="1" t="s">
        <v>2</v>
      </c>
      <c r="G12">
        <f t="shared" si="0"/>
        <v>5</v>
      </c>
      <c r="H12">
        <f t="shared" si="1"/>
        <v>2023</v>
      </c>
      <c r="I12" s="1">
        <f>I11/'Annuity rates'!$C$38</f>
        <v>2832.2057962418935</v>
      </c>
      <c r="J12" s="1">
        <f>J11/'Annuity rates'!$C$38</f>
        <v>2493.9616575689593</v>
      </c>
      <c r="K12" s="1">
        <f>K11/'Annuity rates'!$C$38</f>
        <v>2832.2057962418935</v>
      </c>
      <c r="L12" s="1">
        <f>L11/'Annuity rates'!$C$38</f>
        <v>2673.9188455537242</v>
      </c>
    </row>
    <row r="13" spans="1:13">
      <c r="A13">
        <v>65</v>
      </c>
      <c r="B13" s="1">
        <v>2565</v>
      </c>
      <c r="C13" s="1">
        <v>2778</v>
      </c>
      <c r="E13" s="1"/>
      <c r="G13">
        <f t="shared" si="0"/>
        <v>6</v>
      </c>
      <c r="H13">
        <f t="shared" si="1"/>
        <v>2024</v>
      </c>
      <c r="I13" s="1">
        <f>I12/'Annuity rates'!$C$38</f>
        <v>2790.3505381693535</v>
      </c>
      <c r="J13" s="1">
        <f>J12/'Annuity rates'!$C$38</f>
        <v>2457.1050813487286</v>
      </c>
      <c r="K13" s="1">
        <f>K12/'Annuity rates'!$C$38</f>
        <v>2790.3505381693535</v>
      </c>
      <c r="L13" s="1">
        <f>L12/'Annuity rates'!$C$38</f>
        <v>2634.4028035012061</v>
      </c>
    </row>
    <row r="14" spans="1:13">
      <c r="A14">
        <v>66</v>
      </c>
      <c r="B14" s="1">
        <v>2647</v>
      </c>
      <c r="C14" s="1">
        <v>2838</v>
      </c>
      <c r="G14">
        <f t="shared" si="0"/>
        <v>7</v>
      </c>
      <c r="H14">
        <f t="shared" si="1"/>
        <v>2025</v>
      </c>
      <c r="I14" s="1">
        <f>I13/'Annuity rates'!$C$38</f>
        <v>2749.1138307087231</v>
      </c>
      <c r="J14" s="1">
        <f>J13/'Annuity rates'!$C$38</f>
        <v>2420.7931835948066</v>
      </c>
      <c r="K14" s="1">
        <f>K13/'Annuity rates'!$C$38</f>
        <v>2749.1138307087231</v>
      </c>
      <c r="L14" s="1">
        <f>L13/'Annuity rates'!$C$38</f>
        <v>2595.4707423657205</v>
      </c>
    </row>
    <row r="15" spans="1:13">
      <c r="A15">
        <v>67</v>
      </c>
      <c r="B15" s="1">
        <v>2733</v>
      </c>
      <c r="C15" s="1">
        <v>2928</v>
      </c>
      <c r="G15">
        <f t="shared" si="0"/>
        <v>8</v>
      </c>
      <c r="H15">
        <f t="shared" si="1"/>
        <v>2026</v>
      </c>
      <c r="I15" s="1">
        <f>I14/'Annuity rates'!$C$38</f>
        <v>2708.4865327179541</v>
      </c>
      <c r="J15" s="1">
        <f>J14/'Annuity rates'!$C$38</f>
        <v>2385.0179148717307</v>
      </c>
      <c r="K15" s="1">
        <f>K14/'Annuity rates'!$C$38</f>
        <v>2708.4865327179541</v>
      </c>
      <c r="L15" s="1">
        <f>L14/'Annuity rates'!$C$38</f>
        <v>2557.1140318874095</v>
      </c>
    </row>
    <row r="16" spans="1:13">
      <c r="A16">
        <v>68</v>
      </c>
      <c r="B16" s="1">
        <v>2778</v>
      </c>
      <c r="C16" s="1">
        <v>3021</v>
      </c>
      <c r="G16">
        <f t="shared" si="0"/>
        <v>9</v>
      </c>
      <c r="H16">
        <f t="shared" si="1"/>
        <v>2027</v>
      </c>
      <c r="I16" s="1">
        <f>I15/'Annuity rates'!$C$38</f>
        <v>2668.4596381457677</v>
      </c>
      <c r="J16" s="1">
        <f>J15/'Annuity rates'!$C$38</f>
        <v>2349.7713447012129</v>
      </c>
      <c r="K16" s="1">
        <f>K15/'Annuity rates'!$C$38</f>
        <v>2668.4596381457677</v>
      </c>
      <c r="L16" s="1">
        <f>L15/'Annuity rates'!$C$38</f>
        <v>2519.3241693472019</v>
      </c>
    </row>
    <row r="17" spans="2:13">
      <c r="G17">
        <f t="shared" si="0"/>
        <v>10</v>
      </c>
      <c r="H17">
        <f t="shared" si="1"/>
        <v>2028</v>
      </c>
      <c r="I17" s="1">
        <f>B8/('Annuity rates'!$C$38^(G17-1))</f>
        <v>2733.975342859002</v>
      </c>
      <c r="J17" s="1">
        <f>B15/('Annuity rates'!$C38^(G17-1))</f>
        <v>2390.2605924611812</v>
      </c>
      <c r="K17" s="1">
        <f>C8/('Annuity rates'!$C38^(G17-1))</f>
        <v>2733.975342859002</v>
      </c>
      <c r="L17" s="1">
        <f>C15/('Annuity rates'!$C38^(G17-1))</f>
        <v>2560.8060792997949</v>
      </c>
      <c r="M17" t="s">
        <v>115</v>
      </c>
    </row>
    <row r="18" spans="2:13">
      <c r="G18">
        <f t="shared" si="0"/>
        <v>11</v>
      </c>
      <c r="H18">
        <f t="shared" si="1"/>
        <v>2029</v>
      </c>
      <c r="I18" s="1">
        <f>I17/'Annuity rates'!$C38*1.15</f>
        <v>3097.6075313180813</v>
      </c>
      <c r="J18" s="1">
        <f>J17/'Annuity rates'!$C38*1.15</f>
        <v>2708.1770259412397</v>
      </c>
      <c r="K18" s="1">
        <f>K17/'Annuity rates'!$C38*1.15</f>
        <v>3097.6075313180813</v>
      </c>
      <c r="L18" s="1">
        <f>L17/'Annuity rates'!$C38*1.15</f>
        <v>2901.4059026549398</v>
      </c>
      <c r="M18" t="s">
        <v>119</v>
      </c>
    </row>
    <row r="19" spans="2:13">
      <c r="B19" t="s">
        <v>4</v>
      </c>
      <c r="G19">
        <f t="shared" si="0"/>
        <v>12</v>
      </c>
      <c r="H19">
        <f t="shared" si="1"/>
        <v>2030</v>
      </c>
      <c r="I19" s="1">
        <f>I18/'Annuity rates'!$C$38</f>
        <v>3051.8300801163364</v>
      </c>
      <c r="J19" s="1">
        <f>J18/'Annuity rates'!$C$38</f>
        <v>2668.1547053608274</v>
      </c>
      <c r="K19" s="1">
        <f>K18/'Annuity rates'!$C$38</f>
        <v>3051.8300801163364</v>
      </c>
      <c r="L19" s="1">
        <f>L18/'Annuity rates'!$C$38</f>
        <v>2858.527982911271</v>
      </c>
    </row>
    <row r="20" spans="2:13">
      <c r="B20" t="s">
        <v>5</v>
      </c>
      <c r="G20">
        <f t="shared" si="0"/>
        <v>13</v>
      </c>
      <c r="H20">
        <f t="shared" si="1"/>
        <v>2031</v>
      </c>
      <c r="I20" s="1">
        <f>I19/'Annuity rates'!$C$38</f>
        <v>3006.7291429717602</v>
      </c>
      <c r="J20" s="1">
        <f>J19/'Annuity rates'!$C$38</f>
        <v>2628.7238476461357</v>
      </c>
      <c r="K20" s="1">
        <f>K19/'Annuity rates'!$C$38</f>
        <v>3006.7291429717602</v>
      </c>
      <c r="L20" s="1">
        <f>L19/'Annuity rates'!$C$38</f>
        <v>2816.2837270061787</v>
      </c>
    </row>
    <row r="21" spans="2:13">
      <c r="B21" t="s">
        <v>6</v>
      </c>
      <c r="G21">
        <f t="shared" si="0"/>
        <v>14</v>
      </c>
      <c r="H21">
        <f t="shared" si="1"/>
        <v>2032</v>
      </c>
      <c r="I21" s="1">
        <f>I20/'Annuity rates'!$C$38</f>
        <v>2962.2947221396657</v>
      </c>
      <c r="J21" s="1">
        <f>J20/'Annuity rates'!$C$38</f>
        <v>2589.8757119666366</v>
      </c>
      <c r="K21" s="1">
        <f>K20/'Annuity rates'!$C$38</f>
        <v>2962.2947221396657</v>
      </c>
      <c r="L21" s="1">
        <f>L20/'Annuity rates'!$C$38</f>
        <v>2774.6637704494374</v>
      </c>
    </row>
    <row r="22" spans="2:13">
      <c r="B22" t="s">
        <v>7</v>
      </c>
      <c r="G22">
        <f t="shared" si="0"/>
        <v>15</v>
      </c>
      <c r="H22">
        <f t="shared" si="1"/>
        <v>2033</v>
      </c>
      <c r="I22" s="1">
        <f>I21/'Annuity rates'!$C$38</f>
        <v>2918.5169676252867</v>
      </c>
      <c r="J22" s="1">
        <f>J21/'Annuity rates'!$C$38</f>
        <v>2551.6016866666373</v>
      </c>
      <c r="K22" s="1">
        <f>K21/'Annuity rates'!$C$38</f>
        <v>2918.5169676252867</v>
      </c>
      <c r="L22" s="1">
        <f>L21/'Annuity rates'!$C$38</f>
        <v>2733.6588871423032</v>
      </c>
    </row>
    <row r="23" spans="2:13">
      <c r="B23" t="s">
        <v>8</v>
      </c>
      <c r="C23">
        <v>175</v>
      </c>
      <c r="G23">
        <f t="shared" si="0"/>
        <v>16</v>
      </c>
      <c r="H23">
        <f t="shared" si="1"/>
        <v>2034</v>
      </c>
      <c r="I23" s="1">
        <f>I22/'Annuity rates'!$C$38</f>
        <v>2875.3861750002829</v>
      </c>
      <c r="J23" s="1">
        <f>J22/'Annuity rates'!$C$38</f>
        <v>2513.8932873562931</v>
      </c>
      <c r="K23" s="1">
        <f>K22/'Annuity rates'!$C$38</f>
        <v>2875.3861750002829</v>
      </c>
      <c r="L23" s="1">
        <f>L22/'Annuity rates'!$C$38</f>
        <v>2693.2599873323188</v>
      </c>
    </row>
    <row r="24" spans="2:13">
      <c r="B24" t="s">
        <v>9</v>
      </c>
      <c r="C24">
        <v>86</v>
      </c>
      <c r="G24">
        <f t="shared" si="0"/>
        <v>17</v>
      </c>
      <c r="H24">
        <f t="shared" si="1"/>
        <v>2035</v>
      </c>
      <c r="I24" s="1">
        <f>I23/'Annuity rates'!$C$38</f>
        <v>2832.8927832515105</v>
      </c>
      <c r="J24" s="1">
        <f>J23/'Annuity rates'!$C$38</f>
        <v>2476.7421550308309</v>
      </c>
      <c r="K24" s="1">
        <f>K23/'Annuity rates'!$C$38</f>
        <v>2832.8927832515105</v>
      </c>
      <c r="L24" s="1">
        <f>L23/'Annuity rates'!$C$38</f>
        <v>2653.4581155983437</v>
      </c>
    </row>
    <row r="25" spans="2:13">
      <c r="B25" t="s">
        <v>10</v>
      </c>
      <c r="C25">
        <v>14</v>
      </c>
      <c r="G25">
        <f t="shared" si="0"/>
        <v>18</v>
      </c>
      <c r="H25">
        <f t="shared" si="1"/>
        <v>2036</v>
      </c>
      <c r="I25" s="1">
        <f>I24/'Annuity rates'!$C$38</f>
        <v>2791.0273726615869</v>
      </c>
      <c r="J25" s="1">
        <f>J24/'Annuity rates'!$C$38</f>
        <v>2440.1400542175675</v>
      </c>
      <c r="K25" s="1">
        <f>K24/'Annuity rates'!$C$38</f>
        <v>2791.0273726615869</v>
      </c>
      <c r="L25" s="1">
        <f>L24/'Annuity rates'!$C$38</f>
        <v>2614.2444488653637</v>
      </c>
    </row>
    <row r="26" spans="2:13">
      <c r="B26" t="s">
        <v>13</v>
      </c>
      <c r="C26">
        <v>36</v>
      </c>
      <c r="G26">
        <f t="shared" si="0"/>
        <v>19</v>
      </c>
      <c r="H26">
        <f t="shared" si="1"/>
        <v>2037</v>
      </c>
      <c r="I26" s="1">
        <f>I25/'Annuity rates'!$C$38</f>
        <v>2749.7806627207756</v>
      </c>
      <c r="J26" s="1">
        <f>J25/'Annuity rates'!$C$38</f>
        <v>2404.0788711503128</v>
      </c>
      <c r="K26" s="1">
        <f>K25/'Annuity rates'!$C$38</f>
        <v>2749.7806627207756</v>
      </c>
      <c r="L26" s="1">
        <f>L25/'Annuity rates'!$C$38</f>
        <v>2575.6102944486342</v>
      </c>
    </row>
    <row r="27" spans="2:13">
      <c r="B27" t="s">
        <v>14</v>
      </c>
      <c r="G27">
        <f t="shared" si="0"/>
        <v>20</v>
      </c>
      <c r="H27">
        <f t="shared" si="1"/>
        <v>2038</v>
      </c>
      <c r="I27" s="1">
        <f>I26/'Annuity rates'!$C$38</f>
        <v>2709.1435100697299</v>
      </c>
      <c r="J27" s="1">
        <f>J26/'Annuity rates'!$C$38</f>
        <v>2368.5506119707516</v>
      </c>
      <c r="K27" s="1">
        <f>K26/'Annuity rates'!$C$38</f>
        <v>2709.1435100697299</v>
      </c>
      <c r="L27" s="1">
        <f>L26/'Annuity rates'!$C$38</f>
        <v>2537.5470881267333</v>
      </c>
    </row>
    <row r="28" spans="2:13">
      <c r="G28">
        <f t="shared" si="0"/>
        <v>21</v>
      </c>
      <c r="H28">
        <f t="shared" si="1"/>
        <v>2039</v>
      </c>
      <c r="I28" s="1">
        <f>I27/'Annuity rates'!$C$38</f>
        <v>2669.1069064726407</v>
      </c>
      <c r="J28" s="1">
        <f>J27/'Annuity rates'!$C$38</f>
        <v>2333.5474009564059</v>
      </c>
      <c r="K28" s="1">
        <f>K27/'Annuity rates'!$C$38</f>
        <v>2669.1069064726407</v>
      </c>
      <c r="L28" s="1">
        <f>L27/'Annuity rates'!$C$38</f>
        <v>2500.0463922430872</v>
      </c>
    </row>
    <row r="29" spans="2:13">
      <c r="B29" t="s">
        <v>12</v>
      </c>
      <c r="G29">
        <f t="shared" si="0"/>
        <v>22</v>
      </c>
      <c r="H29">
        <f t="shared" si="1"/>
        <v>2040</v>
      </c>
      <c r="I29" s="1">
        <f>I28/'Annuity rates'!$C$38</f>
        <v>2629.6619768203359</v>
      </c>
      <c r="J29" s="1">
        <f>J28/'Annuity rates'!$C$38</f>
        <v>2299.0614787747845</v>
      </c>
      <c r="K29" s="1">
        <f>K28/'Annuity rates'!$C$38</f>
        <v>2629.6619768203359</v>
      </c>
      <c r="L29" s="1">
        <f>L28/'Annuity rates'!$C$38</f>
        <v>2463.0998938355542</v>
      </c>
    </row>
    <row r="30" spans="2:13">
      <c r="B30" t="s">
        <v>8</v>
      </c>
      <c r="C30">
        <v>162</v>
      </c>
      <c r="G30">
        <f t="shared" si="0"/>
        <v>23</v>
      </c>
      <c r="H30">
        <f t="shared" si="1"/>
        <v>2041</v>
      </c>
      <c r="I30" s="1">
        <f>I29/'Annuity rates'!$C$38</f>
        <v>2590.7999771628929</v>
      </c>
      <c r="J30" s="1">
        <f>J29/'Annuity rates'!$C$38</f>
        <v>2265.0852007633348</v>
      </c>
      <c r="K30" s="1">
        <f>K29/'Annuity rates'!$C$38</f>
        <v>2590.7999771628929</v>
      </c>
      <c r="L30" s="1">
        <f>L29/'Annuity rates'!$C$38</f>
        <v>2426.6994027936498</v>
      </c>
    </row>
    <row r="31" spans="2:13">
      <c r="B31" t="s">
        <v>9</v>
      </c>
      <c r="C31">
        <v>71</v>
      </c>
      <c r="G31">
        <f t="shared" si="0"/>
        <v>24</v>
      </c>
      <c r="H31">
        <f t="shared" si="1"/>
        <v>2042</v>
      </c>
      <c r="I31" s="1">
        <f>I30/'Annuity rates'!$C$38</f>
        <v>2552.5122927713232</v>
      </c>
      <c r="J31" s="1">
        <f>J30/'Annuity rates'!$C$38</f>
        <v>2231.6110352348128</v>
      </c>
      <c r="K31" s="1">
        <f>K30/'Annuity rates'!$C$38</f>
        <v>2552.5122927713232</v>
      </c>
      <c r="L31" s="1">
        <f>L30/'Annuity rates'!$C$38</f>
        <v>2390.8368500430051</v>
      </c>
    </row>
    <row r="32" spans="2:13">
      <c r="B32" t="s">
        <v>10</v>
      </c>
      <c r="C32">
        <v>14</v>
      </c>
      <c r="G32">
        <f t="shared" si="0"/>
        <v>25</v>
      </c>
      <c r="H32">
        <f t="shared" si="1"/>
        <v>2043</v>
      </c>
      <c r="I32" s="1">
        <f>I31/'Annuity rates'!$C$38</f>
        <v>2514.790436227905</v>
      </c>
      <c r="J32" s="1">
        <f>J31/'Annuity rates'!$C$38</f>
        <v>2198.6315618076974</v>
      </c>
      <c r="K32" s="1">
        <f>K31/'Annuity rates'!$C$38</f>
        <v>2514.790436227905</v>
      </c>
      <c r="L32" s="1">
        <f>L31/'Annuity rates'!$C$38</f>
        <v>2355.5042857566555</v>
      </c>
    </row>
    <row r="33" spans="2:13">
      <c r="B33" t="s">
        <v>13</v>
      </c>
      <c r="C33">
        <v>30</v>
      </c>
      <c r="G33">
        <f t="shared" si="0"/>
        <v>26</v>
      </c>
      <c r="H33">
        <f t="shared" si="1"/>
        <v>2044</v>
      </c>
      <c r="I33" s="1">
        <f>I32/'Annuity rates'!$C$38</f>
        <v>2477.6260455447341</v>
      </c>
      <c r="J33" s="1">
        <f>J32/'Annuity rates'!$C$38</f>
        <v>2166.1394697612786</v>
      </c>
      <c r="K33" s="1">
        <f>K32/'Annuity rates'!$C$38</f>
        <v>2477.6260455447341</v>
      </c>
      <c r="L33" s="1">
        <f>L32/'Annuity rates'!$C$38</f>
        <v>2320.6938775927642</v>
      </c>
    </row>
    <row r="34" spans="2:13">
      <c r="B34" t="s">
        <v>14</v>
      </c>
      <c r="G34">
        <f t="shared" si="0"/>
        <v>27</v>
      </c>
      <c r="H34">
        <f t="shared" si="1"/>
        <v>2045</v>
      </c>
      <c r="I34" s="1">
        <f>I33/'Annuity rates'!$C$38</f>
        <v>2441.0108823100832</v>
      </c>
      <c r="J34" s="1">
        <f>J33/'Annuity rates'!$C$38</f>
        <v>2134.1275564150528</v>
      </c>
      <c r="K34" s="1">
        <f>K33/'Annuity rates'!$C$38</f>
        <v>2441.0108823100832</v>
      </c>
      <c r="L34" s="1">
        <f>L33/'Annuity rates'!$C$38</f>
        <v>2286.3979089583886</v>
      </c>
    </row>
    <row r="35" spans="2:13">
      <c r="G35">
        <f t="shared" si="0"/>
        <v>28</v>
      </c>
      <c r="H35">
        <f t="shared" si="1"/>
        <v>2046</v>
      </c>
      <c r="I35" s="1">
        <f>B9/('Annuity rates'!$C$38^(G35-1))*1.13</f>
        <v>2473.4811085869223</v>
      </c>
      <c r="J35" s="1">
        <f>B16/('Annuity rates'!$C$38^(G35-1))*1.13</f>
        <v>2100.0398898699482</v>
      </c>
      <c r="K35" s="1">
        <f>C9/('Annuity rates'!$C$38^(G35-1))*1.13</f>
        <v>2473.4811085869223</v>
      </c>
      <c r="L35" s="1">
        <f>C16/('Annuity rates'!$C$38^(G35-1))*1.13</f>
        <v>2283.7366836922656</v>
      </c>
      <c r="M35" t="s">
        <v>116</v>
      </c>
    </row>
    <row r="36" spans="2:13">
      <c r="B36" t="s">
        <v>17</v>
      </c>
      <c r="G36">
        <f t="shared" si="0"/>
        <v>29</v>
      </c>
      <c r="H36">
        <f t="shared" si="1"/>
        <v>2047</v>
      </c>
      <c r="I36" s="1">
        <f>I35/'Annuity rates'!$C$38</f>
        <v>2436.9272005782486</v>
      </c>
      <c r="J36" s="1">
        <f>J35/'Annuity rates'!$C$38</f>
        <v>2069.0048176058604</v>
      </c>
      <c r="K36" s="1">
        <f>K35/'Annuity rates'!$C$38</f>
        <v>2436.9272005782486</v>
      </c>
      <c r="L36" s="1">
        <f>L35/'Annuity rates'!$C$38</f>
        <v>2249.9868804849912</v>
      </c>
    </row>
    <row r="37" spans="2:13">
      <c r="G37">
        <f t="shared" si="0"/>
        <v>30</v>
      </c>
      <c r="H37">
        <f t="shared" si="1"/>
        <v>2048</v>
      </c>
      <c r="I37" s="1">
        <f>I36/'Annuity rates'!$C$38</f>
        <v>2400.9134981066491</v>
      </c>
      <c r="J37" s="1">
        <f>J36/'Annuity rates'!$C$38</f>
        <v>2038.4283917299119</v>
      </c>
      <c r="K37" s="1">
        <f>K36/'Annuity rates'!$C$38</f>
        <v>2400.9134981066491</v>
      </c>
      <c r="L37" s="1">
        <f>L36/'Annuity rates'!$C$38</f>
        <v>2216.7358428423559</v>
      </c>
    </row>
    <row r="38" spans="2:13">
      <c r="B38" s="89" t="s">
        <v>106</v>
      </c>
      <c r="C38" s="28">
        <f>Inputs!B18+1</f>
        <v>1.0149999999999999</v>
      </c>
      <c r="G38">
        <f t="shared" si="0"/>
        <v>31</v>
      </c>
      <c r="H38">
        <f t="shared" si="1"/>
        <v>2049</v>
      </c>
      <c r="I38" s="1">
        <f>I37/'Annuity rates'!$C$38</f>
        <v>2365.4320178390635</v>
      </c>
      <c r="J38" s="1">
        <f>J37/'Annuity rates'!$C$38</f>
        <v>2008.3038342166622</v>
      </c>
      <c r="K38" s="1">
        <f>K37/'Annuity rates'!$C$38</f>
        <v>2365.4320178390635</v>
      </c>
      <c r="L38" s="1">
        <f>L37/'Annuity rates'!$C$38</f>
        <v>2183.9761998446857</v>
      </c>
    </row>
    <row r="39" spans="2:13">
      <c r="B39" s="89"/>
      <c r="G39">
        <f t="shared" si="0"/>
        <v>32</v>
      </c>
      <c r="H39">
        <f t="shared" si="1"/>
        <v>2050</v>
      </c>
      <c r="I39" s="1">
        <f>I38/'Annuity rates'!$C$38</f>
        <v>2330.4748944227231</v>
      </c>
      <c r="J39" s="1">
        <f>J38/'Annuity rates'!$C$38</f>
        <v>1978.6244672085343</v>
      </c>
      <c r="K39" s="1">
        <f>K38/'Annuity rates'!$C$38</f>
        <v>2330.4748944227231</v>
      </c>
      <c r="L39" s="1">
        <f>L38/'Annuity rates'!$C$38</f>
        <v>2151.7006895021536</v>
      </c>
    </row>
    <row r="40" spans="2:13">
      <c r="G40">
        <f t="shared" si="0"/>
        <v>33</v>
      </c>
      <c r="H40">
        <f t="shared" si="1"/>
        <v>2051</v>
      </c>
      <c r="I40" s="1">
        <f>I39/'Annuity rates'!$C$38</f>
        <v>2296.0343787415995</v>
      </c>
      <c r="J40" s="1">
        <f>J39/'Annuity rates'!$C$38</f>
        <v>1949.383711535502</v>
      </c>
      <c r="K40" s="1">
        <f>K39/'Annuity rates'!$C$38</f>
        <v>2296.0343787415995</v>
      </c>
      <c r="L40" s="1">
        <f>L39/'Annuity rates'!$C$38</f>
        <v>2119.9021571449794</v>
      </c>
    </row>
    <row r="41" spans="2:13">
      <c r="G41">
        <f t="shared" si="0"/>
        <v>34</v>
      </c>
      <c r="H41">
        <f t="shared" si="1"/>
        <v>2052</v>
      </c>
      <c r="I41" s="1">
        <f>I40/'Annuity rates'!$C$38</f>
        <v>2262.1028361986205</v>
      </c>
      <c r="J41" s="1">
        <f>J40/'Annuity rates'!$C$38</f>
        <v>1920.5750852566525</v>
      </c>
      <c r="K41" s="1">
        <f>K40/'Annuity rates'!$C$38</f>
        <v>2262.1028361986205</v>
      </c>
      <c r="L41" s="1">
        <f>L40/'Annuity rates'!$C$38</f>
        <v>2088.5735538374183</v>
      </c>
    </row>
    <row r="42" spans="2:13">
      <c r="G42">
        <f t="shared" si="0"/>
        <v>35</v>
      </c>
      <c r="H42">
        <f t="shared" si="1"/>
        <v>2053</v>
      </c>
      <c r="I42" s="1">
        <f>I41/'Annuity rates'!$C$38</f>
        <v>2228.6727450232715</v>
      </c>
      <c r="J42" s="1">
        <f>J41/'Annuity rates'!$C$38</f>
        <v>1892.1922022233032</v>
      </c>
      <c r="K42" s="1">
        <f>K41/'Annuity rates'!$C$38</f>
        <v>2228.6727450232715</v>
      </c>
      <c r="L42" s="1">
        <f>L41/'Annuity rates'!$C$38</f>
        <v>2057.7079348151906</v>
      </c>
    </row>
    <row r="43" spans="2:13">
      <c r="G43">
        <f t="shared" si="0"/>
        <v>36</v>
      </c>
      <c r="H43">
        <f t="shared" si="1"/>
        <v>2054</v>
      </c>
      <c r="I43" s="1">
        <f>I42/'Annuity rates'!$C$38</f>
        <v>2195.7366946042084</v>
      </c>
      <c r="J43" s="1">
        <f>J42/'Annuity rates'!$C$38</f>
        <v>1864.2287706633531</v>
      </c>
      <c r="K43" s="1">
        <f>K42/'Annuity rates'!$C$38</f>
        <v>2195.7366946042084</v>
      </c>
      <c r="L43" s="1">
        <f>L42/'Annuity rates'!$C$38</f>
        <v>2027.2984579460008</v>
      </c>
    </row>
    <row r="44" spans="2:13">
      <c r="G44">
        <f t="shared" si="0"/>
        <v>37</v>
      </c>
      <c r="H44">
        <f t="shared" si="1"/>
        <v>2055</v>
      </c>
      <c r="I44" s="1">
        <f>I43/'Annuity rates'!$C$38</f>
        <v>2163.2873838465111</v>
      </c>
      <c r="J44" s="1">
        <f>J43/'Annuity rates'!$C$38</f>
        <v>1836.678591786555</v>
      </c>
      <c r="K44" s="1">
        <f>K43/'Annuity rates'!$C$38</f>
        <v>2163.2873838465111</v>
      </c>
      <c r="L44" s="1">
        <f>L43/'Annuity rates'!$C$38</f>
        <v>1997.3383822128089</v>
      </c>
    </row>
    <row r="45" spans="2:13">
      <c r="G45">
        <f t="shared" si="0"/>
        <v>38</v>
      </c>
      <c r="H45">
        <f t="shared" si="1"/>
        <v>2056</v>
      </c>
      <c r="I45" s="1">
        <f>I44/'Annuity rates'!$C$38</f>
        <v>2131.3176195532133</v>
      </c>
      <c r="J45" s="1">
        <f>J44/'Annuity rates'!$C$38</f>
        <v>1809.5355584103993</v>
      </c>
      <c r="K45" s="1">
        <f>K44/'Annuity rates'!$C$38</f>
        <v>2131.3176195532133</v>
      </c>
      <c r="L45" s="1">
        <f>L44/'Annuity rates'!$C$38</f>
        <v>1967.8210662195163</v>
      </c>
    </row>
    <row r="46" spans="2:13">
      <c r="G46">
        <f t="shared" si="0"/>
        <v>39</v>
      </c>
      <c r="H46">
        <f t="shared" si="1"/>
        <v>2057</v>
      </c>
      <c r="I46" s="1">
        <f>I45/'Annuity rates'!$C$38</f>
        <v>2099.8203148307521</v>
      </c>
      <c r="J46" s="1">
        <f>J45/'Annuity rates'!$C$38</f>
        <v>1782.7936536063048</v>
      </c>
      <c r="K46" s="1">
        <f>K45/'Annuity rates'!$C$38</f>
        <v>2099.8203148307521</v>
      </c>
      <c r="L46" s="1">
        <f>L45/'Annuity rates'!$C$38</f>
        <v>1938.7399667187356</v>
      </c>
    </row>
    <row r="47" spans="2:13">
      <c r="G47">
        <f t="shared" si="0"/>
        <v>40</v>
      </c>
      <c r="H47">
        <f t="shared" si="1"/>
        <v>2058</v>
      </c>
      <c r="I47" s="1">
        <f>I46/'Annuity rates'!$C$38</f>
        <v>2068.7884875179825</v>
      </c>
      <c r="J47" s="1">
        <f>J46/'Annuity rates'!$C$38</f>
        <v>1756.4469493658178</v>
      </c>
      <c r="K47" s="1">
        <f>K46/'Annuity rates'!$C$38</f>
        <v>2068.7884875179825</v>
      </c>
      <c r="L47" s="1">
        <f>L46/'Annuity rates'!$C$38</f>
        <v>1910.088637161316</v>
      </c>
    </row>
    <row r="48" spans="2:13">
      <c r="G48">
        <f t="shared" si="0"/>
        <v>41</v>
      </c>
      <c r="H48">
        <f t="shared" si="1"/>
        <v>2059</v>
      </c>
      <c r="I48" s="1">
        <f>I47/'Annuity rates'!$C$38</f>
        <v>2038.2152586384066</v>
      </c>
      <c r="J48" s="1">
        <f>J47/'Annuity rates'!$C$38</f>
        <v>1730.4896052865201</v>
      </c>
      <c r="K48" s="1">
        <f>K47/'Annuity rates'!$C$38</f>
        <v>2038.2152586384066</v>
      </c>
      <c r="L48" s="1">
        <f>L47/'Annuity rates'!$C$38</f>
        <v>1881.8607262673065</v>
      </c>
    </row>
    <row r="49" spans="5:12">
      <c r="G49">
        <f t="shared" si="0"/>
        <v>42</v>
      </c>
      <c r="H49">
        <f t="shared" si="1"/>
        <v>2060</v>
      </c>
      <c r="I49" s="1">
        <f>I48/'Annuity rates'!$C$38</f>
        <v>2008.0938508752777</v>
      </c>
      <c r="J49" s="1">
        <f>J48/'Annuity rates'!$C$38</f>
        <v>1704.9158672773599</v>
      </c>
      <c r="K49" s="1">
        <f>K48/'Annuity rates'!$C$38</f>
        <v>2008.0938508752777</v>
      </c>
      <c r="L49" s="1">
        <f>L48/'Annuity rates'!$C$38</f>
        <v>1854.0499766180362</v>
      </c>
    </row>
    <row r="50" spans="5:12">
      <c r="G50">
        <f t="shared" si="0"/>
        <v>43</v>
      </c>
      <c r="H50">
        <f t="shared" si="1"/>
        <v>2061</v>
      </c>
      <c r="I50" s="1">
        <f>I49/'Annuity rates'!$C$38</f>
        <v>1978.4175870692393</v>
      </c>
      <c r="J50" s="1">
        <f>J49/'Annuity rates'!$C$38</f>
        <v>1679.7200662831133</v>
      </c>
      <c r="K50" s="1">
        <f>K49/'Annuity rates'!$C$38</f>
        <v>1978.4175870692393</v>
      </c>
      <c r="L50" s="1">
        <f>L49/'Annuity rates'!$C$38</f>
        <v>1826.6502232690013</v>
      </c>
    </row>
    <row r="51" spans="5:12">
      <c r="G51">
        <f t="shared" si="0"/>
        <v>44</v>
      </c>
      <c r="H51">
        <f t="shared" si="1"/>
        <v>2062</v>
      </c>
      <c r="I51" s="1">
        <f>I50/'Annuity rates'!$C$38</f>
        <v>1949.1798887381669</v>
      </c>
      <c r="J51" s="1">
        <f>J50/'Annuity rates'!$C$38</f>
        <v>1654.8966170276981</v>
      </c>
      <c r="K51" s="1">
        <f>K50/'Annuity rates'!$C$38</f>
        <v>1949.1798887381669</v>
      </c>
      <c r="L51" s="1">
        <f>L50/'Annuity rates'!$C$38</f>
        <v>1799.6553923832528</v>
      </c>
    </row>
    <row r="52" spans="5:12">
      <c r="G52">
        <f t="shared" si="0"/>
        <v>45</v>
      </c>
      <c r="H52">
        <f t="shared" si="1"/>
        <v>2063</v>
      </c>
      <c r="I52" s="1">
        <f>I51/'Annuity rates'!$C$38</f>
        <v>1920.3742746188839</v>
      </c>
      <c r="J52" s="1">
        <f>J51/'Annuity rates'!$C$38</f>
        <v>1630.4400167760573</v>
      </c>
      <c r="K52" s="1">
        <f>K51/'Annuity rates'!$C$38</f>
        <v>1920.3742746188839</v>
      </c>
      <c r="L52" s="1">
        <f>L51/'Annuity rates'!$C$38</f>
        <v>1773.0594998849783</v>
      </c>
    </row>
    <row r="53" spans="5:12">
      <c r="G53">
        <f t="shared" si="0"/>
        <v>46</v>
      </c>
      <c r="H53">
        <f t="shared" si="1"/>
        <v>2064</v>
      </c>
      <c r="I53" s="1">
        <f>I52/'Annuity rates'!$C$38</f>
        <v>1891.9943592304276</v>
      </c>
      <c r="J53" s="1">
        <f>J52/'Annuity rates'!$C$38</f>
        <v>1606.3448441143423</v>
      </c>
      <c r="K53" s="1">
        <f>K52/'Annuity rates'!$C$38</f>
        <v>1891.9943592304276</v>
      </c>
      <c r="L53" s="1">
        <f>L52/'Annuity rates'!$C$38</f>
        <v>1746.8566501329838</v>
      </c>
    </row>
    <row r="54" spans="5:12">
      <c r="G54">
        <f t="shared" si="0"/>
        <v>47</v>
      </c>
      <c r="H54">
        <f t="shared" si="1"/>
        <v>2065</v>
      </c>
      <c r="I54" s="1">
        <f>I53/'Annuity rates'!$C$38</f>
        <v>1864.0338514585494</v>
      </c>
      <c r="J54" s="1">
        <f>J53/'Annuity rates'!$C$38</f>
        <v>1582.6057577481206</v>
      </c>
      <c r="K54" s="1">
        <f>K53/'Annuity rates'!$C$38</f>
        <v>1864.0338514585494</v>
      </c>
      <c r="L54" s="1">
        <f>L53/'Annuity rates'!$C$38</f>
        <v>1721.0410346137774</v>
      </c>
    </row>
    <row r="55" spans="5:12">
      <c r="E55" s="5"/>
      <c r="G55">
        <f t="shared" si="0"/>
        <v>48</v>
      </c>
      <c r="H55">
        <f t="shared" si="1"/>
        <v>2066</v>
      </c>
      <c r="I55" s="1">
        <f>I54/'Annuity rates'!$C$38</f>
        <v>1836.4865531611326</v>
      </c>
      <c r="J55" s="1">
        <f>J54/'Annuity rates'!$C$38</f>
        <v>1559.2174953183455</v>
      </c>
      <c r="K55" s="1">
        <f>K54/'Annuity rates'!$C$38</f>
        <v>1836.4865531611326</v>
      </c>
      <c r="L55" s="1">
        <f>L54/'Annuity rates'!$C$38</f>
        <v>1695.606930653968</v>
      </c>
    </row>
    <row r="56" spans="5:12">
      <c r="G56">
        <f t="shared" si="0"/>
        <v>49</v>
      </c>
      <c r="H56">
        <f t="shared" si="1"/>
        <v>2067</v>
      </c>
      <c r="I56" s="1">
        <f>I55/'Annuity rates'!$C$38</f>
        <v>1809.3463577942196</v>
      </c>
      <c r="J56" s="1">
        <f>J55/'Annuity rates'!$C$38</f>
        <v>1536.1748722348234</v>
      </c>
      <c r="K56" s="1">
        <f>K55/'Annuity rates'!$C$38</f>
        <v>1809.3463577942196</v>
      </c>
      <c r="L56" s="1">
        <f>L55/'Annuity rates'!$C$38</f>
        <v>1670.5487001516929</v>
      </c>
    </row>
    <row r="58" spans="5:12">
      <c r="H58" s="9" t="s">
        <v>118</v>
      </c>
    </row>
    <row r="59" spans="5:12">
      <c r="H59" t="s">
        <v>37</v>
      </c>
    </row>
  </sheetData>
  <mergeCells count="2">
    <mergeCell ref="H5:L5"/>
    <mergeCell ref="B38:B39"/>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P68"/>
  <sheetViews>
    <sheetView workbookViewId="0">
      <selection activeCell="A12" sqref="A12"/>
    </sheetView>
  </sheetViews>
  <sheetFormatPr baseColWidth="10" defaultRowHeight="16"/>
  <cols>
    <col min="2" max="2" width="11.5" bestFit="1" customWidth="1"/>
    <col min="3" max="3" width="12.5" bestFit="1" customWidth="1"/>
    <col min="4" max="4" width="12.5" customWidth="1"/>
    <col min="5" max="5" width="13.83203125" bestFit="1" customWidth="1"/>
    <col min="6" max="8" width="14" bestFit="1" customWidth="1"/>
    <col min="10" max="10" width="12.5" bestFit="1" customWidth="1"/>
    <col min="11" max="11" width="16.33203125" bestFit="1" customWidth="1"/>
    <col min="13" max="13" width="16" customWidth="1"/>
    <col min="14" max="14" width="14.6640625" customWidth="1"/>
    <col min="15" max="15" width="15.5" customWidth="1"/>
    <col min="16" max="16" width="14" customWidth="1"/>
  </cols>
  <sheetData>
    <row r="1" spans="1:16">
      <c r="A1" s="3" t="s">
        <v>126</v>
      </c>
    </row>
    <row r="3" spans="1:16">
      <c r="A3" t="s">
        <v>127</v>
      </c>
    </row>
    <row r="4" spans="1:16">
      <c r="A4" t="s">
        <v>128</v>
      </c>
    </row>
    <row r="5" spans="1:16">
      <c r="A5" t="s">
        <v>129</v>
      </c>
    </row>
    <row r="6" spans="1:16">
      <c r="A6" t="s">
        <v>130</v>
      </c>
    </row>
    <row r="7" spans="1:16">
      <c r="E7" s="88" t="s">
        <v>216</v>
      </c>
      <c r="F7" s="88"/>
      <c r="G7" s="88"/>
      <c r="H7" s="88"/>
      <c r="J7" s="88" t="s">
        <v>214</v>
      </c>
      <c r="K7" s="88"/>
      <c r="L7" s="88"/>
      <c r="M7" s="88"/>
      <c r="N7" s="88"/>
      <c r="O7" s="88"/>
      <c r="P7" s="88"/>
    </row>
    <row r="8" spans="1:16">
      <c r="E8" s="87" t="s">
        <v>30</v>
      </c>
      <c r="F8" s="87"/>
      <c r="G8" s="87"/>
      <c r="H8" s="87"/>
      <c r="M8" s="87" t="s">
        <v>215</v>
      </c>
      <c r="N8" s="87"/>
      <c r="O8" s="87"/>
      <c r="P8" s="87"/>
    </row>
    <row r="9" spans="1:16">
      <c r="E9" t="s">
        <v>24</v>
      </c>
      <c r="G9" t="s">
        <v>26</v>
      </c>
      <c r="H9" t="s">
        <v>11</v>
      </c>
      <c r="M9" t="s">
        <v>24</v>
      </c>
      <c r="O9" t="s">
        <v>26</v>
      </c>
      <c r="P9" t="s">
        <v>11</v>
      </c>
    </row>
    <row r="10" spans="1:16">
      <c r="B10" t="s">
        <v>21</v>
      </c>
      <c r="C10" t="s">
        <v>27</v>
      </c>
      <c r="E10" t="s">
        <v>25</v>
      </c>
      <c r="F10" t="s">
        <v>11</v>
      </c>
      <c r="G10" t="s">
        <v>25</v>
      </c>
      <c r="H10" t="s">
        <v>11</v>
      </c>
      <c r="K10" t="s">
        <v>210</v>
      </c>
      <c r="M10" t="s">
        <v>25</v>
      </c>
      <c r="N10" t="s">
        <v>11</v>
      </c>
      <c r="O10" t="s">
        <v>25</v>
      </c>
      <c r="P10" t="s">
        <v>11</v>
      </c>
    </row>
    <row r="11" spans="1:16">
      <c r="A11">
        <v>2019</v>
      </c>
      <c r="B11" s="1">
        <f>Income!B9</f>
        <v>32548</v>
      </c>
      <c r="C11" s="1">
        <f>B11/75</f>
        <v>433.97333333333336</v>
      </c>
      <c r="D11" s="1"/>
      <c r="E11" s="5">
        <f>C11/'Annuity rates'!I8*100000+3*C11</f>
        <v>15465.540539599653</v>
      </c>
      <c r="F11" s="5">
        <f>C11/'Annuity rates'!J8*100000+C11*3</f>
        <v>18220.958336582196</v>
      </c>
      <c r="G11" s="5">
        <f>C11/'Annuity rates'!K8*100000+C11*3</f>
        <v>15465.540539599653</v>
      </c>
      <c r="H11" s="5">
        <f>C11/'Annuity rates'!L8*100000+3*C11</f>
        <v>16923.710256779457</v>
      </c>
      <c r="J11" s="5">
        <f>Income!C9</f>
        <v>32548</v>
      </c>
      <c r="K11" s="5">
        <f>J11/53</f>
        <v>614.11320754716985</v>
      </c>
      <c r="M11" s="5">
        <f>K11/'Annuity rates'!I8*100000</f>
        <v>20042.859254150451</v>
      </c>
      <c r="N11" s="5">
        <f>K11/'Annuity rates'!J8*100000+C11*3</f>
        <v>25243.955381955937</v>
      </c>
      <c r="O11" s="5">
        <f>K11/'Annuity rates'!K8*100000+C11*3</f>
        <v>21344.779254150453</v>
      </c>
      <c r="P11" s="5">
        <f>K11/'Annuity rates'!L8*100000+3*C11</f>
        <v>23408.226967140741</v>
      </c>
    </row>
    <row r="12" spans="1:16">
      <c r="A12">
        <f>A11+1</f>
        <v>2020</v>
      </c>
      <c r="B12" s="1">
        <f>Income!B10</f>
        <v>33198.959999999999</v>
      </c>
      <c r="C12" s="1">
        <f t="shared" ref="C12:C59" si="0">C11+B12/75</f>
        <v>876.62613333333343</v>
      </c>
      <c r="D12" s="1"/>
      <c r="E12" s="5">
        <f>C12/'Annuity rates'!I9*100000+3*C12</f>
        <v>31669.549592341165</v>
      </c>
      <c r="F12" s="5">
        <f>C12/'Annuity rates'!J9*100000+C12*3</f>
        <v>37318.982701494482</v>
      </c>
      <c r="G12" s="5">
        <f>C12/'Annuity rates'!K9*100000+C12*3</f>
        <v>31669.549592341165</v>
      </c>
      <c r="H12" s="5">
        <f>C12/'Annuity rates'!L9*100000+3*C12</f>
        <v>34659.234963474919</v>
      </c>
      <c r="J12" s="5">
        <f>Income!C10</f>
        <v>33198.959999999999</v>
      </c>
      <c r="K12" s="5">
        <f>K11*1.016+J12/53</f>
        <v>1250.3344905660379</v>
      </c>
      <c r="M12" s="5">
        <f>K12/'Annuity rates'!I9*100000</f>
        <v>41419.37036307207</v>
      </c>
      <c r="N12" s="5">
        <f>K12/'Annuity rates'!J9*100000+C12*3</f>
        <v>52107.052198227218</v>
      </c>
      <c r="O12" s="5">
        <f>K12/'Annuity rates'!K9*100000+C12*3</f>
        <v>44049.248763072072</v>
      </c>
      <c r="P12" s="5">
        <f>K12/'Annuity rates'!L9*100000+3*C12</f>
        <v>48313.445999875024</v>
      </c>
    </row>
    <row r="13" spans="1:16">
      <c r="A13">
        <f t="shared" ref="A13:A59" si="1">A12+1</f>
        <v>2021</v>
      </c>
      <c r="B13" s="1">
        <f>Income!B11</f>
        <v>33862.939200000001</v>
      </c>
      <c r="C13" s="1">
        <f t="shared" si="0"/>
        <v>1328.1319893333334</v>
      </c>
      <c r="D13" s="1"/>
      <c r="E13" s="5">
        <f>C13/'Annuity rates'!I10*100000+3*C13</f>
        <v>49502.51901227588</v>
      </c>
      <c r="F13" s="5">
        <f>C13/'Annuity rates'!J10*100000+C13*3</f>
        <v>55675.925197729237</v>
      </c>
      <c r="G13" s="5">
        <f>C13/'Annuity rates'!K10*100000+C13*3</f>
        <v>49502.51901227588</v>
      </c>
      <c r="H13" s="5">
        <f>C13/'Annuity rates'!L10*100000+3*C13</f>
        <v>52197.037923987773</v>
      </c>
      <c r="J13" s="5">
        <f>Income!C11</f>
        <v>33862.939200000001</v>
      </c>
      <c r="K13" s="5">
        <f t="shared" ref="K13:K59" si="2">K12*1.016+J13/53</f>
        <v>1909.2632235471699</v>
      </c>
      <c r="M13" s="5">
        <f>K13/'Annuity rates'!I10*100000</f>
        <v>65434.820508279525</v>
      </c>
      <c r="N13" s="5">
        <f>K13/'Annuity rates'!J10*100000+C13*3</f>
        <v>78293.829457946456</v>
      </c>
      <c r="O13" s="5">
        <f>K13/'Annuity rates'!K10*100000+C13*3</f>
        <v>69419.216476279529</v>
      </c>
      <c r="P13" s="5">
        <f>K13/'Annuity rates'!L10*100000+3*C13</f>
        <v>73292.736506367946</v>
      </c>
    </row>
    <row r="14" spans="1:16">
      <c r="A14">
        <f t="shared" si="1"/>
        <v>2022</v>
      </c>
      <c r="B14" s="1">
        <f>Income!B12</f>
        <v>34540.197983999999</v>
      </c>
      <c r="C14" s="1">
        <f t="shared" si="0"/>
        <v>1788.6679624533335</v>
      </c>
      <c r="D14" s="1"/>
      <c r="E14" s="5">
        <f>C14/'Annuity rates'!I11*100000+3*C14</f>
        <v>67587.274958310169</v>
      </c>
      <c r="F14" s="5">
        <f>C14/'Annuity rates'!J11*100000+C14*3</f>
        <v>76026.049538767707</v>
      </c>
      <c r="G14" s="5">
        <f>C14/'Annuity rates'!K11*100000+C14*3</f>
        <v>67587.274958310169</v>
      </c>
      <c r="H14" s="5">
        <f>C14/'Annuity rates'!L11*100000+3*C14</f>
        <v>71270.563732066206</v>
      </c>
      <c r="J14" s="5">
        <f>Income!C12</f>
        <v>34540.197983999999</v>
      </c>
      <c r="K14" s="5">
        <f t="shared" si="2"/>
        <v>2591.5132838786417</v>
      </c>
      <c r="M14" s="5">
        <f>K14/'Annuity rates'!I11*100000</f>
        <v>90149.347953331031</v>
      </c>
      <c r="N14" s="5">
        <f>K14/'Annuity rates'!J11*100000+C14*3</f>
        <v>107741.87844259728</v>
      </c>
      <c r="O14" s="5">
        <f>K14/'Annuity rates'!K11*100000+C14*3</f>
        <v>95515.35184069103</v>
      </c>
      <c r="P14" s="5">
        <f>K14/'Annuity rates'!L11*100000+3*C14</f>
        <v>100851.88829458799</v>
      </c>
    </row>
    <row r="15" spans="1:16">
      <c r="A15">
        <f t="shared" si="1"/>
        <v>2023</v>
      </c>
      <c r="B15" s="1">
        <f>Income!B13</f>
        <v>35231.001943679999</v>
      </c>
      <c r="C15" s="1">
        <f t="shared" si="0"/>
        <v>2258.4146550357336</v>
      </c>
      <c r="D15" s="1"/>
      <c r="E15" s="5">
        <f>C15/'Annuity rates'!I12*100000+3*C15</f>
        <v>86515.72956232143</v>
      </c>
      <c r="F15" s="5">
        <f>C15/'Annuity rates'!J12*100000+C15*3</f>
        <v>97330.551749476668</v>
      </c>
      <c r="G15" s="5">
        <f>C15/'Annuity rates'!K12*100000+C15*3</f>
        <v>86515.72956232143</v>
      </c>
      <c r="H15" s="5">
        <f>C15/'Annuity rates'!L12*100000+3*C15</f>
        <v>91236.096574418669</v>
      </c>
      <c r="J15" s="5">
        <f>Income!C13</f>
        <v>35231.001943679999</v>
      </c>
      <c r="K15" s="5">
        <f t="shared" si="2"/>
        <v>3297.7133821505113</v>
      </c>
      <c r="M15" s="5">
        <f>K15/'Annuity rates'!I12*100000</f>
        <v>116436.2203666947</v>
      </c>
      <c r="N15" s="5">
        <f>K15/'Annuity rates'!J12*100000+C15*3</f>
        <v>139003.15421153116</v>
      </c>
      <c r="O15" s="5">
        <f>K15/'Annuity rates'!K12*100000+C15*3</f>
        <v>123211.46433180191</v>
      </c>
      <c r="P15" s="5">
        <f>K15/'Annuity rates'!L12*100000+3*C15</f>
        <v>130104.09471291699</v>
      </c>
    </row>
    <row r="16" spans="1:16">
      <c r="A16">
        <f t="shared" si="1"/>
        <v>2024</v>
      </c>
      <c r="B16" s="1">
        <f>Income!B14</f>
        <v>35935.621982553603</v>
      </c>
      <c r="C16" s="1">
        <f t="shared" si="0"/>
        <v>2737.5562814697814</v>
      </c>
      <c r="D16" s="1"/>
      <c r="E16" s="5">
        <f>C16/'Annuity rates'!I13*100000+3*C16</f>
        <v>106320.63929552663</v>
      </c>
      <c r="F16" s="5">
        <f>C16/'Annuity rates'!J13*100000+C16*3</f>
        <v>119626.5559528561</v>
      </c>
      <c r="G16" s="5">
        <f>C16/'Annuity rates'!K13*100000+C16*3</f>
        <v>106320.63929552663</v>
      </c>
      <c r="H16" s="5">
        <f>C16/'Annuity rates'!L13*100000+3*C16</f>
        <v>112128.29927994794</v>
      </c>
      <c r="J16" s="5">
        <f>Income!C14</f>
        <v>35935.621982553603</v>
      </c>
      <c r="K16" s="5">
        <f t="shared" si="2"/>
        <v>4028.5073997093268</v>
      </c>
      <c r="M16" s="5">
        <f>K16/'Annuity rates'!I13*100000</f>
        <v>144372.80709370237</v>
      </c>
      <c r="N16" s="5">
        <f>K16/'Annuity rates'!J13*100000+C16*3</f>
        <v>172166.07198897653</v>
      </c>
      <c r="O16" s="5">
        <f>K16/'Annuity rates'!K13*100000+C16*3</f>
        <v>152585.47593811172</v>
      </c>
      <c r="P16" s="5">
        <f>K16/'Annuity rates'!L13*100000+3*C16</f>
        <v>161131.85775338375</v>
      </c>
    </row>
    <row r="17" spans="1:16">
      <c r="A17">
        <f t="shared" si="1"/>
        <v>2025</v>
      </c>
      <c r="B17" s="1">
        <f>Income!B15</f>
        <v>36654.334422204673</v>
      </c>
      <c r="C17" s="1">
        <f t="shared" si="0"/>
        <v>3226.2807404325104</v>
      </c>
      <c r="D17" s="1"/>
      <c r="E17" s="5">
        <f>C17/'Annuity rates'!I14*100000+3*C17</f>
        <v>127035.95942734546</v>
      </c>
      <c r="F17" s="5">
        <f>C17/'Annuity rates'!J14*100000+C17*3</f>
        <v>142952.54615835086</v>
      </c>
      <c r="G17" s="5">
        <f>C17/'Annuity rates'!K14*100000+C17*3</f>
        <v>127035.95942734546</v>
      </c>
      <c r="H17" s="5">
        <f>C17/'Annuity rates'!L14*100000+3*C17</f>
        <v>133983.10378626586</v>
      </c>
      <c r="J17" s="5">
        <f>Income!C15</f>
        <v>36654.334422204673</v>
      </c>
      <c r="K17" s="5">
        <f t="shared" si="2"/>
        <v>4784.5547336179716</v>
      </c>
      <c r="M17" s="5">
        <f>K17/'Annuity rates'!I14*100000</f>
        <v>174039.89169791891</v>
      </c>
      <c r="N17" s="5">
        <f>K17/'Annuity rates'!J14*100000+C17*3</f>
        <v>207322.93532441213</v>
      </c>
      <c r="O17" s="5">
        <f>K17/'Annuity rates'!K14*100000+C17*3</f>
        <v>183718.73391921644</v>
      </c>
      <c r="P17" s="5">
        <f>K17/'Annuity rates'!L14*100000+3*C17</f>
        <v>194021.30678928352</v>
      </c>
    </row>
    <row r="18" spans="1:16">
      <c r="A18">
        <f t="shared" si="1"/>
        <v>2026</v>
      </c>
      <c r="B18" s="1">
        <f>Income!B16</f>
        <v>37387.421110648764</v>
      </c>
      <c r="C18" s="1">
        <f t="shared" si="0"/>
        <v>3724.7796885744938</v>
      </c>
      <c r="D18" s="1"/>
      <c r="E18" s="5">
        <f>C18/'Annuity rates'!I15*100000+3*C18</f>
        <v>148696.8869381212</v>
      </c>
      <c r="F18" s="5">
        <f>C18/'Annuity rates'!J15*100000+C18*3</f>
        <v>167348.41496463836</v>
      </c>
      <c r="G18" s="5">
        <f>C18/'Annuity rates'!K15*100000+C18*3</f>
        <v>148696.8869381212</v>
      </c>
      <c r="H18" s="5">
        <f>C18/'Annuity rates'!L15*100000+3*C18</f>
        <v>156837.75657961619</v>
      </c>
      <c r="J18" s="5">
        <f>Income!C16</f>
        <v>37387.421110648764</v>
      </c>
      <c r="K18" s="5">
        <f t="shared" si="2"/>
        <v>5566.5306491794208</v>
      </c>
      <c r="M18" s="5">
        <f>K18/'Annuity rates'!I15*100000</f>
        <v>205521.8138224757</v>
      </c>
      <c r="N18" s="5">
        <f>K18/'Annuity rates'!J15*100000+C18*3</f>
        <v>244570.09741493469</v>
      </c>
      <c r="O18" s="5">
        <f>K18/'Annuity rates'!K15*100000+C18*3</f>
        <v>216696.15288819917</v>
      </c>
      <c r="P18" s="5">
        <f>K18/'Annuity rates'!L15*100000+3*C18</f>
        <v>228862.34905528018</v>
      </c>
    </row>
    <row r="19" spans="1:16">
      <c r="A19">
        <f t="shared" si="1"/>
        <v>2027</v>
      </c>
      <c r="B19" s="1">
        <f>Income!B17</f>
        <v>38135.169532861742</v>
      </c>
      <c r="C19" s="1">
        <f t="shared" si="0"/>
        <v>4233.2486156793166</v>
      </c>
      <c r="D19" s="1"/>
      <c r="E19" s="5">
        <f>C19/'Annuity rates'!I16*100000+3*C19</f>
        <v>171339.90495474223</v>
      </c>
      <c r="F19" s="5">
        <f>C19/'Annuity rates'!J16*100000+C19*3</f>
        <v>192855.51399126131</v>
      </c>
      <c r="G19" s="5">
        <f>C19/'Annuity rates'!K16*100000+C19*3</f>
        <v>171339.90495474223</v>
      </c>
      <c r="H19" s="5">
        <f>C19/'Annuity rates'!L16*100000+3*C19</f>
        <v>180730.86574758735</v>
      </c>
      <c r="J19" s="5">
        <f>Income!C17</f>
        <v>38135.169532861742</v>
      </c>
      <c r="K19" s="5">
        <f t="shared" si="2"/>
        <v>6375.126640186324</v>
      </c>
      <c r="M19" s="5">
        <f>K19/'Annuity rates'!I16*100000</f>
        <v>238906.61672575297</v>
      </c>
      <c r="N19" s="5">
        <f>K19/'Annuity rates'!J16*100000+C19*3</f>
        <v>284008.12887598149</v>
      </c>
      <c r="O19" s="5">
        <f>K19/'Annuity rates'!K16*100000+C19*3</f>
        <v>251606.36257279094</v>
      </c>
      <c r="P19" s="5">
        <f>K19/'Annuity rates'!L16*100000+3*C19</f>
        <v>265748.82614218013</v>
      </c>
    </row>
    <row r="20" spans="1:16">
      <c r="A20">
        <f t="shared" si="1"/>
        <v>2028</v>
      </c>
      <c r="B20" s="1">
        <f>Income!B18</f>
        <v>38897.872923518975</v>
      </c>
      <c r="C20" s="1">
        <f t="shared" si="0"/>
        <v>4751.886921326236</v>
      </c>
      <c r="D20" s="1"/>
      <c r="E20" s="5">
        <f>C20/'Annuity rates'!I17*100000+3*C20</f>
        <v>188064.35782256455</v>
      </c>
      <c r="F20" s="5">
        <f>C20/'Annuity rates'!J17*100000+C20*3</f>
        <v>213057.70503955107</v>
      </c>
      <c r="G20" s="5">
        <f>C20/'Annuity rates'!K17*100000+C20*3</f>
        <v>188064.35782256455</v>
      </c>
      <c r="H20" s="5">
        <f>C20/'Annuity rates'!L17*100000+3*C20</f>
        <v>199817.81479578855</v>
      </c>
      <c r="J20" s="5">
        <f>Income!C18</f>
        <v>38897.872923518975</v>
      </c>
      <c r="K20" s="5">
        <f t="shared" si="2"/>
        <v>7211.0507970617391</v>
      </c>
      <c r="M20" s="5">
        <f>K20/'Annuity rates'!I17*100000</f>
        <v>263756.97995582217</v>
      </c>
      <c r="N20" s="5">
        <f>K20/'Annuity rates'!J17*100000+C20*3</f>
        <v>315940.37329303112</v>
      </c>
      <c r="O20" s="5">
        <f>K20/'Annuity rates'!K17*100000+C20*3</f>
        <v>278012.6407198009</v>
      </c>
      <c r="P20" s="5">
        <f>K20/'Annuity rates'!L17*100000+3*C20</f>
        <v>295848.66600369872</v>
      </c>
    </row>
    <row r="21" spans="1:16">
      <c r="A21">
        <f t="shared" si="1"/>
        <v>2029</v>
      </c>
      <c r="B21" s="1">
        <f>Income!B19</f>
        <v>39675.830381989355</v>
      </c>
      <c r="C21" s="1">
        <f t="shared" si="0"/>
        <v>5280.8979930860942</v>
      </c>
      <c r="D21" s="1"/>
      <c r="E21" s="5">
        <f>C21/'Annuity rates'!I18*100000+3*C21</f>
        <v>186325.81489415959</v>
      </c>
      <c r="F21" s="5">
        <f>C21/'Annuity rates'!J18*100000+C21*3</f>
        <v>210840.95083252632</v>
      </c>
      <c r="G21" s="5">
        <f>C21/'Annuity rates'!K18*100000+C21*3</f>
        <v>186325.81489415959</v>
      </c>
      <c r="H21" s="5">
        <f>C21/'Annuity rates'!L18*100000+3*C21</f>
        <v>197854.38659537217</v>
      </c>
      <c r="J21" s="5">
        <f>Income!C19</f>
        <v>39675.830381989355</v>
      </c>
      <c r="K21" s="5">
        <f t="shared" si="2"/>
        <v>8075.0281830598096</v>
      </c>
      <c r="M21" s="5">
        <f>K21/'Annuity rates'!I18*100000</f>
        <v>260685.96816794787</v>
      </c>
      <c r="N21" s="5">
        <f>K21/'Annuity rates'!J18*100000+C21*3</f>
        <v>314014.78929320094</v>
      </c>
      <c r="O21" s="5">
        <f>K21/'Annuity rates'!K18*100000+C21*3</f>
        <v>276528.66214720614</v>
      </c>
      <c r="P21" s="5">
        <f>K21/'Annuity rates'!L18*100000+3*C21</f>
        <v>294157.01655200589</v>
      </c>
    </row>
    <row r="22" spans="1:16">
      <c r="A22">
        <f t="shared" si="1"/>
        <v>2030</v>
      </c>
      <c r="B22" s="1">
        <f>Income!B20</f>
        <v>40469.346989629143</v>
      </c>
      <c r="C22" s="1">
        <f t="shared" si="0"/>
        <v>5820.4892862811494</v>
      </c>
      <c r="D22" s="1"/>
      <c r="E22" s="5">
        <f>C22/'Annuity rates'!I19*100000+3*C22</f>
        <v>208182.7443874263</v>
      </c>
      <c r="F22" s="5">
        <f>C22/'Annuity rates'!J19*100000+C22*3</f>
        <v>235608.08711546622</v>
      </c>
      <c r="G22" s="5">
        <f>C22/'Annuity rates'!K19*100000+C22*3</f>
        <v>208182.7443874263</v>
      </c>
      <c r="H22" s="5">
        <f>C22/'Annuity rates'!L19*100000+3*C22</f>
        <v>221079.87989038375</v>
      </c>
      <c r="J22" s="5">
        <f>Income!C20</f>
        <v>40469.346989629143</v>
      </c>
      <c r="K22" s="5">
        <f t="shared" si="2"/>
        <v>8967.8012186987507</v>
      </c>
      <c r="M22" s="5">
        <f>K22/'Annuity rates'!I19*100000</f>
        <v>293849.95177571935</v>
      </c>
      <c r="N22" s="5">
        <f>K22/'Annuity rates'!J19*100000+C22*3</f>
        <v>353566.46209627436</v>
      </c>
      <c r="O22" s="5">
        <f>K22/'Annuity rates'!K19*100000+C22*3</f>
        <v>311311.4196345628</v>
      </c>
      <c r="P22" s="5">
        <f>K22/'Annuity rates'!L19*100000+3*C22</f>
        <v>331182.42047185526</v>
      </c>
    </row>
    <row r="23" spans="1:16">
      <c r="A23">
        <f t="shared" si="1"/>
        <v>2031</v>
      </c>
      <c r="B23" s="1">
        <f>Income!B21</f>
        <v>41278.733929421724</v>
      </c>
      <c r="C23" s="1">
        <f t="shared" si="0"/>
        <v>6370.8724053401056</v>
      </c>
      <c r="D23" s="1"/>
      <c r="E23" s="5">
        <f>C23/'Annuity rates'!I20*100000+3*C23</f>
        <v>230999.75777312843</v>
      </c>
      <c r="F23" s="5">
        <f>C23/'Annuity rates'!J20*100000+C23*3</f>
        <v>261468.70992788277</v>
      </c>
      <c r="G23" s="5">
        <f>C23/'Annuity rates'!K20*100000+C23*3</f>
        <v>230999.75777312843</v>
      </c>
      <c r="H23" s="5">
        <f>C23/'Annuity rates'!L20*100000+3*C23</f>
        <v>245328.19145834268</v>
      </c>
      <c r="J23" s="5">
        <f>Income!C21</f>
        <v>41278.733929421724</v>
      </c>
      <c r="K23" s="5">
        <f t="shared" si="2"/>
        <v>9890.1300746021152</v>
      </c>
      <c r="M23" s="5">
        <f>K23/'Annuity rates'!I20*100000</f>
        <v>328933.18966626335</v>
      </c>
      <c r="N23" s="5">
        <f>K23/'Annuity rates'!J20*100000+C23*3</f>
        <v>395345.74963341485</v>
      </c>
      <c r="O23" s="5">
        <f>K23/'Annuity rates'!K20*100000+C23*3</f>
        <v>348045.80688228365</v>
      </c>
      <c r="P23" s="5">
        <f>K23/'Annuity rates'!L20*100000+3*C23</f>
        <v>370289.23979004327</v>
      </c>
    </row>
    <row r="24" spans="1:16">
      <c r="A24">
        <f t="shared" si="1"/>
        <v>2032</v>
      </c>
      <c r="B24" s="1">
        <f>Income!B22</f>
        <v>42104.308608010157</v>
      </c>
      <c r="C24" s="1">
        <f t="shared" si="0"/>
        <v>6932.2631867802411</v>
      </c>
      <c r="D24" s="1"/>
      <c r="E24" s="5">
        <f>C24/'Annuity rates'!I21*100000+3*C24</f>
        <v>254813.45019068703</v>
      </c>
      <c r="F24" s="5">
        <f>C24/'Annuity rates'!J21*100000+C24*3</f>
        <v>288464.58360734489</v>
      </c>
      <c r="G24" s="5">
        <f>C24/'Annuity rates'!K21*100000+C24*3</f>
        <v>254813.45019068703</v>
      </c>
      <c r="H24" s="5">
        <f>C24/'Annuity rates'!L21*100000+3*C24</f>
        <v>270638.3473234768</v>
      </c>
      <c r="J24" s="5">
        <f>Income!C22</f>
        <v>42104.308608010157</v>
      </c>
      <c r="K24" s="5">
        <f t="shared" si="2"/>
        <v>10842.793072928016</v>
      </c>
      <c r="M24" s="5">
        <f>K24/'Annuity rates'!I21*100000</f>
        <v>366026.81670702453</v>
      </c>
      <c r="N24" s="5">
        <f>K24/'Annuity rates'!J21*100000+C24*3</f>
        <v>439457.5392954885</v>
      </c>
      <c r="O24" s="5">
        <f>K24/'Annuity rates'!K21*100000+C24*3</f>
        <v>386823.60626736528</v>
      </c>
      <c r="P24" s="5">
        <f>K24/'Annuity rates'!L21*100000+3*C24</f>
        <v>411575.41969222552</v>
      </c>
    </row>
    <row r="25" spans="1:16">
      <c r="A25">
        <f t="shared" si="1"/>
        <v>2033</v>
      </c>
      <c r="B25" s="1">
        <f>Income!B23</f>
        <v>42946.394780170362</v>
      </c>
      <c r="C25" s="1">
        <f t="shared" si="0"/>
        <v>7504.8817838491796</v>
      </c>
      <c r="D25" s="1"/>
      <c r="E25" s="5">
        <f>C25/'Annuity rates'!I22*100000+3*C25</f>
        <v>279661.74667389091</v>
      </c>
      <c r="F25" s="5">
        <f>C25/'Annuity rates'!J22*100000+C25*3</f>
        <v>316638.99175976025</v>
      </c>
      <c r="G25" s="5">
        <f>C25/'Annuity rates'!K22*100000+C25*3</f>
        <v>279661.74667389091</v>
      </c>
      <c r="H25" s="5">
        <f>C25/'Annuity rates'!L22*100000+3*C25</f>
        <v>297050.79246003291</v>
      </c>
      <c r="J25" s="5">
        <f>Income!C23</f>
        <v>42946.394780170362</v>
      </c>
      <c r="K25" s="5">
        <f t="shared" si="2"/>
        <v>11826.587097569776</v>
      </c>
      <c r="M25" s="5">
        <f>K25/'Annuity rates'!I22*100000</f>
        <v>405225.91537964327</v>
      </c>
      <c r="N25" s="5">
        <f>K25/'Annuity rates'!J22*100000+C25*3</f>
        <v>486011.24669686955</v>
      </c>
      <c r="O25" s="5">
        <f>K25/'Annuity rates'!K22*100000+C25*3</f>
        <v>427740.56073119078</v>
      </c>
      <c r="P25" s="5">
        <f>K25/'Annuity rates'!L22*100000+3*C25</f>
        <v>455143.13287776499</v>
      </c>
    </row>
    <row r="26" spans="1:16">
      <c r="A26">
        <f t="shared" si="1"/>
        <v>2034</v>
      </c>
      <c r="B26" s="1">
        <f>Income!B24</f>
        <v>43805.322675773772</v>
      </c>
      <c r="C26" s="1">
        <f t="shared" si="0"/>
        <v>8088.9527528594963</v>
      </c>
      <c r="D26" s="1"/>
      <c r="E26" s="5">
        <f>C26/'Annuity rates'!I23*100000+3*C26</f>
        <v>305583.94961792266</v>
      </c>
      <c r="F26" s="5">
        <f>C26/'Annuity rates'!J23*100000+C26*3</f>
        <v>346036.79151482065</v>
      </c>
      <c r="G26" s="5">
        <f>C26/'Annuity rates'!K23*100000+C26*3</f>
        <v>305583.94961792266</v>
      </c>
      <c r="H26" s="5">
        <f>C26/'Annuity rates'!L23*100000+3*C26</f>
        <v>324607.44145164872</v>
      </c>
      <c r="J26" s="5">
        <f>Income!C24</f>
        <v>43805.322675773772</v>
      </c>
      <c r="K26" s="5">
        <f t="shared" si="2"/>
        <v>12842.328013315304</v>
      </c>
      <c r="M26" s="5">
        <f>K26/'Annuity rates'!I23*100000</f>
        <v>446629.67795322445</v>
      </c>
      <c r="N26" s="5">
        <f>K26/'Annuity rates'!J23*100000+C26*3</f>
        <v>535121.00142790889</v>
      </c>
      <c r="O26" s="5">
        <f>K26/'Annuity rates'!K23*100000+C26*3</f>
        <v>470896.53621180297</v>
      </c>
      <c r="P26" s="5">
        <f>K26/'Annuity rates'!L23*100000+3*C26</f>
        <v>501098.95295863994</v>
      </c>
    </row>
    <row r="27" spans="1:16">
      <c r="A27">
        <f t="shared" si="1"/>
        <v>2035</v>
      </c>
      <c r="B27" s="1">
        <f>Income!B25</f>
        <v>44681.429129289245</v>
      </c>
      <c r="C27" s="1">
        <f t="shared" si="0"/>
        <v>8684.7051412500186</v>
      </c>
      <c r="D27" s="1"/>
      <c r="E27" s="5">
        <f>C27/'Annuity rates'!I24*100000+3*C27</f>
        <v>332620.78792880586</v>
      </c>
      <c r="F27" s="5">
        <f>C27/'Annuity rates'!J24*100000+C27*3</f>
        <v>376704.46970505436</v>
      </c>
      <c r="G27" s="5">
        <f>C27/'Annuity rates'!K24*100000+C27*3</f>
        <v>332620.78792880586</v>
      </c>
      <c r="H27" s="5">
        <f>C27/'Annuity rates'!L24*100000+3*C27</f>
        <v>353351.7309465658</v>
      </c>
      <c r="J27" s="5">
        <f>Income!C25</f>
        <v>44681.429129289245</v>
      </c>
      <c r="K27" s="5">
        <f t="shared" si="2"/>
        <v>13890.851094156447</v>
      </c>
      <c r="M27" s="5">
        <f>K27/'Annuity rates'!I24*100000</f>
        <v>490341.57509529672</v>
      </c>
      <c r="N27" s="5">
        <f>K27/'Annuity rates'!J24*100000+C27*3</f>
        <v>586905.84017599956</v>
      </c>
      <c r="O27" s="5">
        <f>K27/'Annuity rates'!K24*100000+C27*3</f>
        <v>516395.6905190468</v>
      </c>
      <c r="P27" s="5">
        <f>K27/'Annuity rates'!L24*100000+3*C27</f>
        <v>549554.03473655658</v>
      </c>
    </row>
    <row r="28" spans="1:16">
      <c r="A28">
        <f t="shared" si="1"/>
        <v>2036</v>
      </c>
      <c r="B28" s="1">
        <f>Income!B26</f>
        <v>45575.05771187503</v>
      </c>
      <c r="C28" s="1">
        <f t="shared" si="0"/>
        <v>9292.3725774083523</v>
      </c>
      <c r="D28" s="1"/>
      <c r="E28" s="5">
        <f>C28/'Annuity rates'!I25*100000+3*C28</f>
        <v>360814.46791474707</v>
      </c>
      <c r="F28" s="5">
        <f>C28/'Annuity rates'!J25*100000+C28*3</f>
        <v>408690.20103649289</v>
      </c>
      <c r="G28" s="5">
        <f>C28/'Annuity rates'!K25*100000+C28*3</f>
        <v>360814.46791474707</v>
      </c>
      <c r="H28" s="5">
        <f>C28/'Annuity rates'!L25*100000+3*C28</f>
        <v>383328.67397217173</v>
      </c>
      <c r="J28" s="5">
        <f>Income!C26</f>
        <v>45575.05771187503</v>
      </c>
      <c r="K28" s="5">
        <f t="shared" si="2"/>
        <v>14973.011460943611</v>
      </c>
      <c r="M28" s="5">
        <f>K28/'Annuity rates'!I25*100000</f>
        <v>536469.53116998659</v>
      </c>
      <c r="N28" s="5">
        <f>K28/'Annuity rates'!J25*100000+C28*3</f>
        <v>641489.90750075004</v>
      </c>
      <c r="O28" s="5">
        <f>K28/'Annuity rates'!K25*100000+C28*3</f>
        <v>564346.64890221169</v>
      </c>
      <c r="P28" s="5">
        <f>K28/'Annuity rates'!L25*100000+3*C28</f>
        <v>600624.30162477226</v>
      </c>
    </row>
    <row r="29" spans="1:16">
      <c r="A29">
        <f t="shared" si="1"/>
        <v>2037</v>
      </c>
      <c r="B29" s="1">
        <f>Income!B27</f>
        <v>46486.558866112529</v>
      </c>
      <c r="C29" s="1">
        <f t="shared" si="0"/>
        <v>9912.1933622898523</v>
      </c>
      <c r="D29" s="1"/>
      <c r="E29" s="5">
        <f>C29/'Annuity rates'!I26*100000+3*C29</f>
        <v>390208.72598094295</v>
      </c>
      <c r="F29" s="5">
        <f>C29/'Annuity rates'!J26*100000+C29*3</f>
        <v>442043.90832136408</v>
      </c>
      <c r="G29" s="5">
        <f>C29/'Annuity rates'!K26*100000+C29*3</f>
        <v>390208.72598094295</v>
      </c>
      <c r="H29" s="5">
        <f>C29/'Annuity rates'!L26*100000+3*C29</f>
        <v>414584.91617459955</v>
      </c>
      <c r="J29" s="5">
        <f>Income!C27</f>
        <v>46486.558866112529</v>
      </c>
      <c r="K29" s="5">
        <f t="shared" si="2"/>
        <v>16089.684528584985</v>
      </c>
      <c r="M29" s="5">
        <f>K29/'Annuity rates'!I26*100000</f>
        <v>585126.10648243548</v>
      </c>
      <c r="N29" s="5">
        <f>K29/'Annuity rates'!J26*100000+C29*3</f>
        <v>699002.66455964441</v>
      </c>
      <c r="O29" s="5">
        <f>K29/'Annuity rates'!K26*100000+C29*3</f>
        <v>614862.68656930502</v>
      </c>
      <c r="P29" s="5">
        <f>K29/'Annuity rates'!L26*100000+3*C29</f>
        <v>654430.64049127302</v>
      </c>
    </row>
    <row r="30" spans="1:16">
      <c r="A30">
        <f t="shared" si="1"/>
        <v>2038</v>
      </c>
      <c r="B30" s="1">
        <f>Income!B28</f>
        <v>47416.290043434783</v>
      </c>
      <c r="C30" s="1">
        <f t="shared" si="0"/>
        <v>10544.410562868983</v>
      </c>
      <c r="D30" s="1"/>
      <c r="E30" s="5">
        <f>C30/'Annuity rates'!I27*100000+3*C30</f>
        <v>420848.88319160108</v>
      </c>
      <c r="F30" s="5">
        <f>C30/'Annuity rates'!J27*100000+C30*3</f>
        <v>476817.32484570908</v>
      </c>
      <c r="G30" s="5">
        <f>C30/'Annuity rates'!K27*100000+C30*3</f>
        <v>420848.88319160108</v>
      </c>
      <c r="H30" s="5">
        <f>C30/'Annuity rates'!L27*100000+3*C30</f>
        <v>447168.79405143479</v>
      </c>
      <c r="J30" s="5">
        <f>Income!C28</f>
        <v>47416.290043434783</v>
      </c>
      <c r="K30" s="5">
        <f t="shared" si="2"/>
        <v>17241.766462993946</v>
      </c>
      <c r="M30" s="5">
        <f>K30/'Annuity rates'!I27*100000</f>
        <v>636428.68673834729</v>
      </c>
      <c r="N30" s="5">
        <f>K30/'Annuity rates'!J27*100000+C30*3</f>
        <v>759579.10609185393</v>
      </c>
      <c r="O30" s="5">
        <f>K30/'Annuity rates'!K27*100000+C30*3</f>
        <v>668061.91842695419</v>
      </c>
      <c r="P30" s="5">
        <f>K30/'Annuity rates'!L27*100000+3*C30</f>
        <v>711099.10421049001</v>
      </c>
    </row>
    <row r="31" spans="1:16">
      <c r="A31">
        <f t="shared" si="1"/>
        <v>2039</v>
      </c>
      <c r="B31" s="1">
        <f>Income!B29</f>
        <v>48364.61584430348</v>
      </c>
      <c r="C31" s="1">
        <f t="shared" si="0"/>
        <v>11189.272107459696</v>
      </c>
      <c r="D31" s="1"/>
      <c r="E31" s="5">
        <f>C31/'Annuity rates'!I28*100000+3*C31</f>
        <v>452781.90176517179</v>
      </c>
      <c r="F31" s="5">
        <f>C31/'Annuity rates'!J28*100000+C31*3</f>
        <v>513064.05894739571</v>
      </c>
      <c r="G31" s="5">
        <f>C31/'Annuity rates'!K28*100000+C31*3</f>
        <v>452781.90176517179</v>
      </c>
      <c r="H31" s="5">
        <f>C31/'Annuity rates'!L28*100000+3*C31</f>
        <v>481130.39524798363</v>
      </c>
      <c r="J31" s="5">
        <f>Income!C29</f>
        <v>48364.61584430348</v>
      </c>
      <c r="K31" s="5">
        <f t="shared" si="2"/>
        <v>18430.174647992484</v>
      </c>
      <c r="M31" s="5">
        <f>K31/'Annuity rates'!I28*100000</f>
        <v>690499.67999778956</v>
      </c>
      <c r="N31" s="5">
        <f>K31/'Annuity rates'!J28*100000+C31*3</f>
        <v>823359.98597956554</v>
      </c>
      <c r="O31" s="5">
        <f>K31/'Annuity rates'!K28*100000+C31*3</f>
        <v>724067.4963201686</v>
      </c>
      <c r="P31" s="5">
        <f>K31/'Annuity rates'!L28*100000+3*C31</f>
        <v>770761.12222165859</v>
      </c>
    </row>
    <row r="32" spans="1:16">
      <c r="A32">
        <f t="shared" si="1"/>
        <v>2040</v>
      </c>
      <c r="B32" s="1">
        <f>Income!B30</f>
        <v>49331.908161189553</v>
      </c>
      <c r="C32" s="1">
        <f t="shared" si="0"/>
        <v>11847.030882942223</v>
      </c>
      <c r="D32" s="1"/>
      <c r="E32" s="5">
        <f>C32/'Annuity rates'!I29*100000+3*C32</f>
        <v>486056.44357111893</v>
      </c>
      <c r="F32" s="5">
        <f>C32/'Annuity rates'!J29*100000+C32*3</f>
        <v>550839.66088266706</v>
      </c>
      <c r="G32" s="5">
        <f>C32/'Annuity rates'!K29*100000+C32*3</f>
        <v>486056.44357111893</v>
      </c>
      <c r="H32" s="5">
        <f>C32/'Annuity rates'!L29*100000+3*C32</f>
        <v>516521.62099004444</v>
      </c>
      <c r="J32" s="5">
        <f>Income!C30</f>
        <v>49331.908161189553</v>
      </c>
      <c r="K32" s="5">
        <f t="shared" si="2"/>
        <v>19655.848162382808</v>
      </c>
      <c r="M32" s="5">
        <f>K32/'Annuity rates'!I29*100000</f>
        <v>747466.72141298326</v>
      </c>
      <c r="N32" s="5">
        <f>K32/'Annuity rates'!J29*100000+C32*3</f>
        <v>890492.05171834223</v>
      </c>
      <c r="O32" s="5">
        <f>K32/'Annuity rates'!K29*100000+C32*3</f>
        <v>783007.81406180991</v>
      </c>
      <c r="P32" s="5">
        <f>K32/'Annuity rates'!L29*100000+3*C32</f>
        <v>833553.71940326178</v>
      </c>
    </row>
    <row r="33" spans="1:16">
      <c r="A33">
        <f t="shared" si="1"/>
        <v>2041</v>
      </c>
      <c r="B33" s="1">
        <f>Income!B31</f>
        <v>50318.546324413343</v>
      </c>
      <c r="C33" s="1">
        <f t="shared" si="0"/>
        <v>12517.944833934402</v>
      </c>
      <c r="D33" s="1"/>
      <c r="E33" s="5">
        <f>C33/'Annuity rates'!I30*100000+3*C33</f>
        <v>520722.93069897185</v>
      </c>
      <c r="F33" s="5">
        <f>C33/'Annuity rates'!J30*100000+C33*3</f>
        <v>590201.69206212135</v>
      </c>
      <c r="G33" s="5">
        <f>C33/'Annuity rates'!K30*100000+C33*3</f>
        <v>520722.93069897185</v>
      </c>
      <c r="H33" s="5">
        <f>C33/'Annuity rates'!L30*100000+3*C33</f>
        <v>553396.25072869845</v>
      </c>
      <c r="J33" s="5">
        <f>Income!C31</f>
        <v>50318.546324413343</v>
      </c>
      <c r="K33" s="5">
        <f t="shared" si="2"/>
        <v>20919.748267403829</v>
      </c>
      <c r="M33" s="5">
        <f>K33/'Annuity rates'!I30*100000</f>
        <v>807462.88605083351</v>
      </c>
      <c r="N33" s="5">
        <f>K33/'Annuity rates'!J30*100000+C33*3</f>
        <v>961128.28814062721</v>
      </c>
      <c r="O33" s="5">
        <f>K33/'Annuity rates'!K30*100000+C33*3</f>
        <v>845016.72055263666</v>
      </c>
      <c r="P33" s="5">
        <f>K33/'Annuity rates'!L30*100000+3*C33</f>
        <v>899619.74358476279</v>
      </c>
    </row>
    <row r="34" spans="1:16">
      <c r="A34">
        <f t="shared" si="1"/>
        <v>2042</v>
      </c>
      <c r="B34" s="1">
        <f>Income!B32</f>
        <v>51324.917250901613</v>
      </c>
      <c r="C34" s="1">
        <f t="shared" si="0"/>
        <v>13202.277063946423</v>
      </c>
      <c r="D34" s="1"/>
      <c r="E34" s="5">
        <f>C34/'Annuity rates'!I31*100000+3*C34</f>
        <v>556833.60817289725</v>
      </c>
      <c r="F34" s="5">
        <f>C34/'Annuity rates'!J31*100000+C34*3</f>
        <v>631209.79673987732</v>
      </c>
      <c r="G34" s="5">
        <f>C34/'Annuity rates'!K31*100000+C34*3</f>
        <v>556833.60817289725</v>
      </c>
      <c r="H34" s="5">
        <f>C34/'Annuity rates'!L31*100000+3*C34</f>
        <v>591810.00907530496</v>
      </c>
      <c r="J34" s="5">
        <f>Income!C32</f>
        <v>51324.917250901613</v>
      </c>
      <c r="K34" s="5">
        <f t="shared" si="2"/>
        <v>22222.85890479364</v>
      </c>
      <c r="M34" s="5">
        <f>K34/'Annuity rates'!I31*100000</f>
        <v>870626.91011238017</v>
      </c>
      <c r="N34" s="5">
        <f>K34/'Annuity rates'!J31*100000+C34*3</f>
        <v>1035428.1707495783</v>
      </c>
      <c r="O34" s="5">
        <f>K34/'Annuity rates'!K31*100000+C34*3</f>
        <v>910233.74130421947</v>
      </c>
      <c r="P34" s="5">
        <f>K34/'Annuity rates'!L31*100000+3*C34</f>
        <v>969108.10202903196</v>
      </c>
    </row>
    <row r="35" spans="1:16">
      <c r="A35">
        <f t="shared" si="1"/>
        <v>2043</v>
      </c>
      <c r="B35" s="1">
        <f>Income!B33</f>
        <v>52351.415595919643</v>
      </c>
      <c r="C35" s="1">
        <f t="shared" si="0"/>
        <v>13900.295938558686</v>
      </c>
      <c r="D35" s="1"/>
      <c r="E35" s="5">
        <f>C35/'Annuity rates'!I32*100000+3*C35</f>
        <v>594442.60888761666</v>
      </c>
      <c r="F35" s="5">
        <f>C35/'Annuity rates'!J32*100000+C35*3</f>
        <v>673925.77624263801</v>
      </c>
      <c r="G35" s="5">
        <f>C35/'Annuity rates'!K32*100000+C35*3</f>
        <v>594442.60888761666</v>
      </c>
      <c r="H35" s="5">
        <f>C35/'Annuity rates'!L32*100000+3*C35</f>
        <v>631820.63510764553</v>
      </c>
      <c r="J35" s="5">
        <f>Income!C33</f>
        <v>52351.415595919643</v>
      </c>
      <c r="K35" s="5">
        <f t="shared" si="2"/>
        <v>23566.187205683917</v>
      </c>
      <c r="M35" s="5">
        <f>K35/'Annuity rates'!I32*100000</f>
        <v>937103.42087320588</v>
      </c>
      <c r="N35" s="5">
        <f>K35/'Annuity rates'!J32*100000+C35*3</f>
        <v>1113557.9290339868</v>
      </c>
      <c r="O35" s="5">
        <f>K35/'Annuity rates'!K32*100000+C35*3</f>
        <v>978804.30868888192</v>
      </c>
      <c r="P35" s="5">
        <f>K35/'Annuity rates'!L32*100000+3*C35</f>
        <v>1042174.0072315375</v>
      </c>
    </row>
    <row r="36" spans="1:16">
      <c r="A36">
        <f t="shared" si="1"/>
        <v>2044</v>
      </c>
      <c r="B36" s="1">
        <f>Income!B34</f>
        <v>53398.443907838038</v>
      </c>
      <c r="C36" s="1">
        <f t="shared" si="0"/>
        <v>14612.275190663193</v>
      </c>
      <c r="D36" s="1"/>
      <c r="E36" s="5">
        <f>C36/'Annuity rates'!I33*100000+3*C36</f>
        <v>633606.02084417269</v>
      </c>
      <c r="F36" s="5">
        <f>C36/'Annuity rates'!J33*100000+C36*3</f>
        <v>718413.66582842753</v>
      </c>
      <c r="G36" s="5">
        <f>C36/'Annuity rates'!K33*100000+C36*3</f>
        <v>633606.02084417269</v>
      </c>
      <c r="H36" s="5">
        <f>C36/'Annuity rates'!L33*100000+3*C36</f>
        <v>673487.95413102116</v>
      </c>
      <c r="J36" s="5">
        <f>Income!C34</f>
        <v>53398.443907838038</v>
      </c>
      <c r="K36" s="5">
        <f t="shared" si="2"/>
        <v>24950.764010556708</v>
      </c>
      <c r="M36" s="5">
        <f>K36/'Annuity rates'!I33*100000</f>
        <v>1007043.1756811388</v>
      </c>
      <c r="N36" s="5">
        <f>K36/'Annuity rates'!J33*100000+C36*3</f>
        <v>1195690.8201490992</v>
      </c>
      <c r="O36" s="5">
        <f>K36/'Annuity rates'!K33*100000+C36*3</f>
        <v>1050880.0012531283</v>
      </c>
      <c r="P36" s="5">
        <f>K36/'Annuity rates'!L33*100000+3*C36</f>
        <v>1118979.2323955006</v>
      </c>
    </row>
    <row r="37" spans="1:16">
      <c r="A37">
        <f t="shared" si="1"/>
        <v>2045</v>
      </c>
      <c r="B37" s="1">
        <f>Income!B35</f>
        <v>54466.412785994798</v>
      </c>
      <c r="C37" s="1">
        <f t="shared" si="0"/>
        <v>15338.494027809791</v>
      </c>
      <c r="D37" s="1"/>
      <c r="E37" s="5">
        <f>C37/'Annuity rates'!I34*100000+3*C37</f>
        <v>674381.9567668197</v>
      </c>
      <c r="F37" s="5">
        <f>C37/'Annuity rates'!J34*100000+C37*3</f>
        <v>764739.81426794408</v>
      </c>
      <c r="G37" s="5">
        <f>C37/'Annuity rates'!K34*100000+C37*3</f>
        <v>674381.9567668197</v>
      </c>
      <c r="H37" s="5">
        <f>C37/'Annuity rates'!L34*100000+3*C37</f>
        <v>716873.95198106545</v>
      </c>
      <c r="J37" s="5">
        <f>Income!C35</f>
        <v>54466.412785994798</v>
      </c>
      <c r="K37" s="5">
        <f t="shared" si="2"/>
        <v>26377.644400499103</v>
      </c>
      <c r="M37" s="5">
        <f>K37/'Annuity rates'!I34*100000</f>
        <v>1080603.3103603483</v>
      </c>
      <c r="N37" s="5">
        <f>K37/'Annuity rates'!J34*100000+C37*3</f>
        <v>1282007.4133627743</v>
      </c>
      <c r="O37" s="5">
        <f>K37/'Annuity rates'!K34*100000+C37*3</f>
        <v>1126618.7924437777</v>
      </c>
      <c r="P37" s="5">
        <f>K37/'Annuity rates'!L34*100000+3*C37</f>
        <v>1199692.3769558505</v>
      </c>
    </row>
    <row r="38" spans="1:16">
      <c r="A38">
        <f t="shared" si="1"/>
        <v>2046</v>
      </c>
      <c r="B38" s="1">
        <f>Income!B36</f>
        <v>55500</v>
      </c>
      <c r="C38" s="1">
        <f t="shared" si="0"/>
        <v>16078.494027809791</v>
      </c>
      <c r="D38" s="1"/>
      <c r="E38" s="5">
        <f>C38/'Annuity rates'!I35*100000+3*C38</f>
        <v>698270.52670098422</v>
      </c>
      <c r="F38" s="5">
        <f>C38/'Annuity rates'!J35*100000+C38*3</f>
        <v>813863.51159697841</v>
      </c>
      <c r="G38" s="5">
        <f>C38/'Annuity rates'!K35*100000+C38*3</f>
        <v>698270.52670098422</v>
      </c>
      <c r="H38" s="5">
        <f>C38/'Annuity rates'!L35*100000+3*C38</f>
        <v>752278.73464504455</v>
      </c>
      <c r="J38" s="5">
        <f>Income!C36</f>
        <v>55555.741041714697</v>
      </c>
      <c r="K38" s="5">
        <f t="shared" si="2"/>
        <v>27847.908239996046</v>
      </c>
      <c r="M38" s="5">
        <f>K38/'Annuity rates'!I35*100000</f>
        <v>1125858.9420117021</v>
      </c>
      <c r="N38" s="5">
        <f>K38/'Annuity rates'!J35*100000+C38*3</f>
        <v>1374301.161803476</v>
      </c>
      <c r="O38" s="5">
        <f>K38/'Annuity rates'!K35*100000+C38*3</f>
        <v>1174094.4240951315</v>
      </c>
      <c r="P38" s="5">
        <f>K38/'Annuity rates'!L35*100000+3*C38</f>
        <v>1267636.4944178513</v>
      </c>
    </row>
    <row r="39" spans="1:16">
      <c r="A39">
        <f t="shared" si="1"/>
        <v>2047</v>
      </c>
      <c r="B39" s="1">
        <f>Income!B37</f>
        <v>55500</v>
      </c>
      <c r="C39" s="1">
        <f t="shared" si="0"/>
        <v>16818.494027809793</v>
      </c>
      <c r="D39" s="1"/>
      <c r="E39" s="5">
        <f>C39/'Annuity rates'!I36*100000+3*C39</f>
        <v>740607.16260219901</v>
      </c>
      <c r="F39" s="5">
        <f>C39/'Annuity rates'!J36*100000+C39*3</f>
        <v>863333.91932511923</v>
      </c>
      <c r="G39" s="5">
        <f>C39/'Annuity rates'!K36*100000+C39*3</f>
        <v>740607.16260219901</v>
      </c>
      <c r="H39" s="5">
        <f>C39/'Annuity rates'!L36*100000+3*C39</f>
        <v>797948.46409515198</v>
      </c>
      <c r="J39" s="5">
        <f>Income!C37</f>
        <v>56666.85586254899</v>
      </c>
      <c r="K39" s="5">
        <f t="shared" si="2"/>
        <v>29362.660731506719</v>
      </c>
      <c r="M39" s="5">
        <f>K39/'Annuity rates'!I36*100000</f>
        <v>1204905.1249680079</v>
      </c>
      <c r="N39" s="5">
        <f>K39/'Annuity rates'!J36*100000+C39*3</f>
        <v>1469623.793420838</v>
      </c>
      <c r="O39" s="5">
        <f>K39/'Annuity rates'!K36*100000+C39*3</f>
        <v>1255360.6070514373</v>
      </c>
      <c r="P39" s="5">
        <f>K39/'Annuity rates'!L36*100000+3*C39</f>
        <v>1355470.2351106787</v>
      </c>
    </row>
    <row r="40" spans="1:16">
      <c r="A40">
        <f t="shared" si="1"/>
        <v>2048</v>
      </c>
      <c r="B40" s="1">
        <f>Income!B38</f>
        <v>55500</v>
      </c>
      <c r="C40" s="1">
        <f t="shared" si="0"/>
        <v>17558.494027809793</v>
      </c>
      <c r="D40" s="1"/>
      <c r="E40" s="5">
        <f>C40/'Annuity rates'!I37*100000+3*C40</f>
        <v>784001.03969541122</v>
      </c>
      <c r="F40" s="5">
        <f>C40/'Annuity rates'!J37*100000+C40*3</f>
        <v>914049.57297846337</v>
      </c>
      <c r="G40" s="5">
        <f>C40/'Annuity rates'!K37*100000+C40*3</f>
        <v>784001.03969541122</v>
      </c>
      <c r="H40" s="5">
        <f>C40/'Annuity rates'!L37*100000+3*C40</f>
        <v>844763.2756969363</v>
      </c>
      <c r="J40" s="5">
        <f>Income!C38</f>
        <v>57800.192979799969</v>
      </c>
      <c r="K40" s="5">
        <f t="shared" si="2"/>
        <v>30923.032982074979</v>
      </c>
      <c r="M40" s="5">
        <f>K40/'Annuity rates'!I37*100000</f>
        <v>1287969.4752210258</v>
      </c>
      <c r="N40" s="5">
        <f>K40/'Annuity rates'!J37*100000+C40*3</f>
        <v>1569679.1260442629</v>
      </c>
      <c r="O40" s="5">
        <f>K40/'Annuity rates'!K37*100000+C40*3</f>
        <v>1340644.9573044551</v>
      </c>
      <c r="P40" s="5">
        <f>K40/'Annuity rates'!L37*100000+3*C40</f>
        <v>1447655.9928160328</v>
      </c>
    </row>
    <row r="41" spans="1:16">
      <c r="A41">
        <f t="shared" si="1"/>
        <v>2049</v>
      </c>
      <c r="B41" s="1">
        <f>Income!B39</f>
        <v>55500</v>
      </c>
      <c r="C41" s="1">
        <f t="shared" si="0"/>
        <v>18298.494027809793</v>
      </c>
      <c r="D41" s="1"/>
      <c r="E41" s="5">
        <f>C41/'Annuity rates'!I38*100000+3*C41</f>
        <v>828474.8489733031</v>
      </c>
      <c r="F41" s="5">
        <f>C41/'Annuity rates'!J38*100000+C41*3</f>
        <v>966037.1985930287</v>
      </c>
      <c r="G41" s="5">
        <f>C41/'Annuity rates'!K38*100000+C41*3</f>
        <v>828474.8489733031</v>
      </c>
      <c r="H41" s="5">
        <f>C41/'Annuity rates'!L38*100000+3*C41</f>
        <v>892747.74572582159</v>
      </c>
      <c r="J41" s="5">
        <f>Income!C39</f>
        <v>58956.196839395969</v>
      </c>
      <c r="K41" s="5">
        <f t="shared" si="2"/>
        <v>32530.182582229612</v>
      </c>
      <c r="M41" s="5">
        <f>K41/'Annuity rates'!I38*100000</f>
        <v>1375232.191705408</v>
      </c>
      <c r="N41" s="5">
        <f>K41/'Annuity rates'!J38*100000+C41*3</f>
        <v>1674679.4026234201</v>
      </c>
      <c r="O41" s="5">
        <f>K41/'Annuity rates'!K38*100000+C41*3</f>
        <v>1430127.6737888374</v>
      </c>
      <c r="P41" s="5">
        <f>K41/'Annuity rates'!L38*100000+3*C41</f>
        <v>1544388.9383098758</v>
      </c>
    </row>
    <row r="42" spans="1:16">
      <c r="A42">
        <f t="shared" si="1"/>
        <v>2050</v>
      </c>
      <c r="B42" s="1">
        <f>Income!B40</f>
        <v>55500</v>
      </c>
      <c r="C42" s="1">
        <f t="shared" si="0"/>
        <v>19038.494027809793</v>
      </c>
      <c r="D42" s="1"/>
      <c r="E42" s="5">
        <f>C42/'Annuity rates'!I39*100000+3*C42</f>
        <v>874051.72427906899</v>
      </c>
      <c r="F42" s="5">
        <f>C42/'Annuity rates'!J39*100000+C42*3</f>
        <v>1019324.0438055794</v>
      </c>
      <c r="G42" s="5">
        <f>C42/'Annuity rates'!K39*100000+C42*3</f>
        <v>874051.72427906899</v>
      </c>
      <c r="H42" s="5">
        <f>C42/'Annuity rates'!L39*100000+3*C42</f>
        <v>941926.93010201014</v>
      </c>
      <c r="J42" s="5">
        <f>Income!C40</f>
        <v>60135.320776183886</v>
      </c>
      <c r="K42" s="5">
        <f t="shared" si="2"/>
        <v>34185.294197435549</v>
      </c>
      <c r="M42" s="5">
        <f>K42/'Annuity rates'!I39*100000</f>
        <v>1466881.0326705328</v>
      </c>
      <c r="N42" s="5">
        <f>K42/'Annuity rates'!J39*100000+C42*3</f>
        <v>1784845.7696636969</v>
      </c>
      <c r="O42" s="5">
        <f>K42/'Annuity rates'!K39*100000+C42*3</f>
        <v>1523996.5147539622</v>
      </c>
      <c r="P42" s="5">
        <f>K42/'Annuity rates'!L39*100000+3*C42</f>
        <v>1645872.4297490972</v>
      </c>
    </row>
    <row r="43" spans="1:16">
      <c r="A43" s="6">
        <f t="shared" si="1"/>
        <v>2051</v>
      </c>
      <c r="B43" s="7">
        <f>Income!B41</f>
        <v>55500</v>
      </c>
      <c r="C43" s="1">
        <f t="shared" si="0"/>
        <v>19778.494027809793</v>
      </c>
      <c r="D43" s="1"/>
      <c r="E43" s="5">
        <f>C43/'Annuity rates'!I40*100000+3*C43</f>
        <v>920755.2504864576</v>
      </c>
      <c r="F43" s="5">
        <f>C43/'Annuity rates'!J40*100000+C43*3</f>
        <v>1073937.8874882921</v>
      </c>
      <c r="G43" s="5">
        <f>C43/'Annuity rates'!K40*100000+C43*3</f>
        <v>920755.2504864576</v>
      </c>
      <c r="H43" s="5">
        <f>C43/'Annuity rates'!L40*100000+3*C43</f>
        <v>992326.37325016479</v>
      </c>
      <c r="J43" s="5">
        <f>Income!C41</f>
        <v>61338.027191707566</v>
      </c>
      <c r="K43" s="5">
        <f t="shared" si="2"/>
        <v>35889.580172362585</v>
      </c>
      <c r="M43" s="5">
        <f>K43/'Annuity rates'!I40*100000</f>
        <v>1563111.6199589653</v>
      </c>
      <c r="N43" s="5">
        <f>K43/'Annuity rates'!J40*100000+C43*3</f>
        <v>1900408.6356132117</v>
      </c>
      <c r="O43" s="5">
        <f>K43/'Annuity rates'!K40*100000+C43*3</f>
        <v>1622447.1020423947</v>
      </c>
      <c r="P43" s="5">
        <f>K43/'Annuity rates'!L40*100000+3*C43</f>
        <v>1752318.3422309747</v>
      </c>
    </row>
    <row r="44" spans="1:16">
      <c r="A44" s="6">
        <f t="shared" si="1"/>
        <v>2052</v>
      </c>
      <c r="B44" s="7">
        <f>Income!B42</f>
        <v>55500</v>
      </c>
      <c r="C44" s="1">
        <f t="shared" si="0"/>
        <v>20518.494027809793</v>
      </c>
      <c r="D44" s="1"/>
      <c r="E44" s="5">
        <f>C44/'Annuity rates'!I41*100000+3*C44</f>
        <v>968609.47182557371</v>
      </c>
      <c r="F44" s="5">
        <f>C44/'Annuity rates'!J41*100000+C44*3</f>
        <v>1129907.0495550984</v>
      </c>
      <c r="G44" s="5">
        <f>C44/'Annuity rates'!K41*100000+C44*3</f>
        <v>968609.47182557371</v>
      </c>
      <c r="H44" s="5">
        <f>C44/'Annuity rates'!L41*100000+3*C44</f>
        <v>1043972.1171169601</v>
      </c>
      <c r="J44" s="5">
        <f>Income!C42</f>
        <v>62564.787735541715</v>
      </c>
      <c r="K44" s="5">
        <f t="shared" si="2"/>
        <v>37644.281148243812</v>
      </c>
      <c r="M44" s="5">
        <f>K44/'Annuity rates'!I41*100000</f>
        <v>1664127.7551954105</v>
      </c>
      <c r="N44" s="5">
        <f>K44/'Annuity rates'!J41*100000+C44*3</f>
        <v>2021608.0432783116</v>
      </c>
      <c r="O44" s="5">
        <f>K44/'Annuity rates'!K41*100000+C44*3</f>
        <v>1725683.2372788398</v>
      </c>
      <c r="P44" s="5">
        <f>K44/'Annuity rates'!L41*100000+3*C44</f>
        <v>1863947.4102527052</v>
      </c>
    </row>
    <row r="45" spans="1:16">
      <c r="A45" s="6">
        <f t="shared" si="1"/>
        <v>2053</v>
      </c>
      <c r="B45" s="7">
        <f>Income!B43</f>
        <v>55500</v>
      </c>
      <c r="C45" s="1">
        <f t="shared" si="0"/>
        <v>21258.494027809793</v>
      </c>
      <c r="D45" s="1"/>
      <c r="E45" s="5">
        <f>C45/'Annuity rates'!I42*100000+3*C45</f>
        <v>1017638.9003569729</v>
      </c>
      <c r="F45" s="5">
        <f>C45/'Annuity rates'!J42*100000+C45*3</f>
        <v>1187260.400942693</v>
      </c>
      <c r="G45" s="5">
        <f>C45/'Annuity rates'!K42*100000+C45*3</f>
        <v>1017638.9003569729</v>
      </c>
      <c r="H45" s="5">
        <f>C45/'Annuity rates'!L42*100000+3*C45</f>
        <v>1096890.7103492469</v>
      </c>
      <c r="J45" s="5">
        <f>Income!C43</f>
        <v>63816.083490252553</v>
      </c>
      <c r="K45" s="5">
        <f t="shared" si="2"/>
        <v>39450.666693601612</v>
      </c>
      <c r="M45" s="5">
        <f>K45/'Annuity rates'!I42*100000</f>
        <v>1770141.7483431231</v>
      </c>
      <c r="N45" s="5">
        <f>K45/'Annuity rates'!J42*100000+C45*3</f>
        <v>2148694.056805783</v>
      </c>
      <c r="O45" s="5">
        <f>K45/'Annuity rates'!K42*100000+C45*3</f>
        <v>1833917.2304265525</v>
      </c>
      <c r="P45" s="5">
        <f>K45/'Annuity rates'!L42*100000+3*C45</f>
        <v>1980989.5835659511</v>
      </c>
    </row>
    <row r="46" spans="1:16">
      <c r="A46" s="6">
        <f t="shared" si="1"/>
        <v>2054</v>
      </c>
      <c r="B46" s="7">
        <f>Income!B44</f>
        <v>55500</v>
      </c>
      <c r="C46" s="1">
        <f t="shared" si="0"/>
        <v>21998.494027809793</v>
      </c>
      <c r="D46" s="1"/>
      <c r="E46" s="5">
        <f>C46/'Annuity rates'!I43*100000+3*C46</f>
        <v>1067868.5245966222</v>
      </c>
      <c r="F46" s="5">
        <f>C46/'Annuity rates'!J43*100000+C46*3</f>
        <v>1246027.3737692344</v>
      </c>
      <c r="G46" s="5">
        <f>C46/'Annuity rates'!K43*100000+C46*3</f>
        <v>1067868.5245966222</v>
      </c>
      <c r="H46" s="5">
        <f>C46/'Annuity rates'!L43*100000+3*C46</f>
        <v>1151109.2176356192</v>
      </c>
      <c r="J46" s="5">
        <f>Income!C44</f>
        <v>65092.405160057606</v>
      </c>
      <c r="K46" s="5">
        <f t="shared" si="2"/>
        <v>41310.035948624856</v>
      </c>
      <c r="M46" s="5">
        <f>K46/'Annuity rates'!I43*100000</f>
        <v>1881374.7591020323</v>
      </c>
      <c r="N46" s="5">
        <f>K46/'Annuity rates'!J43*100000+C46*3</f>
        <v>2281927.1637903587</v>
      </c>
      <c r="O46" s="5">
        <f>K46/'Annuity rates'!K43*100000+C46*3</f>
        <v>1947370.2411854616</v>
      </c>
      <c r="P46" s="5">
        <f>K46/'Annuity rates'!L43*100000+3*C46</f>
        <v>2103684.3969400492</v>
      </c>
    </row>
    <row r="47" spans="1:16">
      <c r="A47" s="6">
        <f t="shared" si="1"/>
        <v>2055</v>
      </c>
      <c r="B47" s="7">
        <f>Income!B45</f>
        <v>55500</v>
      </c>
      <c r="C47" s="1">
        <f t="shared" si="0"/>
        <v>22738.494027809793</v>
      </c>
      <c r="D47" s="1"/>
      <c r="E47" s="5">
        <f>C47/'Annuity rates'!I44*100000+3*C47</f>
        <v>1119323.8182943489</v>
      </c>
      <c r="F47" s="5">
        <f>C47/'Annuity rates'!J44*100000+C47*3</f>
        <v>1306237.9716738285</v>
      </c>
      <c r="G47" s="5">
        <f>C47/'Annuity rates'!K44*100000+C47*3</f>
        <v>1119323.8182943489</v>
      </c>
      <c r="H47" s="5">
        <f>C47/'Annuity rates'!L44*100000+3*C47</f>
        <v>1206655.2292142233</v>
      </c>
      <c r="J47" s="5">
        <f>Income!C45</f>
        <v>66394.253263258754</v>
      </c>
      <c r="K47" s="5">
        <f t="shared" si="2"/>
        <v>43223.718283486982</v>
      </c>
      <c r="M47" s="5">
        <f>K47/'Annuity rates'!I44*100000</f>
        <v>1998057.1516407351</v>
      </c>
      <c r="N47" s="5">
        <f>K47/'Annuity rates'!J44*100000+C47*3</f>
        <v>2421578.6930872044</v>
      </c>
      <c r="O47" s="5">
        <f>K47/'Annuity rates'!K44*100000+C47*3</f>
        <v>2066272.6337241645</v>
      </c>
      <c r="P47" s="5">
        <f>K47/'Annuity rates'!L44*100000+3*C47</f>
        <v>2232281.35436694</v>
      </c>
    </row>
    <row r="48" spans="1:16">
      <c r="A48" s="6">
        <f t="shared" si="1"/>
        <v>2056</v>
      </c>
      <c r="B48" s="7">
        <f>Income!B46</f>
        <v>55500</v>
      </c>
      <c r="C48" s="1">
        <f t="shared" si="0"/>
        <v>23478.494027809793</v>
      </c>
      <c r="D48" s="1"/>
      <c r="E48" s="5">
        <f>C48/'Annuity rates'!I45*100000+3*C48</f>
        <v>1172030.7493684422</v>
      </c>
      <c r="F48" s="5">
        <f>C48/'Annuity rates'!J45*100000+C48*3</f>
        <v>1367922.7803399311</v>
      </c>
      <c r="G48" s="5">
        <f>C48/'Annuity rates'!K45*100000+C48*3</f>
        <v>1172030.7493684422</v>
      </c>
      <c r="H48" s="5">
        <f>C48/'Annuity rates'!L45*100000+3*C48</f>
        <v>1263556.8705496863</v>
      </c>
      <c r="J48" s="5">
        <f>Income!C46</f>
        <v>67722.138328523928</v>
      </c>
      <c r="K48" s="5">
        <f t="shared" si="2"/>
        <v>45193.073970900587</v>
      </c>
      <c r="M48" s="5">
        <f>K48/'Annuity rates'!I45*100000</f>
        <v>2120428.8631731193</v>
      </c>
      <c r="N48" s="5">
        <f>K48/'Annuity rates'!J45*100000+C48*3</f>
        <v>2567931.2489309623</v>
      </c>
      <c r="O48" s="5">
        <f>K48/'Annuity rates'!K45*100000+C48*3</f>
        <v>2190864.3452565488</v>
      </c>
      <c r="P48" s="5">
        <f>K48/'Annuity rates'!L45*100000+3*C48</f>
        <v>2367040.328261002</v>
      </c>
    </row>
    <row r="49" spans="1:16">
      <c r="A49" s="6">
        <f t="shared" si="1"/>
        <v>2057</v>
      </c>
      <c r="B49" s="7">
        <f>Income!B47</f>
        <v>55500</v>
      </c>
      <c r="C49" s="1">
        <f t="shared" si="0"/>
        <v>24218.494027809793</v>
      </c>
      <c r="D49" s="1"/>
      <c r="E49" s="5">
        <f>C49/'Annuity rates'!I46*100000+3*C49</f>
        <v>1226015.7889991109</v>
      </c>
      <c r="F49" s="5">
        <f>C49/'Annuity rates'!J46*100000+C49*3</f>
        <v>1431112.9782058592</v>
      </c>
      <c r="G49" s="5">
        <f>C49/'Annuity rates'!K46*100000+C49*3</f>
        <v>1226015.7889991109</v>
      </c>
      <c r="H49" s="5">
        <f>C49/'Annuity rates'!L46*100000+3*C49</f>
        <v>1321842.8121821084</v>
      </c>
      <c r="J49" s="5">
        <f>Income!C47</f>
        <v>69076.581095094414</v>
      </c>
      <c r="K49" s="5">
        <f t="shared" si="2"/>
        <v>47219.494873210358</v>
      </c>
      <c r="M49" s="5">
        <f>K49/'Annuity rates'!I46*100000</f>
        <v>2248739.7869096389</v>
      </c>
      <c r="N49" s="5">
        <f>K49/'Annuity rates'!J46*100000+C49*3</f>
        <v>2721279.161985639</v>
      </c>
      <c r="O49" s="5">
        <f>K49/'Annuity rates'!K46*100000+C49*3</f>
        <v>2321395.2689930685</v>
      </c>
      <c r="P49" s="5">
        <f>K49/'Annuity rates'!L46*100000+3*C49</f>
        <v>2508231.9742278643</v>
      </c>
    </row>
    <row r="50" spans="1:16">
      <c r="A50" s="6">
        <f t="shared" si="1"/>
        <v>2058</v>
      </c>
      <c r="B50" s="7">
        <f>Income!B48</f>
        <v>55500</v>
      </c>
      <c r="C50" s="1">
        <f t="shared" si="0"/>
        <v>24958.494027809793</v>
      </c>
      <c r="D50" s="1"/>
      <c r="E50" s="5">
        <f>C50/'Annuity rates'!I47*100000+3*C50</f>
        <v>1281305.9208835606</v>
      </c>
      <c r="F50" s="5">
        <f>C50/'Annuity rates'!J47*100000+C50*3</f>
        <v>1495840.3473656571</v>
      </c>
      <c r="G50" s="5">
        <f>C50/'Annuity rates'!K47*100000+C50*3</f>
        <v>1281305.9208835606</v>
      </c>
      <c r="H50" s="5">
        <f>C50/'Annuity rates'!L47*100000+3*C50</f>
        <v>1381542.2797510985</v>
      </c>
      <c r="J50" s="5">
        <f>Income!C48</f>
        <v>70458.1127169963</v>
      </c>
      <c r="K50" s="5">
        <f t="shared" si="2"/>
        <v>49304.405144332595</v>
      </c>
      <c r="M50" s="5">
        <f>K50/'Annuity rates'!I47*100000</f>
        <v>2383250.169933287</v>
      </c>
      <c r="N50" s="5">
        <f>K50/'Annuity rates'!J47*100000+C50*3</f>
        <v>2881928.9579731757</v>
      </c>
      <c r="O50" s="5">
        <f>K50/'Annuity rates'!K47*100000+C50*3</f>
        <v>2458125.6520167165</v>
      </c>
      <c r="P50" s="5">
        <f>K50/'Annuity rates'!L47*100000+3*C50</f>
        <v>2656138.1619979329</v>
      </c>
    </row>
    <row r="51" spans="1:16">
      <c r="A51" s="6">
        <f t="shared" si="1"/>
        <v>2059</v>
      </c>
      <c r="B51" s="7">
        <f>Income!B49</f>
        <v>55500</v>
      </c>
      <c r="C51" s="1">
        <f t="shared" si="0"/>
        <v>25698.494027809793</v>
      </c>
      <c r="D51" s="1"/>
      <c r="E51" s="5">
        <f>C51/'Annuity rates'!I48*100000+3*C51</f>
        <v>1337928.6506554876</v>
      </c>
      <c r="F51" s="5">
        <f>C51/'Annuity rates'!J48*100000+C51*3</f>
        <v>1562137.2846636216</v>
      </c>
      <c r="G51" s="5">
        <f>C51/'Annuity rates'!K48*100000+C51*3</f>
        <v>1337928.6506554876</v>
      </c>
      <c r="H51" s="5">
        <f>C51/'Annuity rates'!L48*100000+3*C51</f>
        <v>1442685.0641978863</v>
      </c>
      <c r="J51" s="5">
        <f>Income!C49</f>
        <v>71867.274971336228</v>
      </c>
      <c r="K51" s="5">
        <f t="shared" si="2"/>
        <v>51449.261946855804</v>
      </c>
      <c r="M51" s="5">
        <f>K51/'Annuity rates'!I48*100000</f>
        <v>2524231.0265710386</v>
      </c>
      <c r="N51" s="5">
        <f>K51/'Annuity rates'!J48*100000+C51*3</f>
        <v>3050199.8445529896</v>
      </c>
      <c r="O51" s="5">
        <f>K51/'Annuity rates'!K48*100000+C51*3</f>
        <v>2601326.5086544682</v>
      </c>
      <c r="P51" s="5">
        <f>K51/'Annuity rates'!L48*100000+3*C51</f>
        <v>2811052.4231428267</v>
      </c>
    </row>
    <row r="52" spans="1:16">
      <c r="A52" s="6">
        <f t="shared" si="1"/>
        <v>2060</v>
      </c>
      <c r="B52" s="7">
        <f>Income!B50</f>
        <v>55500</v>
      </c>
      <c r="C52" s="1">
        <f t="shared" si="0"/>
        <v>26438.494027809793</v>
      </c>
      <c r="D52" s="1"/>
      <c r="E52" s="5">
        <f>C52/'Annuity rates'!I49*100000+3*C52</f>
        <v>1395912.0154718424</v>
      </c>
      <c r="F52" s="5">
        <f>C52/'Annuity rates'!J49*100000+C52*3</f>
        <v>1630036.8129858365</v>
      </c>
      <c r="G52" s="5">
        <f>C52/'Annuity rates'!K49*100000+C52*3</f>
        <v>1395912.0154718424</v>
      </c>
      <c r="H52" s="5">
        <f>C52/'Annuity rates'!L49*100000+3*C52</f>
        <v>1505301.5321486022</v>
      </c>
      <c r="J52" s="5">
        <f>Income!C50</f>
        <v>73304.620470762951</v>
      </c>
      <c r="K52" s="5">
        <f t="shared" si="2"/>
        <v>53655.556184623667</v>
      </c>
      <c r="M52" s="5">
        <f>K52/'Annuity rates'!I49*100000</f>
        <v>2671964.5678530694</v>
      </c>
      <c r="N52" s="5">
        <f>K52/'Annuity rates'!J49*100000+C52*3</f>
        <v>3226424.2171501112</v>
      </c>
      <c r="O52" s="5">
        <f>K52/'Annuity rates'!K49*100000+C52*3</f>
        <v>2751280.049936499</v>
      </c>
      <c r="P52" s="5">
        <f>K52/'Annuity rates'!L49*100000+3*C52</f>
        <v>2973280.4162162468</v>
      </c>
    </row>
    <row r="53" spans="1:16">
      <c r="A53" s="6">
        <f t="shared" si="1"/>
        <v>2061</v>
      </c>
      <c r="B53" s="7">
        <f>Income!B51</f>
        <v>55500</v>
      </c>
      <c r="C53" s="1">
        <f t="shared" si="0"/>
        <v>27178.494027809793</v>
      </c>
      <c r="D53" s="1"/>
      <c r="E53" s="5">
        <f>C53/'Annuity rates'!I50*100000+3*C53</f>
        <v>1455284.5937697589</v>
      </c>
      <c r="F53" s="5">
        <f>C53/'Annuity rates'!J50*100000+C53*3</f>
        <v>1699572.5927521372</v>
      </c>
      <c r="G53" s="5">
        <f>C53/'Annuity rates'!K50*100000+C53*3</f>
        <v>1455284.5937697589</v>
      </c>
      <c r="H53" s="5">
        <f>C53/'Annuity rates'!L50*100000+3*C53</f>
        <v>1569422.6364818637</v>
      </c>
      <c r="J53" s="5">
        <f>Income!C51</f>
        <v>74770.712880178209</v>
      </c>
      <c r="K53" s="5">
        <f t="shared" si="2"/>
        <v>55924.813251128173</v>
      </c>
      <c r="M53" s="5">
        <f>K53/'Annuity rates'!I50*100000</f>
        <v>2826744.647674372</v>
      </c>
      <c r="N53" s="5">
        <f>K53/'Annuity rates'!J50*100000+C53*3</f>
        <v>3410948.1844558353</v>
      </c>
      <c r="O53" s="5">
        <f>K53/'Annuity rates'!K50*100000+C53*3</f>
        <v>2908280.1297578015</v>
      </c>
      <c r="P53" s="5">
        <f>K53/'Annuity rates'!L50*100000+3*C53</f>
        <v>3143140.4099849667</v>
      </c>
    </row>
    <row r="54" spans="1:16">
      <c r="A54" s="6">
        <f t="shared" si="1"/>
        <v>2062</v>
      </c>
      <c r="B54" s="7">
        <f>Income!B52</f>
        <v>55500</v>
      </c>
      <c r="C54" s="1">
        <f t="shared" si="0"/>
        <v>27918.494027809793</v>
      </c>
      <c r="D54" s="1"/>
      <c r="E54" s="5">
        <f>C54/'Annuity rates'!I51*100000+3*C54</f>
        <v>1516075.5151966009</v>
      </c>
      <c r="F54" s="5">
        <f>C54/'Annuity rates'!J51*100000+C54*3</f>
        <v>1770778.9336119739</v>
      </c>
      <c r="G54" s="5">
        <f>C54/'Annuity rates'!K51*100000+C54*3</f>
        <v>1516075.5151966009</v>
      </c>
      <c r="H54" s="5">
        <f>C54/'Annuity rates'!L51*100000+3*C54</f>
        <v>1635079.9270838585</v>
      </c>
      <c r="J54" s="5">
        <f>Income!C52</f>
        <v>76266.127137781776</v>
      </c>
      <c r="K54" s="5">
        <f t="shared" si="2"/>
        <v>58258.593794047767</v>
      </c>
      <c r="M54" s="5">
        <f>K54/'Annuity rates'!I51*100000</f>
        <v>2988877.2262965636</v>
      </c>
      <c r="N54" s="5">
        <f>K54/'Annuity rates'!J51*100000+C54*3</f>
        <v>3604132.1143520959</v>
      </c>
      <c r="O54" s="5">
        <f>K54/'Annuity rates'!K51*100000+C54*3</f>
        <v>3072632.7083799932</v>
      </c>
      <c r="P54" s="5">
        <f>K54/'Annuity rates'!L51*100000+3*C54</f>
        <v>3320963.7854407136</v>
      </c>
    </row>
    <row r="55" spans="1:16">
      <c r="A55" s="6">
        <f t="shared" si="1"/>
        <v>2063</v>
      </c>
      <c r="B55" s="7">
        <f>Income!B53</f>
        <v>55500</v>
      </c>
      <c r="C55" s="1">
        <f t="shared" si="0"/>
        <v>28658.494027809793</v>
      </c>
      <c r="D55" s="1"/>
      <c r="E55" s="5">
        <f>C55/'Annuity rates'!I52*100000+3*C55</f>
        <v>1578314.4707161186</v>
      </c>
      <c r="F55" s="5">
        <f>C55/'Annuity rates'!J52*100000+C55*3</f>
        <v>1843690.8063477057</v>
      </c>
      <c r="G55" s="5">
        <f>C55/'Annuity rates'!K52*100000+C55*3</f>
        <v>1578314.4707161186</v>
      </c>
      <c r="H55" s="5">
        <f>C55/'Annuity rates'!L52*100000+3*C55</f>
        <v>1702305.5617941737</v>
      </c>
      <c r="J55" s="5">
        <f>Income!C53</f>
        <v>77791.449680537407</v>
      </c>
      <c r="K55" s="5">
        <f t="shared" si="2"/>
        <v>60658.494496272106</v>
      </c>
      <c r="M55" s="5">
        <f>K55/'Annuity rates'!I52*100000</f>
        <v>3158680.851851671</v>
      </c>
      <c r="N55" s="5">
        <f>K55/'Annuity rates'!J52*100000+C55*3</f>
        <v>3806351.201039033</v>
      </c>
      <c r="O55" s="5">
        <f>K55/'Annuity rates'!K52*100000+C55*3</f>
        <v>3244656.3339351006</v>
      </c>
      <c r="P55" s="5">
        <f>K55/'Annuity rates'!L52*100000+3*C55</f>
        <v>3507095.5573097342</v>
      </c>
    </row>
    <row r="56" spans="1:16">
      <c r="A56" s="6">
        <f t="shared" si="1"/>
        <v>2064</v>
      </c>
      <c r="B56" s="7">
        <f>Income!B54</f>
        <v>55500</v>
      </c>
      <c r="C56" s="1">
        <f t="shared" si="0"/>
        <v>29398.494027809793</v>
      </c>
      <c r="D56" s="1"/>
      <c r="E56" s="5">
        <f>C56/'Annuity rates'!I53*100000+3*C56</f>
        <v>1642031.7228937712</v>
      </c>
      <c r="F56" s="5">
        <f>C56/'Annuity rates'!J53*100000+C56*3</f>
        <v>1918343.8549889149</v>
      </c>
      <c r="G56" s="5">
        <f>C56/'Annuity rates'!K53*100000+C56*3</f>
        <v>1642031.7228937712</v>
      </c>
      <c r="H56" s="5">
        <f>C56/'Annuity rates'!L53*100000+3*C56</f>
        <v>1771132.3175456729</v>
      </c>
      <c r="J56" s="5">
        <f>Income!C54</f>
        <v>79347.278674148154</v>
      </c>
      <c r="K56" s="5">
        <f t="shared" si="2"/>
        <v>63126.148873762424</v>
      </c>
      <c r="M56" s="5">
        <f>K56/'Annuity rates'!I53*100000</f>
        <v>3336487.1605346175</v>
      </c>
      <c r="N56" s="5">
        <f>K56/'Annuity rates'!J53*100000+C56*3</f>
        <v>4017996.0541745983</v>
      </c>
      <c r="O56" s="5">
        <f>K56/'Annuity rates'!K53*100000+C56*3</f>
        <v>3424682.6426180471</v>
      </c>
      <c r="P56" s="5">
        <f>K56/'Annuity rates'!L53*100000+3*C56</f>
        <v>3701894.9158038092</v>
      </c>
    </row>
    <row r="57" spans="1:16">
      <c r="A57" s="6">
        <f t="shared" si="1"/>
        <v>2065</v>
      </c>
      <c r="B57" s="7">
        <f>Income!B55</f>
        <v>55500</v>
      </c>
      <c r="C57" s="1">
        <f t="shared" si="0"/>
        <v>30138.494027809793</v>
      </c>
      <c r="D57" s="1"/>
      <c r="E57" s="5">
        <f>C57/'Annuity rates'!I54*100000+3*C57</f>
        <v>1707258.1163643114</v>
      </c>
      <c r="F57" s="5">
        <f>C57/'Annuity rates'!J54*100000+C57*3</f>
        <v>1994774.4091414008</v>
      </c>
      <c r="G57" s="5">
        <f>C57/'Annuity rates'!K54*100000+C57*3</f>
        <v>1707258.1163643114</v>
      </c>
      <c r="H57" s="5">
        <f>C57/'Annuity rates'!L54*100000+3*C57</f>
        <v>1841593.6017017823</v>
      </c>
      <c r="J57" s="5">
        <f>Income!C55</f>
        <v>80934.224247631122</v>
      </c>
      <c r="K57" s="5">
        <f t="shared" si="2"/>
        <v>65663.228090603588</v>
      </c>
      <c r="M57" s="5">
        <f>K57/'Annuity rates'!I54*100000</f>
        <v>3522641.3961969698</v>
      </c>
      <c r="N57" s="5">
        <f>K57/'Annuity rates'!J54*100000+C57*3</f>
        <v>4239473.3108654609</v>
      </c>
      <c r="O57" s="5">
        <f>K57/'Annuity rates'!K54*100000+C57*3</f>
        <v>3613056.8782803994</v>
      </c>
      <c r="P57" s="5">
        <f>K57/'Annuity rates'!L54*100000+3*C57</f>
        <v>3905735.7893844824</v>
      </c>
    </row>
    <row r="58" spans="1:16">
      <c r="A58" s="6">
        <f t="shared" si="1"/>
        <v>2066</v>
      </c>
      <c r="B58" s="7">
        <f>Income!B56</f>
        <v>55500</v>
      </c>
      <c r="C58" s="1">
        <f t="shared" si="0"/>
        <v>30878.494027809793</v>
      </c>
      <c r="D58" s="1"/>
      <c r="E58" s="5">
        <f>C58/'Annuity rates'!I55*100000+3*C58</f>
        <v>1774025.0884847853</v>
      </c>
      <c r="F58" s="5">
        <f>C58/'Annuity rates'!J55*100000+C58*3</f>
        <v>2073019.496534558</v>
      </c>
      <c r="G58" s="5">
        <f>C58/'Annuity rates'!K55*100000+C58*3</f>
        <v>1774025.0884847853</v>
      </c>
      <c r="H58" s="5">
        <f>C58/'Annuity rates'!L55*100000+3*C58</f>
        <v>1913723.4635945961</v>
      </c>
      <c r="J58" s="5">
        <f>Income!C56</f>
        <v>82552.908732583746</v>
      </c>
      <c r="K58" s="5">
        <f t="shared" si="2"/>
        <v>68271.441791611418</v>
      </c>
      <c r="M58" s="5">
        <f>K58/'Annuity rates'!I55*100000</f>
        <v>3717502.9500812963</v>
      </c>
      <c r="N58" s="5">
        <f>K58/'Annuity rates'!J55*100000+C58*3</f>
        <v>4471206.2713800464</v>
      </c>
      <c r="O58" s="5">
        <f>K58/'Annuity rates'!K55*100000+C58*3</f>
        <v>3810138.4321647258</v>
      </c>
      <c r="P58" s="5">
        <f>K58/'Annuity rates'!L55*100000+3*C58</f>
        <v>4119007.4293412901</v>
      </c>
    </row>
    <row r="59" spans="1:16">
      <c r="A59" s="6">
        <f t="shared" si="1"/>
        <v>2067</v>
      </c>
      <c r="B59" s="7">
        <f>Income!B57</f>
        <v>55500</v>
      </c>
      <c r="C59" s="1">
        <f t="shared" si="0"/>
        <v>31618.494027809793</v>
      </c>
      <c r="D59" s="1"/>
      <c r="E59" s="5">
        <f>C59/'Annuity rates'!I56*100000+3*C59</f>
        <v>1842364.6801761601</v>
      </c>
      <c r="F59" s="5">
        <f>C59/'Annuity rates'!J56*100000+C59*3</f>
        <v>2153116.855790922</v>
      </c>
      <c r="G59" s="5">
        <f>C59/'Annuity rates'!K56*100000+C59*3</f>
        <v>1842364.6801761601</v>
      </c>
      <c r="H59" s="5">
        <f>C59/'Annuity rates'!L56*100000+3*C59</f>
        <v>1987556.6062672799</v>
      </c>
      <c r="J59" s="5">
        <f>Income!C57</f>
        <v>84203.96690723543</v>
      </c>
      <c r="K59" s="5">
        <f t="shared" si="2"/>
        <v>70952.53895286654</v>
      </c>
      <c r="M59" s="5">
        <f>K59/'Annuity rates'!I56*100000</f>
        <v>3921445.9214633196</v>
      </c>
      <c r="N59" s="5">
        <f>K59/'Annuity rates'!J56*100000+C59*3</f>
        <v>4713635.5594873102</v>
      </c>
      <c r="O59" s="5">
        <f>K59/'Annuity rates'!K56*100000+C59*3</f>
        <v>4016301.4035467491</v>
      </c>
      <c r="P59" s="5">
        <f>K59/'Annuity rates'!L56*100000+3*C59</f>
        <v>4342115.0170149021</v>
      </c>
    </row>
    <row r="65" spans="5:7">
      <c r="E65">
        <f>1984+65</f>
        <v>2049</v>
      </c>
      <c r="G65">
        <f>2049-2018</f>
        <v>31</v>
      </c>
    </row>
    <row r="66" spans="5:7">
      <c r="G66">
        <f>G65/75*55550</f>
        <v>22960.666666666668</v>
      </c>
    </row>
    <row r="67" spans="5:7">
      <c r="G67" s="5">
        <f>G66/'Annuity rates'!B13*100000</f>
        <v>895152.69655620551</v>
      </c>
    </row>
    <row r="68" spans="5:7">
      <c r="G68" s="5"/>
    </row>
  </sheetData>
  <mergeCells count="4">
    <mergeCell ref="J7:P7"/>
    <mergeCell ref="M8:P8"/>
    <mergeCell ref="E8:H8"/>
    <mergeCell ref="E7:H7"/>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57"/>
  <sheetViews>
    <sheetView workbookViewId="0">
      <selection activeCell="A10" sqref="A10"/>
    </sheetView>
  </sheetViews>
  <sheetFormatPr baseColWidth="10" defaultRowHeight="16"/>
  <cols>
    <col min="1" max="1" width="17.6640625" bestFit="1" customWidth="1"/>
    <col min="2" max="2" width="11.5" bestFit="1" customWidth="1"/>
    <col min="3" max="3" width="12.5" bestFit="1" customWidth="1"/>
  </cols>
  <sheetData>
    <row r="1" spans="1:3">
      <c r="A1" s="3" t="s">
        <v>21</v>
      </c>
    </row>
    <row r="3" spans="1:3">
      <c r="A3" t="s">
        <v>125</v>
      </c>
    </row>
    <row r="4" spans="1:3">
      <c r="A4" t="s">
        <v>135</v>
      </c>
    </row>
    <row r="7" spans="1:3">
      <c r="A7" t="s">
        <v>105</v>
      </c>
      <c r="B7" s="22">
        <f>Inputs!B17+1</f>
        <v>1.02</v>
      </c>
    </row>
    <row r="8" spans="1:3">
      <c r="B8" t="s">
        <v>21</v>
      </c>
      <c r="C8" t="s">
        <v>211</v>
      </c>
    </row>
    <row r="9" spans="1:3">
      <c r="A9">
        <v>2019</v>
      </c>
      <c r="B9" s="1">
        <f>Inputs!B10</f>
        <v>32548</v>
      </c>
      <c r="C9" s="5">
        <f>B9</f>
        <v>32548</v>
      </c>
    </row>
    <row r="10" spans="1:3">
      <c r="A10">
        <f>A9+1</f>
        <v>2020</v>
      </c>
      <c r="B10" s="1">
        <f>IF(B9*Income!B$7&lt;Inputs!B$23,B9*Income!B$7,Inputs!B$23)</f>
        <v>33198.959999999999</v>
      </c>
      <c r="C10" s="5">
        <f>C9*B$7</f>
        <v>33198.959999999999</v>
      </c>
    </row>
    <row r="11" spans="1:3">
      <c r="A11">
        <f t="shared" ref="A11:A57" si="0">A10+1</f>
        <v>2021</v>
      </c>
      <c r="B11" s="1">
        <f>IF(B10*Income!B$7&lt;Inputs!B$23,B10*Income!B$7,Inputs!B$23)</f>
        <v>33862.939200000001</v>
      </c>
      <c r="C11" s="5">
        <f t="shared" ref="C11:C57" si="1">C10*B$7</f>
        <v>33862.939200000001</v>
      </c>
    </row>
    <row r="12" spans="1:3">
      <c r="A12">
        <f t="shared" si="0"/>
        <v>2022</v>
      </c>
      <c r="B12" s="1">
        <f>IF(B11*Income!B$7&lt;Inputs!B$23,B11*Income!B$7,Inputs!B$23)</f>
        <v>34540.197983999999</v>
      </c>
      <c r="C12" s="5">
        <f t="shared" si="1"/>
        <v>34540.197983999999</v>
      </c>
    </row>
    <row r="13" spans="1:3">
      <c r="A13">
        <f t="shared" si="0"/>
        <v>2023</v>
      </c>
      <c r="B13" s="1">
        <f>IF(B12*Income!B$7&lt;Inputs!B$23,B12*Income!B$7,Inputs!B$23)</f>
        <v>35231.001943679999</v>
      </c>
      <c r="C13" s="5">
        <f t="shared" si="1"/>
        <v>35231.001943679999</v>
      </c>
    </row>
    <row r="14" spans="1:3">
      <c r="A14">
        <f t="shared" si="0"/>
        <v>2024</v>
      </c>
      <c r="B14" s="1">
        <f>IF(B13*Income!B$7&lt;Inputs!B$23,B13*Income!B$7,Inputs!B$23)</f>
        <v>35935.621982553603</v>
      </c>
      <c r="C14" s="5">
        <f t="shared" si="1"/>
        <v>35935.621982553603</v>
      </c>
    </row>
    <row r="15" spans="1:3">
      <c r="A15">
        <f t="shared" si="0"/>
        <v>2025</v>
      </c>
      <c r="B15" s="1">
        <f>IF(B14*Income!B$7&lt;Inputs!B$23,B14*Income!B$7,Inputs!B$23)</f>
        <v>36654.334422204673</v>
      </c>
      <c r="C15" s="5">
        <f t="shared" si="1"/>
        <v>36654.334422204673</v>
      </c>
    </row>
    <row r="16" spans="1:3">
      <c r="A16">
        <f t="shared" si="0"/>
        <v>2026</v>
      </c>
      <c r="B16" s="1">
        <f>IF(B15*Income!B$7&lt;Inputs!B$23,B15*Income!B$7,Inputs!B$23)</f>
        <v>37387.421110648764</v>
      </c>
      <c r="C16" s="5">
        <f t="shared" si="1"/>
        <v>37387.421110648764</v>
      </c>
    </row>
    <row r="17" spans="1:3">
      <c r="A17">
        <f t="shared" si="0"/>
        <v>2027</v>
      </c>
      <c r="B17" s="1">
        <f>IF(B16*Income!B$7&lt;Inputs!B$23,B16*Income!B$7,Inputs!B$23)</f>
        <v>38135.169532861742</v>
      </c>
      <c r="C17" s="5">
        <f t="shared" si="1"/>
        <v>38135.169532861742</v>
      </c>
    </row>
    <row r="18" spans="1:3">
      <c r="A18">
        <f t="shared" si="0"/>
        <v>2028</v>
      </c>
      <c r="B18" s="1">
        <f>IF(B17*Income!B$7&lt;Inputs!B$23,B17*Income!B$7,Inputs!B$23)</f>
        <v>38897.872923518975</v>
      </c>
      <c r="C18" s="5">
        <f t="shared" si="1"/>
        <v>38897.872923518975</v>
      </c>
    </row>
    <row r="19" spans="1:3">
      <c r="A19">
        <f t="shared" si="0"/>
        <v>2029</v>
      </c>
      <c r="B19" s="1">
        <f>IF(B18*Income!B$7&lt;Inputs!B$23,B18*Income!B$7,Inputs!B$23)</f>
        <v>39675.830381989355</v>
      </c>
      <c r="C19" s="5">
        <f t="shared" si="1"/>
        <v>39675.830381989355</v>
      </c>
    </row>
    <row r="20" spans="1:3">
      <c r="A20">
        <f t="shared" si="0"/>
        <v>2030</v>
      </c>
      <c r="B20" s="1">
        <f>IF(B19*Income!B$7&lt;Inputs!B$23,B19*Income!B$7,Inputs!B$23)</f>
        <v>40469.346989629143</v>
      </c>
      <c r="C20" s="5">
        <f t="shared" si="1"/>
        <v>40469.346989629143</v>
      </c>
    </row>
    <row r="21" spans="1:3">
      <c r="A21">
        <f t="shared" si="0"/>
        <v>2031</v>
      </c>
      <c r="B21" s="1">
        <f>IF(B20*Income!B$7&lt;Inputs!B$23,B20*Income!B$7,Inputs!B$23)</f>
        <v>41278.733929421724</v>
      </c>
      <c r="C21" s="5">
        <f t="shared" si="1"/>
        <v>41278.733929421724</v>
      </c>
    </row>
    <row r="22" spans="1:3">
      <c r="A22">
        <f t="shared" si="0"/>
        <v>2032</v>
      </c>
      <c r="B22" s="1">
        <f>IF(B21*Income!B$7&lt;Inputs!B$23,B21*Income!B$7,Inputs!B$23)</f>
        <v>42104.308608010157</v>
      </c>
      <c r="C22" s="5">
        <f t="shared" si="1"/>
        <v>42104.308608010157</v>
      </c>
    </row>
    <row r="23" spans="1:3">
      <c r="A23">
        <f t="shared" si="0"/>
        <v>2033</v>
      </c>
      <c r="B23" s="1">
        <f>IF(B22*Income!B$7&lt;Inputs!B$23,B22*Income!B$7,Inputs!B$23)</f>
        <v>42946.394780170362</v>
      </c>
      <c r="C23" s="5">
        <f t="shared" si="1"/>
        <v>42946.394780170362</v>
      </c>
    </row>
    <row r="24" spans="1:3">
      <c r="A24">
        <f t="shared" si="0"/>
        <v>2034</v>
      </c>
      <c r="B24" s="1">
        <f>IF(B23*Income!B$7&lt;Inputs!B$23,B23*Income!B$7,Inputs!B$23)</f>
        <v>43805.322675773772</v>
      </c>
      <c r="C24" s="5">
        <f t="shared" si="1"/>
        <v>43805.322675773772</v>
      </c>
    </row>
    <row r="25" spans="1:3">
      <c r="A25">
        <f t="shared" si="0"/>
        <v>2035</v>
      </c>
      <c r="B25" s="1">
        <f>IF(B24*Income!B$7&lt;Inputs!B$23,B24*Income!B$7,Inputs!B$23)</f>
        <v>44681.429129289245</v>
      </c>
      <c r="C25" s="5">
        <f t="shared" si="1"/>
        <v>44681.429129289245</v>
      </c>
    </row>
    <row r="26" spans="1:3">
      <c r="A26">
        <f t="shared" si="0"/>
        <v>2036</v>
      </c>
      <c r="B26" s="1">
        <f>IF(B25*Income!B$7&lt;Inputs!B$23,B25*Income!B$7,Inputs!B$23)</f>
        <v>45575.05771187503</v>
      </c>
      <c r="C26" s="5">
        <f t="shared" si="1"/>
        <v>45575.05771187503</v>
      </c>
    </row>
    <row r="27" spans="1:3">
      <c r="A27">
        <f t="shared" si="0"/>
        <v>2037</v>
      </c>
      <c r="B27" s="1">
        <f>IF(B26*Income!B$7&lt;Inputs!B$23,B26*Income!B$7,Inputs!B$23)</f>
        <v>46486.558866112529</v>
      </c>
      <c r="C27" s="5">
        <f t="shared" si="1"/>
        <v>46486.558866112529</v>
      </c>
    </row>
    <row r="28" spans="1:3">
      <c r="A28">
        <f t="shared" si="0"/>
        <v>2038</v>
      </c>
      <c r="B28" s="1">
        <f>IF(B27*Income!B$7&lt;Inputs!B$23,B27*Income!B$7,Inputs!B$23)</f>
        <v>47416.290043434783</v>
      </c>
      <c r="C28" s="5">
        <f t="shared" si="1"/>
        <v>47416.290043434783</v>
      </c>
    </row>
    <row r="29" spans="1:3">
      <c r="A29">
        <f t="shared" si="0"/>
        <v>2039</v>
      </c>
      <c r="B29" s="1">
        <f>IF(B28*Income!B$7&lt;Inputs!B$23,B28*Income!B$7,Inputs!B$23)</f>
        <v>48364.61584430348</v>
      </c>
      <c r="C29" s="5">
        <f t="shared" si="1"/>
        <v>48364.61584430348</v>
      </c>
    </row>
    <row r="30" spans="1:3">
      <c r="A30">
        <f t="shared" si="0"/>
        <v>2040</v>
      </c>
      <c r="B30" s="1">
        <f>IF(B29*Income!B$7&lt;Inputs!B$23,B29*Income!B$7,Inputs!B$23)</f>
        <v>49331.908161189553</v>
      </c>
      <c r="C30" s="5">
        <f t="shared" si="1"/>
        <v>49331.908161189553</v>
      </c>
    </row>
    <row r="31" spans="1:3">
      <c r="A31">
        <f t="shared" si="0"/>
        <v>2041</v>
      </c>
      <c r="B31" s="1">
        <f>IF(B30*Income!B$7&lt;Inputs!B$23,B30*Income!B$7,Inputs!B$23)</f>
        <v>50318.546324413343</v>
      </c>
      <c r="C31" s="5">
        <f t="shared" si="1"/>
        <v>50318.546324413343</v>
      </c>
    </row>
    <row r="32" spans="1:3">
      <c r="A32">
        <f t="shared" si="0"/>
        <v>2042</v>
      </c>
      <c r="B32" s="1">
        <f>IF(B31*Income!B$7&lt;Inputs!B$23,B31*Income!B$7,Inputs!B$23)</f>
        <v>51324.917250901613</v>
      </c>
      <c r="C32" s="5">
        <f t="shared" si="1"/>
        <v>51324.917250901613</v>
      </c>
    </row>
    <row r="33" spans="1:3">
      <c r="A33">
        <f t="shared" si="0"/>
        <v>2043</v>
      </c>
      <c r="B33" s="1">
        <f>IF(B32*Income!B$7&lt;Inputs!B$23,B32*Income!B$7,Inputs!B$23)</f>
        <v>52351.415595919643</v>
      </c>
      <c r="C33" s="5">
        <f t="shared" si="1"/>
        <v>52351.415595919643</v>
      </c>
    </row>
    <row r="34" spans="1:3">
      <c r="A34">
        <f t="shared" si="0"/>
        <v>2044</v>
      </c>
      <c r="B34" s="1">
        <f>IF(B33*Income!B$7&lt;Inputs!B$23,B33*Income!B$7,Inputs!B$23)</f>
        <v>53398.443907838038</v>
      </c>
      <c r="C34" s="5">
        <f t="shared" si="1"/>
        <v>53398.443907838038</v>
      </c>
    </row>
    <row r="35" spans="1:3">
      <c r="A35">
        <f t="shared" si="0"/>
        <v>2045</v>
      </c>
      <c r="B35" s="1">
        <f>IF(B34*Income!B$7&lt;Inputs!B$23,B34*Income!B$7,Inputs!B$23)</f>
        <v>54466.412785994798</v>
      </c>
      <c r="C35" s="5">
        <f t="shared" si="1"/>
        <v>54466.412785994798</v>
      </c>
    </row>
    <row r="36" spans="1:3">
      <c r="A36">
        <f t="shared" si="0"/>
        <v>2046</v>
      </c>
      <c r="B36" s="1">
        <f>IF(B35*Income!B$7&lt;Inputs!B$23,B35*Income!B$7,Inputs!B$23)</f>
        <v>55500</v>
      </c>
      <c r="C36" s="5">
        <f t="shared" si="1"/>
        <v>55555.741041714697</v>
      </c>
    </row>
    <row r="37" spans="1:3">
      <c r="A37">
        <f t="shared" si="0"/>
        <v>2047</v>
      </c>
      <c r="B37" s="1">
        <f>IF(B36*Income!B$7&lt;Inputs!B$23,B36*Income!B$7,Inputs!B$23)</f>
        <v>55500</v>
      </c>
      <c r="C37" s="5">
        <f t="shared" si="1"/>
        <v>56666.85586254899</v>
      </c>
    </row>
    <row r="38" spans="1:3">
      <c r="A38">
        <f t="shared" si="0"/>
        <v>2048</v>
      </c>
      <c r="B38" s="1">
        <f>IF(B37*Income!B$7&lt;Inputs!B$23,B37*Income!B$7,Inputs!B$23)</f>
        <v>55500</v>
      </c>
      <c r="C38" s="5">
        <f t="shared" si="1"/>
        <v>57800.192979799969</v>
      </c>
    </row>
    <row r="39" spans="1:3">
      <c r="A39">
        <f t="shared" si="0"/>
        <v>2049</v>
      </c>
      <c r="B39" s="1">
        <f>IF(B38*Income!B$7&lt;Inputs!B$23,B38*Income!B$7,Inputs!B$23)</f>
        <v>55500</v>
      </c>
      <c r="C39" s="5">
        <f t="shared" si="1"/>
        <v>58956.196839395969</v>
      </c>
    </row>
    <row r="40" spans="1:3">
      <c r="A40">
        <f t="shared" si="0"/>
        <v>2050</v>
      </c>
      <c r="B40" s="1">
        <f>IF(B39*Income!B$7&lt;Inputs!B$23,B39*Income!B$7,Inputs!B$23)</f>
        <v>55500</v>
      </c>
      <c r="C40" s="5">
        <f t="shared" si="1"/>
        <v>60135.320776183886</v>
      </c>
    </row>
    <row r="41" spans="1:3">
      <c r="A41" s="6">
        <f t="shared" si="0"/>
        <v>2051</v>
      </c>
      <c r="B41" s="1">
        <f>IF(B40*Income!B$7&lt;Inputs!B$23,B40*Income!B$7,Inputs!B$23)</f>
        <v>55500</v>
      </c>
      <c r="C41" s="5">
        <f t="shared" si="1"/>
        <v>61338.027191707566</v>
      </c>
    </row>
    <row r="42" spans="1:3">
      <c r="A42" s="6">
        <f t="shared" si="0"/>
        <v>2052</v>
      </c>
      <c r="B42" s="1">
        <f>IF(B41*Income!B$7&lt;Inputs!B$23,B41*Income!B$7,Inputs!B$23)</f>
        <v>55500</v>
      </c>
      <c r="C42" s="5">
        <f t="shared" si="1"/>
        <v>62564.787735541715</v>
      </c>
    </row>
    <row r="43" spans="1:3">
      <c r="A43" s="6">
        <f t="shared" si="0"/>
        <v>2053</v>
      </c>
      <c r="B43" s="1">
        <f>IF(B42*Income!B$7&lt;Inputs!B$23,B42*Income!B$7,Inputs!B$23)</f>
        <v>55500</v>
      </c>
      <c r="C43" s="5">
        <f t="shared" si="1"/>
        <v>63816.083490252553</v>
      </c>
    </row>
    <row r="44" spans="1:3">
      <c r="A44" s="6">
        <f t="shared" si="0"/>
        <v>2054</v>
      </c>
      <c r="B44" s="1">
        <f>IF(B43*Income!B$7&lt;Inputs!B$23,B43*Income!B$7,Inputs!B$23)</f>
        <v>55500</v>
      </c>
      <c r="C44" s="5">
        <f t="shared" si="1"/>
        <v>65092.405160057606</v>
      </c>
    </row>
    <row r="45" spans="1:3">
      <c r="A45" s="6">
        <f t="shared" si="0"/>
        <v>2055</v>
      </c>
      <c r="B45" s="1">
        <f>IF(B44*Income!B$7&lt;Inputs!B$23,B44*Income!B$7,Inputs!B$23)</f>
        <v>55500</v>
      </c>
      <c r="C45" s="5">
        <f t="shared" si="1"/>
        <v>66394.253263258754</v>
      </c>
    </row>
    <row r="46" spans="1:3">
      <c r="A46" s="6">
        <f t="shared" si="0"/>
        <v>2056</v>
      </c>
      <c r="B46" s="1">
        <f>IF(B45*Income!B$7&lt;Inputs!B$23,B45*Income!B$7,Inputs!B$23)</f>
        <v>55500</v>
      </c>
      <c r="C46" s="5">
        <f t="shared" si="1"/>
        <v>67722.138328523928</v>
      </c>
    </row>
    <row r="47" spans="1:3">
      <c r="A47" s="6">
        <f t="shared" si="0"/>
        <v>2057</v>
      </c>
      <c r="B47" s="1">
        <f>IF(B46*Income!B$7&lt;Inputs!B$23,B46*Income!B$7,Inputs!B$23)</f>
        <v>55500</v>
      </c>
      <c r="C47" s="5">
        <f t="shared" si="1"/>
        <v>69076.581095094414</v>
      </c>
    </row>
    <row r="48" spans="1:3">
      <c r="A48" s="6">
        <f t="shared" si="0"/>
        <v>2058</v>
      </c>
      <c r="B48" s="1">
        <f>IF(B47*Income!B$7&lt;Inputs!B$23,B47*Income!B$7,Inputs!B$23)</f>
        <v>55500</v>
      </c>
      <c r="C48" s="5">
        <f t="shared" si="1"/>
        <v>70458.1127169963</v>
      </c>
    </row>
    <row r="49" spans="1:3">
      <c r="A49" s="6">
        <f t="shared" si="0"/>
        <v>2059</v>
      </c>
      <c r="B49" s="1">
        <f>IF(B48*Income!B$7&lt;Inputs!B$23,B48*Income!B$7,Inputs!B$23)</f>
        <v>55500</v>
      </c>
      <c r="C49" s="5">
        <f t="shared" si="1"/>
        <v>71867.274971336228</v>
      </c>
    </row>
    <row r="50" spans="1:3">
      <c r="A50" s="6">
        <f t="shared" si="0"/>
        <v>2060</v>
      </c>
      <c r="B50" s="1">
        <f>IF(B49*Income!B$7&lt;Inputs!B$23,B49*Income!B$7,Inputs!B$23)</f>
        <v>55500</v>
      </c>
      <c r="C50" s="5">
        <f t="shared" si="1"/>
        <v>73304.620470762951</v>
      </c>
    </row>
    <row r="51" spans="1:3">
      <c r="A51" s="6">
        <f t="shared" si="0"/>
        <v>2061</v>
      </c>
      <c r="B51" s="1">
        <f>IF(B50*Income!B$7&lt;Inputs!B$23,B50*Income!B$7,Inputs!B$23)</f>
        <v>55500</v>
      </c>
      <c r="C51" s="5">
        <f t="shared" si="1"/>
        <v>74770.712880178209</v>
      </c>
    </row>
    <row r="52" spans="1:3">
      <c r="A52" s="6">
        <f t="shared" si="0"/>
        <v>2062</v>
      </c>
      <c r="B52" s="1">
        <f>IF(B51*Income!B$7&lt;Inputs!B$23,B51*Income!B$7,Inputs!B$23)</f>
        <v>55500</v>
      </c>
      <c r="C52" s="5">
        <f t="shared" si="1"/>
        <v>76266.127137781776</v>
      </c>
    </row>
    <row r="53" spans="1:3">
      <c r="A53" s="6">
        <f t="shared" si="0"/>
        <v>2063</v>
      </c>
      <c r="B53" s="1">
        <f>IF(B52*Income!B$7&lt;Inputs!B$23,B52*Income!B$7,Inputs!B$23)</f>
        <v>55500</v>
      </c>
      <c r="C53" s="5">
        <f t="shared" si="1"/>
        <v>77791.449680537407</v>
      </c>
    </row>
    <row r="54" spans="1:3">
      <c r="A54" s="6">
        <f t="shared" si="0"/>
        <v>2064</v>
      </c>
      <c r="B54" s="1">
        <f>IF(B53*Income!B$7&lt;Inputs!B$23,B53*Income!B$7,Inputs!B$23)</f>
        <v>55500</v>
      </c>
      <c r="C54" s="5">
        <f t="shared" si="1"/>
        <v>79347.278674148154</v>
      </c>
    </row>
    <row r="55" spans="1:3">
      <c r="A55" s="6">
        <f t="shared" si="0"/>
        <v>2065</v>
      </c>
      <c r="B55" s="1">
        <f>IF(B54*Income!B$7&lt;Inputs!B$23,B54*Income!B$7,Inputs!B$23)</f>
        <v>55500</v>
      </c>
      <c r="C55" s="5">
        <f t="shared" si="1"/>
        <v>80934.224247631122</v>
      </c>
    </row>
    <row r="56" spans="1:3">
      <c r="A56" s="6">
        <f t="shared" si="0"/>
        <v>2066</v>
      </c>
      <c r="B56" s="1">
        <f>IF(B55*Income!B$7&lt;Inputs!B$23,B55*Income!B$7,Inputs!B$23)</f>
        <v>55500</v>
      </c>
      <c r="C56" s="5">
        <f t="shared" si="1"/>
        <v>82552.908732583746</v>
      </c>
    </row>
    <row r="57" spans="1:3">
      <c r="A57" s="6">
        <f t="shared" si="0"/>
        <v>2067</v>
      </c>
      <c r="B57" s="1">
        <f>IF(B56*Income!B$7&lt;Inputs!B$23,B56*Income!B$7,Inputs!B$23)</f>
        <v>55500</v>
      </c>
      <c r="C57" s="5">
        <f t="shared" si="1"/>
        <v>84203.96690723543</v>
      </c>
    </row>
  </sheetData>
  <pageMargins left="0.7" right="0.7" top="0.75" bottom="0.75" header="0.3" footer="0.3"/>
  <pageSetup paperSize="9"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V67"/>
  <sheetViews>
    <sheetView workbookViewId="0">
      <selection activeCell="A11" sqref="A11"/>
    </sheetView>
  </sheetViews>
  <sheetFormatPr baseColWidth="10" defaultRowHeight="16"/>
  <cols>
    <col min="2" max="2" width="11.5" bestFit="1" customWidth="1"/>
    <col min="3" max="3" width="20.83203125" bestFit="1" customWidth="1"/>
    <col min="4" max="4" width="12.5" bestFit="1" customWidth="1"/>
    <col min="5" max="5" width="7" customWidth="1"/>
    <col min="6" max="6" width="13.83203125" bestFit="1" customWidth="1"/>
    <col min="7" max="7" width="11.5" bestFit="1" customWidth="1"/>
    <col min="8" max="8" width="12.5" bestFit="1" customWidth="1"/>
    <col min="9" max="9" width="11.5" bestFit="1" customWidth="1"/>
    <col min="11" max="11" width="15.33203125" customWidth="1"/>
    <col min="12" max="12" width="12.5" bestFit="1" customWidth="1"/>
    <col min="15" max="15" width="12.5" bestFit="1" customWidth="1"/>
    <col min="17" max="17" width="12.5" bestFit="1" customWidth="1"/>
  </cols>
  <sheetData>
    <row r="1" spans="1:22">
      <c r="A1" s="3" t="s">
        <v>220</v>
      </c>
      <c r="K1" s="3" t="s">
        <v>221</v>
      </c>
    </row>
    <row r="3" spans="1:22">
      <c r="A3" t="s">
        <v>131</v>
      </c>
    </row>
    <row r="7" spans="1:22">
      <c r="F7" t="s">
        <v>23</v>
      </c>
      <c r="K7" s="3" t="s">
        <v>226</v>
      </c>
      <c r="N7" s="3" t="s">
        <v>224</v>
      </c>
      <c r="Q7" s="3" t="s">
        <v>227</v>
      </c>
      <c r="S7" s="3" t="s">
        <v>228</v>
      </c>
    </row>
    <row r="8" spans="1:22">
      <c r="F8" t="s">
        <v>24</v>
      </c>
      <c r="H8" t="s">
        <v>26</v>
      </c>
      <c r="I8" t="s">
        <v>11</v>
      </c>
      <c r="S8" t="s">
        <v>24</v>
      </c>
      <c r="U8" t="s">
        <v>26</v>
      </c>
      <c r="V8" t="s">
        <v>11</v>
      </c>
    </row>
    <row r="9" spans="1:22">
      <c r="B9" t="s">
        <v>21</v>
      </c>
      <c r="C9" t="s">
        <v>22</v>
      </c>
      <c r="D9" t="s">
        <v>1</v>
      </c>
      <c r="F9" t="s">
        <v>25</v>
      </c>
      <c r="G9" t="s">
        <v>11</v>
      </c>
      <c r="H9" t="s">
        <v>25</v>
      </c>
      <c r="I9" t="s">
        <v>11</v>
      </c>
      <c r="K9" t="s">
        <v>22</v>
      </c>
      <c r="L9" t="s">
        <v>1</v>
      </c>
      <c r="N9" t="s">
        <v>22</v>
      </c>
      <c r="O9" t="s">
        <v>1</v>
      </c>
      <c r="S9" t="s">
        <v>25</v>
      </c>
      <c r="T9" t="s">
        <v>11</v>
      </c>
      <c r="U9" t="s">
        <v>25</v>
      </c>
      <c r="V9" t="s">
        <v>11</v>
      </c>
    </row>
    <row r="10" spans="1:22">
      <c r="A10">
        <v>2019</v>
      </c>
      <c r="B10" s="1">
        <f>Income!C9</f>
        <v>32548</v>
      </c>
      <c r="C10" s="1">
        <f>B10*Inputs!B$27+B10*Inputs!B$26</f>
        <v>6916.4500000000007</v>
      </c>
      <c r="D10" s="1">
        <f>C10+N10*0.5</f>
        <v>6916.4500000000007</v>
      </c>
      <c r="E10" s="1"/>
      <c r="F10" s="5">
        <f>(D10/100000)*'Annuity rates'!I8</f>
        <v>211.920028</v>
      </c>
      <c r="G10" s="5">
        <f>(D10/100000)*'Annuity rates'!J8</f>
        <v>177.40694250000001</v>
      </c>
      <c r="H10" s="5">
        <f>(D10/100000)*'Annuity rates'!K8</f>
        <v>211.920028</v>
      </c>
      <c r="I10" s="5">
        <f>(D10/100000)*'Annuity rates'!L8</f>
        <v>192.138981</v>
      </c>
      <c r="K10" s="5">
        <f>IF(Income!C9&gt;Inputs!B$23,(Income!C9-Inputs!B$28)*(Inputs!B$21+Inputs!B$22),0)</f>
        <v>0</v>
      </c>
      <c r="L10" s="5">
        <f>K10</f>
        <v>0</v>
      </c>
      <c r="N10" s="1">
        <f>IF(Inputs!B$14="Yes",Income!C9*0.02,0)</f>
        <v>0</v>
      </c>
      <c r="O10" s="5">
        <f>N10</f>
        <v>0</v>
      </c>
      <c r="Q10" s="5">
        <f>L10+O10</f>
        <v>0</v>
      </c>
      <c r="S10" s="5">
        <f>(Q10/100000)*'Annuity rates'!I8</f>
        <v>0</v>
      </c>
      <c r="T10" s="5">
        <f>(Q10/100000)*'Annuity rates'!J8</f>
        <v>0</v>
      </c>
      <c r="U10" s="5">
        <f>(Q10/100000)*'Annuity rates'!K8</f>
        <v>0</v>
      </c>
      <c r="V10" s="5">
        <f>(Q10/100000)*'Annuity rates'!L8</f>
        <v>0</v>
      </c>
    </row>
    <row r="11" spans="1:22">
      <c r="A11">
        <f>A10+1</f>
        <v>2020</v>
      </c>
      <c r="B11" s="1">
        <f>Income!C10</f>
        <v>33198.959999999999</v>
      </c>
      <c r="C11" s="1">
        <f>B11*Inputs!B$27+B11*Inputs!B$26</f>
        <v>7054.7790000000005</v>
      </c>
      <c r="D11" s="1">
        <f>D10*(1+'Investment returns'!B23)+C11+N11*0.5</f>
        <v>13934.571815000001</v>
      </c>
      <c r="E11" s="1"/>
      <c r="F11" s="5">
        <f>(D11/100000)*'Annuity rates'!I9</f>
        <v>420.64559646463061</v>
      </c>
      <c r="G11" s="5">
        <f>(D11/100000)*'Annuity rates'!J9</f>
        <v>352.13967197512324</v>
      </c>
      <c r="H11" s="5">
        <f>(D11/100000)*'Annuity rates'!K9</f>
        <v>420.64559646463061</v>
      </c>
      <c r="I11" s="5">
        <f>(D11/100000)*'Annuity rates'!L9</f>
        <v>381.38167982334988</v>
      </c>
      <c r="K11" s="5">
        <f>IF(Income!C10&gt;Inputs!B$23,(Income!C10-Inputs!B$28)*(Inputs!B$21+Inputs!B$22),0)</f>
        <v>0</v>
      </c>
      <c r="L11" s="5">
        <f>L10*(1+'Investment returns'!B23)+K11</f>
        <v>0</v>
      </c>
      <c r="N11" s="1">
        <f>IF(Inputs!B$14="Yes",Income!C10*0.02,0)</f>
        <v>0</v>
      </c>
      <c r="O11" s="5">
        <f>O10*(1+'Investment returns'!B23)+N11</f>
        <v>0</v>
      </c>
      <c r="Q11" s="5">
        <f t="shared" ref="Q11:Q58" si="0">L11+O11</f>
        <v>0</v>
      </c>
      <c r="S11" s="5">
        <f>(Q11/100000)*'Annuity rates'!I9</f>
        <v>0</v>
      </c>
      <c r="T11" s="5">
        <f>(Q11/100000)*'Annuity rates'!J9</f>
        <v>0</v>
      </c>
      <c r="U11" s="5">
        <f>(Q11/100000)*'Annuity rates'!K9</f>
        <v>0</v>
      </c>
      <c r="V11" s="5">
        <f>(Q11/100000)*'Annuity rates'!L9</f>
        <v>0</v>
      </c>
    </row>
    <row r="12" spans="1:22">
      <c r="A12">
        <f t="shared" ref="A12:A58" si="1">A11+1</f>
        <v>2021</v>
      </c>
      <c r="B12" s="1">
        <f>Income!C11</f>
        <v>33862.939200000001</v>
      </c>
      <c r="C12" s="1">
        <f>B12*Inputs!B$27+B12*Inputs!B$26</f>
        <v>7195.8745799999997</v>
      </c>
      <c r="D12" s="1">
        <f>D11*(1+'Investment returns'!B24)+C12+N12*0.5</f>
        <v>21056.593164380502</v>
      </c>
      <c r="E12" s="1"/>
      <c r="F12" s="5">
        <f>(D12/100000)*'Annuity rates'!I10</f>
        <v>614.39121601715942</v>
      </c>
      <c r="G12" s="5">
        <f>(D12/100000)*'Annuity rates'!J10</f>
        <v>541.01581796321386</v>
      </c>
      <c r="H12" s="5">
        <f>(D12/100000)*'Annuity rates'!K10</f>
        <v>614.39121601715942</v>
      </c>
      <c r="I12" s="5">
        <f>(D12/100000)*'Annuity rates'!L10</f>
        <v>580.05398238745795</v>
      </c>
      <c r="K12" s="5">
        <f>IF(Income!C11&gt;Inputs!B$23,(Income!C11-Inputs!B$28)*(Inputs!B$21+Inputs!B$22),0)</f>
        <v>0</v>
      </c>
      <c r="L12" s="5">
        <f>L11*(1+'Investment returns'!B24)+K12</f>
        <v>0</v>
      </c>
      <c r="N12" s="1">
        <f>IF(Inputs!B$14="Yes",Income!C11*0.02,0)</f>
        <v>0</v>
      </c>
      <c r="O12" s="5">
        <f>O11*(1+'Investment returns'!B24)+N12</f>
        <v>0</v>
      </c>
      <c r="Q12" s="5">
        <f t="shared" si="0"/>
        <v>0</v>
      </c>
      <c r="S12" s="5">
        <f>(Q12/100000)*'Annuity rates'!I10</f>
        <v>0</v>
      </c>
      <c r="T12" s="5">
        <f>(Q12/100000)*'Annuity rates'!J10</f>
        <v>0</v>
      </c>
      <c r="U12" s="5">
        <f>(Q12/100000)*'Annuity rates'!K10</f>
        <v>0</v>
      </c>
      <c r="V12" s="5">
        <f>(Q12/100000)*'Annuity rates'!L10</f>
        <v>0</v>
      </c>
    </row>
    <row r="13" spans="1:22">
      <c r="A13">
        <f t="shared" si="1"/>
        <v>2022</v>
      </c>
      <c r="B13" s="1">
        <f>Income!C12</f>
        <v>34540.197983999999</v>
      </c>
      <c r="C13" s="1">
        <f>B13*Inputs!B$27+B13*Inputs!B$26</f>
        <v>7339.7920715999999</v>
      </c>
      <c r="D13" s="1">
        <f>D12*(1+'Investment returns'!B25)+C13+N13*0.5</f>
        <v>28284.785292209286</v>
      </c>
      <c r="E13" s="1"/>
      <c r="F13" s="5">
        <f>(D13/100000)*'Annuity rates'!I11</f>
        <v>813.09957842803385</v>
      </c>
      <c r="G13" s="5">
        <f>(D13/100000)*'Annuity rates'!J11</f>
        <v>715.99287561510494</v>
      </c>
      <c r="H13" s="5">
        <f>(D13/100000)*'Annuity rates'!K11</f>
        <v>813.09957842803385</v>
      </c>
      <c r="I13" s="5">
        <f>(D13/100000)*'Annuity rates'!L11</f>
        <v>767.6568874180839</v>
      </c>
      <c r="K13" s="5">
        <f>IF(Income!C12&gt;Inputs!B$23,(Income!C12-Inputs!B$28)*(Inputs!B$21+Inputs!B$22),0)</f>
        <v>0</v>
      </c>
      <c r="L13" s="5">
        <f>L12*(1+'Investment returns'!B25)+K13</f>
        <v>0</v>
      </c>
      <c r="N13" s="1">
        <f>IF(Inputs!B$14="Yes",Income!C12*0.02,0)</f>
        <v>0</v>
      </c>
      <c r="O13" s="5">
        <f>O12*(1+'Investment returns'!B25)+N13</f>
        <v>0</v>
      </c>
      <c r="Q13" s="5">
        <f t="shared" si="0"/>
        <v>0</v>
      </c>
      <c r="S13" s="5">
        <f>(Q13/100000)*'Annuity rates'!I11</f>
        <v>0</v>
      </c>
      <c r="T13" s="5">
        <f>(Q13/100000)*'Annuity rates'!J11</f>
        <v>0</v>
      </c>
      <c r="U13" s="5">
        <f>(Q13/100000)*'Annuity rates'!K11</f>
        <v>0</v>
      </c>
      <c r="V13" s="5">
        <f>(Q13/100000)*'Annuity rates'!L11</f>
        <v>0</v>
      </c>
    </row>
    <row r="14" spans="1:22">
      <c r="A14">
        <f t="shared" si="1"/>
        <v>2023</v>
      </c>
      <c r="B14" s="1">
        <f>Income!C13</f>
        <v>35231.001943679999</v>
      </c>
      <c r="C14" s="1">
        <f>B14*Inputs!B$27+B14*Inputs!B$26</f>
        <v>7486.5879130320009</v>
      </c>
      <c r="D14" s="1">
        <f>D13*(1+'Investment returns'!B26)+C14+N14*0.5</f>
        <v>35621.463843192578</v>
      </c>
      <c r="E14" s="1"/>
      <c r="F14" s="5">
        <f>(D14/100000)*'Annuity rates'!I12</f>
        <v>1008.8731636731106</v>
      </c>
      <c r="G14" s="5">
        <f>(D14/100000)*'Annuity rates'!J12</f>
        <v>888.38565011401317</v>
      </c>
      <c r="H14" s="5">
        <f>(D14/100000)*'Annuity rates'!K12</f>
        <v>1008.8731636731106</v>
      </c>
      <c r="I14" s="5">
        <f>(D14/100000)*'Annuity rates'!L12</f>
        <v>952.4890347652323</v>
      </c>
      <c r="K14" s="5">
        <f>IF(Income!C13&gt;Inputs!B$23,(Income!C13-Inputs!B$28)*(Inputs!B$21+Inputs!B$22),0)</f>
        <v>0</v>
      </c>
      <c r="L14" s="5">
        <f>L13*(1+'Investment returns'!B26)+K14</f>
        <v>0</v>
      </c>
      <c r="N14" s="1">
        <f>IF(Inputs!B$14="Yes",Income!C13*0.02,0)</f>
        <v>0</v>
      </c>
      <c r="O14" s="5">
        <f>O13*(1+'Investment returns'!B26)+N14</f>
        <v>0</v>
      </c>
      <c r="Q14" s="5">
        <f t="shared" si="0"/>
        <v>0</v>
      </c>
      <c r="S14" s="5">
        <f>(Q14/100000)*'Annuity rates'!I12</f>
        <v>0</v>
      </c>
      <c r="T14" s="5">
        <f>(Q14/100000)*'Annuity rates'!J12</f>
        <v>0</v>
      </c>
      <c r="U14" s="5">
        <f>(Q14/100000)*'Annuity rates'!K12</f>
        <v>0</v>
      </c>
      <c r="V14" s="5">
        <f>(Q14/100000)*'Annuity rates'!L12</f>
        <v>0</v>
      </c>
    </row>
    <row r="15" spans="1:22">
      <c r="A15">
        <f t="shared" si="1"/>
        <v>2024</v>
      </c>
      <c r="B15" s="1">
        <f>Income!C14</f>
        <v>35935.621982553603</v>
      </c>
      <c r="C15" s="1">
        <f>B15*Inputs!B$27+B15*Inputs!B$26</f>
        <v>7636.3196712926401</v>
      </c>
      <c r="D15" s="1">
        <f>D14*(1+'Investment returns'!B27)+C15+N15*0.5</f>
        <v>43068.989756116294</v>
      </c>
      <c r="E15" s="1"/>
      <c r="F15" s="5">
        <f>(D15/100000)*'Annuity rates'!I13</f>
        <v>1201.7757874438948</v>
      </c>
      <c r="G15" s="5">
        <f>(D15/100000)*'Annuity rates'!J13</f>
        <v>1058.2503357830969</v>
      </c>
      <c r="H15" s="5">
        <f>(D15/100000)*'Annuity rates'!K13</f>
        <v>1201.7757874438948</v>
      </c>
      <c r="I15" s="5">
        <f>(D15/100000)*'Annuity rates'!L13</f>
        <v>1134.6106735747749</v>
      </c>
      <c r="K15" s="5">
        <f>IF(Income!C14&gt;Inputs!B$23,(Income!C14-Inputs!B$28)*(Inputs!B$21+Inputs!B$22),0)</f>
        <v>0</v>
      </c>
      <c r="L15" s="5">
        <f>L14*(1+'Investment returns'!B27)+K15</f>
        <v>0</v>
      </c>
      <c r="N15" s="1">
        <f>IF(Inputs!B$14="Yes",Income!C14*0.02,0)</f>
        <v>0</v>
      </c>
      <c r="O15" s="5">
        <f>O14*(1+'Investment returns'!B27)+N15</f>
        <v>0</v>
      </c>
      <c r="Q15" s="5">
        <f t="shared" si="0"/>
        <v>0</v>
      </c>
      <c r="S15" s="5">
        <f>(Q15/100000)*'Annuity rates'!I13</f>
        <v>0</v>
      </c>
      <c r="T15" s="5">
        <f>(Q15/100000)*'Annuity rates'!J13</f>
        <v>0</v>
      </c>
      <c r="U15" s="5">
        <f>(Q15/100000)*'Annuity rates'!K13</f>
        <v>0</v>
      </c>
      <c r="V15" s="5">
        <f>(Q15/100000)*'Annuity rates'!L13</f>
        <v>0</v>
      </c>
    </row>
    <row r="16" spans="1:22">
      <c r="A16">
        <f t="shared" si="1"/>
        <v>2025</v>
      </c>
      <c r="B16" s="1">
        <f>Income!C15</f>
        <v>36654.334422204673</v>
      </c>
      <c r="C16" s="1">
        <f>B16*Inputs!B$27+B16*Inputs!B$26</f>
        <v>7789.0460647184937</v>
      </c>
      <c r="D16" s="1">
        <f>D15*(1+'Investment returns'!B28)+C16+N16*0.5</f>
        <v>50629.770175127378</v>
      </c>
      <c r="E16" s="1"/>
      <c r="F16" s="5">
        <f>(D16/100000)*'Annuity rates'!I14</f>
        <v>1391.8700143404667</v>
      </c>
      <c r="G16" s="5">
        <f>(D16/100000)*'Annuity rates'!J14</f>
        <v>1225.6420252691998</v>
      </c>
      <c r="H16" s="5">
        <f>(D16/100000)*'Annuity rates'!K14</f>
        <v>1391.8700143404667</v>
      </c>
      <c r="I16" s="5">
        <f>(D16/100000)*'Annuity rates'!L14</f>
        <v>1314.0808718224366</v>
      </c>
      <c r="K16" s="5">
        <f>IF(Income!C15&gt;Inputs!B$23,(Income!C15-Inputs!B$28)*(Inputs!B$21+Inputs!B$22),0)</f>
        <v>0</v>
      </c>
      <c r="L16" s="5">
        <f>L15*(1+'Investment returns'!B28)+K16</f>
        <v>0</v>
      </c>
      <c r="N16" s="1">
        <f>IF(Inputs!B$14="Yes",Income!C15*0.02,0)</f>
        <v>0</v>
      </c>
      <c r="O16" s="5">
        <f>O15*(1+'Investment returns'!B28)+N16</f>
        <v>0</v>
      </c>
      <c r="Q16" s="5">
        <f t="shared" si="0"/>
        <v>0</v>
      </c>
      <c r="S16" s="5">
        <f>(Q16/100000)*'Annuity rates'!I14</f>
        <v>0</v>
      </c>
      <c r="T16" s="5">
        <f>(Q16/100000)*'Annuity rates'!J14</f>
        <v>0</v>
      </c>
      <c r="U16" s="5">
        <f>(Q16/100000)*'Annuity rates'!K14</f>
        <v>0</v>
      </c>
      <c r="V16" s="5">
        <f>(Q16/100000)*'Annuity rates'!L14</f>
        <v>0</v>
      </c>
    </row>
    <row r="17" spans="1:22">
      <c r="A17">
        <f t="shared" si="1"/>
        <v>2026</v>
      </c>
      <c r="B17" s="1">
        <f>Income!C16</f>
        <v>37387.421110648764</v>
      </c>
      <c r="C17" s="1">
        <f>B17*Inputs!B$27+B17*Inputs!B$26</f>
        <v>7944.8269860128621</v>
      </c>
      <c r="D17" s="1">
        <f>D16*(1+'Investment returns'!B29)+C17+N17*0.5</f>
        <v>58306.259379212068</v>
      </c>
      <c r="E17" s="1"/>
      <c r="F17" s="5">
        <f>(D17/100000)*'Annuity rates'!I15</f>
        <v>1579.2171830175578</v>
      </c>
      <c r="G17" s="5">
        <f>(D17/100000)*'Annuity rates'!J15</f>
        <v>1390.6147316857866</v>
      </c>
      <c r="H17" s="5">
        <f>(D17/100000)*'Annuity rates'!K15</f>
        <v>1579.2171830175578</v>
      </c>
      <c r="I17" s="5">
        <f>(D17/100000)*'Annuity rates'!L15</f>
        <v>1490.9575400545004</v>
      </c>
      <c r="K17" s="5">
        <f>IF(Income!C16&gt;Inputs!B$23,(Income!C16-Inputs!B$28)*(Inputs!B$21+Inputs!B$22),0)</f>
        <v>0</v>
      </c>
      <c r="L17" s="5">
        <f>L16*(1+'Investment returns'!B29)+K17</f>
        <v>0</v>
      </c>
      <c r="N17" s="1">
        <f>IF(Inputs!B$14="Yes",Income!C16*0.02,0)</f>
        <v>0</v>
      </c>
      <c r="O17" s="5">
        <f>O16*(1+'Investment returns'!B29)+N17</f>
        <v>0</v>
      </c>
      <c r="Q17" s="5">
        <f t="shared" si="0"/>
        <v>0</v>
      </c>
      <c r="S17" s="5">
        <f>(Q17/100000)*'Annuity rates'!I15</f>
        <v>0</v>
      </c>
      <c r="T17" s="5">
        <f>(Q17/100000)*'Annuity rates'!J15</f>
        <v>0</v>
      </c>
      <c r="U17" s="5">
        <f>(Q17/100000)*'Annuity rates'!K15</f>
        <v>0</v>
      </c>
      <c r="V17" s="5">
        <f>(Q17/100000)*'Annuity rates'!L15</f>
        <v>0</v>
      </c>
    </row>
    <row r="18" spans="1:22">
      <c r="A18">
        <f t="shared" si="1"/>
        <v>2027</v>
      </c>
      <c r="B18" s="1">
        <f>Income!C17</f>
        <v>38135.169532861742</v>
      </c>
      <c r="C18" s="1">
        <f>B18*Inputs!B$27+B18*Inputs!B$26</f>
        <v>8103.7235257331204</v>
      </c>
      <c r="D18" s="1">
        <f>D17*(1+'Investment returns'!B30)+C18+N18*0.5</f>
        <v>66100.959730235365</v>
      </c>
      <c r="E18" s="1"/>
      <c r="F18" s="5">
        <f>(D18/100000)*'Annuity rates'!I16</f>
        <v>1763.8774308283182</v>
      </c>
      <c r="G18" s="5">
        <f>(D18/100000)*'Annuity rates'!J16</f>
        <v>1553.2214103135589</v>
      </c>
      <c r="H18" s="5">
        <f>(D18/100000)*'Annuity rates'!K16</f>
        <v>1763.8774308283182</v>
      </c>
      <c r="I18" s="5">
        <f>(D18/100000)*'Annuity rates'!L16</f>
        <v>1665.2974546542805</v>
      </c>
      <c r="K18" s="5">
        <f>IF(Income!C17&gt;Inputs!B$23,(Income!C17-Inputs!B$28)*(Inputs!B$21+Inputs!B$22),0)</f>
        <v>0</v>
      </c>
      <c r="L18" s="5">
        <f>L17*(1+'Investment returns'!B30)+K18</f>
        <v>0</v>
      </c>
      <c r="N18" s="1">
        <f>IF(Inputs!B$14="Yes",Income!C17*0.02,0)</f>
        <v>0</v>
      </c>
      <c r="O18" s="5">
        <f>O17*(1+'Investment returns'!B30)+N18</f>
        <v>0</v>
      </c>
      <c r="Q18" s="5">
        <f t="shared" si="0"/>
        <v>0</v>
      </c>
      <c r="S18" s="5">
        <f>(Q18/100000)*'Annuity rates'!I16</f>
        <v>0</v>
      </c>
      <c r="T18" s="5">
        <f>(Q18/100000)*'Annuity rates'!J16</f>
        <v>0</v>
      </c>
      <c r="U18" s="5">
        <f>(Q18/100000)*'Annuity rates'!K16</f>
        <v>0</v>
      </c>
      <c r="V18" s="5">
        <f>(Q18/100000)*'Annuity rates'!L16</f>
        <v>0</v>
      </c>
    </row>
    <row r="19" spans="1:22">
      <c r="A19">
        <f t="shared" si="1"/>
        <v>2028</v>
      </c>
      <c r="B19" s="1">
        <f>Income!C18</f>
        <v>38897.872923518975</v>
      </c>
      <c r="C19" s="1">
        <f>B19*Inputs!B$27+B19*Inputs!B$26</f>
        <v>8265.7979962477821</v>
      </c>
      <c r="D19" s="1">
        <f>D18*(1+'Investment returns'!B31)+C19+N19*0.5</f>
        <v>74016.422639912897</v>
      </c>
      <c r="E19" s="1"/>
      <c r="F19" s="5">
        <f>(D19/100000)*'Annuity rates'!I17</f>
        <v>2023.5907446415265</v>
      </c>
      <c r="G19" s="5">
        <f>(D19/100000)*'Annuity rates'!J17</f>
        <v>1769.1853823113538</v>
      </c>
      <c r="H19" s="5">
        <f>(D19/100000)*'Annuity rates'!K17</f>
        <v>2023.5907446415265</v>
      </c>
      <c r="I19" s="5">
        <f>(D19/100000)*'Annuity rates'!L17</f>
        <v>1895.4170506431192</v>
      </c>
      <c r="K19" s="5">
        <f>IF(Income!C18&gt;Inputs!B$23,(Income!C18-Inputs!B$28)*(Inputs!B$21+Inputs!B$22),0)</f>
        <v>0</v>
      </c>
      <c r="L19" s="5">
        <f>L18*(1+'Investment returns'!B31)+K19</f>
        <v>0</v>
      </c>
      <c r="N19" s="1">
        <f>IF(Inputs!B$14="Yes",Income!C18*0.02,0)</f>
        <v>0</v>
      </c>
      <c r="O19" s="5">
        <f>O18*(1+'Investment returns'!B31)+N19</f>
        <v>0</v>
      </c>
      <c r="Q19" s="5">
        <f t="shared" si="0"/>
        <v>0</v>
      </c>
      <c r="S19" s="5">
        <f>(Q19/100000)*'Annuity rates'!I17</f>
        <v>0</v>
      </c>
      <c r="T19" s="5">
        <f>(Q19/100000)*'Annuity rates'!J17</f>
        <v>0</v>
      </c>
      <c r="U19" s="5">
        <f>(Q19/100000)*'Annuity rates'!K17</f>
        <v>0</v>
      </c>
      <c r="V19" s="5">
        <f>(Q19/100000)*'Annuity rates'!L17</f>
        <v>0</v>
      </c>
    </row>
    <row r="20" spans="1:22">
      <c r="A20">
        <f t="shared" si="1"/>
        <v>2029</v>
      </c>
      <c r="B20" s="1">
        <f>Income!C19</f>
        <v>39675.830381989355</v>
      </c>
      <c r="C20" s="1">
        <f>B20*Inputs!B$27+B20*Inputs!B$26</f>
        <v>8431.1139561727377</v>
      </c>
      <c r="D20" s="1">
        <f>D19*(1+'Investment returns'!B32)+C20+N20*0.5</f>
        <v>82055.249556094088</v>
      </c>
      <c r="E20" s="1"/>
      <c r="F20" s="5">
        <f>(D20/100000)*'Annuity rates'!I18</f>
        <v>2541.7495900914168</v>
      </c>
      <c r="G20" s="5">
        <f>(D20/100000)*'Annuity rates'!J18</f>
        <v>2222.2014170568914</v>
      </c>
      <c r="H20" s="5">
        <f>(D20/100000)*'Annuity rates'!K18</f>
        <v>2541.7495900914168</v>
      </c>
      <c r="I20" s="5">
        <f>(D20/100000)*'Annuity rates'!L18</f>
        <v>2380.7558540587552</v>
      </c>
      <c r="K20" s="5">
        <f>IF(Income!C19&gt;Inputs!B$23,(Income!C19-Inputs!B$28)*(Inputs!B$21+Inputs!B$22),0)</f>
        <v>0</v>
      </c>
      <c r="L20" s="5">
        <f>L19*(1+'Investment returns'!B32)+K20</f>
        <v>0</v>
      </c>
      <c r="N20" s="1">
        <f>IF(Inputs!B$14="Yes",Income!C19*0.02,0)</f>
        <v>0</v>
      </c>
      <c r="O20" s="5">
        <f>O19*(1+'Investment returns'!B32)+N20</f>
        <v>0</v>
      </c>
      <c r="Q20" s="5">
        <f t="shared" si="0"/>
        <v>0</v>
      </c>
      <c r="S20" s="5">
        <f>(Q20/100000)*'Annuity rates'!I18</f>
        <v>0</v>
      </c>
      <c r="T20" s="5">
        <f>(Q20/100000)*'Annuity rates'!J18</f>
        <v>0</v>
      </c>
      <c r="U20" s="5">
        <f>(Q20/100000)*'Annuity rates'!K18</f>
        <v>0</v>
      </c>
      <c r="V20" s="5">
        <f>(Q20/100000)*'Annuity rates'!L18</f>
        <v>0</v>
      </c>
    </row>
    <row r="21" spans="1:22">
      <c r="A21">
        <f t="shared" si="1"/>
        <v>2030</v>
      </c>
      <c r="B21" s="1">
        <f>Income!C20</f>
        <v>40469.346989629143</v>
      </c>
      <c r="C21" s="1">
        <f>B21*Inputs!B$27+B21*Inputs!B$26</f>
        <v>8599.7362352961936</v>
      </c>
      <c r="D21" s="1">
        <f>D20*(1+'Investment returns'!B33)+C21+N21*0.5</f>
        <v>92952.532778960915</v>
      </c>
      <c r="E21" s="1"/>
      <c r="F21" s="5">
        <f>(D21/100000)*'Annuity rates'!I19</f>
        <v>2836.7533555783266</v>
      </c>
      <c r="G21" s="5">
        <f>(D21/100000)*'Annuity rates'!J19</f>
        <v>2480.1173770939113</v>
      </c>
      <c r="H21" s="5">
        <f>(D21/100000)*'Annuity rates'!K19</f>
        <v>2836.7533555783266</v>
      </c>
      <c r="I21" s="5">
        <f>(D21/100000)*'Annuity rates'!L19</f>
        <v>2657.0741603113697</v>
      </c>
      <c r="K21" s="5">
        <f>IF(Income!C20&gt;Inputs!B$23,(Income!C20-Inputs!B$28)*(Inputs!B$21+Inputs!B$22),0)</f>
        <v>0</v>
      </c>
      <c r="L21" s="5">
        <f>L20*(1+'Investment returns'!B33)+K21</f>
        <v>0</v>
      </c>
      <c r="N21" s="1">
        <f>IF(Inputs!B$14="Yes",Income!C20*0.02,0)</f>
        <v>0</v>
      </c>
      <c r="O21" s="5">
        <f>O20*(1+'Investment returns'!B33)+N21</f>
        <v>0</v>
      </c>
      <c r="Q21" s="5">
        <f t="shared" si="0"/>
        <v>0</v>
      </c>
      <c r="S21" s="5">
        <f>(Q21/100000)*'Annuity rates'!I19</f>
        <v>0</v>
      </c>
      <c r="T21" s="5">
        <f>(Q21/100000)*'Annuity rates'!J19</f>
        <v>0</v>
      </c>
      <c r="U21" s="5">
        <f>(Q21/100000)*'Annuity rates'!K19</f>
        <v>0</v>
      </c>
      <c r="V21" s="5">
        <f>(Q21/100000)*'Annuity rates'!L19</f>
        <v>0</v>
      </c>
    </row>
    <row r="22" spans="1:22">
      <c r="A22">
        <f t="shared" si="1"/>
        <v>2031</v>
      </c>
      <c r="B22" s="1">
        <f>Income!C21</f>
        <v>41278.733929421724</v>
      </c>
      <c r="C22" s="1">
        <f>B22*Inputs!B$27+B22*Inputs!B$26</f>
        <v>8771.7309600021163</v>
      </c>
      <c r="D22" s="1">
        <f>D21*(1+'Investment returns'!B34)+C22+N22*0.5</f>
        <v>104326.93465677393</v>
      </c>
      <c r="E22" s="1"/>
      <c r="F22" s="5">
        <f>(D22/100000)*'Annuity rates'!I20</f>
        <v>3136.8283482943266</v>
      </c>
      <c r="G22" s="5">
        <f>(D22/100000)*'Annuity rates'!J20</f>
        <v>2742.4670108408172</v>
      </c>
      <c r="H22" s="5">
        <f>(D22/100000)*'Annuity rates'!K20</f>
        <v>3136.8283482943266</v>
      </c>
      <c r="I22" s="5">
        <f>(D22/100000)*'Annuity rates'!L20</f>
        <v>2938.1424836230931</v>
      </c>
      <c r="K22" s="5">
        <f>IF(Income!C21&gt;Inputs!B$23,(Income!C21-Inputs!B$28)*(Inputs!B$21+Inputs!B$22),0)</f>
        <v>0</v>
      </c>
      <c r="L22" s="5">
        <f>L21*(1+'Investment returns'!B34)+K22</f>
        <v>0</v>
      </c>
      <c r="N22" s="1">
        <f>IF(Inputs!B$14="Yes",Income!C21*0.02,0)</f>
        <v>0</v>
      </c>
      <c r="O22" s="5">
        <f>O21*(1+'Investment returns'!B34)+N22</f>
        <v>0</v>
      </c>
      <c r="Q22" s="5">
        <f t="shared" si="0"/>
        <v>0</v>
      </c>
      <c r="S22" s="5">
        <f>(Q22/100000)*'Annuity rates'!I20</f>
        <v>0</v>
      </c>
      <c r="T22" s="5">
        <f>(Q22/100000)*'Annuity rates'!J20</f>
        <v>0</v>
      </c>
      <c r="U22" s="5">
        <f>(Q22/100000)*'Annuity rates'!K20</f>
        <v>0</v>
      </c>
      <c r="V22" s="5">
        <f>(Q22/100000)*'Annuity rates'!L20</f>
        <v>0</v>
      </c>
    </row>
    <row r="23" spans="1:22">
      <c r="A23">
        <f t="shared" si="1"/>
        <v>2032</v>
      </c>
      <c r="B23" s="1">
        <f>Income!C22</f>
        <v>42104.308608010157</v>
      </c>
      <c r="C23" s="1">
        <f>B23*Inputs!B$27+B23*Inputs!B$26</f>
        <v>8947.1655792021593</v>
      </c>
      <c r="D23" s="1">
        <f>D22*(1+'Investment returns'!B35)+C23+N23*0.5</f>
        <v>116195.25440636576</v>
      </c>
      <c r="E23" s="1"/>
      <c r="F23" s="5">
        <f>(D23/100000)*'Annuity rates'!I21</f>
        <v>3442.0458886565302</v>
      </c>
      <c r="G23" s="5">
        <f>(D23/100000)*'Annuity rates'!J21</f>
        <v>3009.3126723283099</v>
      </c>
      <c r="H23" s="5">
        <f>(D23/100000)*'Annuity rates'!K21</f>
        <v>3442.0458886565302</v>
      </c>
      <c r="I23" s="5">
        <f>(D23/100000)*'Annuity rates'!L21</f>
        <v>3224.0276269949841</v>
      </c>
      <c r="K23" s="5">
        <f>IF(Income!C22&gt;Inputs!B$23,(Income!C22-Inputs!B$23)*(Inputs!B$21+Inputs!B$22),0)</f>
        <v>0</v>
      </c>
      <c r="L23" s="5">
        <f>L22*(1+'Investment returns'!B35)+K23</f>
        <v>0</v>
      </c>
      <c r="N23" s="1">
        <f>IF(Inputs!B$14="Yes",Income!C22*0.02,0)</f>
        <v>0</v>
      </c>
      <c r="O23" s="5">
        <f>O22*(1+'Investment returns'!B35)+N23</f>
        <v>0</v>
      </c>
      <c r="Q23" s="5">
        <f>L23+O23</f>
        <v>0</v>
      </c>
      <c r="S23" s="5">
        <f>(Q23/100000)*'Annuity rates'!I21</f>
        <v>0</v>
      </c>
      <c r="T23" s="5">
        <f>(Q23/100000)*'Annuity rates'!J21</f>
        <v>0</v>
      </c>
      <c r="U23" s="5">
        <f>(Q23/100000)*'Annuity rates'!K21</f>
        <v>0</v>
      </c>
      <c r="V23" s="5">
        <f>(Q23/100000)*'Annuity rates'!L21</f>
        <v>0</v>
      </c>
    </row>
    <row r="24" spans="1:22">
      <c r="A24">
        <f t="shared" si="1"/>
        <v>2033</v>
      </c>
      <c r="B24" s="1">
        <f>Income!C23</f>
        <v>42946.394780170362</v>
      </c>
      <c r="C24" s="1">
        <f>B24*Inputs!B$27+B24*Inputs!B$26</f>
        <v>9126.1088907862031</v>
      </c>
      <c r="D24" s="1">
        <f>D23*(1+'Investment returns'!B36)+C24+N24*0.5</f>
        <v>128574.8304205302</v>
      </c>
      <c r="E24" s="1"/>
      <c r="F24" s="5">
        <f>(D24/100000)*'Annuity rates'!I22</f>
        <v>3752.4782419186126</v>
      </c>
      <c r="G24" s="5">
        <f>(D24/100000)*'Annuity rates'!J22</f>
        <v>3280.7175416390173</v>
      </c>
      <c r="H24" s="5">
        <f>(D24/100000)*'Annuity rates'!K22</f>
        <v>3752.4782419186126</v>
      </c>
      <c r="I24" s="5">
        <f>(D24/100000)*'Annuity rates'!L22</f>
        <v>3514.7972784189692</v>
      </c>
      <c r="K24" s="5">
        <f>IF(Income!C23&gt;Inputs!B$23,(Income!C23-Inputs!B$23)*(Inputs!B$21+Inputs!B$22),0)</f>
        <v>0</v>
      </c>
      <c r="L24" s="5">
        <f>L23*(1+'Investment returns'!B36)+K24</f>
        <v>0</v>
      </c>
      <c r="N24" s="1">
        <f>IF(Inputs!B$14="Yes",Income!C23*0.02,0)</f>
        <v>0</v>
      </c>
      <c r="O24" s="5">
        <f>O23*(1+'Investment returns'!B36)+N24</f>
        <v>0</v>
      </c>
      <c r="Q24" s="5">
        <f t="shared" si="0"/>
        <v>0</v>
      </c>
      <c r="S24" s="5">
        <f>(Q24/100000)*'Annuity rates'!I22</f>
        <v>0</v>
      </c>
      <c r="T24" s="5">
        <f>(Q24/100000)*'Annuity rates'!J22</f>
        <v>0</v>
      </c>
      <c r="U24" s="5">
        <f>(Q24/100000)*'Annuity rates'!K22</f>
        <v>0</v>
      </c>
      <c r="V24" s="5">
        <f>(Q24/100000)*'Annuity rates'!L22</f>
        <v>0</v>
      </c>
    </row>
    <row r="25" spans="1:22">
      <c r="A25">
        <f t="shared" si="1"/>
        <v>2034</v>
      </c>
      <c r="B25" s="1">
        <f>Income!C24</f>
        <v>43805.322675773772</v>
      </c>
      <c r="C25" s="1">
        <f>B25*Inputs!B$27+B25*Inputs!B$26</f>
        <v>9308.631068601926</v>
      </c>
      <c r="D25" s="1">
        <f>D24*(1+'Investment returns'!B37)+C25+N25*0.5</f>
        <v>141483.55674090696</v>
      </c>
      <c r="E25" s="1"/>
      <c r="F25" s="5">
        <f>(D25/100000)*'Annuity rates'!I23</f>
        <v>4068.1986304267193</v>
      </c>
      <c r="G25" s="5">
        <f>(D25/100000)*'Annuity rates'!J23</f>
        <v>3556.7456356225921</v>
      </c>
      <c r="H25" s="5">
        <f>(D25/100000)*'Annuity rates'!K23</f>
        <v>4068.1986304267193</v>
      </c>
      <c r="I25" s="5">
        <f>(D25/100000)*'Annuity rates'!L23</f>
        <v>3810.5200223574648</v>
      </c>
      <c r="K25" s="5">
        <f>IF(Income!C24&gt;Inputs!B$23,(Income!C24-Inputs!B$23)*(Inputs!B$21+Inputs!B$22),0)</f>
        <v>0</v>
      </c>
      <c r="L25" s="5">
        <f>L24*(1+'Investment returns'!B37)+K25</f>
        <v>0</v>
      </c>
      <c r="N25" s="1">
        <f>IF(Inputs!B$14="Yes",Income!C24*0.02,0)</f>
        <v>0</v>
      </c>
      <c r="O25" s="5">
        <f>O24*(1+'Investment returns'!B37)+N25</f>
        <v>0</v>
      </c>
      <c r="Q25" s="5">
        <f t="shared" si="0"/>
        <v>0</v>
      </c>
      <c r="S25" s="5">
        <f>(Q25/100000)*'Annuity rates'!I23</f>
        <v>0</v>
      </c>
      <c r="T25" s="5">
        <f>(Q25/100000)*'Annuity rates'!J23</f>
        <v>0</v>
      </c>
      <c r="U25" s="5">
        <f>(Q25/100000)*'Annuity rates'!K23</f>
        <v>0</v>
      </c>
      <c r="V25" s="5">
        <f>(Q25/100000)*'Annuity rates'!L23</f>
        <v>0</v>
      </c>
    </row>
    <row r="26" spans="1:22">
      <c r="A26">
        <f t="shared" si="1"/>
        <v>2035</v>
      </c>
      <c r="B26" s="1">
        <f>Income!C25</f>
        <v>44681.429129289245</v>
      </c>
      <c r="C26" s="1">
        <f>B26*Inputs!B$27+B26*Inputs!B$26</f>
        <v>9494.8036899739636</v>
      </c>
      <c r="D26" s="1">
        <f>D25*(1+'Investment returns'!B38)+C26+N26*0.5</f>
        <v>154939.90001962631</v>
      </c>
      <c r="E26" s="1"/>
      <c r="F26" s="5">
        <f>(D26/100000)*'Annuity rates'!I24</f>
        <v>4389.2812460330988</v>
      </c>
      <c r="G26" s="5">
        <f>(D26/100000)*'Annuity rates'!J24</f>
        <v>3837.4618187487072</v>
      </c>
      <c r="H26" s="5">
        <f>(D26/100000)*'Annuity rates'!K24</f>
        <v>4389.2812460330988</v>
      </c>
      <c r="I26" s="5">
        <f>(D26/100000)*'Annuity rates'!L24</f>
        <v>4111.2653513707337</v>
      </c>
      <c r="K26" s="5">
        <f>IF(Income!C25&gt;Inputs!B$23,(Income!C25-Inputs!B$23)*(Inputs!B$21+Inputs!B$22),0)</f>
        <v>0</v>
      </c>
      <c r="L26" s="5">
        <f>L25*(1+'Investment returns'!B38)+K26</f>
        <v>0</v>
      </c>
      <c r="N26" s="1">
        <f>IF(Inputs!B$14="Yes",Income!C25*0.02,0)</f>
        <v>0</v>
      </c>
      <c r="O26" s="5">
        <f>O25*(1+'Investment returns'!B38)+N26</f>
        <v>0</v>
      </c>
      <c r="Q26" s="5">
        <f t="shared" si="0"/>
        <v>0</v>
      </c>
      <c r="S26" s="5">
        <f>(Q26/100000)*'Annuity rates'!I24</f>
        <v>0</v>
      </c>
      <c r="T26" s="5">
        <f>(Q26/100000)*'Annuity rates'!J24</f>
        <v>0</v>
      </c>
      <c r="U26" s="5">
        <f>(Q26/100000)*'Annuity rates'!K24</f>
        <v>0</v>
      </c>
      <c r="V26" s="5">
        <f>(Q26/100000)*'Annuity rates'!L24</f>
        <v>0</v>
      </c>
    </row>
    <row r="27" spans="1:22">
      <c r="A27">
        <f t="shared" si="1"/>
        <v>2036</v>
      </c>
      <c r="B27" s="1">
        <f>Income!C26</f>
        <v>45575.05771187503</v>
      </c>
      <c r="C27" s="1">
        <f>B27*Inputs!B$27+B27*Inputs!B$26</f>
        <v>9684.6997637734439</v>
      </c>
      <c r="D27" s="1">
        <f>D26*(1+'Investment returns'!B39)+C27+N27*0.5</f>
        <v>168962.91698394928</v>
      </c>
      <c r="E27" s="1"/>
      <c r="F27" s="5">
        <f>(D27/100000)*'Annuity rates'!I25</f>
        <v>4715.8012626694981</v>
      </c>
      <c r="G27" s="5">
        <f>(D27/100000)*'Annuity rates'!J25</f>
        <v>4122.9318140997229</v>
      </c>
      <c r="H27" s="5">
        <f>(D27/100000)*'Annuity rates'!K25</f>
        <v>4715.8012626694981</v>
      </c>
      <c r="I27" s="5">
        <f>(D27/100000)*'Annuity rates'!L25</f>
        <v>4417.1036778938869</v>
      </c>
      <c r="K27" s="5">
        <f>IF(Income!C26&gt;Inputs!B$23,(Income!C26-Inputs!B$23)*(Inputs!B$21+Inputs!B$22),0)</f>
        <v>0</v>
      </c>
      <c r="L27" s="5">
        <f>L26*(1+'Investment returns'!B39)+K27</f>
        <v>0</v>
      </c>
      <c r="N27" s="1">
        <f>IF(Inputs!B$14="Yes",Income!C26*0.02,0)</f>
        <v>0</v>
      </c>
      <c r="O27" s="5">
        <f>O26*(1+'Investment returns'!B39)+N27</f>
        <v>0</v>
      </c>
      <c r="Q27" s="5">
        <f t="shared" si="0"/>
        <v>0</v>
      </c>
      <c r="S27" s="5">
        <f>(Q27/100000)*'Annuity rates'!I25</f>
        <v>0</v>
      </c>
      <c r="T27" s="5">
        <f>(Q27/100000)*'Annuity rates'!J25</f>
        <v>0</v>
      </c>
      <c r="U27" s="5">
        <f>(Q27/100000)*'Annuity rates'!K25</f>
        <v>0</v>
      </c>
      <c r="V27" s="5">
        <f>(Q27/100000)*'Annuity rates'!L25</f>
        <v>0</v>
      </c>
    </row>
    <row r="28" spans="1:22">
      <c r="A28">
        <f t="shared" si="1"/>
        <v>2037</v>
      </c>
      <c r="B28" s="1">
        <f>Income!C27</f>
        <v>46486.558866112529</v>
      </c>
      <c r="C28" s="1">
        <f>B28*Inputs!B$27+B28*Inputs!B$26</f>
        <v>9878.3937590489131</v>
      </c>
      <c r="D28" s="1">
        <f>D27*(1+'Investment returns'!B40)+C28+N28*0.5</f>
        <v>183572.27241854879</v>
      </c>
      <c r="E28" s="1"/>
      <c r="F28" s="5">
        <f>(D28/100000)*'Annuity rates'!I26</f>
        <v>5047.8348490823582</v>
      </c>
      <c r="G28" s="5">
        <f>(D28/100000)*'Annuity rates'!J26</f>
        <v>4413.2222145048245</v>
      </c>
      <c r="H28" s="5">
        <f>(D28/100000)*'Annuity rates'!K26</f>
        <v>5047.8348490823582</v>
      </c>
      <c r="I28" s="5">
        <f>(D28/100000)*'Annuity rates'!L26</f>
        <v>4728.106346165433</v>
      </c>
      <c r="K28" s="5">
        <f>IF(Income!C27&gt;Inputs!B$23,(Income!C27-Inputs!B$23)*(Inputs!B$21+Inputs!B$22),0)</f>
        <v>0</v>
      </c>
      <c r="L28" s="5">
        <f>L27*(1+'Investment returns'!B40)+K28</f>
        <v>0</v>
      </c>
      <c r="N28" s="1">
        <f>IF(Inputs!B$14="Yes",Income!C27*0.02,0)</f>
        <v>0</v>
      </c>
      <c r="O28" s="5">
        <f>O27*(1+'Investment returns'!B40)+N28</f>
        <v>0</v>
      </c>
      <c r="Q28" s="5">
        <f t="shared" si="0"/>
        <v>0</v>
      </c>
      <c r="S28" s="5">
        <f>(Q28/100000)*'Annuity rates'!I26</f>
        <v>0</v>
      </c>
      <c r="T28" s="5">
        <f>(Q28/100000)*'Annuity rates'!J26</f>
        <v>0</v>
      </c>
      <c r="U28" s="5">
        <f>(Q28/100000)*'Annuity rates'!K26</f>
        <v>0</v>
      </c>
      <c r="V28" s="5">
        <f>(Q28/100000)*'Annuity rates'!L26</f>
        <v>0</v>
      </c>
    </row>
    <row r="29" spans="1:22">
      <c r="A29">
        <f t="shared" si="1"/>
        <v>2038</v>
      </c>
      <c r="B29" s="1">
        <f>Income!C28</f>
        <v>47416.290043434783</v>
      </c>
      <c r="C29" s="1">
        <f>B29*Inputs!B$27+B29*Inputs!B$26</f>
        <v>10075.961634229892</v>
      </c>
      <c r="D29" s="1">
        <f>D28*(1+'Investment returns'!B41)+C29+N29*0.5</f>
        <v>198788.25768049806</v>
      </c>
      <c r="E29" s="1"/>
      <c r="F29" s="5">
        <f>(D29/100000)*'Annuity rates'!I27</f>
        <v>5385.4591817319042</v>
      </c>
      <c r="G29" s="5">
        <f>(D29/100000)*'Annuity rates'!J27</f>
        <v>4708.4004938174312</v>
      </c>
      <c r="H29" s="5">
        <f>(D29/100000)*'Annuity rates'!K27</f>
        <v>5385.4591817319042</v>
      </c>
      <c r="I29" s="5">
        <f>(D29/100000)*'Annuity rates'!L27</f>
        <v>5044.3456443093455</v>
      </c>
      <c r="K29" s="5">
        <f>IF(Income!C28&gt;Inputs!B$23,(Income!C28-Inputs!B$23)*(Inputs!B$21+Inputs!B$22),0)</f>
        <v>0</v>
      </c>
      <c r="L29" s="5">
        <f>L28*(1+'Investment returns'!B41)+K29</f>
        <v>0</v>
      </c>
      <c r="N29" s="1">
        <f>IF(Inputs!B$14="Yes",Income!C28*0.02,0)</f>
        <v>0</v>
      </c>
      <c r="O29" s="5">
        <f>O28*(1+'Investment returns'!B41)+N29</f>
        <v>0</v>
      </c>
      <c r="Q29" s="5">
        <f t="shared" si="0"/>
        <v>0</v>
      </c>
      <c r="S29" s="5">
        <f>(Q29/100000)*'Annuity rates'!I27</f>
        <v>0</v>
      </c>
      <c r="T29" s="5">
        <f>(Q29/100000)*'Annuity rates'!J27</f>
        <v>0</v>
      </c>
      <c r="U29" s="5">
        <f>(Q29/100000)*'Annuity rates'!K27</f>
        <v>0</v>
      </c>
      <c r="V29" s="5">
        <f>(Q29/100000)*'Annuity rates'!L27</f>
        <v>0</v>
      </c>
    </row>
    <row r="30" spans="1:22">
      <c r="A30">
        <f t="shared" si="1"/>
        <v>2039</v>
      </c>
      <c r="B30" s="1">
        <f>Income!C29</f>
        <v>48364.61584430348</v>
      </c>
      <c r="C30" s="1">
        <f>B30*Inputs!B$27+B30*Inputs!B$26</f>
        <v>10277.48086691449</v>
      </c>
      <c r="D30" s="1">
        <f>D29*(1+'Investment returns'!B42)+C30+N30*0.5</f>
        <v>214631.80976246652</v>
      </c>
      <c r="E30" s="1"/>
      <c r="F30" s="5">
        <f>(D30/100000)*'Annuity rates'!I28</f>
        <v>5728.7524578572138</v>
      </c>
      <c r="G30" s="5">
        <f>(D30/100000)*'Annuity rates'!J28</f>
        <v>5008.535018337735</v>
      </c>
      <c r="H30" s="5">
        <f>(D30/100000)*'Annuity rates'!K28</f>
        <v>5728.7524578572138</v>
      </c>
      <c r="I30" s="5">
        <f>(D30/100000)*'Annuity rates'!L28</f>
        <v>5365.8948165725906</v>
      </c>
      <c r="K30" s="5">
        <f>IF(Income!C29&gt;Inputs!B$23,(Income!C29-Inputs!B$23)*(Inputs!B$21+Inputs!B$22),0)</f>
        <v>0</v>
      </c>
      <c r="L30" s="5">
        <f>L29*(1+'Investment returns'!B42)+K30</f>
        <v>0</v>
      </c>
      <c r="N30" s="1">
        <f>IF(Inputs!B$14="Yes",Income!C29*0.02,0)</f>
        <v>0</v>
      </c>
      <c r="O30" s="5">
        <f>O29*(1+'Investment returns'!B42)+N30</f>
        <v>0</v>
      </c>
      <c r="Q30" s="5">
        <f t="shared" si="0"/>
        <v>0</v>
      </c>
      <c r="S30" s="5">
        <f>(Q30/100000)*'Annuity rates'!I28</f>
        <v>0</v>
      </c>
      <c r="T30" s="5">
        <f>(Q30/100000)*'Annuity rates'!J28</f>
        <v>0</v>
      </c>
      <c r="U30" s="5">
        <f>(Q30/100000)*'Annuity rates'!K28</f>
        <v>0</v>
      </c>
      <c r="V30" s="5">
        <f>(Q30/100000)*'Annuity rates'!L28</f>
        <v>0</v>
      </c>
    </row>
    <row r="31" spans="1:22">
      <c r="A31">
        <f t="shared" si="1"/>
        <v>2040</v>
      </c>
      <c r="B31" s="1">
        <f>Income!C30</f>
        <v>49331.908161189553</v>
      </c>
      <c r="C31" s="1">
        <f>B31*Inputs!B$27+B31*Inputs!B$26</f>
        <v>10483.03048425278</v>
      </c>
      <c r="D31" s="1">
        <f>D30*(1+'Investment returns'!B43)+C31+N31*0.5</f>
        <v>228763.58101268121</v>
      </c>
      <c r="E31" s="1"/>
      <c r="F31" s="5">
        <f>(D31/100000)*'Annuity rates'!I29</f>
        <v>6015.7089067030638</v>
      </c>
      <c r="G31" s="5">
        <f>(D31/100000)*'Annuity rates'!J29</f>
        <v>5259.4153685283009</v>
      </c>
      <c r="H31" s="5">
        <f>(D31/100000)*'Annuity rates'!K29</f>
        <v>6015.7089067030638</v>
      </c>
      <c r="I31" s="5">
        <f>(D31/100000)*'Annuity rates'!L29</f>
        <v>5634.675521057763</v>
      </c>
      <c r="K31" s="5">
        <f>IF(Income!C30&gt;Inputs!B$23,(Income!C30-Inputs!B$23)*(Inputs!B$21+Inputs!B$22),0)</f>
        <v>0</v>
      </c>
      <c r="L31" s="5">
        <f>L30*(1+'Investment returns'!B43)+K31</f>
        <v>0</v>
      </c>
      <c r="N31" s="1">
        <f>IF(Inputs!B$14="Yes",Income!C30*0.02,0)</f>
        <v>0</v>
      </c>
      <c r="O31" s="5">
        <f>O30*(1+'Investment returns'!B43)+N31</f>
        <v>0</v>
      </c>
      <c r="Q31" s="5">
        <f t="shared" si="0"/>
        <v>0</v>
      </c>
      <c r="S31" s="5">
        <f>(Q31/100000)*'Annuity rates'!I29</f>
        <v>0</v>
      </c>
      <c r="T31" s="5">
        <f>(Q31/100000)*'Annuity rates'!J29</f>
        <v>0</v>
      </c>
      <c r="U31" s="5">
        <f>(Q31/100000)*'Annuity rates'!K29</f>
        <v>0</v>
      </c>
      <c r="V31" s="5">
        <f>(Q31/100000)*'Annuity rates'!L29</f>
        <v>0</v>
      </c>
    </row>
    <row r="32" spans="1:22">
      <c r="A32">
        <f t="shared" si="1"/>
        <v>2041</v>
      </c>
      <c r="B32" s="1">
        <f>Income!C31</f>
        <v>50318.546324413343</v>
      </c>
      <c r="C32" s="1">
        <f>B32*Inputs!B$27+B32*Inputs!B$26</f>
        <v>10692.691093937836</v>
      </c>
      <c r="D32" s="1">
        <f>D31*(1+'Investment returns'!B44)+C32+N32*0.5</f>
        <v>243345.25298383462</v>
      </c>
      <c r="E32" s="1"/>
      <c r="F32" s="5">
        <f>(D32/100000)*'Annuity rates'!I30</f>
        <v>6304.5887587321713</v>
      </c>
      <c r="G32" s="5">
        <f>(D32/100000)*'Annuity rates'!J30</f>
        <v>5511.9773120969348</v>
      </c>
      <c r="H32" s="5">
        <f>(D32/100000)*'Annuity rates'!K30</f>
        <v>6304.5887587321713</v>
      </c>
      <c r="I32" s="5">
        <f>(D32/100000)*'Annuity rates'!L30</f>
        <v>5905.2578008854107</v>
      </c>
      <c r="K32" s="5">
        <f>IF(Income!C31&gt;Inputs!B$23,(Income!C31-Inputs!B$23)*(Inputs!B$21+Inputs!B$22),0)</f>
        <v>0</v>
      </c>
      <c r="L32" s="5">
        <f>L31*(1+'Investment returns'!B44)+K32</f>
        <v>0</v>
      </c>
      <c r="N32" s="1">
        <f>IF(Inputs!B$14="Yes",Income!C31*0.02,0)</f>
        <v>0</v>
      </c>
      <c r="O32" s="5">
        <f>O31*(1+'Investment returns'!B44)+N32</f>
        <v>0</v>
      </c>
      <c r="Q32" s="5">
        <f t="shared" si="0"/>
        <v>0</v>
      </c>
      <c r="S32" s="5">
        <f>(Q32/100000)*'Annuity rates'!I30</f>
        <v>0</v>
      </c>
      <c r="T32" s="5">
        <f>(Q32/100000)*'Annuity rates'!J30</f>
        <v>0</v>
      </c>
      <c r="U32" s="5">
        <f>(Q32/100000)*'Annuity rates'!K30</f>
        <v>0</v>
      </c>
      <c r="V32" s="5">
        <f>(Q32/100000)*'Annuity rates'!L30</f>
        <v>0</v>
      </c>
    </row>
    <row r="33" spans="1:22">
      <c r="A33">
        <f t="shared" si="1"/>
        <v>2042</v>
      </c>
      <c r="B33" s="1">
        <f>Income!C32</f>
        <v>51324.917250901613</v>
      </c>
      <c r="C33" s="1">
        <f>B33*Inputs!B$27+B33*Inputs!B$26</f>
        <v>10906.544915816594</v>
      </c>
      <c r="D33" s="1">
        <f>D32*(1+'Investment returns'!B45)+C33+N33*0.5</f>
        <v>258388.6672003764</v>
      </c>
      <c r="E33" s="1"/>
      <c r="F33" s="5">
        <f>(D33/100000)*'Annuity rates'!I31</f>
        <v>6595.4024934175914</v>
      </c>
      <c r="G33" s="5">
        <f>(D33/100000)*'Annuity rates'!J31</f>
        <v>5766.2300110397546</v>
      </c>
      <c r="H33" s="5">
        <f>(D33/100000)*'Annuity rates'!K31</f>
        <v>6595.4024934175914</v>
      </c>
      <c r="I33" s="5">
        <f>(D33/100000)*'Annuity rates'!L31</f>
        <v>6177.6514717615828</v>
      </c>
      <c r="K33" s="5">
        <f>IF(Income!C32&gt;Inputs!B$23,(Income!C32-Inputs!B$23)*(Inputs!B$21+Inputs!B$22),0)</f>
        <v>0</v>
      </c>
      <c r="L33" s="5">
        <f>L32*(1+'Investment returns'!B45)+K33</f>
        <v>0</v>
      </c>
      <c r="N33" s="1">
        <f>IF(Inputs!B$14="Yes",Income!C32*0.02,0)</f>
        <v>0</v>
      </c>
      <c r="O33" s="5">
        <f>O32*(1+'Investment returns'!B45)+N33</f>
        <v>0</v>
      </c>
      <c r="Q33" s="5">
        <f t="shared" si="0"/>
        <v>0</v>
      </c>
      <c r="S33" s="5">
        <f>(Q33/100000)*'Annuity rates'!I31</f>
        <v>0</v>
      </c>
      <c r="T33" s="5">
        <f>(Q33/100000)*'Annuity rates'!J31</f>
        <v>0</v>
      </c>
      <c r="U33" s="5">
        <f>(Q33/100000)*'Annuity rates'!K31</f>
        <v>0</v>
      </c>
      <c r="V33" s="5">
        <f>(Q33/100000)*'Annuity rates'!L31</f>
        <v>0</v>
      </c>
    </row>
    <row r="34" spans="1:22">
      <c r="A34">
        <f t="shared" si="1"/>
        <v>2043</v>
      </c>
      <c r="B34" s="1">
        <f>Income!C33</f>
        <v>52351.415595919643</v>
      </c>
      <c r="C34" s="1">
        <f>B34*Inputs!B$27+B34*Inputs!B$26</f>
        <v>11124.675814132923</v>
      </c>
      <c r="D34" s="1">
        <f>D33*(1+'Investment returns'!B46)+C34+N34*0.5</f>
        <v>273905.95035691565</v>
      </c>
      <c r="E34" s="1"/>
      <c r="F34" s="5">
        <f>(D34/100000)*'Annuity rates'!I32</f>
        <v>6888.160643834869</v>
      </c>
      <c r="G34" s="5">
        <f>(D34/100000)*'Annuity rates'!J32</f>
        <v>6022.1826742164712</v>
      </c>
      <c r="H34" s="5">
        <f>(D34/100000)*'Annuity rates'!K32</f>
        <v>6888.160643834869</v>
      </c>
      <c r="I34" s="5">
        <f>(D34/100000)*'Annuity rates'!L32</f>
        <v>6451.8663995996458</v>
      </c>
      <c r="K34" s="5">
        <f>IF(Income!C33&gt;Inputs!B$23,(Income!C33-Inputs!B$23)*(Inputs!B$21+Inputs!B$22),0)</f>
        <v>0</v>
      </c>
      <c r="L34" s="5">
        <f>L33*(1+'Investment returns'!B46)+K34</f>
        <v>0</v>
      </c>
      <c r="N34" s="1">
        <f>IF(Inputs!B$14="Yes",Income!C33*0.02,0)</f>
        <v>0</v>
      </c>
      <c r="O34" s="5">
        <f>O33*(1+'Investment returns'!B46)+N34</f>
        <v>0</v>
      </c>
      <c r="Q34" s="5">
        <f t="shared" si="0"/>
        <v>0</v>
      </c>
      <c r="S34" s="5">
        <f>(Q34/100000)*'Annuity rates'!I32</f>
        <v>0</v>
      </c>
      <c r="T34" s="5">
        <f>(Q34/100000)*'Annuity rates'!J32</f>
        <v>0</v>
      </c>
      <c r="U34" s="5">
        <f>(Q34/100000)*'Annuity rates'!K32</f>
        <v>0</v>
      </c>
      <c r="V34" s="5">
        <f>(Q34/100000)*'Annuity rates'!L32</f>
        <v>0</v>
      </c>
    </row>
    <row r="35" spans="1:22">
      <c r="A35">
        <f t="shared" si="1"/>
        <v>2044</v>
      </c>
      <c r="B35" s="1">
        <f>Income!C34</f>
        <v>53398.443907838038</v>
      </c>
      <c r="C35" s="1">
        <f>B35*Inputs!B$27+B35*Inputs!B$26</f>
        <v>11347.169330415585</v>
      </c>
      <c r="D35" s="1">
        <f>D34*(1+'Investment returns'!B47)+C35+N35*0.5</f>
        <v>289909.52084339882</v>
      </c>
      <c r="E35" s="1"/>
      <c r="F35" s="5">
        <f>(D35/100000)*'Annuity rates'!I33</f>
        <v>7182.8737969299891</v>
      </c>
      <c r="G35" s="5">
        <f>(D35/100000)*'Annuity rates'!J33</f>
        <v>6279.8445575846627</v>
      </c>
      <c r="H35" s="5">
        <f>(D35/100000)*'Annuity rates'!K33</f>
        <v>7182.8737969299891</v>
      </c>
      <c r="I35" s="5">
        <f>(D35/100000)*'Annuity rates'!L33</f>
        <v>6727.9125007712755</v>
      </c>
      <c r="K35" s="5">
        <f>IF(Income!C34&gt;Inputs!B$23,(Income!C34-Inputs!B$23)*(Inputs!B$21+Inputs!B$22),0)</f>
        <v>0</v>
      </c>
      <c r="L35" s="5">
        <f>L34*(1+'Investment returns'!B47)+K35</f>
        <v>0</v>
      </c>
      <c r="N35" s="1">
        <f>IF(Inputs!B$14="Yes",Income!C34*0.02,0)</f>
        <v>0</v>
      </c>
      <c r="O35" s="5">
        <f>O34*(1+'Investment returns'!B47)+N35</f>
        <v>0</v>
      </c>
      <c r="Q35" s="5">
        <f t="shared" si="0"/>
        <v>0</v>
      </c>
      <c r="S35" s="5">
        <f>(Q35/100000)*'Annuity rates'!I33</f>
        <v>0</v>
      </c>
      <c r="T35" s="5">
        <f>(Q35/100000)*'Annuity rates'!J33</f>
        <v>0</v>
      </c>
      <c r="U35" s="5">
        <f>(Q35/100000)*'Annuity rates'!K33</f>
        <v>0</v>
      </c>
      <c r="V35" s="5">
        <f>(Q35/100000)*'Annuity rates'!L33</f>
        <v>0</v>
      </c>
    </row>
    <row r="36" spans="1:22">
      <c r="A36">
        <f t="shared" si="1"/>
        <v>2045</v>
      </c>
      <c r="B36" s="1">
        <f>Income!C35</f>
        <v>54466.412785994798</v>
      </c>
      <c r="C36" s="1">
        <f>B36*Inputs!B$27+B36*Inputs!B$26</f>
        <v>11574.112717023894</v>
      </c>
      <c r="D36" s="1">
        <f>D35*(1+'Investment returns'!B48)+C36+N36*0.5</f>
        <v>306412.09541476046</v>
      </c>
      <c r="E36" s="1"/>
      <c r="F36" s="5">
        <f>(D36/100000)*'Annuity rates'!I34</f>
        <v>7479.5525937886578</v>
      </c>
      <c r="G36" s="5">
        <f>(D36/100000)*'Annuity rates'!J34</f>
        <v>6539.2249644351868</v>
      </c>
      <c r="H36" s="5">
        <f>(D36/100000)*'Annuity rates'!K34</f>
        <v>7479.5525937886578</v>
      </c>
      <c r="I36" s="5">
        <f>(D36/100000)*'Annuity rates'!L34</f>
        <v>7005.7997423586648</v>
      </c>
      <c r="K36" s="5">
        <f>IF(Income!C35&gt;Inputs!B$23,(Income!C35-Inputs!B$23)*(Inputs!B$21+Inputs!B$22),0)</f>
        <v>0</v>
      </c>
      <c r="L36" s="5">
        <f>L35*(1+'Investment returns'!B48)+K36</f>
        <v>0</v>
      </c>
      <c r="N36" s="1">
        <f>IF(Inputs!B$14="Yes",Income!C35*0.02,0)</f>
        <v>0</v>
      </c>
      <c r="O36" s="5">
        <f>O35*(1+'Investment returns'!B48)+N36</f>
        <v>0</v>
      </c>
      <c r="Q36" s="5">
        <f t="shared" si="0"/>
        <v>0</v>
      </c>
      <c r="S36" s="5">
        <f>(Q36/100000)*'Annuity rates'!I34</f>
        <v>0</v>
      </c>
      <c r="T36" s="5">
        <f>(Q36/100000)*'Annuity rates'!J34</f>
        <v>0</v>
      </c>
      <c r="U36" s="5">
        <f>(Q36/100000)*'Annuity rates'!K34</f>
        <v>0</v>
      </c>
      <c r="V36" s="5">
        <f>(Q36/100000)*'Annuity rates'!L34</f>
        <v>0</v>
      </c>
    </row>
    <row r="37" spans="1:22">
      <c r="A37">
        <f t="shared" si="1"/>
        <v>2046</v>
      </c>
      <c r="B37" s="1">
        <f>Income!C36</f>
        <v>55555.741041714697</v>
      </c>
      <c r="C37" s="1">
        <f>B37*Inputs!B$27+B37*Inputs!B$26</f>
        <v>11805.594971364375</v>
      </c>
      <c r="D37" s="1">
        <f>D36*(1+'Investment returns'!B49)+C37+N37*0.5</f>
        <v>323426.69600817573</v>
      </c>
      <c r="E37" s="1"/>
      <c r="F37" s="5">
        <f>(D37/100000)*'Annuity rates'!I35</f>
        <v>7999.8982258890801</v>
      </c>
      <c r="G37" s="5">
        <f>(D37/100000)*'Annuity rates'!J35</f>
        <v>6792.0896306601053</v>
      </c>
      <c r="H37" s="5">
        <f>(D37/100000)*'Annuity rates'!K35</f>
        <v>7999.8982258890801</v>
      </c>
      <c r="I37" s="5">
        <f>(D37/100000)*'Annuity rates'!L35</f>
        <v>7386.2141015925772</v>
      </c>
      <c r="K37" s="5">
        <f>IF(Income!C36&gt;Inputs!B$23,(Income!C36-Inputs!B$23)*(Inputs!B$21+Inputs!B$22),0)</f>
        <v>11.148208342939325</v>
      </c>
      <c r="L37" s="5">
        <f>L36*(1+'Investment returns'!B49)+K37</f>
        <v>11.148208342939325</v>
      </c>
      <c r="N37" s="1">
        <f>IF(Inputs!B$14="Yes",Income!C36*0.02,0)</f>
        <v>0</v>
      </c>
      <c r="O37" s="5">
        <f>O36*(1+'Investment returns'!B49)+N37</f>
        <v>0</v>
      </c>
      <c r="Q37" s="5">
        <f t="shared" si="0"/>
        <v>11.148208342939325</v>
      </c>
      <c r="S37" s="5">
        <f>(Q37/100000)*'Annuity rates'!I35</f>
        <v>0.27574882730851541</v>
      </c>
      <c r="T37" s="5">
        <f>(Q37/100000)*'Annuity rates'!J35</f>
        <v>0.23411682220753538</v>
      </c>
      <c r="U37" s="5">
        <f>(Q37/100000)*'Annuity rates'!K35</f>
        <v>0.27574882730851541</v>
      </c>
      <c r="V37" s="5">
        <f>(Q37/100000)*'Annuity rates'!L35</f>
        <v>0.25459572350214704</v>
      </c>
    </row>
    <row r="38" spans="1:22">
      <c r="A38">
        <f t="shared" si="1"/>
        <v>2047</v>
      </c>
      <c r="B38" s="1">
        <f>Income!C37</f>
        <v>56666.85586254899</v>
      </c>
      <c r="C38" s="1">
        <f>B38*Inputs!B$27+B38*Inputs!B$26</f>
        <v>12041.706870791661</v>
      </c>
      <c r="D38" s="1">
        <f>D37*(1+'Investment returns'!B50)+C38+N38*0.5</f>
        <v>340966.65671110636</v>
      </c>
      <c r="E38" s="1"/>
      <c r="F38" s="5">
        <f>(D38/100000)*'Annuity rates'!I36</f>
        <v>8309.1092022952107</v>
      </c>
      <c r="G38" s="5">
        <f>(D38/100000)*'Annuity rates'!J36</f>
        <v>7054.6165537824263</v>
      </c>
      <c r="H38" s="5">
        <f>(D38/100000)*'Annuity rates'!K36</f>
        <v>8309.1092022952107</v>
      </c>
      <c r="I38" s="5">
        <f>(D38/100000)*'Annuity rates'!L36</f>
        <v>7671.7050428281909</v>
      </c>
      <c r="K38" s="5">
        <f>IF(Income!C37&gt;Inputs!B$23,(Income!C37-Inputs!B$23)*(Inputs!B$21+Inputs!B$22),0)</f>
        <v>233.37117250979793</v>
      </c>
      <c r="L38" s="5">
        <f>L37*(1+'Investment returns'!B50)+K38</f>
        <v>244.70890039456722</v>
      </c>
      <c r="N38" s="1">
        <f>IF(Inputs!B$14="Yes",Income!C37*0.02,0)</f>
        <v>0</v>
      </c>
      <c r="O38" s="5">
        <f>O37*(1+'Investment returns'!B50)+N38</f>
        <v>0</v>
      </c>
      <c r="Q38" s="5">
        <f t="shared" si="0"/>
        <v>244.70890039456722</v>
      </c>
      <c r="S38" s="5">
        <f>(Q38/100000)*'Annuity rates'!I36</f>
        <v>5.9633777559511421</v>
      </c>
      <c r="T38" s="5">
        <f>(Q38/100000)*'Annuity rates'!J36</f>
        <v>5.0630389382739223</v>
      </c>
      <c r="U38" s="5">
        <f>(Q38/100000)*'Annuity rates'!K36</f>
        <v>5.9633777559511421</v>
      </c>
      <c r="V38" s="5">
        <f>(Q38/100000)*'Annuity rates'!L36</f>
        <v>5.5059181542568476</v>
      </c>
    </row>
    <row r="39" spans="1:22">
      <c r="A39">
        <f t="shared" si="1"/>
        <v>2048</v>
      </c>
      <c r="B39" s="1">
        <f>Income!C38</f>
        <v>57800.192979799969</v>
      </c>
      <c r="C39" s="1">
        <f>B39*Inputs!B$27+B39*Inputs!B$26</f>
        <v>12282.541008207492</v>
      </c>
      <c r="D39" s="1">
        <f>D38*(1+'Investment returns'!B51)+C39+N39*0.5</f>
        <v>359045.6308834026</v>
      </c>
      <c r="E39" s="1"/>
      <c r="F39" s="5">
        <f>(D39/100000)*'Annuity rates'!I37</f>
        <v>8620.3750162417891</v>
      </c>
      <c r="G39" s="5">
        <f>(D39/100000)*'Annuity rates'!J37</f>
        <v>7318.8880791930596</v>
      </c>
      <c r="H39" s="5">
        <f>(D39/100000)*'Annuity rates'!K37</f>
        <v>8620.3750162417891</v>
      </c>
      <c r="I39" s="5">
        <f>(D39/100000)*'Annuity rates'!L37</f>
        <v>7959.0931919518489</v>
      </c>
      <c r="K39" s="5">
        <f>IF(Income!C38&gt;Inputs!B$23,(Income!C38-Inputs!B$23)*(Inputs!B$21+Inputs!B$22),0)</f>
        <v>460.03859595999387</v>
      </c>
      <c r="L39" s="5">
        <f>L38*(1+'Investment returns'!B51)+K39</f>
        <v>708.90754766126872</v>
      </c>
      <c r="N39" s="1">
        <f>IF(Inputs!B$14="Yes",Income!C38*0.02,0)</f>
        <v>0</v>
      </c>
      <c r="O39" s="5">
        <f>O38*(1+'Investment returns'!B51)+N39</f>
        <v>0</v>
      </c>
      <c r="Q39" s="5">
        <f t="shared" si="0"/>
        <v>708.90754766126872</v>
      </c>
      <c r="S39" s="5">
        <f>(Q39/100000)*'Annuity rates'!I37</f>
        <v>17.020257000896226</v>
      </c>
      <c r="T39" s="5">
        <f>(Q39/100000)*'Annuity rates'!J37</f>
        <v>14.450572722643559</v>
      </c>
      <c r="U39" s="5">
        <f>(Q39/100000)*'Annuity rates'!K37</f>
        <v>17.020257000896226</v>
      </c>
      <c r="V39" s="5">
        <f>(Q39/100000)*'Annuity rates'!L37</f>
        <v>15.7146077016221</v>
      </c>
    </row>
    <row r="40" spans="1:22">
      <c r="A40">
        <f t="shared" si="1"/>
        <v>2049</v>
      </c>
      <c r="B40" s="1">
        <f>Income!C39</f>
        <v>58956.196839395969</v>
      </c>
      <c r="C40" s="1">
        <f>B40*Inputs!B$27+B40*Inputs!B$26</f>
        <v>12528.191828371644</v>
      </c>
      <c r="D40" s="1">
        <f>D39*(1+'Investment returns'!B52)+C40+N40*0.5</f>
        <v>377677.59843679209</v>
      </c>
      <c r="E40" s="1"/>
      <c r="F40" s="5">
        <f>(D40/100000)*'Annuity rates'!I38</f>
        <v>8933.7068376295265</v>
      </c>
      <c r="G40" s="5">
        <f>(D40/100000)*'Annuity rates'!J38</f>
        <v>7584.9136903835033</v>
      </c>
      <c r="H40" s="5">
        <f>(D40/100000)*'Annuity rates'!K38</f>
        <v>8933.7068376295265</v>
      </c>
      <c r="I40" s="5">
        <f>(D40/100000)*'Annuity rates'!L38</f>
        <v>8248.3888620045236</v>
      </c>
      <c r="K40" s="5">
        <f>IF(Income!C39&gt;Inputs!B$23,(Income!C39-Inputs!B$23)*(Inputs!B$21+Inputs!B$22),0)</f>
        <v>691.23936787919376</v>
      </c>
      <c r="L40" s="5">
        <f>L39*(1+'Investment returns'!B52)+K40</f>
        <v>1412.1983438507041</v>
      </c>
      <c r="N40" s="1">
        <f>IF(Inputs!B$14="Yes",Income!C39*0.02,0)</f>
        <v>0</v>
      </c>
      <c r="O40" s="5">
        <f>O39*(1+'Investment returns'!B52)+N40</f>
        <v>0</v>
      </c>
      <c r="Q40" s="5">
        <f t="shared" si="0"/>
        <v>1412.1983438507041</v>
      </c>
      <c r="S40" s="5">
        <f>(Q40/100000)*'Annuity rates'!I38</f>
        <v>33.404591780837549</v>
      </c>
      <c r="T40" s="5">
        <f>(Q40/100000)*'Annuity rates'!J38</f>
        <v>28.361233486297891</v>
      </c>
      <c r="U40" s="5">
        <f>(Q40/100000)*'Annuity rates'!K38</f>
        <v>33.404591780837549</v>
      </c>
      <c r="V40" s="5">
        <f>(Q40/100000)*'Annuity rates'!L38</f>
        <v>30.842075724300194</v>
      </c>
    </row>
    <row r="41" spans="1:22">
      <c r="A41">
        <f t="shared" si="1"/>
        <v>2050</v>
      </c>
      <c r="B41" s="1">
        <f>Income!C40</f>
        <v>60135.320776183886</v>
      </c>
      <c r="C41" s="1">
        <f>B41*Inputs!B$27+B41*Inputs!B$26</f>
        <v>12778.755664939075</v>
      </c>
      <c r="D41" s="1">
        <f>D40*(1+'Investment returns'!B53)+C41+N41*0.5</f>
        <v>396876.8732751566</v>
      </c>
      <c r="E41" s="1"/>
      <c r="F41" s="5">
        <f>(D41/100000)*'Annuity rates'!I39</f>
        <v>9249.1158934474097</v>
      </c>
      <c r="G41" s="5">
        <f>(D41/100000)*'Annuity rates'!J39</f>
        <v>7852.7029193144572</v>
      </c>
      <c r="H41" s="5">
        <f>(D41/100000)*'Annuity rates'!K39</f>
        <v>9249.1158934474097</v>
      </c>
      <c r="I41" s="5">
        <f>(D41/100000)*'Annuity rates'!L39</f>
        <v>8539.6024187361327</v>
      </c>
      <c r="K41" s="5">
        <f>IF(Income!C40&gt;Inputs!B$23,(Income!C40-Inputs!B$23)*(Inputs!B$21+Inputs!B$22),0)</f>
        <v>927.0641552367772</v>
      </c>
      <c r="L41" s="5">
        <f>L40*(1+'Investment returns'!B53)+K41</f>
        <v>2363.2698709329434</v>
      </c>
      <c r="N41" s="1">
        <f>IF(Inputs!B$14="Yes",Income!C40*0.02,0)</f>
        <v>0</v>
      </c>
      <c r="O41" s="5">
        <f>O40*(1+'Investment returns'!B53)+N41</f>
        <v>0</v>
      </c>
      <c r="Q41" s="5">
        <f t="shared" si="0"/>
        <v>2363.2698709329434</v>
      </c>
      <c r="S41" s="5">
        <f>(Q41/100000)*'Annuity rates'!I39</f>
        <v>55.075411029548533</v>
      </c>
      <c r="T41" s="5">
        <f>(Q41/100000)*'Annuity rates'!J39</f>
        <v>46.760235892446765</v>
      </c>
      <c r="U41" s="5">
        <f>(Q41/100000)*'Annuity rates'!K39</f>
        <v>55.075411029548533</v>
      </c>
      <c r="V41" s="5">
        <f>(Q41/100000)*'Annuity rates'!L39</f>
        <v>50.850494107660793</v>
      </c>
    </row>
    <row r="42" spans="1:22">
      <c r="A42" s="6">
        <f t="shared" si="1"/>
        <v>2051</v>
      </c>
      <c r="B42" s="1">
        <f>Income!C41</f>
        <v>61338.027191707566</v>
      </c>
      <c r="C42" s="1">
        <f>B42*Inputs!B$27+B42*Inputs!B$26</f>
        <v>13034.330778237858</v>
      </c>
      <c r="D42" s="1">
        <f>D41*(1+'Investment returns'!B54)+C42+N42*0.5</f>
        <v>416658.11089907208</v>
      </c>
      <c r="E42" s="7"/>
      <c r="F42" s="5">
        <f>(D42/100000)*'Annuity rates'!I40</f>
        <v>9566.6134680579962</v>
      </c>
      <c r="G42" s="5">
        <f>(D42/100000)*'Annuity rates'!J40</f>
        <v>8122.2653466580405</v>
      </c>
      <c r="H42" s="5">
        <f>(D42/100000)*'Annuity rates'!K40</f>
        <v>9566.6134680579962</v>
      </c>
      <c r="I42" s="5">
        <f>(D42/100000)*'Annuity rates'!L40</f>
        <v>8832.7442808689502</v>
      </c>
      <c r="K42" s="5">
        <f>IF(Income!C41&gt;Inputs!B$23,(Income!C41-Inputs!B$23)*(Inputs!B$21+Inputs!B$22),0)</f>
        <v>1167.6054383415133</v>
      </c>
      <c r="L42" s="5">
        <f>L41*(1+'Investment returns'!B54)+K42</f>
        <v>3571.0508970803166</v>
      </c>
      <c r="N42" s="1">
        <f>IF(Inputs!B$14="Yes",Income!C41*0.02,0)</f>
        <v>0</v>
      </c>
      <c r="O42" s="5">
        <f>O41*(1+'Investment returns'!B54)+N42</f>
        <v>0</v>
      </c>
      <c r="Q42" s="5">
        <f t="shared" si="0"/>
        <v>3571.0508970803166</v>
      </c>
      <c r="S42" s="5">
        <f>(Q42/100000)*'Annuity rates'!I40</f>
        <v>81.992556279324376</v>
      </c>
      <c r="T42" s="5">
        <f>(Q42/100000)*'Annuity rates'!J40</f>
        <v>69.613484518326118</v>
      </c>
      <c r="U42" s="5">
        <f>(Q42/100000)*'Annuity rates'!K40</f>
        <v>81.992556279324376</v>
      </c>
      <c r="V42" s="5">
        <f>(Q42/100000)*'Annuity rates'!L40</f>
        <v>75.702784999950779</v>
      </c>
    </row>
    <row r="43" spans="1:22">
      <c r="A43" s="6">
        <f t="shared" si="1"/>
        <v>2052</v>
      </c>
      <c r="B43" s="1">
        <f>Income!C42</f>
        <v>62564.787735541715</v>
      </c>
      <c r="C43" s="1">
        <f>B43*Inputs!B$27+B43*Inputs!B$26</f>
        <v>13295.017393802613</v>
      </c>
      <c r="D43" s="1">
        <f>D42*(1+'Investment returns'!B55)+C43+N43*0.5</f>
        <v>437036.31617815886</v>
      </c>
      <c r="E43" s="7"/>
      <c r="F43" s="5">
        <f>(D43/100000)*'Annuity rates'!I41</f>
        <v>9886.2109034841014</v>
      </c>
      <c r="G43" s="5">
        <f>(D43/100000)*'Annuity rates'!J41</f>
        <v>8393.610602041208</v>
      </c>
      <c r="H43" s="5">
        <f>(D43/100000)*'Annuity rates'!K41</f>
        <v>9886.2109034841014</v>
      </c>
      <c r="I43" s="5">
        <f>(D43/100000)*'Annuity rates'!L41</f>
        <v>9127.8249203623072</v>
      </c>
      <c r="K43" s="5">
        <f>IF(Income!C42&gt;Inputs!B$23,(Income!C42-Inputs!B$23)*(Inputs!B$21+Inputs!B$22),0)</f>
        <v>1412.9575471083431</v>
      </c>
      <c r="L43" s="5">
        <f>L42*(1+'Investment returns'!B55)+K43</f>
        <v>5044.7163094390253</v>
      </c>
      <c r="N43" s="1">
        <f>IF(Inputs!B$14="Yes",Income!C42*0.02,0)</f>
        <v>0</v>
      </c>
      <c r="O43" s="5">
        <f>O42*(1+'Investment returns'!B55)+N43</f>
        <v>0</v>
      </c>
      <c r="Q43" s="5">
        <f t="shared" si="0"/>
        <v>5044.7163094390253</v>
      </c>
      <c r="S43" s="5">
        <f>(Q43/100000)*'Annuity rates'!I41</f>
        <v>114.11667071399458</v>
      </c>
      <c r="T43" s="5">
        <f>(Q43/100000)*'Annuity rates'!J41</f>
        <v>96.887564560964819</v>
      </c>
      <c r="U43" s="5">
        <f>(Q43/100000)*'Annuity rates'!K41</f>
        <v>114.11667071399458</v>
      </c>
      <c r="V43" s="5">
        <f>(Q43/100000)*'Annuity rates'!L41</f>
        <v>105.36261070506652</v>
      </c>
    </row>
    <row r="44" spans="1:22">
      <c r="A44" s="6">
        <f t="shared" si="1"/>
        <v>2053</v>
      </c>
      <c r="B44" s="1">
        <f>Income!C43</f>
        <v>63816.083490252553</v>
      </c>
      <c r="C44" s="1">
        <f>B44*Inputs!B$27+B44*Inputs!B$26</f>
        <v>13560.917741678668</v>
      </c>
      <c r="D44" s="1">
        <f>D43*(1+'Investment returns'!B56)+C44+N44*0.5</f>
        <v>458026.85129486618</v>
      </c>
      <c r="E44" s="7"/>
      <c r="F44" s="5">
        <f>(D44/100000)*'Annuity rates'!I42</f>
        <v>10207.919599696952</v>
      </c>
      <c r="G44" s="5">
        <f>(D44/100000)*'Annuity rates'!J42</f>
        <v>8666.7483642903826</v>
      </c>
      <c r="H44" s="5">
        <f>(D44/100000)*'Annuity rates'!K42</f>
        <v>10207.919599696952</v>
      </c>
      <c r="I44" s="5">
        <f>(D44/100000)*'Annuity rates'!L42</f>
        <v>9424.8548626786342</v>
      </c>
      <c r="K44" s="5">
        <f>IF(Income!C43&gt;Inputs!B$23,(Income!C43-Inputs!B$23)*(Inputs!B$21+Inputs!B$22),0)</f>
        <v>1663.2166980505108</v>
      </c>
      <c r="L44" s="5">
        <f>L43*(1+'Investment returns'!B56)+K44</f>
        <v>6793.6931847499991</v>
      </c>
      <c r="N44" s="1">
        <f>IF(Inputs!B$14="Yes",Income!C43*0.02,0)</f>
        <v>0</v>
      </c>
      <c r="O44" s="5">
        <f>O43*(1+'Investment returns'!B56)+N44</f>
        <v>0</v>
      </c>
      <c r="Q44" s="5">
        <f t="shared" si="0"/>
        <v>6793.6931847499991</v>
      </c>
      <c r="S44" s="5">
        <f>(Q44/100000)*'Annuity rates'!I42</f>
        <v>151.40918838902672</v>
      </c>
      <c r="T44" s="5">
        <f>(Q44/100000)*'Annuity rates'!J42</f>
        <v>128.54973268481547</v>
      </c>
      <c r="U44" s="5">
        <f>(Q44/100000)*'Annuity rates'!K42</f>
        <v>151.40918838902672</v>
      </c>
      <c r="V44" s="5">
        <f>(Q44/100000)*'Annuity rates'!L42</f>
        <v>139.79436372959955</v>
      </c>
    </row>
    <row r="45" spans="1:22">
      <c r="A45" s="6">
        <f t="shared" si="1"/>
        <v>2054</v>
      </c>
      <c r="B45" s="1">
        <f>Income!C44</f>
        <v>65092.405160057606</v>
      </c>
      <c r="C45" s="1">
        <f>B45*Inputs!B$27+B45*Inputs!B$26</f>
        <v>13832.13609651224</v>
      </c>
      <c r="D45" s="1">
        <f>D44*(1+'Investment returns'!B57)+C45+N45*0.5</f>
        <v>479645.44386339112</v>
      </c>
      <c r="E45" s="7"/>
      <c r="F45" s="5">
        <f>(D45/100000)*'Annuity rates'!I43</f>
        <v>10531.751014905709</v>
      </c>
      <c r="G45" s="5">
        <f>(D45/100000)*'Annuity rates'!J43</f>
        <v>8941.6883616772793</v>
      </c>
      <c r="H45" s="5">
        <f>(D45/100000)*'Annuity rates'!K43</f>
        <v>10531.751014905709</v>
      </c>
      <c r="I45" s="5">
        <f>(D45/100000)*'Annuity rates'!L43</f>
        <v>9723.8446870507796</v>
      </c>
      <c r="K45" s="5">
        <f>IF(Income!C44&gt;Inputs!B$23,(Income!C44-Inputs!B$23)*(Inputs!B$21+Inputs!B$22),0)</f>
        <v>1918.4810320115212</v>
      </c>
      <c r="L45" s="5">
        <f>L44*(1+'Investment returns'!B57)+K45</f>
        <v>8827.6670009022691</v>
      </c>
      <c r="N45" s="1">
        <f>IF(Inputs!B$14="Yes",Income!C44*0.02,0)</f>
        <v>0</v>
      </c>
      <c r="O45" s="5">
        <f>O44*(1+'Investment returns'!B57)+N45</f>
        <v>0</v>
      </c>
      <c r="Q45" s="5">
        <f t="shared" si="0"/>
        <v>8827.6670009022691</v>
      </c>
      <c r="S45" s="5">
        <f>(Q45/100000)*'Annuity rates'!I43</f>
        <v>193.83232361627793</v>
      </c>
      <c r="T45" s="5">
        <f>(Q45/100000)*'Annuity rates'!J43</f>
        <v>164.56790800917486</v>
      </c>
      <c r="U45" s="5">
        <f>(Q45/100000)*'Annuity rates'!K43</f>
        <v>193.83232361627793</v>
      </c>
      <c r="V45" s="5">
        <f>(Q45/100000)*'Annuity rates'!L43</f>
        <v>178.96315698189966</v>
      </c>
    </row>
    <row r="46" spans="1:22">
      <c r="A46" s="6">
        <f t="shared" si="1"/>
        <v>2055</v>
      </c>
      <c r="B46" s="1">
        <f>Income!C45</f>
        <v>66394.253263258754</v>
      </c>
      <c r="C46" s="1">
        <f>B46*Inputs!B$27+B46*Inputs!B$26</f>
        <v>14108.778818442486</v>
      </c>
      <c r="D46" s="1">
        <f>D45*(1+'Investment returns'!B58)+C46+N46*0.5</f>
        <v>501908.19522751123</v>
      </c>
      <c r="E46" s="7"/>
      <c r="F46" s="5">
        <f>(D46/100000)*'Annuity rates'!I44</f>
        <v>10857.716665848468</v>
      </c>
      <c r="G46" s="5">
        <f>(D46/100000)*'Annuity rates'!J44</f>
        <v>9218.4403721659655</v>
      </c>
      <c r="H46" s="5">
        <f>(D46/100000)*'Annuity rates'!K44</f>
        <v>10857.716665848468</v>
      </c>
      <c r="I46" s="5">
        <f>(D46/100000)*'Annuity rates'!L44</f>
        <v>10024.805026750679</v>
      </c>
      <c r="K46" s="5">
        <f>IF(Income!C45&gt;Inputs!B$23,(Income!C45-Inputs!B$23)*(Inputs!B$21+Inputs!B$22),0)</f>
        <v>2178.8506526517508</v>
      </c>
      <c r="L46" s="5">
        <f>L45*(1+'Investment returns'!B58)+K46</f>
        <v>11156.587992569357</v>
      </c>
      <c r="N46" s="1">
        <f>IF(Inputs!B$14="Yes",Income!C45*0.02,0)</f>
        <v>0</v>
      </c>
      <c r="O46" s="5">
        <f>O45*(1+'Investment returns'!B58)+N46</f>
        <v>0</v>
      </c>
      <c r="Q46" s="5">
        <f t="shared" si="0"/>
        <v>11156.587992569357</v>
      </c>
      <c r="S46" s="5">
        <f>(Q46/100000)*'Annuity rates'!I44</f>
        <v>241.34906051098764</v>
      </c>
      <c r="T46" s="5">
        <f>(Q46/100000)*'Annuity rates'!J44</f>
        <v>204.91066323335076</v>
      </c>
      <c r="U46" s="5">
        <f>(Q46/100000)*'Annuity rates'!K44</f>
        <v>241.34906051098764</v>
      </c>
      <c r="V46" s="5">
        <f>(Q46/100000)*'Annuity rates'!L44</f>
        <v>222.83481412093329</v>
      </c>
    </row>
    <row r="47" spans="1:22">
      <c r="A47" s="6">
        <f t="shared" si="1"/>
        <v>2056</v>
      </c>
      <c r="B47" s="1">
        <f>Income!C46</f>
        <v>67722.138328523928</v>
      </c>
      <c r="C47" s="1">
        <f>B47*Inputs!B$27+B47*Inputs!B$26</f>
        <v>14390.954394811335</v>
      </c>
      <c r="D47" s="1">
        <f>D46*(1+'Investment returns'!B59)+C47+N47*0.5</f>
        <v>524831.58894119016</v>
      </c>
      <c r="E47" s="7"/>
      <c r="F47" s="5">
        <f>(D47/100000)*'Annuity rates'!I45</f>
        <v>11185.828128084679</v>
      </c>
      <c r="G47" s="5">
        <f>(D47/100000)*'Annuity rates'!J45</f>
        <v>9497.0142236611355</v>
      </c>
      <c r="H47" s="5">
        <f>(D47/100000)*'Annuity rates'!K45</f>
        <v>11185.828128084679</v>
      </c>
      <c r="I47" s="5">
        <f>(D47/100000)*'Annuity rates'!L45</f>
        <v>10327.746569359357</v>
      </c>
      <c r="K47" s="5">
        <f>IF(Income!C46&gt;Inputs!B$23,(Income!C46-Inputs!B$23)*(Inputs!B$21+Inputs!B$22),0)</f>
        <v>2444.4276657047858</v>
      </c>
      <c r="L47" s="5">
        <f>L46*(1+'Investment returns'!B59)+K47</f>
        <v>13790.677654147821</v>
      </c>
      <c r="N47" s="1">
        <f>IF(Inputs!B$14="Yes",Income!C46*0.02,0)</f>
        <v>0</v>
      </c>
      <c r="O47" s="5">
        <f>O46*(1+'Investment returns'!B59)+N47</f>
        <v>0</v>
      </c>
      <c r="Q47" s="5">
        <f t="shared" si="0"/>
        <v>13790.677654147821</v>
      </c>
      <c r="S47" s="5">
        <f>(Q47/100000)*'Annuity rates'!I45</f>
        <v>293.92314269864022</v>
      </c>
      <c r="T47" s="5">
        <f>(Q47/100000)*'Annuity rates'!J45</f>
        <v>249.54721589756193</v>
      </c>
      <c r="U47" s="5">
        <f>(Q47/100000)*'Annuity rates'!K45</f>
        <v>293.92314269864022</v>
      </c>
      <c r="V47" s="5">
        <f>(Q47/100000)*'Annuity rates'!L45</f>
        <v>271.37586005274824</v>
      </c>
    </row>
    <row r="48" spans="1:22">
      <c r="A48" s="6">
        <f t="shared" si="1"/>
        <v>2057</v>
      </c>
      <c r="B48" s="1">
        <f>Income!C47</f>
        <v>69076.581095094414</v>
      </c>
      <c r="C48" s="1">
        <f>B48*Inputs!B$27+B48*Inputs!B$26</f>
        <v>14678.773482707564</v>
      </c>
      <c r="D48" s="1">
        <f>D47*(1+'Investment returns'!B60)+C48+N48*0.5</f>
        <v>548432.49943589792</v>
      </c>
      <c r="E48" s="7"/>
      <c r="F48" s="5">
        <f>(D48/100000)*'Annuity rates'!I46</f>
        <v>11516.097036289035</v>
      </c>
      <c r="G48" s="5">
        <f>(D48/100000)*'Annuity rates'!J46</f>
        <v>9777.4197942576211</v>
      </c>
      <c r="H48" s="5">
        <f>(D48/100000)*'Annuity rates'!K46</f>
        <v>11516.097036289035</v>
      </c>
      <c r="I48" s="5">
        <f>(D48/100000)*'Annuity rates'!L46</f>
        <v>10632.680057038257</v>
      </c>
      <c r="K48" s="5">
        <f>IF(Income!C47&gt;Inputs!B$23,(Income!C47-Inputs!B$23)*(Inputs!B$21+Inputs!B$22),0)</f>
        <v>2715.3162190188832</v>
      </c>
      <c r="L48" s="5">
        <f>L47*(1+'Investment returns'!B60)+K48</f>
        <v>16740.435393287218</v>
      </c>
      <c r="N48" s="1">
        <f>IF(Inputs!B$14="Yes",Income!C47*0.02,0)</f>
        <v>0</v>
      </c>
      <c r="O48" s="5">
        <f>O47*(1+'Investment returns'!B60)+N48</f>
        <v>0</v>
      </c>
      <c r="Q48" s="5">
        <f t="shared" si="0"/>
        <v>16740.435393287218</v>
      </c>
      <c r="S48" s="5">
        <f>(Q48/100000)*'Annuity rates'!I46</f>
        <v>351.51906317936232</v>
      </c>
      <c r="T48" s="5">
        <f>(Q48/100000)*'Annuity rates'!J46</f>
        <v>298.44741977758815</v>
      </c>
      <c r="U48" s="5">
        <f>(Q48/100000)*'Annuity rates'!K46</f>
        <v>351.51906317936232</v>
      </c>
      <c r="V48" s="5">
        <f>(Q48/100000)*'Annuity rates'!L46</f>
        <v>324.553511572388</v>
      </c>
    </row>
    <row r="49" spans="1:22">
      <c r="A49" s="6">
        <f t="shared" si="1"/>
        <v>2058</v>
      </c>
      <c r="B49" s="1">
        <f>Income!C48</f>
        <v>70458.1127169963</v>
      </c>
      <c r="C49" s="1">
        <f>B49*Inputs!B$27+B49*Inputs!B$26</f>
        <v>14972.348952361714</v>
      </c>
      <c r="D49" s="1">
        <f>D48*(1+'Investment returns'!B61)+C49+N49*0.5</f>
        <v>572728.20087866986</v>
      </c>
      <c r="E49" s="7"/>
      <c r="F49" s="5">
        <f>(D49/100000)*'Annuity rates'!I47</f>
        <v>11848.535084546786</v>
      </c>
      <c r="G49" s="5">
        <f>(D49/100000)*'Annuity rates'!J47</f>
        <v>10059.667012491129</v>
      </c>
      <c r="H49" s="5">
        <f>(D49/100000)*'Annuity rates'!K47</f>
        <v>11848.535084546786</v>
      </c>
      <c r="I49" s="5">
        <f>(D49/100000)*'Annuity rates'!L47</f>
        <v>10939.616286801909</v>
      </c>
      <c r="K49" s="5">
        <f>IF(Income!C48&gt;Inputs!B$23,(Income!C48-Inputs!B$23)*(Inputs!B$21+Inputs!B$22),0)</f>
        <v>2991.6225433992604</v>
      </c>
      <c r="L49" s="5">
        <f>L48*(1+'Investment returns'!B61)+K49</f>
        <v>20016.645338372356</v>
      </c>
      <c r="N49" s="1">
        <f>IF(Inputs!B$14="Yes",Income!C48*0.02,0)</f>
        <v>0</v>
      </c>
      <c r="O49" s="5">
        <f>O48*(1+'Investment returns'!B61)+N49</f>
        <v>0</v>
      </c>
      <c r="Q49" s="5">
        <f t="shared" si="0"/>
        <v>20016.645338372356</v>
      </c>
      <c r="S49" s="5">
        <f>(Q49/100000)*'Annuity rates'!I47</f>
        <v>414.10205434755227</v>
      </c>
      <c r="T49" s="5">
        <f>(Q49/100000)*'Annuity rates'!J47</f>
        <v>351.58175641121642</v>
      </c>
      <c r="U49" s="5">
        <f>(Q49/100000)*'Annuity rates'!K47</f>
        <v>414.10205434755227</v>
      </c>
      <c r="V49" s="5">
        <f>(Q49/100000)*'Annuity rates'!L47</f>
        <v>382.33566814913064</v>
      </c>
    </row>
    <row r="50" spans="1:22">
      <c r="A50" s="6">
        <f t="shared" si="1"/>
        <v>2059</v>
      </c>
      <c r="B50" s="1">
        <f>Income!C49</f>
        <v>71867.274971336228</v>
      </c>
      <c r="C50" s="1">
        <f>B50*Inputs!B$27+B50*Inputs!B$26</f>
        <v>15271.795931408949</v>
      </c>
      <c r="D50" s="1">
        <f>D49*(1+'Investment returns'!B62)+C50+N50*0.5</f>
        <v>597736.3762250162</v>
      </c>
      <c r="E50" s="7"/>
      <c r="F50" s="5">
        <f>(D50/100000)*'Annuity rates'!I48</f>
        <v>12183.154026650553</v>
      </c>
      <c r="G50" s="5">
        <f>(D50/100000)*'Annuity rates'!J48</f>
        <v>10343.765857590231</v>
      </c>
      <c r="H50" s="5">
        <f>(D50/100000)*'Annuity rates'!K48</f>
        <v>12183.154026650553</v>
      </c>
      <c r="I50" s="5">
        <f>(D50/100000)*'Annuity rates'!L48</f>
        <v>11248.56611079197</v>
      </c>
      <c r="K50" s="5">
        <f>IF(Income!C49&gt;Inputs!B$23,(Income!C49-Inputs!B$23)*(Inputs!B$21+Inputs!B$22),0)</f>
        <v>3273.4549942672456</v>
      </c>
      <c r="L50" s="5">
        <f>L49*(1+'Investment returns'!B62)+K50</f>
        <v>23630.383303391929</v>
      </c>
      <c r="N50" s="1">
        <f>IF(Inputs!B$14="Yes",Income!C49*0.02,0)</f>
        <v>0</v>
      </c>
      <c r="O50" s="5">
        <f>O49*(1+'Investment returns'!B62)+N50</f>
        <v>0</v>
      </c>
      <c r="Q50" s="5">
        <f t="shared" si="0"/>
        <v>23630.383303391929</v>
      </c>
      <c r="S50" s="5">
        <f>(Q50/100000)*'Annuity rates'!I48</f>
        <v>481.63807816447667</v>
      </c>
      <c r="T50" s="5">
        <f>(Q50/100000)*'Annuity rates'!J48</f>
        <v>408.92132675455878</v>
      </c>
      <c r="U50" s="5">
        <f>(Q50/100000)*'Annuity rates'!K48</f>
        <v>481.63807816447667</v>
      </c>
      <c r="V50" s="5">
        <f>(Q50/100000)*'Annuity rates'!L48</f>
        <v>444.69090285295971</v>
      </c>
    </row>
    <row r="51" spans="1:22">
      <c r="A51" s="6">
        <f t="shared" si="1"/>
        <v>2060</v>
      </c>
      <c r="B51" s="1">
        <f>Income!C50</f>
        <v>73304.620470762951</v>
      </c>
      <c r="C51" s="1">
        <f>B51*Inputs!B$27+B51*Inputs!B$26</f>
        <v>15577.231850037129</v>
      </c>
      <c r="D51" s="1">
        <f>D50*(1+'Investment returns'!B63)+C51+N51*0.5</f>
        <v>623475.12647087849</v>
      </c>
      <c r="E51" s="7"/>
      <c r="F51" s="5">
        <f>(D51/100000)*'Annuity rates'!I49</f>
        <v>12519.965676398571</v>
      </c>
      <c r="G51" s="5">
        <f>(D51/100000)*'Annuity rates'!J49</f>
        <v>10629.726359729595</v>
      </c>
      <c r="H51" s="5">
        <f>(D51/100000)*'Annuity rates'!K49</f>
        <v>12519.965676398571</v>
      </c>
      <c r="I51" s="5">
        <f>(D51/100000)*'Annuity rates'!L49</f>
        <v>11559.540436552594</v>
      </c>
      <c r="K51" s="5">
        <f>IF(Income!C50&gt;Inputs!B$23,(Income!C50-Inputs!B$23)*(Inputs!B$21+Inputs!B$22),0)</f>
        <v>3560.9240941525904</v>
      </c>
      <c r="L51" s="5">
        <f>L50*(1+'Investment returns'!B63)+K51</f>
        <v>27593.023913702178</v>
      </c>
      <c r="N51" s="1">
        <f>IF(Inputs!B$14="Yes",Income!C50*0.02,0)</f>
        <v>0</v>
      </c>
      <c r="O51" s="5">
        <f>O50*(1+'Investment returns'!B63)+N51</f>
        <v>0</v>
      </c>
      <c r="Q51" s="5">
        <f t="shared" si="0"/>
        <v>27593.023913702178</v>
      </c>
      <c r="S51" s="5">
        <f>(Q51/100000)*'Annuity rates'!I49</f>
        <v>554.09381648159842</v>
      </c>
      <c r="T51" s="5">
        <f>(Q51/100000)*'Annuity rates'!J49</f>
        <v>470.43784296634482</v>
      </c>
      <c r="U51" s="5">
        <f>(Q51/100000)*'Annuity rates'!K49</f>
        <v>554.09381648159842</v>
      </c>
      <c r="V51" s="5">
        <f>(Q51/100000)*'Annuity rates'!L49</f>
        <v>511.58845342020442</v>
      </c>
    </row>
    <row r="52" spans="1:22">
      <c r="A52" s="6">
        <f t="shared" si="1"/>
        <v>2061</v>
      </c>
      <c r="B52" s="1">
        <f>Income!C51</f>
        <v>74770.712880178209</v>
      </c>
      <c r="C52" s="1">
        <f>B52*Inputs!B$27+B52*Inputs!B$26</f>
        <v>15888.776487037871</v>
      </c>
      <c r="D52" s="1">
        <f>D51*(1+'Investment returns'!B64)+C52+N52*0.5</f>
        <v>649962.98010792129</v>
      </c>
      <c r="E52" s="7"/>
      <c r="F52" s="5">
        <f>(D52/100000)*'Annuity rates'!I50</f>
        <v>12858.981907894457</v>
      </c>
      <c r="G52" s="5">
        <f>(D52/100000)*'Annuity rates'!J50</f>
        <v>10917.558600284474</v>
      </c>
      <c r="H52" s="5">
        <f>(D52/100000)*'Annuity rates'!K50</f>
        <v>12858.981907894457</v>
      </c>
      <c r="I52" s="5">
        <f>(D52/100000)*'Annuity rates'!L50</f>
        <v>11872.5502273072</v>
      </c>
      <c r="K52" s="5">
        <f>IF(Income!C51&gt;Inputs!B$23,(Income!C51-Inputs!B$23)*(Inputs!B$21+Inputs!B$22),0)</f>
        <v>3854.1425760356419</v>
      </c>
      <c r="L52" s="5">
        <f>L51*(1+'Investment returns'!B64)+K52</f>
        <v>31916.247896270757</v>
      </c>
      <c r="N52" s="1">
        <f>IF(Inputs!B$14="Yes",Income!C51*0.02,0)</f>
        <v>0</v>
      </c>
      <c r="O52" s="5">
        <f>O51*(1+'Investment returns'!B64)+N52</f>
        <v>0</v>
      </c>
      <c r="Q52" s="5">
        <f t="shared" si="0"/>
        <v>31916.247896270757</v>
      </c>
      <c r="S52" s="5">
        <f>(Q52/100000)*'Annuity rates'!I50</f>
        <v>631.43666151243667</v>
      </c>
      <c r="T52" s="5">
        <f>(Q52/100000)*'Annuity rates'!J50</f>
        <v>536.10362031832187</v>
      </c>
      <c r="U52" s="5">
        <f>(Q52/100000)*'Annuity rates'!K50</f>
        <v>631.43666151243667</v>
      </c>
      <c r="V52" s="5">
        <f>(Q52/100000)*'Annuity rates'!L50</f>
        <v>582.99821345631767</v>
      </c>
    </row>
    <row r="53" spans="1:22">
      <c r="A53" s="6">
        <f t="shared" si="1"/>
        <v>2062</v>
      </c>
      <c r="B53" s="1">
        <f>Income!C52</f>
        <v>76266.127137781776</v>
      </c>
      <c r="C53" s="1">
        <f>B53*Inputs!B$27+B53*Inputs!B$26</f>
        <v>16206.552016778627</v>
      </c>
      <c r="D53" s="1">
        <f>D52*(1+'Investment returns'!B65)+C53+N53*0.5</f>
        <v>677218.90278653451</v>
      </c>
      <c r="E53" s="7"/>
      <c r="F53" s="5">
        <f>(D53/100000)*'Annuity rates'!I51</f>
        <v>13200.214655848407</v>
      </c>
      <c r="G53" s="5">
        <f>(D53/100000)*'Annuity rates'!J51</f>
        <v>11207.272712086455</v>
      </c>
      <c r="H53" s="5">
        <f>(D53/100000)*'Annuity rates'!K51</f>
        <v>13200.214655848407</v>
      </c>
      <c r="I53" s="5">
        <f>(D53/100000)*'Annuity rates'!L51</f>
        <v>12187.606502236566</v>
      </c>
      <c r="K53" s="5">
        <f>IF(Income!C52&gt;Inputs!B$23,(Income!C52-Inputs!B$23)*(Inputs!B$21+Inputs!B$22),0)</f>
        <v>4153.2254275563555</v>
      </c>
      <c r="L53" s="5">
        <f>L52*(1+'Investment returns'!B65)+K53</f>
        <v>36612.049538063715</v>
      </c>
      <c r="N53" s="1">
        <f>IF(Inputs!B$14="Yes",Income!C52*0.02,0)</f>
        <v>0</v>
      </c>
      <c r="O53" s="5">
        <f>O52*(1+'Investment returns'!B65)+N53</f>
        <v>0</v>
      </c>
      <c r="Q53" s="5">
        <f t="shared" si="0"/>
        <v>36612.049538063715</v>
      </c>
      <c r="S53" s="5">
        <f>(Q53/100000)*'Annuity rates'!I51</f>
        <v>713.63470645079281</v>
      </c>
      <c r="T53" s="5">
        <f>(Q53/100000)*'Annuity rates'!J51</f>
        <v>605.89156922992129</v>
      </c>
      <c r="U53" s="5">
        <f>(Q53/100000)*'Annuity rates'!K51</f>
        <v>713.63470645079281</v>
      </c>
      <c r="V53" s="5">
        <f>(Q53/100000)*'Annuity rates'!L51</f>
        <v>658.89072377379136</v>
      </c>
    </row>
    <row r="54" spans="1:22">
      <c r="A54" s="6">
        <f t="shared" si="1"/>
        <v>2063</v>
      </c>
      <c r="B54" s="1">
        <f>Income!C53</f>
        <v>77791.449680537407</v>
      </c>
      <c r="C54" s="1">
        <f>B54*Inputs!B$27+B54*Inputs!B$26</f>
        <v>16530.683057114202</v>
      </c>
      <c r="D54" s="1">
        <f>D53*(1+'Investment returns'!B66)+C54+N54*0.5</f>
        <v>705262.30719101976</v>
      </c>
      <c r="E54" s="7"/>
      <c r="F54" s="5">
        <f>(D54/100000)*'Annuity rates'!I52</f>
        <v>13543.67591587995</v>
      </c>
      <c r="G54" s="5">
        <f>(D54/100000)*'Annuity rates'!J52</f>
        <v>11498.878879680471</v>
      </c>
      <c r="H54" s="5">
        <f>(D54/100000)*'Annuity rates'!K52</f>
        <v>13543.67591587995</v>
      </c>
      <c r="I54" s="5">
        <f>(D54/100000)*'Annuity rates'!L52</f>
        <v>12504.720336758353</v>
      </c>
      <c r="K54" s="5">
        <f>IF(Income!C53&gt;Inputs!B$23,(Income!C53-Inputs!B$23)*(Inputs!B$21+Inputs!B$22),0)</f>
        <v>4458.2899361074815</v>
      </c>
      <c r="L54" s="5">
        <f>L53*(1+'Investment returns'!B66)+K54</f>
        <v>41692.744316318276</v>
      </c>
      <c r="N54" s="1">
        <f>IF(Inputs!B$14="Yes",Income!C53*0.02,0)</f>
        <v>0</v>
      </c>
      <c r="O54" s="5">
        <f>O53*(1+'Investment returns'!B66)+N54</f>
        <v>0</v>
      </c>
      <c r="Q54" s="5">
        <f t="shared" si="0"/>
        <v>41692.744316318276</v>
      </c>
      <c r="S54" s="5">
        <f>(Q54/100000)*'Annuity rates'!I52</f>
        <v>800.65673623320299</v>
      </c>
      <c r="T54" s="5">
        <f>(Q54/100000)*'Annuity rates'!J52</f>
        <v>679.77518742537836</v>
      </c>
      <c r="U54" s="5">
        <f>(Q54/100000)*'Annuity rates'!K52</f>
        <v>800.65673623320299</v>
      </c>
      <c r="V54" s="5">
        <f>(Q54/100000)*'Annuity rates'!L52</f>
        <v>739.23716386323554</v>
      </c>
    </row>
    <row r="55" spans="1:22">
      <c r="A55" s="6">
        <f t="shared" si="1"/>
        <v>2064</v>
      </c>
      <c r="B55" s="1">
        <f>Income!C54</f>
        <v>79347.278674148154</v>
      </c>
      <c r="C55" s="1">
        <f>B55*Inputs!B$27+B55*Inputs!B$26</f>
        <v>16861.296718256483</v>
      </c>
      <c r="D55" s="1">
        <f>D54*(1+'Investment returns'!B67)+C55+N55*0.5</f>
        <v>734113.06313152344</v>
      </c>
      <c r="E55" s="7"/>
      <c r="F55" s="5">
        <f>(D55/100000)*'Annuity rates'!I53</f>
        <v>13889.377744822132</v>
      </c>
      <c r="G55" s="5">
        <f>(D55/100000)*'Annuity rates'!J53</f>
        <v>11792.387339583094</v>
      </c>
      <c r="H55" s="5">
        <f>(D55/100000)*'Annuity rates'!K53</f>
        <v>13889.377744822132</v>
      </c>
      <c r="I55" s="5">
        <f>(D55/100000)*'Annuity rates'!L53</f>
        <v>12823.902862807967</v>
      </c>
      <c r="K55" s="5">
        <f>IF(Income!C54&gt;Inputs!B$23,(Income!C54-Inputs!B$23)*(Inputs!B$21+Inputs!B$22),0)</f>
        <v>4769.4557348296312</v>
      </c>
      <c r="L55" s="5">
        <f>L54*(1+'Investment returns'!B67)+K55</f>
        <v>47170.97670452531</v>
      </c>
      <c r="N55" s="1">
        <f>IF(Inputs!B$14="Yes",Income!C54*0.02,0)</f>
        <v>0</v>
      </c>
      <c r="O55" s="5">
        <f>O54*(1+'Investment returns'!B67)+N55</f>
        <v>0</v>
      </c>
      <c r="Q55" s="5">
        <f t="shared" si="0"/>
        <v>47170.97670452531</v>
      </c>
      <c r="S55" s="5">
        <f>(Q55/100000)*'Annuity rates'!I53</f>
        <v>892.47221844351782</v>
      </c>
      <c r="T55" s="5">
        <f>(Q55/100000)*'Annuity rates'!J53</f>
        <v>757.72855221151974</v>
      </c>
      <c r="U55" s="5">
        <f>(Q55/100000)*'Annuity rates'!K53</f>
        <v>892.47221844351782</v>
      </c>
      <c r="V55" s="5">
        <f>(Q55/100000)*'Annuity rates'!L53</f>
        <v>824.00934349568092</v>
      </c>
    </row>
    <row r="56" spans="1:22">
      <c r="A56" s="6">
        <f t="shared" si="1"/>
        <v>2065</v>
      </c>
      <c r="B56" s="1">
        <f>Income!C55</f>
        <v>80934.224247631122</v>
      </c>
      <c r="C56" s="1">
        <f>B56*Inputs!B$27+B56*Inputs!B$26</f>
        <v>17198.522652621614</v>
      </c>
      <c r="D56" s="1">
        <f>D55*(1+'Investment returns'!B68)+C56+N56*0.5</f>
        <v>763791.5078573809</v>
      </c>
      <c r="E56" s="7"/>
      <c r="F56" s="5">
        <f>(D56/100000)*'Annuity rates'!I54</f>
        <v>14237.332261027266</v>
      </c>
      <c r="G56" s="5">
        <f>(D56/100000)*'Annuity rates'!J54</f>
        <v>12087.808380542099</v>
      </c>
      <c r="H56" s="5">
        <f>(D56/100000)*'Annuity rates'!K54</f>
        <v>14237.332261027266</v>
      </c>
      <c r="I56" s="5">
        <f>(D56/100000)*'Annuity rates'!L54</f>
        <v>13145.16526912084</v>
      </c>
      <c r="K56" s="5">
        <f>IF(Income!C55&gt;Inputs!B$23,(Income!C55-Inputs!B$23)*(Inputs!B$21+Inputs!B$22),0)</f>
        <v>5086.8448495262246</v>
      </c>
      <c r="L56" s="5">
        <f>L55*(1+'Investment returns'!B68)+K56</f>
        <v>53059.728158028462</v>
      </c>
      <c r="N56" s="1">
        <f>IF(Inputs!B$14="Yes",Income!C55*0.02,0)</f>
        <v>0</v>
      </c>
      <c r="O56" s="5">
        <f>O55*(1+'Investment returns'!B68)+N56</f>
        <v>0</v>
      </c>
      <c r="Q56" s="5">
        <f t="shared" si="0"/>
        <v>53059.728158028462</v>
      </c>
      <c r="S56" s="5">
        <f>(Q56/100000)*'Annuity rates'!I54</f>
        <v>989.0512943575344</v>
      </c>
      <c r="T56" s="5">
        <f>(Q56/100000)*'Annuity rates'!J54</f>
        <v>839.72631287445927</v>
      </c>
      <c r="U56" s="5">
        <f>(Q56/100000)*'Annuity rates'!K54</f>
        <v>989.0512943575344</v>
      </c>
      <c r="V56" s="5">
        <f>(Q56/100000)*'Annuity rates'!L54</f>
        <v>913.17969445419078</v>
      </c>
    </row>
    <row r="57" spans="1:22">
      <c r="A57" s="6">
        <f t="shared" si="1"/>
        <v>2066</v>
      </c>
      <c r="B57" s="1">
        <f>Income!C56</f>
        <v>82552.908732583746</v>
      </c>
      <c r="C57" s="1">
        <f>B57*Inputs!B$27+B57*Inputs!B$26</f>
        <v>17542.493105674046</v>
      </c>
      <c r="D57" s="1">
        <f>D56*(1+'Investment returns'!B69)+C57+N57*0.5</f>
        <v>794318.45659663039</v>
      </c>
      <c r="E57" s="7"/>
      <c r="F57" s="5">
        <f>(D57/100000)*'Annuity rates'!I55</f>
        <v>14587.551644674164</v>
      </c>
      <c r="G57" s="5">
        <f>(D57/100000)*'Annuity rates'!J55</f>
        <v>12385.152343797319</v>
      </c>
      <c r="H57" s="5">
        <f>(D57/100000)*'Annuity rates'!K55</f>
        <v>14587.551644674164</v>
      </c>
      <c r="I57" s="5">
        <f>(D57/100000)*'Annuity rates'!L55</f>
        <v>13468.518801516095</v>
      </c>
      <c r="K57" s="5">
        <f>IF(Income!C56&gt;Inputs!B$23,(Income!C56-Inputs!B$23)*(Inputs!B$21+Inputs!B$22),0)</f>
        <v>5410.5817465167493</v>
      </c>
      <c r="L57" s="5">
        <f>L56*(1+'Investment returns'!B69)+K57</f>
        <v>59372.325283231687</v>
      </c>
      <c r="N57" s="1">
        <f>IF(Inputs!B$14="Yes",Income!C56*0.02,0)</f>
        <v>0</v>
      </c>
      <c r="O57" s="5">
        <f>O56*(1+'Investment returns'!B69)+N57</f>
        <v>0</v>
      </c>
      <c r="Q57" s="5">
        <f t="shared" si="0"/>
        <v>59372.325283231687</v>
      </c>
      <c r="S57" s="5">
        <f>(Q57/100000)*'Annuity rates'!I55</f>
        <v>1090.3647701256373</v>
      </c>
      <c r="T57" s="5">
        <f>(Q57/100000)*'Annuity rates'!J55</f>
        <v>925.74368319346593</v>
      </c>
      <c r="U57" s="5">
        <f>(Q57/100000)*'Annuity rates'!K55</f>
        <v>1090.3647701256373</v>
      </c>
      <c r="V57" s="5">
        <f>(Q57/100000)*'Annuity rates'!L55</f>
        <v>1006.7212623928946</v>
      </c>
    </row>
    <row r="58" spans="1:22">
      <c r="A58" s="6">
        <f t="shared" si="1"/>
        <v>2067</v>
      </c>
      <c r="B58" s="1">
        <f>Income!C57</f>
        <v>84203.96690723543</v>
      </c>
      <c r="C58" s="1">
        <f>B58*Inputs!B$27+B58*Inputs!B$26</f>
        <v>17893.342967787528</v>
      </c>
      <c r="D58" s="1">
        <f>D57*(1+'Investment returns'!B70)+C58+N58*0.5</f>
        <v>825715.21332656057</v>
      </c>
      <c r="E58" s="7"/>
      <c r="F58" s="5">
        <f>(D58/100000)*'Annuity rates'!I56</f>
        <v>14940.048138076894</v>
      </c>
      <c r="G58" s="5">
        <f>(D58/100000)*'Annuity rates'!J56</f>
        <v>12684.429623342792</v>
      </c>
      <c r="H58" s="5">
        <f>(D58/100000)*'Annuity rates'!K56</f>
        <v>14940.048138076894</v>
      </c>
      <c r="I58" s="5">
        <f>(D58/100000)*'Annuity rates'!L56</f>
        <v>13793.974763181635</v>
      </c>
      <c r="K58" s="5">
        <f>IF(Income!C57&gt;Inputs!B$23,(Income!C57-Inputs!B$23)*(Inputs!B$21+Inputs!B$22),0)</f>
        <v>5740.7933814470862</v>
      </c>
      <c r="L58" s="5">
        <f>L57*(1+'Investment returns'!B70)+K58</f>
        <v>66122.4481944937</v>
      </c>
      <c r="N58" s="1">
        <f>IF(Inputs!B$14="Yes",Income!C57*0.02,0)</f>
        <v>0</v>
      </c>
      <c r="O58" s="5">
        <f>O57*(1+'Investment returns'!B70)+N58</f>
        <v>0</v>
      </c>
      <c r="Q58" s="5">
        <f t="shared" si="0"/>
        <v>66122.4481944937</v>
      </c>
      <c r="S58" s="5">
        <f>(Q58/100000)*'Annuity rates'!I56</f>
        <v>1196.3841080914415</v>
      </c>
      <c r="T58" s="5">
        <f>(Q58/100000)*'Annuity rates'!J56</f>
        <v>1015.7564340703009</v>
      </c>
      <c r="U58" s="5">
        <f>(Q58/100000)*'Annuity rates'!K56</f>
        <v>1196.3841080914415</v>
      </c>
      <c r="V58" s="5">
        <f>(Q58/100000)*'Annuity rates'!L56</f>
        <v>1104.6076988215909</v>
      </c>
    </row>
    <row r="66" spans="8:8">
      <c r="H66" s="5"/>
    </row>
    <row r="67" spans="8:8">
      <c r="H67" s="5"/>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U71"/>
  <sheetViews>
    <sheetView topLeftCell="A16" workbookViewId="0">
      <selection activeCell="A24" sqref="A24"/>
    </sheetView>
  </sheetViews>
  <sheetFormatPr baseColWidth="10" defaultRowHeight="16"/>
  <sheetData>
    <row r="1" spans="1:9">
      <c r="A1" s="3" t="s">
        <v>19</v>
      </c>
    </row>
    <row r="2" spans="1:9">
      <c r="A2" s="17"/>
      <c r="B2" s="17"/>
      <c r="C2" s="17"/>
      <c r="D2" s="17"/>
      <c r="E2" s="17"/>
      <c r="F2" s="17"/>
      <c r="G2" s="17"/>
      <c r="H2" s="17"/>
      <c r="I2" s="17"/>
    </row>
    <row r="3" spans="1:9">
      <c r="A3" s="91" t="s">
        <v>122</v>
      </c>
      <c r="B3" s="91"/>
      <c r="C3" s="91"/>
      <c r="D3" s="17"/>
      <c r="E3" s="17"/>
      <c r="F3" s="17"/>
      <c r="G3" s="17"/>
      <c r="H3" s="17"/>
      <c r="I3" s="17"/>
    </row>
    <row r="4" spans="1:9" ht="16" customHeight="1">
      <c r="A4" s="92" t="s">
        <v>18</v>
      </c>
      <c r="B4" s="92"/>
      <c r="C4" s="92"/>
      <c r="D4" s="92"/>
      <c r="E4" s="92"/>
      <c r="F4" s="92"/>
      <c r="G4" s="92"/>
      <c r="H4" s="92"/>
      <c r="I4" s="92"/>
    </row>
    <row r="5" spans="1:9">
      <c r="A5" s="92"/>
      <c r="B5" s="92"/>
      <c r="C5" s="92"/>
      <c r="D5" s="92"/>
      <c r="E5" s="92"/>
      <c r="F5" s="92"/>
      <c r="G5" s="92"/>
      <c r="H5" s="92"/>
      <c r="I5" s="92"/>
    </row>
    <row r="6" spans="1:9">
      <c r="A6" s="92"/>
      <c r="B6" s="92"/>
      <c r="C6" s="92"/>
      <c r="D6" s="92"/>
      <c r="E6" s="92"/>
      <c r="F6" s="92"/>
      <c r="G6" s="92"/>
      <c r="H6" s="92"/>
      <c r="I6" s="92"/>
    </row>
    <row r="7" spans="1:9">
      <c r="A7" s="30"/>
      <c r="B7" s="30"/>
      <c r="C7" s="30"/>
      <c r="D7" s="30"/>
      <c r="E7" s="30"/>
      <c r="F7" s="30"/>
      <c r="G7" s="30"/>
      <c r="H7" s="30"/>
      <c r="I7" s="30"/>
    </row>
    <row r="8" spans="1:9" ht="65" customHeight="1">
      <c r="A8" s="84" t="s">
        <v>120</v>
      </c>
      <c r="B8" s="84"/>
      <c r="C8" s="84"/>
      <c r="D8" s="84"/>
      <c r="E8" s="84"/>
      <c r="F8" s="84"/>
      <c r="G8" s="84"/>
      <c r="H8" s="84"/>
      <c r="I8" s="84"/>
    </row>
    <row r="9" spans="1:9" ht="17" customHeight="1">
      <c r="A9" s="91" t="s">
        <v>123</v>
      </c>
      <c r="B9" s="91"/>
      <c r="C9" s="91"/>
      <c r="D9" s="17"/>
      <c r="E9" s="17"/>
      <c r="F9" s="17"/>
      <c r="G9" s="17"/>
      <c r="H9" s="17"/>
      <c r="I9" s="17"/>
    </row>
    <row r="10" spans="1:9" ht="16" customHeight="1">
      <c r="A10" s="84" t="s">
        <v>121</v>
      </c>
      <c r="B10" s="84"/>
      <c r="C10" s="84"/>
      <c r="D10" s="84"/>
      <c r="E10" s="84"/>
      <c r="F10" s="84"/>
      <c r="G10" s="84"/>
      <c r="H10" s="84"/>
      <c r="I10" s="84"/>
    </row>
    <row r="11" spans="1:9">
      <c r="A11" s="84"/>
      <c r="B11" s="84"/>
      <c r="C11" s="84"/>
      <c r="D11" s="84"/>
      <c r="E11" s="84"/>
      <c r="F11" s="84"/>
      <c r="G11" s="84"/>
      <c r="H11" s="84"/>
      <c r="I11" s="84"/>
    </row>
    <row r="12" spans="1:9">
      <c r="A12" s="84"/>
      <c r="B12" s="84"/>
      <c r="C12" s="84"/>
      <c r="D12" s="84"/>
      <c r="E12" s="84"/>
      <c r="F12" s="84"/>
      <c r="G12" s="84"/>
      <c r="H12" s="84"/>
      <c r="I12" s="84"/>
    </row>
    <row r="13" spans="1:9">
      <c r="A13" s="84"/>
      <c r="B13" s="84"/>
      <c r="C13" s="84"/>
      <c r="D13" s="84"/>
      <c r="E13" s="84"/>
      <c r="F13" s="84"/>
      <c r="G13" s="84"/>
      <c r="H13" s="84"/>
      <c r="I13" s="84"/>
    </row>
    <row r="14" spans="1:9">
      <c r="A14" s="84"/>
      <c r="B14" s="84"/>
      <c r="C14" s="84"/>
      <c r="D14" s="84"/>
      <c r="E14" s="84"/>
      <c r="F14" s="84"/>
      <c r="G14" s="84"/>
      <c r="H14" s="84"/>
      <c r="I14" s="84"/>
    </row>
    <row r="15" spans="1:9">
      <c r="A15" s="29"/>
      <c r="B15" s="29"/>
      <c r="C15" s="29"/>
      <c r="D15" s="29"/>
      <c r="E15" s="29"/>
      <c r="F15" s="29"/>
      <c r="G15" s="29"/>
      <c r="H15" s="29"/>
      <c r="I15" s="29"/>
    </row>
    <row r="16" spans="1:9" ht="22" customHeight="1">
      <c r="A16" s="84" t="s">
        <v>124</v>
      </c>
      <c r="B16" s="84"/>
      <c r="C16" s="29"/>
      <c r="D16" s="29"/>
      <c r="E16" s="29"/>
      <c r="F16" s="29"/>
      <c r="G16" s="29"/>
      <c r="H16" s="29"/>
      <c r="I16" s="29"/>
    </row>
    <row r="17" spans="1:21" ht="23" customHeight="1">
      <c r="A17" s="93" t="s">
        <v>109</v>
      </c>
      <c r="B17" s="93"/>
      <c r="C17" s="93"/>
      <c r="D17" s="93"/>
      <c r="E17" s="93"/>
      <c r="F17" s="93"/>
      <c r="G17" s="93"/>
      <c r="H17" s="93"/>
      <c r="I17" s="93"/>
    </row>
    <row r="18" spans="1:21">
      <c r="A18" s="2"/>
      <c r="B18" t="s">
        <v>20</v>
      </c>
      <c r="C18" s="2"/>
      <c r="D18" s="2"/>
      <c r="E18" s="2"/>
      <c r="F18" s="2"/>
      <c r="G18" s="2"/>
      <c r="H18" s="2"/>
      <c r="I18" s="2"/>
    </row>
    <row r="19" spans="1:21" ht="39" customHeight="1">
      <c r="B19" s="4">
        <v>1.22222222222222E-3</v>
      </c>
      <c r="F19" s="87" t="s">
        <v>31</v>
      </c>
      <c r="G19" s="90" t="str">
        <f>'Investment returns (2)'!Z6</f>
        <v>Growth Fund (DC) 50%</v>
      </c>
      <c r="H19" s="90" t="str">
        <f>'Investment returns (2)'!AA6</f>
        <v>Moderate Growth Fund (DC) 50%</v>
      </c>
      <c r="I19" s="90" t="str">
        <f>'Investment returns (2)'!AB6</f>
        <v>Cautious Growth Fund (DC) 50%</v>
      </c>
      <c r="J19" s="90" t="str">
        <f>'Investment returns (2)'!AC6</f>
        <v>Cash fund (DC) 50%</v>
      </c>
      <c r="K19" s="87" t="s">
        <v>95</v>
      </c>
      <c r="L19" s="90" t="str">
        <f>'Investment returns (2)'!AD6</f>
        <v>Growth Fund (DC) 67%</v>
      </c>
      <c r="M19" s="90" t="str">
        <f>'Investment returns (2)'!AE6</f>
        <v>Moderate Growth Fund (DC) 67%</v>
      </c>
      <c r="N19" s="90" t="str">
        <f>'Investment returns (2)'!AF6</f>
        <v>Cautious Growth Fund (DC) 67%</v>
      </c>
      <c r="O19" s="90" t="str">
        <f>'Investment returns (2)'!AG6</f>
        <v>Cash fund (DC) 67%</v>
      </c>
    </row>
    <row r="20" spans="1:21" ht="8" customHeight="1">
      <c r="B20" s="4"/>
      <c r="F20" s="87"/>
      <c r="G20" s="90"/>
      <c r="H20" s="90"/>
      <c r="I20" s="90"/>
      <c r="J20" s="90"/>
      <c r="K20" s="87"/>
      <c r="L20" s="90"/>
      <c r="M20" s="90"/>
      <c r="N20" s="90"/>
      <c r="O20" s="90"/>
    </row>
    <row r="21" spans="1:21">
      <c r="B21" s="58">
        <f>VLOOKUP(Inputs!B30,S23:T32,2,FALSE)</f>
        <v>6</v>
      </c>
      <c r="C21" t="str">
        <f>Inputs!B30</f>
        <v>USS 67%</v>
      </c>
      <c r="D21">
        <f>VLOOKUP(Inputs!B30,S23:T32,2,FALSE)</f>
        <v>6</v>
      </c>
      <c r="F21" s="87"/>
      <c r="G21" s="90"/>
      <c r="H21" s="90"/>
      <c r="I21" s="90"/>
      <c r="J21" s="90"/>
      <c r="K21" s="87"/>
      <c r="L21" s="90"/>
      <c r="M21" s="90"/>
      <c r="N21" s="90"/>
      <c r="O21" s="90"/>
      <c r="U21" t="s">
        <v>175</v>
      </c>
    </row>
    <row r="22" spans="1:21">
      <c r="A22" t="s">
        <v>172</v>
      </c>
      <c r="B22" s="4"/>
      <c r="F22" s="56">
        <v>1</v>
      </c>
      <c r="G22" s="57">
        <v>2</v>
      </c>
      <c r="H22" s="57">
        <v>3</v>
      </c>
      <c r="I22" s="57">
        <v>4</v>
      </c>
      <c r="J22" s="57">
        <v>5</v>
      </c>
      <c r="K22" s="56">
        <v>6</v>
      </c>
      <c r="L22" s="57">
        <v>7</v>
      </c>
      <c r="M22" s="57">
        <v>8</v>
      </c>
      <c r="N22" s="57">
        <v>9</v>
      </c>
      <c r="O22" s="57">
        <v>10</v>
      </c>
      <c r="S22" t="s">
        <v>183</v>
      </c>
      <c r="T22" t="s">
        <v>184</v>
      </c>
    </row>
    <row r="23" spans="1:21">
      <c r="A23">
        <v>2019</v>
      </c>
      <c r="B23" s="4">
        <f>LOOKUP(B$21,F$22:O$22,F23:O23)</f>
        <v>-5.3E-3</v>
      </c>
      <c r="C23" s="4"/>
      <c r="F23" s="4">
        <v>9.7000000000000003E-3</v>
      </c>
      <c r="G23" s="55">
        <f>'Investment returns (2)'!Z7</f>
        <v>1.4061860000000002E-2</v>
      </c>
      <c r="H23" s="55">
        <f>'Investment returns (2)'!AA7</f>
        <v>7.4494999999999995E-3</v>
      </c>
      <c r="I23" s="55">
        <f>'Investment returns (2)'!AB7</f>
        <v>-5.1000000000109118E-7</v>
      </c>
      <c r="J23" s="55">
        <f>'Investment returns (2)'!AC7</f>
        <v>-1.0999999999999999E-2</v>
      </c>
      <c r="K23" s="4">
        <v>-5.3E-3</v>
      </c>
      <c r="L23" s="55">
        <f>'Investment returns (2)'!AD7</f>
        <v>-9.5755000000017102E-4</v>
      </c>
      <c r="M23" s="55">
        <f>'Investment returns (2)'!AE7</f>
        <v>-7.5669064183583341E-3</v>
      </c>
      <c r="N23" s="55">
        <f>'Investment returns (2)'!AF7</f>
        <v>-1.5018418209179252E-2</v>
      </c>
      <c r="O23" s="55">
        <f>'Investment returns (2)'!AG7</f>
        <v>-2.6017908209179253E-2</v>
      </c>
      <c r="S23" t="s">
        <v>31</v>
      </c>
      <c r="T23">
        <v>1</v>
      </c>
      <c r="U23" s="58">
        <f>VLOOKUP(U21,S23:T32,2,FALSE)</f>
        <v>2</v>
      </c>
    </row>
    <row r="24" spans="1:21">
      <c r="A24">
        <f>A23+1</f>
        <v>2020</v>
      </c>
      <c r="B24" s="4">
        <f t="shared" ref="B24:B71" si="0">LOOKUP(B$21,F$22:O$22,F24:O24)</f>
        <v>-5.3E-3</v>
      </c>
      <c r="C24" s="4"/>
      <c r="F24" s="4">
        <v>9.7000000000000003E-3</v>
      </c>
      <c r="G24" s="55">
        <f>'Investment returns (2)'!Z8</f>
        <v>1.4061860000000002E-2</v>
      </c>
      <c r="H24" s="55">
        <f>'Investment returns (2)'!AA8</f>
        <v>7.4494999999999995E-3</v>
      </c>
      <c r="I24" s="55">
        <f>'Investment returns (2)'!AB8</f>
        <v>-5.1000000000109118E-7</v>
      </c>
      <c r="J24" s="55">
        <f>'Investment returns (2)'!AC8</f>
        <v>-1.0999999999999999E-2</v>
      </c>
      <c r="K24" s="4">
        <v>-5.3E-3</v>
      </c>
      <c r="L24" s="55">
        <f>'Investment returns (2)'!AD8</f>
        <v>-9.5755000000017102E-4</v>
      </c>
      <c r="M24" s="55">
        <f>'Investment returns (2)'!AE8</f>
        <v>-7.5669064183583341E-3</v>
      </c>
      <c r="N24" s="55">
        <f>'Investment returns (2)'!AF8</f>
        <v>-1.5018418209179252E-2</v>
      </c>
      <c r="O24" s="55">
        <f>'Investment returns (2)'!AG8</f>
        <v>-2.6017908209179253E-2</v>
      </c>
      <c r="S24" t="s">
        <v>175</v>
      </c>
      <c r="T24">
        <v>2</v>
      </c>
    </row>
    <row r="25" spans="1:21">
      <c r="A25">
        <f t="shared" ref="A25:A49" si="1">A24+1</f>
        <v>2021</v>
      </c>
      <c r="B25" s="4">
        <f t="shared" si="0"/>
        <v>-5.3E-3</v>
      </c>
      <c r="C25" s="4"/>
      <c r="F25" s="4">
        <v>9.7000000000000003E-3</v>
      </c>
      <c r="G25" s="55">
        <f>'Investment returns (2)'!Z9</f>
        <v>1.4061860000000002E-2</v>
      </c>
      <c r="H25" s="55">
        <f>'Investment returns (2)'!AA9</f>
        <v>7.4494999999999995E-3</v>
      </c>
      <c r="I25" s="55">
        <f>'Investment returns (2)'!AB9</f>
        <v>-5.1000000000109118E-7</v>
      </c>
      <c r="J25" s="55">
        <f>'Investment returns (2)'!AC9</f>
        <v>-1.0999999999999999E-2</v>
      </c>
      <c r="K25" s="4">
        <v>-5.3E-3</v>
      </c>
      <c r="L25" s="55">
        <f>'Investment returns (2)'!AD9</f>
        <v>-9.5755000000017102E-4</v>
      </c>
      <c r="M25" s="55">
        <f>'Investment returns (2)'!AE9</f>
        <v>-7.5669064183583341E-3</v>
      </c>
      <c r="N25" s="55">
        <f>'Investment returns (2)'!AF9</f>
        <v>-1.5018418209179252E-2</v>
      </c>
      <c r="O25" s="55">
        <f>'Investment returns (2)'!AG9</f>
        <v>-2.6017908209179253E-2</v>
      </c>
      <c r="S25" t="s">
        <v>176</v>
      </c>
      <c r="T25">
        <v>3</v>
      </c>
    </row>
    <row r="26" spans="1:21">
      <c r="A26">
        <f t="shared" si="1"/>
        <v>2022</v>
      </c>
      <c r="B26" s="4">
        <f t="shared" si="0"/>
        <v>-5.3E-3</v>
      </c>
      <c r="C26" s="4"/>
      <c r="F26" s="4">
        <v>9.7000000000000003E-3</v>
      </c>
      <c r="G26" s="55">
        <f>'Investment returns (2)'!Z10</f>
        <v>1.4061860000000002E-2</v>
      </c>
      <c r="H26" s="55">
        <f>'Investment returns (2)'!AA10</f>
        <v>7.4494999999999995E-3</v>
      </c>
      <c r="I26" s="55">
        <f>'Investment returns (2)'!AB10</f>
        <v>-5.1000000000109118E-7</v>
      </c>
      <c r="J26" s="55">
        <f>'Investment returns (2)'!AC10</f>
        <v>-1.0999999999999999E-2</v>
      </c>
      <c r="K26" s="4">
        <v>-5.3E-3</v>
      </c>
      <c r="L26" s="55">
        <f>'Investment returns (2)'!AD10</f>
        <v>-9.5755000000017102E-4</v>
      </c>
      <c r="M26" s="55">
        <f>'Investment returns (2)'!AE10</f>
        <v>-7.5669064183583341E-3</v>
      </c>
      <c r="N26" s="55">
        <f>'Investment returns (2)'!AF10</f>
        <v>-1.5018418209179252E-2</v>
      </c>
      <c r="O26" s="55">
        <f>'Investment returns (2)'!AG10</f>
        <v>-2.6017908209179253E-2</v>
      </c>
      <c r="S26" t="s">
        <v>177</v>
      </c>
      <c r="T26">
        <v>4</v>
      </c>
    </row>
    <row r="27" spans="1:21">
      <c r="A27">
        <f t="shared" si="1"/>
        <v>2023</v>
      </c>
      <c r="B27" s="4">
        <f t="shared" si="0"/>
        <v>-5.3E-3</v>
      </c>
      <c r="C27" s="4"/>
      <c r="F27" s="4">
        <v>9.7000000000000003E-3</v>
      </c>
      <c r="G27" s="55">
        <f>'Investment returns (2)'!Z11</f>
        <v>1.4061860000000002E-2</v>
      </c>
      <c r="H27" s="55">
        <f>'Investment returns (2)'!AA11</f>
        <v>7.4494999999999995E-3</v>
      </c>
      <c r="I27" s="55">
        <f>'Investment returns (2)'!AB11</f>
        <v>-5.1000000000109118E-7</v>
      </c>
      <c r="J27" s="55">
        <f>'Investment returns (2)'!AC11</f>
        <v>-1.0999999999999999E-2</v>
      </c>
      <c r="K27" s="4">
        <v>-5.3E-3</v>
      </c>
      <c r="L27" s="55">
        <f>'Investment returns (2)'!AD11</f>
        <v>-9.5755000000017102E-4</v>
      </c>
      <c r="M27" s="55">
        <f>'Investment returns (2)'!AE11</f>
        <v>-7.5669064183583341E-3</v>
      </c>
      <c r="N27" s="55">
        <f>'Investment returns (2)'!AF11</f>
        <v>-1.5018418209179252E-2</v>
      </c>
      <c r="O27" s="55">
        <f>'Investment returns (2)'!AG11</f>
        <v>-2.6017908209179253E-2</v>
      </c>
      <c r="S27" t="s">
        <v>178</v>
      </c>
      <c r="T27">
        <v>5</v>
      </c>
    </row>
    <row r="28" spans="1:21">
      <c r="A28">
        <f t="shared" si="1"/>
        <v>2024</v>
      </c>
      <c r="B28" s="4">
        <f t="shared" si="0"/>
        <v>-5.3E-3</v>
      </c>
      <c r="C28" s="4"/>
      <c r="F28" s="4">
        <v>9.7000000000000003E-3</v>
      </c>
      <c r="G28" s="55">
        <f>'Investment returns (2)'!Z12</f>
        <v>1.4061860000000002E-2</v>
      </c>
      <c r="H28" s="55">
        <f>'Investment returns (2)'!AA12</f>
        <v>7.4494999999999995E-3</v>
      </c>
      <c r="I28" s="55">
        <f>'Investment returns (2)'!AB12</f>
        <v>-5.1000000000109118E-7</v>
      </c>
      <c r="J28" s="55">
        <f>'Investment returns (2)'!AC12</f>
        <v>-1.0999999999999999E-2</v>
      </c>
      <c r="K28" s="4">
        <v>-5.3E-3</v>
      </c>
      <c r="L28" s="55">
        <f>'Investment returns (2)'!AD12</f>
        <v>-9.5755000000017102E-4</v>
      </c>
      <c r="M28" s="55">
        <f>'Investment returns (2)'!AE12</f>
        <v>-7.5669064183583341E-3</v>
      </c>
      <c r="N28" s="55">
        <f>'Investment returns (2)'!AF12</f>
        <v>-1.5018418209179252E-2</v>
      </c>
      <c r="O28" s="55">
        <f>'Investment returns (2)'!AG12</f>
        <v>-2.6017908209179253E-2</v>
      </c>
      <c r="S28" t="s">
        <v>95</v>
      </c>
      <c r="T28">
        <v>6</v>
      </c>
    </row>
    <row r="29" spans="1:21">
      <c r="A29">
        <f t="shared" si="1"/>
        <v>2025</v>
      </c>
      <c r="B29" s="4">
        <f t="shared" si="0"/>
        <v>-5.3E-3</v>
      </c>
      <c r="C29" s="4"/>
      <c r="F29" s="4">
        <v>9.7000000000000003E-3</v>
      </c>
      <c r="G29" s="55">
        <f>'Investment returns (2)'!Z13</f>
        <v>1.4061860000000002E-2</v>
      </c>
      <c r="H29" s="55">
        <f>'Investment returns (2)'!AA13</f>
        <v>7.4494999999999995E-3</v>
      </c>
      <c r="I29" s="55">
        <f>'Investment returns (2)'!AB13</f>
        <v>-5.1000000000109118E-7</v>
      </c>
      <c r="J29" s="55">
        <f>'Investment returns (2)'!AC13</f>
        <v>-1.0999999999999999E-2</v>
      </c>
      <c r="K29" s="4">
        <v>-5.3E-3</v>
      </c>
      <c r="L29" s="55">
        <f>'Investment returns (2)'!AD13</f>
        <v>-9.5755000000017102E-4</v>
      </c>
      <c r="M29" s="55">
        <f>'Investment returns (2)'!AE13</f>
        <v>-7.5669064183583341E-3</v>
      </c>
      <c r="N29" s="55">
        <f>'Investment returns (2)'!AF13</f>
        <v>-1.5018418209179252E-2</v>
      </c>
      <c r="O29" s="55">
        <f>'Investment returns (2)'!AG13</f>
        <v>-2.6017908209179253E-2</v>
      </c>
      <c r="S29" t="s">
        <v>179</v>
      </c>
      <c r="T29">
        <v>7</v>
      </c>
    </row>
    <row r="30" spans="1:21">
      <c r="A30">
        <f t="shared" si="1"/>
        <v>2026</v>
      </c>
      <c r="B30" s="4">
        <f t="shared" si="0"/>
        <v>-5.3E-3</v>
      </c>
      <c r="C30" s="4"/>
      <c r="F30" s="4">
        <v>9.7000000000000003E-3</v>
      </c>
      <c r="G30" s="55">
        <f>'Investment returns (2)'!Z14</f>
        <v>1.4061860000000002E-2</v>
      </c>
      <c r="H30" s="55">
        <f>'Investment returns (2)'!AA14</f>
        <v>7.4494999999999995E-3</v>
      </c>
      <c r="I30" s="55">
        <f>'Investment returns (2)'!AB14</f>
        <v>-5.1000000000109118E-7</v>
      </c>
      <c r="J30" s="55">
        <f>'Investment returns (2)'!AC14</f>
        <v>-1.0999999999999999E-2</v>
      </c>
      <c r="K30" s="4">
        <v>-5.3E-3</v>
      </c>
      <c r="L30" s="55">
        <f>'Investment returns (2)'!AD14</f>
        <v>-9.5755000000017102E-4</v>
      </c>
      <c r="M30" s="55">
        <f>'Investment returns (2)'!AE14</f>
        <v>-7.5669064183583341E-3</v>
      </c>
      <c r="N30" s="55">
        <f>'Investment returns (2)'!AF14</f>
        <v>-1.5018418209179252E-2</v>
      </c>
      <c r="O30" s="55">
        <f>'Investment returns (2)'!AG14</f>
        <v>-2.6017908209179253E-2</v>
      </c>
      <c r="S30" t="s">
        <v>180</v>
      </c>
      <c r="T30">
        <v>8</v>
      </c>
    </row>
    <row r="31" spans="1:21">
      <c r="A31">
        <f t="shared" si="1"/>
        <v>2027</v>
      </c>
      <c r="B31" s="4">
        <f t="shared" si="0"/>
        <v>-5.3E-3</v>
      </c>
      <c r="C31" s="4"/>
      <c r="F31" s="4">
        <v>9.7000000000000003E-3</v>
      </c>
      <c r="G31" s="55">
        <f>'Investment returns (2)'!Z15</f>
        <v>1.4061860000000002E-2</v>
      </c>
      <c r="H31" s="55">
        <f>'Investment returns (2)'!AA15</f>
        <v>7.4494999999999995E-3</v>
      </c>
      <c r="I31" s="55">
        <f>'Investment returns (2)'!AB15</f>
        <v>-5.1000000000109118E-7</v>
      </c>
      <c r="J31" s="55">
        <f>'Investment returns (2)'!AC15</f>
        <v>-1.0999999999999999E-2</v>
      </c>
      <c r="K31" s="4">
        <v>-5.3E-3</v>
      </c>
      <c r="L31" s="55">
        <f>'Investment returns (2)'!AD15</f>
        <v>-9.5755000000017102E-4</v>
      </c>
      <c r="M31" s="55">
        <f>'Investment returns (2)'!AE15</f>
        <v>-7.5669064183583341E-3</v>
      </c>
      <c r="N31" s="55">
        <f>'Investment returns (2)'!AF15</f>
        <v>-1.5018418209179252E-2</v>
      </c>
      <c r="O31" s="55">
        <f>'Investment returns (2)'!AG15</f>
        <v>-2.6017908209179253E-2</v>
      </c>
      <c r="S31" t="s">
        <v>181</v>
      </c>
      <c r="T31">
        <v>9</v>
      </c>
    </row>
    <row r="32" spans="1:21">
      <c r="A32">
        <f t="shared" si="1"/>
        <v>2028</v>
      </c>
      <c r="B32" s="4">
        <f t="shared" si="0"/>
        <v>-5.3E-3</v>
      </c>
      <c r="C32" s="4"/>
      <c r="F32" s="4">
        <v>9.7000000000000003E-3</v>
      </c>
      <c r="G32" s="55">
        <f>'Investment returns (2)'!Z16</f>
        <v>1.4061860000000002E-2</v>
      </c>
      <c r="H32" s="55">
        <f>'Investment returns (2)'!AA16</f>
        <v>7.4494999999999995E-3</v>
      </c>
      <c r="I32" s="55">
        <f>'Investment returns (2)'!AB16</f>
        <v>-5.1000000000109118E-7</v>
      </c>
      <c r="J32" s="55">
        <f>'Investment returns (2)'!AC16</f>
        <v>-1.0999999999999999E-2</v>
      </c>
      <c r="K32" s="4">
        <v>-5.3E-3</v>
      </c>
      <c r="L32" s="55">
        <f>'Investment returns (2)'!AD16</f>
        <v>-9.5755000000017102E-4</v>
      </c>
      <c r="M32" s="55">
        <f>'Investment returns (2)'!AE16</f>
        <v>-7.5669064183583341E-3</v>
      </c>
      <c r="N32" s="55">
        <f>'Investment returns (2)'!AF16</f>
        <v>-1.5018418209179252E-2</v>
      </c>
      <c r="O32" s="55">
        <f>'Investment returns (2)'!AG16</f>
        <v>-2.6017908209179253E-2</v>
      </c>
      <c r="S32" t="s">
        <v>182</v>
      </c>
      <c r="T32">
        <v>10</v>
      </c>
    </row>
    <row r="33" spans="1:15">
      <c r="A33">
        <f t="shared" si="1"/>
        <v>2029</v>
      </c>
      <c r="B33" s="4">
        <f t="shared" si="0"/>
        <v>2.7999999999999997E-2</v>
      </c>
      <c r="C33" s="4"/>
      <c r="F33" s="4">
        <v>4.0300000000000002E-2</v>
      </c>
      <c r="G33" s="55">
        <f>'Investment returns (2)'!Z17</f>
        <v>3.8095570000000002E-2</v>
      </c>
      <c r="H33" s="55">
        <f>'Investment returns (2)'!AA17</f>
        <v>3.2019039999999999E-2</v>
      </c>
      <c r="I33" s="55">
        <f>'Investment returns (2)'!AB17</f>
        <v>2.6789159999999996E-2</v>
      </c>
      <c r="J33" s="55">
        <f>'Investment returns (2)'!AC17</f>
        <v>-2.8999999999999998E-3</v>
      </c>
      <c r="K33" s="4">
        <v>2.7999999999999997E-2</v>
      </c>
      <c r="L33" s="55">
        <f>'Investment returns (2)'!AD17</f>
        <v>2.5768549999999994E-2</v>
      </c>
      <c r="M33" s="55">
        <f>'Investment returns (2)'!AE17</f>
        <v>1.9694485157484246E-2</v>
      </c>
      <c r="N33" s="55">
        <f>'Investment returns (2)'!AF17</f>
        <v>1.4463372578742121E-2</v>
      </c>
      <c r="O33" s="55">
        <f>'Investment returns (2)'!AG17</f>
        <v>-1.5225787421257879E-2</v>
      </c>
    </row>
    <row r="34" spans="1:15">
      <c r="A34">
        <f t="shared" si="1"/>
        <v>2030</v>
      </c>
      <c r="B34" s="4">
        <f t="shared" si="0"/>
        <v>2.7999999999999997E-2</v>
      </c>
      <c r="C34" s="4"/>
      <c r="F34" s="4">
        <v>4.0300000000000002E-2</v>
      </c>
      <c r="G34" s="55">
        <f>'Investment returns (2)'!Z18</f>
        <v>3.8095570000000002E-2</v>
      </c>
      <c r="H34" s="55">
        <f>'Investment returns (2)'!AA18</f>
        <v>3.2019039999999999E-2</v>
      </c>
      <c r="I34" s="55">
        <f>'Investment returns (2)'!AB18</f>
        <v>2.6789159999999996E-2</v>
      </c>
      <c r="J34" s="55">
        <f>'Investment returns (2)'!AC18</f>
        <v>-2.8999999999999998E-3</v>
      </c>
      <c r="K34" s="4">
        <f t="shared" ref="K34:K42" si="2">K33-E$19</f>
        <v>2.7999999999999997E-2</v>
      </c>
      <c r="L34" s="55">
        <f>'Investment returns (2)'!AD18</f>
        <v>2.5768549999999994E-2</v>
      </c>
      <c r="M34" s="55">
        <f>'Investment returns (2)'!AE18</f>
        <v>1.9694485157484246E-2</v>
      </c>
      <c r="N34" s="55">
        <f>'Investment returns (2)'!AF18</f>
        <v>1.4463372578742121E-2</v>
      </c>
      <c r="O34" s="55">
        <f>'Investment returns (2)'!AG18</f>
        <v>-1.5225787421257879E-2</v>
      </c>
    </row>
    <row r="35" spans="1:15">
      <c r="A35">
        <f t="shared" si="1"/>
        <v>2031</v>
      </c>
      <c r="B35" s="4">
        <f t="shared" si="0"/>
        <v>2.7999999999999997E-2</v>
      </c>
      <c r="C35" s="4"/>
      <c r="F35" s="4">
        <v>4.0300000000000002E-2</v>
      </c>
      <c r="G35" s="55">
        <f>'Investment returns (2)'!Z19</f>
        <v>3.8095570000000002E-2</v>
      </c>
      <c r="H35" s="55">
        <f>'Investment returns (2)'!AA19</f>
        <v>3.2019039999999999E-2</v>
      </c>
      <c r="I35" s="55">
        <f>'Investment returns (2)'!AB19</f>
        <v>2.6789159999999996E-2</v>
      </c>
      <c r="J35" s="55">
        <f>'Investment returns (2)'!AC19</f>
        <v>-2.8999999999999998E-3</v>
      </c>
      <c r="K35" s="4">
        <f t="shared" si="2"/>
        <v>2.7999999999999997E-2</v>
      </c>
      <c r="L35" s="55">
        <f>'Investment returns (2)'!AD19</f>
        <v>2.5768549999999994E-2</v>
      </c>
      <c r="M35" s="55">
        <f>'Investment returns (2)'!AE19</f>
        <v>1.9694485157484246E-2</v>
      </c>
      <c r="N35" s="55">
        <f>'Investment returns (2)'!AF19</f>
        <v>1.4463372578742121E-2</v>
      </c>
      <c r="O35" s="55">
        <f>'Investment returns (2)'!AG19</f>
        <v>-1.5225787421257879E-2</v>
      </c>
    </row>
    <row r="36" spans="1:15">
      <c r="A36">
        <f t="shared" si="1"/>
        <v>2032</v>
      </c>
      <c r="B36" s="4">
        <f t="shared" si="0"/>
        <v>2.7999999999999997E-2</v>
      </c>
      <c r="C36" s="4"/>
      <c r="F36" s="4">
        <v>4.0300000000000002E-2</v>
      </c>
      <c r="G36" s="55">
        <f>'Investment returns (2)'!Z20</f>
        <v>3.8095570000000002E-2</v>
      </c>
      <c r="H36" s="55">
        <f>'Investment returns (2)'!AA20</f>
        <v>3.2019039999999999E-2</v>
      </c>
      <c r="I36" s="55">
        <f>'Investment returns (2)'!AB20</f>
        <v>2.6789159999999996E-2</v>
      </c>
      <c r="J36" s="55">
        <f>'Investment returns (2)'!AC20</f>
        <v>-2.8999999999999998E-3</v>
      </c>
      <c r="K36" s="4">
        <f t="shared" si="2"/>
        <v>2.7999999999999997E-2</v>
      </c>
      <c r="L36" s="55">
        <f>'Investment returns (2)'!AD20</f>
        <v>2.5768549999999994E-2</v>
      </c>
      <c r="M36" s="55">
        <f>'Investment returns (2)'!AE20</f>
        <v>1.9694485157484246E-2</v>
      </c>
      <c r="N36" s="55">
        <f>'Investment returns (2)'!AF20</f>
        <v>1.4463372578742121E-2</v>
      </c>
      <c r="O36" s="55">
        <f>'Investment returns (2)'!AG20</f>
        <v>-1.5225787421257879E-2</v>
      </c>
    </row>
    <row r="37" spans="1:15">
      <c r="A37">
        <f t="shared" si="1"/>
        <v>2033</v>
      </c>
      <c r="B37" s="4">
        <f t="shared" si="0"/>
        <v>2.7999999999999997E-2</v>
      </c>
      <c r="C37" s="4"/>
      <c r="F37" s="4">
        <v>4.0300000000000002E-2</v>
      </c>
      <c r="G37" s="55">
        <f>'Investment returns (2)'!Z21</f>
        <v>3.8095570000000002E-2</v>
      </c>
      <c r="H37" s="55">
        <f>'Investment returns (2)'!AA21</f>
        <v>3.2019039999999999E-2</v>
      </c>
      <c r="I37" s="55">
        <f>'Investment returns (2)'!AB21</f>
        <v>2.6789159999999996E-2</v>
      </c>
      <c r="J37" s="55">
        <f>'Investment returns (2)'!AC21</f>
        <v>-2.8999999999999998E-3</v>
      </c>
      <c r="K37" s="4">
        <f t="shared" si="2"/>
        <v>2.7999999999999997E-2</v>
      </c>
      <c r="L37" s="55">
        <f>'Investment returns (2)'!AD21</f>
        <v>2.5768549999999994E-2</v>
      </c>
      <c r="M37" s="55">
        <f>'Investment returns (2)'!AE21</f>
        <v>1.9694485157484246E-2</v>
      </c>
      <c r="N37" s="55">
        <f>'Investment returns (2)'!AF21</f>
        <v>1.4463372578742121E-2</v>
      </c>
      <c r="O37" s="55">
        <f>'Investment returns (2)'!AG21</f>
        <v>-1.5225787421257879E-2</v>
      </c>
    </row>
    <row r="38" spans="1:15">
      <c r="A38">
        <f t="shared" si="1"/>
        <v>2034</v>
      </c>
      <c r="B38" s="4">
        <f t="shared" si="0"/>
        <v>2.7999999999999997E-2</v>
      </c>
      <c r="C38" s="4"/>
      <c r="F38" s="4">
        <v>4.0300000000000002E-2</v>
      </c>
      <c r="G38" s="55">
        <f>'Investment returns (2)'!Z22</f>
        <v>3.8095570000000002E-2</v>
      </c>
      <c r="H38" s="55">
        <f>'Investment returns (2)'!AA22</f>
        <v>3.2019039999999999E-2</v>
      </c>
      <c r="I38" s="55">
        <f>'Investment returns (2)'!AB22</f>
        <v>2.6789159999999996E-2</v>
      </c>
      <c r="J38" s="55">
        <f>'Investment returns (2)'!AC22</f>
        <v>-2.8999999999999998E-3</v>
      </c>
      <c r="K38" s="4">
        <f t="shared" si="2"/>
        <v>2.7999999999999997E-2</v>
      </c>
      <c r="L38" s="55">
        <f>'Investment returns (2)'!AD22</f>
        <v>2.5768549999999994E-2</v>
      </c>
      <c r="M38" s="55">
        <f>'Investment returns (2)'!AE22</f>
        <v>1.9694485157484246E-2</v>
      </c>
      <c r="N38" s="55">
        <f>'Investment returns (2)'!AF22</f>
        <v>1.4463372578742121E-2</v>
      </c>
      <c r="O38" s="55">
        <f>'Investment returns (2)'!AG22</f>
        <v>-1.5225787421257879E-2</v>
      </c>
    </row>
    <row r="39" spans="1:15">
      <c r="A39">
        <f t="shared" si="1"/>
        <v>2035</v>
      </c>
      <c r="B39" s="4">
        <f t="shared" si="0"/>
        <v>2.7999999999999997E-2</v>
      </c>
      <c r="C39" s="4"/>
      <c r="F39" s="4">
        <v>4.0300000000000002E-2</v>
      </c>
      <c r="G39" s="55">
        <f>'Investment returns (2)'!Z23</f>
        <v>3.8095570000000002E-2</v>
      </c>
      <c r="H39" s="55">
        <f>'Investment returns (2)'!AA23</f>
        <v>3.2019039999999999E-2</v>
      </c>
      <c r="I39" s="55">
        <f>'Investment returns (2)'!AB23</f>
        <v>2.6789159999999996E-2</v>
      </c>
      <c r="J39" s="55">
        <f>'Investment returns (2)'!AC23</f>
        <v>-2.8999999999999998E-3</v>
      </c>
      <c r="K39" s="4">
        <f t="shared" si="2"/>
        <v>2.7999999999999997E-2</v>
      </c>
      <c r="L39" s="55">
        <f>'Investment returns (2)'!AD23</f>
        <v>2.5768549999999994E-2</v>
      </c>
      <c r="M39" s="55">
        <f>'Investment returns (2)'!AE23</f>
        <v>1.9694485157484246E-2</v>
      </c>
      <c r="N39" s="55">
        <f>'Investment returns (2)'!AF23</f>
        <v>1.4463372578742121E-2</v>
      </c>
      <c r="O39" s="55">
        <f>'Investment returns (2)'!AG23</f>
        <v>-1.5225787421257879E-2</v>
      </c>
    </row>
    <row r="40" spans="1:15">
      <c r="A40">
        <f t="shared" si="1"/>
        <v>2036</v>
      </c>
      <c r="B40" s="4">
        <f t="shared" si="0"/>
        <v>2.7999999999999997E-2</v>
      </c>
      <c r="C40" s="4"/>
      <c r="F40" s="4">
        <v>4.0300000000000002E-2</v>
      </c>
      <c r="G40" s="55">
        <f>'Investment returns (2)'!Z24</f>
        <v>3.8095570000000002E-2</v>
      </c>
      <c r="H40" s="55">
        <f>'Investment returns (2)'!AA24</f>
        <v>3.2019039999999999E-2</v>
      </c>
      <c r="I40" s="55">
        <f>'Investment returns (2)'!AB24</f>
        <v>2.6789159999999996E-2</v>
      </c>
      <c r="J40" s="55">
        <f>'Investment returns (2)'!AC24</f>
        <v>-2.8999999999999998E-3</v>
      </c>
      <c r="K40" s="4">
        <f t="shared" si="2"/>
        <v>2.7999999999999997E-2</v>
      </c>
      <c r="L40" s="55">
        <f>'Investment returns (2)'!AD24</f>
        <v>2.5768549999999994E-2</v>
      </c>
      <c r="M40" s="55">
        <f>'Investment returns (2)'!AE24</f>
        <v>1.9694485157484246E-2</v>
      </c>
      <c r="N40" s="55">
        <f>'Investment returns (2)'!AF24</f>
        <v>1.4463372578742121E-2</v>
      </c>
      <c r="O40" s="55">
        <f>'Investment returns (2)'!AG24</f>
        <v>-1.5225787421257879E-2</v>
      </c>
    </row>
    <row r="41" spans="1:15">
      <c r="A41">
        <f t="shared" si="1"/>
        <v>2037</v>
      </c>
      <c r="B41" s="4">
        <f t="shared" si="0"/>
        <v>2.7999999999999997E-2</v>
      </c>
      <c r="C41" s="4"/>
      <c r="F41" s="4">
        <v>4.0300000000000002E-2</v>
      </c>
      <c r="G41" s="55">
        <f>'Investment returns (2)'!Z25</f>
        <v>3.8095570000000002E-2</v>
      </c>
      <c r="H41" s="55">
        <f>'Investment returns (2)'!AA25</f>
        <v>3.2019039999999999E-2</v>
      </c>
      <c r="I41" s="55">
        <f>'Investment returns (2)'!AB25</f>
        <v>2.6789159999999996E-2</v>
      </c>
      <c r="J41" s="55">
        <f>'Investment returns (2)'!AC25</f>
        <v>-2.8999999999999998E-3</v>
      </c>
      <c r="K41" s="4">
        <f t="shared" si="2"/>
        <v>2.7999999999999997E-2</v>
      </c>
      <c r="L41" s="55">
        <f>'Investment returns (2)'!AD25</f>
        <v>2.5768549999999994E-2</v>
      </c>
      <c r="M41" s="55">
        <f>'Investment returns (2)'!AE25</f>
        <v>1.9694485157484246E-2</v>
      </c>
      <c r="N41" s="55">
        <f>'Investment returns (2)'!AF25</f>
        <v>1.4463372578742121E-2</v>
      </c>
      <c r="O41" s="55">
        <f>'Investment returns (2)'!AG25</f>
        <v>-1.5225787421257879E-2</v>
      </c>
    </row>
    <row r="42" spans="1:15">
      <c r="A42">
        <f t="shared" si="1"/>
        <v>2038</v>
      </c>
      <c r="B42" s="4">
        <f t="shared" si="0"/>
        <v>2.7999999999999997E-2</v>
      </c>
      <c r="C42" s="4"/>
      <c r="F42" s="4">
        <v>4.0300000000000002E-2</v>
      </c>
      <c r="G42" s="55">
        <f>'Investment returns (2)'!Z26</f>
        <v>3.8095570000000002E-2</v>
      </c>
      <c r="H42" s="55">
        <f>'Investment returns (2)'!AA26</f>
        <v>3.2019039999999999E-2</v>
      </c>
      <c r="I42" s="55">
        <f>'Investment returns (2)'!AB26</f>
        <v>2.6789159999999996E-2</v>
      </c>
      <c r="J42" s="55">
        <f>'Investment returns (2)'!AC26</f>
        <v>-2.8999999999999998E-3</v>
      </c>
      <c r="K42" s="4">
        <f t="shared" si="2"/>
        <v>2.7999999999999997E-2</v>
      </c>
      <c r="L42" s="55">
        <f>'Investment returns (2)'!AD26</f>
        <v>2.5768549999999994E-2</v>
      </c>
      <c r="M42" s="55">
        <f>'Investment returns (2)'!AE26</f>
        <v>1.9694485157484246E-2</v>
      </c>
      <c r="N42" s="55">
        <f>'Investment returns (2)'!AF26</f>
        <v>1.4463372578742121E-2</v>
      </c>
      <c r="O42" s="55">
        <f>'Investment returns (2)'!AG26</f>
        <v>-1.5225787421257879E-2</v>
      </c>
    </row>
    <row r="43" spans="1:15">
      <c r="A43">
        <f t="shared" si="1"/>
        <v>2039</v>
      </c>
      <c r="B43" s="4">
        <f t="shared" si="0"/>
        <v>1.7000000000000001E-2</v>
      </c>
      <c r="C43" s="4"/>
      <c r="F43" s="4">
        <v>2.5000000000000001E-2</v>
      </c>
      <c r="G43" s="55">
        <f>'Investment returns (2)'!Z27</f>
        <v>2.6078714999999999E-2</v>
      </c>
      <c r="H43" s="55">
        <f>'Investment returns (2)'!AA27</f>
        <v>1.9734270000000002E-2</v>
      </c>
      <c r="I43" s="55">
        <f>'Investment returns (2)'!AB27</f>
        <v>1.3394324999999999E-2</v>
      </c>
      <c r="J43" s="55">
        <f>'Investment returns (2)'!AC27</f>
        <v>-6.9499999999999996E-3</v>
      </c>
      <c r="K43" s="4">
        <v>1.7000000000000001E-2</v>
      </c>
      <c r="L43" s="55">
        <f>'Investment returns (2)'!AD27</f>
        <v>1.8055500000000002E-2</v>
      </c>
      <c r="M43" s="55">
        <f>'Investment returns (2)'!AE27</f>
        <v>1.1712659482551745E-2</v>
      </c>
      <c r="N43" s="55">
        <f>'Investment returns (2)'!AF27</f>
        <v>5.3719122412758738E-3</v>
      </c>
      <c r="O43" s="55">
        <f>'Investment returns (2)'!AG27</f>
        <v>-1.4972412758724126E-2</v>
      </c>
    </row>
    <row r="44" spans="1:15">
      <c r="A44">
        <f t="shared" si="1"/>
        <v>2040</v>
      </c>
      <c r="B44" s="4">
        <f t="shared" si="0"/>
        <v>1.7000000000000001E-2</v>
      </c>
      <c r="C44" s="4"/>
      <c r="F44" s="4">
        <v>2.5000000000000001E-2</v>
      </c>
      <c r="G44" s="55">
        <f>'Investment returns (2)'!Z28</f>
        <v>2.6078714999999999E-2</v>
      </c>
      <c r="H44" s="55">
        <f>'Investment returns (2)'!AA28</f>
        <v>1.9734270000000002E-2</v>
      </c>
      <c r="I44" s="55">
        <f>'Investment returns (2)'!AB28</f>
        <v>1.3394324999999999E-2</v>
      </c>
      <c r="J44" s="55">
        <f>'Investment returns (2)'!AC28</f>
        <v>-6.9499999999999996E-3</v>
      </c>
      <c r="K44" s="4">
        <v>1.7000000000000001E-2</v>
      </c>
      <c r="L44" s="55">
        <f>'Investment returns (2)'!AD28</f>
        <v>1.8055500000000002E-2</v>
      </c>
      <c r="M44" s="55">
        <f>'Investment returns (2)'!AE28</f>
        <v>1.1712659482551745E-2</v>
      </c>
      <c r="N44" s="55">
        <f>'Investment returns (2)'!AF28</f>
        <v>5.3719122412758738E-3</v>
      </c>
      <c r="O44" s="55">
        <f>'Investment returns (2)'!AG28</f>
        <v>-1.4972412758724126E-2</v>
      </c>
    </row>
    <row r="45" spans="1:15">
      <c r="A45">
        <f t="shared" si="1"/>
        <v>2041</v>
      </c>
      <c r="B45" s="4">
        <f t="shared" si="0"/>
        <v>1.7000000000000001E-2</v>
      </c>
      <c r="C45" s="4"/>
      <c r="F45" s="4">
        <v>2.5000000000000001E-2</v>
      </c>
      <c r="G45" s="55">
        <f>'Investment returns (2)'!Z29</f>
        <v>2.6078714999999999E-2</v>
      </c>
      <c r="H45" s="55">
        <f>'Investment returns (2)'!AA29</f>
        <v>1.9734270000000002E-2</v>
      </c>
      <c r="I45" s="55">
        <f>'Investment returns (2)'!AB29</f>
        <v>1.3394324999999999E-2</v>
      </c>
      <c r="J45" s="55">
        <f>'Investment returns (2)'!AC29</f>
        <v>-6.9499999999999996E-3</v>
      </c>
      <c r="K45" s="4">
        <v>1.7000000000000001E-2</v>
      </c>
      <c r="L45" s="55">
        <f>'Investment returns (2)'!AD29</f>
        <v>1.8055500000000002E-2</v>
      </c>
      <c r="M45" s="55">
        <f>'Investment returns (2)'!AE29</f>
        <v>1.1712659482551745E-2</v>
      </c>
      <c r="N45" s="55">
        <f>'Investment returns (2)'!AF29</f>
        <v>5.3719122412758738E-3</v>
      </c>
      <c r="O45" s="55">
        <f>'Investment returns (2)'!AG29</f>
        <v>-1.4972412758724126E-2</v>
      </c>
    </row>
    <row r="46" spans="1:15">
      <c r="A46">
        <f t="shared" si="1"/>
        <v>2042</v>
      </c>
      <c r="B46" s="4">
        <f t="shared" si="0"/>
        <v>1.7000000000000001E-2</v>
      </c>
      <c r="C46" s="4"/>
      <c r="F46" s="4">
        <v>2.5000000000000001E-2</v>
      </c>
      <c r="G46" s="55">
        <f>'Investment returns (2)'!Z30</f>
        <v>2.6078714999999999E-2</v>
      </c>
      <c r="H46" s="55">
        <f>'Investment returns (2)'!AA30</f>
        <v>1.9734270000000002E-2</v>
      </c>
      <c r="I46" s="55">
        <f>'Investment returns (2)'!AB30</f>
        <v>1.3394324999999999E-2</v>
      </c>
      <c r="J46" s="55">
        <f>'Investment returns (2)'!AC30</f>
        <v>-6.9499999999999996E-3</v>
      </c>
      <c r="K46" s="4">
        <v>1.7000000000000001E-2</v>
      </c>
      <c r="L46" s="55">
        <f>'Investment returns (2)'!AD30</f>
        <v>1.8055500000000002E-2</v>
      </c>
      <c r="M46" s="55">
        <f>'Investment returns (2)'!AE30</f>
        <v>1.1712659482551745E-2</v>
      </c>
      <c r="N46" s="55">
        <f>'Investment returns (2)'!AF30</f>
        <v>5.3719122412758738E-3</v>
      </c>
      <c r="O46" s="55">
        <f>'Investment returns (2)'!AG30</f>
        <v>-1.4972412758724126E-2</v>
      </c>
    </row>
    <row r="47" spans="1:15">
      <c r="A47">
        <f t="shared" si="1"/>
        <v>2043</v>
      </c>
      <c r="B47" s="4">
        <f t="shared" si="0"/>
        <v>1.7000000000000001E-2</v>
      </c>
      <c r="C47" s="4"/>
      <c r="F47" s="4">
        <v>2.5000000000000001E-2</v>
      </c>
      <c r="G47" s="55">
        <f>'Investment returns (2)'!Z31</f>
        <v>2.6078714999999999E-2</v>
      </c>
      <c r="H47" s="55">
        <f>'Investment returns (2)'!AA31</f>
        <v>1.9734270000000002E-2</v>
      </c>
      <c r="I47" s="55">
        <f>'Investment returns (2)'!AB31</f>
        <v>1.3394324999999999E-2</v>
      </c>
      <c r="J47" s="55">
        <f>'Investment returns (2)'!AC31</f>
        <v>-6.9499999999999996E-3</v>
      </c>
      <c r="K47" s="4">
        <v>1.7000000000000001E-2</v>
      </c>
      <c r="L47" s="55">
        <f>'Investment returns (2)'!AD31</f>
        <v>1.8055500000000002E-2</v>
      </c>
      <c r="M47" s="55">
        <f>'Investment returns (2)'!AE31</f>
        <v>1.1712659482551745E-2</v>
      </c>
      <c r="N47" s="55">
        <f>'Investment returns (2)'!AF31</f>
        <v>5.3719122412758738E-3</v>
      </c>
      <c r="O47" s="55">
        <f>'Investment returns (2)'!AG31</f>
        <v>-1.4972412758724126E-2</v>
      </c>
    </row>
    <row r="48" spans="1:15">
      <c r="A48">
        <f t="shared" si="1"/>
        <v>2044</v>
      </c>
      <c r="B48" s="4">
        <f t="shared" si="0"/>
        <v>1.7000000000000001E-2</v>
      </c>
      <c r="C48" s="4"/>
      <c r="F48" s="4">
        <v>2.5000000000000001E-2</v>
      </c>
      <c r="G48" s="55">
        <f>'Investment returns (2)'!Z32</f>
        <v>2.6078714999999999E-2</v>
      </c>
      <c r="H48" s="55">
        <f>'Investment returns (2)'!AA32</f>
        <v>1.9734270000000002E-2</v>
      </c>
      <c r="I48" s="55">
        <f>'Investment returns (2)'!AB32</f>
        <v>1.3394324999999999E-2</v>
      </c>
      <c r="J48" s="55">
        <f>'Investment returns (2)'!AC32</f>
        <v>-6.9499999999999996E-3</v>
      </c>
      <c r="K48" s="4">
        <v>1.7000000000000001E-2</v>
      </c>
      <c r="L48" s="55">
        <f>'Investment returns (2)'!AD32</f>
        <v>1.8055500000000002E-2</v>
      </c>
      <c r="M48" s="55">
        <f>'Investment returns (2)'!AE32</f>
        <v>1.1712659482551745E-2</v>
      </c>
      <c r="N48" s="55">
        <f>'Investment returns (2)'!AF32</f>
        <v>5.3719122412758738E-3</v>
      </c>
      <c r="O48" s="55">
        <f>'Investment returns (2)'!AG32</f>
        <v>-1.4972412758724126E-2</v>
      </c>
    </row>
    <row r="49" spans="1:15">
      <c r="A49">
        <f t="shared" si="1"/>
        <v>2045</v>
      </c>
      <c r="B49" s="4">
        <f t="shared" si="0"/>
        <v>1.7000000000000001E-2</v>
      </c>
      <c r="C49" s="4"/>
      <c r="F49" s="4">
        <v>2.5000000000000001E-2</v>
      </c>
      <c r="G49" s="55">
        <f>'Investment returns (2)'!Z33</f>
        <v>2.6078714999999999E-2</v>
      </c>
      <c r="H49" s="55">
        <f>'Investment returns (2)'!AA33</f>
        <v>1.9734270000000002E-2</v>
      </c>
      <c r="I49" s="55">
        <f>'Investment returns (2)'!AB33</f>
        <v>1.3394324999999999E-2</v>
      </c>
      <c r="J49" s="55">
        <f>'Investment returns (2)'!AC33</f>
        <v>-6.9499999999999996E-3</v>
      </c>
      <c r="K49" s="4">
        <v>1.7000000000000001E-2</v>
      </c>
      <c r="L49" s="55">
        <f>'Investment returns (2)'!AD33</f>
        <v>1.8055500000000002E-2</v>
      </c>
      <c r="M49" s="55">
        <f>'Investment returns (2)'!AE33</f>
        <v>1.1712659482551745E-2</v>
      </c>
      <c r="N49" s="55">
        <f>'Investment returns (2)'!AF33</f>
        <v>5.3719122412758738E-3</v>
      </c>
      <c r="O49" s="55">
        <f>'Investment returns (2)'!AG33</f>
        <v>-1.4972412758724126E-2</v>
      </c>
    </row>
    <row r="50" spans="1:15">
      <c r="A50">
        <f t="shared" ref="A50:A61" si="3">A49+1</f>
        <v>2046</v>
      </c>
      <c r="B50" s="4">
        <f t="shared" si="0"/>
        <v>1.7000000000000001E-2</v>
      </c>
      <c r="C50" s="4"/>
      <c r="F50" s="4">
        <v>2.5000000000000001E-2</v>
      </c>
      <c r="G50" s="55">
        <f>'Investment returns (2)'!Z34</f>
        <v>2.6078714999999999E-2</v>
      </c>
      <c r="H50" s="55">
        <f>'Investment returns (2)'!AA34</f>
        <v>1.9734270000000002E-2</v>
      </c>
      <c r="I50" s="55">
        <f>'Investment returns (2)'!AB34</f>
        <v>1.3394324999999999E-2</v>
      </c>
      <c r="J50" s="55">
        <f>'Investment returns (2)'!AC34</f>
        <v>-6.9499999999999996E-3</v>
      </c>
      <c r="K50" s="4">
        <v>1.7000000000000001E-2</v>
      </c>
      <c r="L50" s="55">
        <f>'Investment returns (2)'!AD34</f>
        <v>1.8055500000000002E-2</v>
      </c>
      <c r="M50" s="55">
        <f>'Investment returns (2)'!AE34</f>
        <v>1.1712659482551745E-2</v>
      </c>
      <c r="N50" s="55">
        <f>'Investment returns (2)'!AF34</f>
        <v>5.3719122412758738E-3</v>
      </c>
      <c r="O50" s="55">
        <f>'Investment returns (2)'!AG34</f>
        <v>-1.4972412758724126E-2</v>
      </c>
    </row>
    <row r="51" spans="1:15">
      <c r="A51">
        <f t="shared" si="3"/>
        <v>2047</v>
      </c>
      <c r="B51" s="4">
        <f t="shared" si="0"/>
        <v>1.7000000000000001E-2</v>
      </c>
      <c r="C51" s="4"/>
      <c r="F51" s="4">
        <v>2.5000000000000001E-2</v>
      </c>
      <c r="G51" s="55">
        <f>'Investment returns (2)'!Z35</f>
        <v>2.6078714999999999E-2</v>
      </c>
      <c r="H51" s="55">
        <f>'Investment returns (2)'!AA35</f>
        <v>1.9734270000000002E-2</v>
      </c>
      <c r="I51" s="55">
        <f>'Investment returns (2)'!AB35</f>
        <v>1.3394324999999999E-2</v>
      </c>
      <c r="J51" s="55">
        <f>'Investment returns (2)'!AC35</f>
        <v>-6.9499999999999996E-3</v>
      </c>
      <c r="K51" s="4">
        <v>1.7000000000000001E-2</v>
      </c>
      <c r="L51" s="55">
        <f>'Investment returns (2)'!AD35</f>
        <v>1.8055500000000002E-2</v>
      </c>
      <c r="M51" s="55">
        <f>'Investment returns (2)'!AE35</f>
        <v>1.1712659482551745E-2</v>
      </c>
      <c r="N51" s="55">
        <f>'Investment returns (2)'!AF35</f>
        <v>5.3719122412758738E-3</v>
      </c>
      <c r="O51" s="55">
        <f>'Investment returns (2)'!AG35</f>
        <v>-1.4972412758724126E-2</v>
      </c>
    </row>
    <row r="52" spans="1:15">
      <c r="A52">
        <f t="shared" si="3"/>
        <v>2048</v>
      </c>
      <c r="B52" s="4">
        <f t="shared" si="0"/>
        <v>1.7000000000000001E-2</v>
      </c>
      <c r="C52" s="4"/>
      <c r="F52" s="4">
        <v>2.5000000000000001E-2</v>
      </c>
      <c r="G52" s="55">
        <f>'Investment returns (2)'!Z36</f>
        <v>2.6078714999999999E-2</v>
      </c>
      <c r="H52" s="55">
        <f>'Investment returns (2)'!AA36</f>
        <v>1.9734270000000002E-2</v>
      </c>
      <c r="I52" s="55">
        <f>'Investment returns (2)'!AB36</f>
        <v>1.3394324999999999E-2</v>
      </c>
      <c r="J52" s="55">
        <f>'Investment returns (2)'!AC36</f>
        <v>-6.9499999999999996E-3</v>
      </c>
      <c r="K52" s="4">
        <v>1.7000000000000001E-2</v>
      </c>
      <c r="L52" s="55">
        <f>'Investment returns (2)'!AD36</f>
        <v>1.8055500000000002E-2</v>
      </c>
      <c r="M52" s="55">
        <f>'Investment returns (2)'!AE36</f>
        <v>1.1712659482551745E-2</v>
      </c>
      <c r="N52" s="55">
        <f>'Investment returns (2)'!AF36</f>
        <v>5.3719122412758738E-3</v>
      </c>
      <c r="O52" s="55">
        <f>'Investment returns (2)'!AG36</f>
        <v>-1.4972412758724126E-2</v>
      </c>
    </row>
    <row r="53" spans="1:15">
      <c r="A53">
        <f t="shared" si="3"/>
        <v>2049</v>
      </c>
      <c r="B53" s="4">
        <f t="shared" si="0"/>
        <v>1.7000000000000001E-2</v>
      </c>
      <c r="C53" s="4"/>
      <c r="F53" s="4">
        <v>0.03</v>
      </c>
      <c r="G53" s="55">
        <f>'Investment returns (2)'!Z37</f>
        <v>3.000856E-2</v>
      </c>
      <c r="H53" s="55">
        <f>'Investment returns (2)'!AA37</f>
        <v>2.3758689999999999E-2</v>
      </c>
      <c r="I53" s="55">
        <f>'Investment returns (2)'!AB37</f>
        <v>1.7782129999999997E-2</v>
      </c>
      <c r="J53" s="55">
        <f>'Investment returns (2)'!AC37</f>
        <v>-5.5999999999999999E-3</v>
      </c>
      <c r="K53" s="4">
        <v>1.7000000000000001E-2</v>
      </c>
      <c r="L53" s="55">
        <f>'Investment returns (2)'!AD37</f>
        <v>1.6641285099999851E-2</v>
      </c>
      <c r="M53" s="55">
        <f>'Investment returns (2)'!AE37</f>
        <v>1.0394088287661083E-2</v>
      </c>
      <c r="N53" s="55">
        <f>'Investment returns (2)'!AF37</f>
        <v>4.4161916938304643E-3</v>
      </c>
      <c r="O53" s="55">
        <f>'Investment returns (2)'!AG37</f>
        <v>-1.8965938306169536E-2</v>
      </c>
    </row>
    <row r="54" spans="1:15">
      <c r="A54">
        <f t="shared" si="3"/>
        <v>2050</v>
      </c>
      <c r="B54" s="4">
        <f t="shared" si="0"/>
        <v>1.7000000000000001E-2</v>
      </c>
      <c r="C54" s="4"/>
      <c r="F54" s="4">
        <v>0.03</v>
      </c>
      <c r="G54" s="55">
        <f>'Investment returns (2)'!Z38</f>
        <v>3.000856E-2</v>
      </c>
      <c r="H54" s="55">
        <f>'Investment returns (2)'!AA38</f>
        <v>2.3758689999999999E-2</v>
      </c>
      <c r="I54" s="55">
        <f>'Investment returns (2)'!AB38</f>
        <v>1.7782129999999997E-2</v>
      </c>
      <c r="J54" s="55">
        <f>'Investment returns (2)'!AC38</f>
        <v>-5.5999999999999999E-3</v>
      </c>
      <c r="K54" s="4">
        <v>1.7000000000000001E-2</v>
      </c>
      <c r="L54" s="55">
        <f>'Investment returns (2)'!AD38</f>
        <v>1.6641285099999851E-2</v>
      </c>
      <c r="M54" s="55">
        <f>'Investment returns (2)'!AE38</f>
        <v>1.0394088287661083E-2</v>
      </c>
      <c r="N54" s="55">
        <f>'Investment returns (2)'!AF38</f>
        <v>4.4161916938304643E-3</v>
      </c>
      <c r="O54" s="55">
        <f>'Investment returns (2)'!AG38</f>
        <v>-1.8965938306169536E-2</v>
      </c>
    </row>
    <row r="55" spans="1:15">
      <c r="A55">
        <f t="shared" si="3"/>
        <v>2051</v>
      </c>
      <c r="B55" s="4">
        <f t="shared" si="0"/>
        <v>1.7000000000000001E-2</v>
      </c>
      <c r="C55" s="4"/>
      <c r="F55" s="4">
        <v>0.03</v>
      </c>
      <c r="G55" s="55">
        <f>'Investment returns (2)'!Z39</f>
        <v>3.000856E-2</v>
      </c>
      <c r="H55" s="55">
        <f>'Investment returns (2)'!AA39</f>
        <v>2.3758689999999999E-2</v>
      </c>
      <c r="I55" s="55">
        <f>'Investment returns (2)'!AB39</f>
        <v>1.7782129999999997E-2</v>
      </c>
      <c r="J55" s="55">
        <f>'Investment returns (2)'!AC39</f>
        <v>-5.5999999999999999E-3</v>
      </c>
      <c r="K55" s="4">
        <v>1.7000000000000001E-2</v>
      </c>
      <c r="L55" s="55">
        <f>'Investment returns (2)'!AD39</f>
        <v>1.6641285099999851E-2</v>
      </c>
      <c r="M55" s="55">
        <f>'Investment returns (2)'!AE39</f>
        <v>1.0394088287661083E-2</v>
      </c>
      <c r="N55" s="55">
        <f>'Investment returns (2)'!AF39</f>
        <v>4.4161916938304643E-3</v>
      </c>
      <c r="O55" s="55">
        <f>'Investment returns (2)'!AG39</f>
        <v>-1.8965938306169536E-2</v>
      </c>
    </row>
    <row r="56" spans="1:15">
      <c r="A56">
        <f t="shared" si="3"/>
        <v>2052</v>
      </c>
      <c r="B56" s="4">
        <f t="shared" si="0"/>
        <v>1.7000000000000001E-2</v>
      </c>
      <c r="C56" s="4"/>
      <c r="F56" s="4">
        <v>0.03</v>
      </c>
      <c r="G56" s="55">
        <f>'Investment returns (2)'!Z40</f>
        <v>3.000856E-2</v>
      </c>
      <c r="H56" s="55">
        <f>'Investment returns (2)'!AA40</f>
        <v>2.3758689999999999E-2</v>
      </c>
      <c r="I56" s="55">
        <f>'Investment returns (2)'!AB40</f>
        <v>1.7782129999999997E-2</v>
      </c>
      <c r="J56" s="55">
        <f>'Investment returns (2)'!AC40</f>
        <v>-5.5999999999999999E-3</v>
      </c>
      <c r="K56" s="4">
        <v>1.7000000000000001E-2</v>
      </c>
      <c r="L56" s="55">
        <f>'Investment returns (2)'!AD40</f>
        <v>1.6641285099999851E-2</v>
      </c>
      <c r="M56" s="55">
        <f>'Investment returns (2)'!AE40</f>
        <v>1.0394088287661083E-2</v>
      </c>
      <c r="N56" s="55">
        <f>'Investment returns (2)'!AF40</f>
        <v>4.4161916938304643E-3</v>
      </c>
      <c r="O56" s="55">
        <f>'Investment returns (2)'!AG40</f>
        <v>-1.8965938306169536E-2</v>
      </c>
    </row>
    <row r="57" spans="1:15">
      <c r="A57">
        <f t="shared" si="3"/>
        <v>2053</v>
      </c>
      <c r="B57" s="4">
        <f t="shared" si="0"/>
        <v>1.7000000000000001E-2</v>
      </c>
      <c r="C57" s="4"/>
      <c r="F57" s="4">
        <v>0.03</v>
      </c>
      <c r="G57" s="55">
        <f>'Investment returns (2)'!Z41</f>
        <v>3.000856E-2</v>
      </c>
      <c r="H57" s="55">
        <f>'Investment returns (2)'!AA41</f>
        <v>2.3758689999999999E-2</v>
      </c>
      <c r="I57" s="55">
        <f>'Investment returns (2)'!AB41</f>
        <v>1.7782129999999997E-2</v>
      </c>
      <c r="J57" s="55">
        <f>'Investment returns (2)'!AC41</f>
        <v>-5.5999999999999999E-3</v>
      </c>
      <c r="K57" s="4">
        <v>1.7000000000000001E-2</v>
      </c>
      <c r="L57" s="55">
        <f>'Investment returns (2)'!AD41</f>
        <v>1.6641285099999851E-2</v>
      </c>
      <c r="M57" s="55">
        <f>'Investment returns (2)'!AE41</f>
        <v>1.0394088287661083E-2</v>
      </c>
      <c r="N57" s="55">
        <f>'Investment returns (2)'!AF41</f>
        <v>4.4161916938304643E-3</v>
      </c>
      <c r="O57" s="55">
        <f>'Investment returns (2)'!AG41</f>
        <v>-1.8965938306169536E-2</v>
      </c>
    </row>
    <row r="58" spans="1:15">
      <c r="A58">
        <f t="shared" si="3"/>
        <v>2054</v>
      </c>
      <c r="B58" s="4">
        <f t="shared" si="0"/>
        <v>1.7000000000000001E-2</v>
      </c>
      <c r="C58" s="4"/>
      <c r="F58" s="4">
        <v>0.03</v>
      </c>
      <c r="G58" s="55">
        <f>'Investment returns (2)'!Z42</f>
        <v>3.000856E-2</v>
      </c>
      <c r="H58" s="55">
        <f>'Investment returns (2)'!AA42</f>
        <v>2.3758689999999999E-2</v>
      </c>
      <c r="I58" s="55">
        <f>'Investment returns (2)'!AB42</f>
        <v>1.7782129999999997E-2</v>
      </c>
      <c r="J58" s="55">
        <f>'Investment returns (2)'!AC42</f>
        <v>-5.5999999999999999E-3</v>
      </c>
      <c r="K58" s="4">
        <v>1.7000000000000001E-2</v>
      </c>
      <c r="L58" s="55">
        <f>'Investment returns (2)'!AD42</f>
        <v>1.6641285099999851E-2</v>
      </c>
      <c r="M58" s="55">
        <f>'Investment returns (2)'!AE42</f>
        <v>1.0394088287661083E-2</v>
      </c>
      <c r="N58" s="55">
        <f>'Investment returns (2)'!AF42</f>
        <v>4.4161916938304643E-3</v>
      </c>
      <c r="O58" s="55">
        <f>'Investment returns (2)'!AG42</f>
        <v>-1.8965938306169536E-2</v>
      </c>
    </row>
    <row r="59" spans="1:15">
      <c r="A59">
        <f t="shared" si="3"/>
        <v>2055</v>
      </c>
      <c r="B59" s="4">
        <f t="shared" si="0"/>
        <v>1.7000000000000001E-2</v>
      </c>
      <c r="C59" s="4"/>
      <c r="F59" s="4">
        <v>0.03</v>
      </c>
      <c r="G59" s="55">
        <f>'Investment returns (2)'!Z43</f>
        <v>3.000856E-2</v>
      </c>
      <c r="H59" s="55">
        <f>'Investment returns (2)'!AA43</f>
        <v>2.3758689999999999E-2</v>
      </c>
      <c r="I59" s="55">
        <f>'Investment returns (2)'!AB43</f>
        <v>1.7782129999999997E-2</v>
      </c>
      <c r="J59" s="55">
        <f>'Investment returns (2)'!AC43</f>
        <v>-5.5999999999999999E-3</v>
      </c>
      <c r="K59" s="4">
        <v>1.7000000000000001E-2</v>
      </c>
      <c r="L59" s="55">
        <f>'Investment returns (2)'!AD43</f>
        <v>1.6641285099999851E-2</v>
      </c>
      <c r="M59" s="55">
        <f>'Investment returns (2)'!AE43</f>
        <v>1.0394088287661083E-2</v>
      </c>
      <c r="N59" s="55">
        <f>'Investment returns (2)'!AF43</f>
        <v>4.4161916938304643E-3</v>
      </c>
      <c r="O59" s="55">
        <f>'Investment returns (2)'!AG43</f>
        <v>-1.8965938306169536E-2</v>
      </c>
    </row>
    <row r="60" spans="1:15">
      <c r="A60">
        <f t="shared" si="3"/>
        <v>2056</v>
      </c>
      <c r="B60" s="4">
        <f t="shared" si="0"/>
        <v>1.7000000000000001E-2</v>
      </c>
      <c r="C60" s="4"/>
      <c r="F60" s="4">
        <v>0.03</v>
      </c>
      <c r="G60" s="55">
        <f>'Investment returns (2)'!Z44</f>
        <v>3.000856E-2</v>
      </c>
      <c r="H60" s="55">
        <f>'Investment returns (2)'!AA44</f>
        <v>2.3758689999999999E-2</v>
      </c>
      <c r="I60" s="55">
        <f>'Investment returns (2)'!AB44</f>
        <v>1.7782129999999997E-2</v>
      </c>
      <c r="J60" s="55">
        <f>'Investment returns (2)'!AC44</f>
        <v>-5.5999999999999999E-3</v>
      </c>
      <c r="K60" s="4">
        <v>1.7000000000000001E-2</v>
      </c>
      <c r="L60" s="55">
        <f>'Investment returns (2)'!AD44</f>
        <v>1.6641285099999851E-2</v>
      </c>
      <c r="M60" s="55">
        <f>'Investment returns (2)'!AE44</f>
        <v>1.0394088287661083E-2</v>
      </c>
      <c r="N60" s="55">
        <f>'Investment returns (2)'!AF44</f>
        <v>4.4161916938304643E-3</v>
      </c>
      <c r="O60" s="55">
        <f>'Investment returns (2)'!AG44</f>
        <v>-1.8965938306169536E-2</v>
      </c>
    </row>
    <row r="61" spans="1:15">
      <c r="A61">
        <f t="shared" si="3"/>
        <v>2057</v>
      </c>
      <c r="B61" s="4">
        <f t="shared" si="0"/>
        <v>1.7000000000000001E-2</v>
      </c>
      <c r="C61" s="4"/>
      <c r="F61" s="4">
        <v>0.03</v>
      </c>
      <c r="G61" s="55">
        <f>'Investment returns (2)'!Z45</f>
        <v>3.000856E-2</v>
      </c>
      <c r="H61" s="55">
        <f>'Investment returns (2)'!AA45</f>
        <v>2.3758689999999999E-2</v>
      </c>
      <c r="I61" s="55">
        <f>'Investment returns (2)'!AB45</f>
        <v>1.7782129999999997E-2</v>
      </c>
      <c r="J61" s="55">
        <f>'Investment returns (2)'!AC45</f>
        <v>-5.5999999999999999E-3</v>
      </c>
      <c r="K61" s="4">
        <v>1.7000000000000001E-2</v>
      </c>
      <c r="L61" s="55">
        <f>'Investment returns (2)'!AD45</f>
        <v>1.6641285099999851E-2</v>
      </c>
      <c r="M61" s="55">
        <f>'Investment returns (2)'!AE45</f>
        <v>1.0394088287661083E-2</v>
      </c>
      <c r="N61" s="55">
        <f>'Investment returns (2)'!AF45</f>
        <v>4.4161916938304643E-3</v>
      </c>
      <c r="O61" s="55">
        <f>'Investment returns (2)'!AG45</f>
        <v>-1.8965938306169536E-2</v>
      </c>
    </row>
    <row r="62" spans="1:15">
      <c r="A62">
        <f t="shared" ref="A62:A71" si="4">A61+1</f>
        <v>2058</v>
      </c>
      <c r="B62" s="4">
        <f t="shared" si="0"/>
        <v>1.7000000000000001E-2</v>
      </c>
      <c r="C62" s="4"/>
      <c r="F62" s="4">
        <v>0.03</v>
      </c>
      <c r="G62" s="55">
        <f>'Investment returns (2)'!Z46</f>
        <v>3.000856E-2</v>
      </c>
      <c r="H62" s="55">
        <f>'Investment returns (2)'!AA46</f>
        <v>2.3758689999999999E-2</v>
      </c>
      <c r="I62" s="55">
        <f>'Investment returns (2)'!AB46</f>
        <v>1.7782129999999997E-2</v>
      </c>
      <c r="J62" s="55">
        <f>'Investment returns (2)'!AC46</f>
        <v>-5.5999999999999999E-3</v>
      </c>
      <c r="K62" s="4">
        <v>1.7000000000000001E-2</v>
      </c>
      <c r="L62" s="55">
        <f>'Investment returns (2)'!AD46</f>
        <v>1.6641285099999851E-2</v>
      </c>
      <c r="M62" s="55">
        <f>'Investment returns (2)'!AE46</f>
        <v>1.0394088287661083E-2</v>
      </c>
      <c r="N62" s="55">
        <f>'Investment returns (2)'!AF46</f>
        <v>4.4161916938304643E-3</v>
      </c>
      <c r="O62" s="55">
        <f>'Investment returns (2)'!AG46</f>
        <v>-1.8965938306169536E-2</v>
      </c>
    </row>
    <row r="63" spans="1:15">
      <c r="A63">
        <f t="shared" si="4"/>
        <v>2059</v>
      </c>
      <c r="B63" s="4">
        <f t="shared" si="0"/>
        <v>1.7000000000000001E-2</v>
      </c>
      <c r="C63" s="4"/>
      <c r="F63" s="4">
        <v>0.03</v>
      </c>
      <c r="G63" s="55">
        <f>'Investment returns (2)'!Z47</f>
        <v>3.000856E-2</v>
      </c>
      <c r="H63" s="55">
        <f>'Investment returns (2)'!AA47</f>
        <v>2.3758689999999999E-2</v>
      </c>
      <c r="I63" s="55">
        <f>'Investment returns (2)'!AB47</f>
        <v>1.7782129999999997E-2</v>
      </c>
      <c r="J63" s="55">
        <f>'Investment returns (2)'!AC47</f>
        <v>-5.5999999999999999E-3</v>
      </c>
      <c r="K63" s="4">
        <v>1.7000000000000001E-2</v>
      </c>
      <c r="L63" s="55">
        <f>'Investment returns (2)'!AD47</f>
        <v>1.6641285099999851E-2</v>
      </c>
      <c r="M63" s="55">
        <f>'Investment returns (2)'!AE47</f>
        <v>1.0394088287661083E-2</v>
      </c>
      <c r="N63" s="55">
        <f>'Investment returns (2)'!AF47</f>
        <v>4.4161916938304643E-3</v>
      </c>
      <c r="O63" s="55">
        <f>'Investment returns (2)'!AG47</f>
        <v>-1.8965938306169536E-2</v>
      </c>
    </row>
    <row r="64" spans="1:15">
      <c r="A64">
        <f t="shared" si="4"/>
        <v>2060</v>
      </c>
      <c r="B64" s="4">
        <f t="shared" si="0"/>
        <v>1.7000000000000001E-2</v>
      </c>
      <c r="C64" s="4"/>
      <c r="F64" s="4">
        <v>0.03</v>
      </c>
      <c r="G64" s="55">
        <f>'Investment returns (2)'!Z48</f>
        <v>3.000856E-2</v>
      </c>
      <c r="H64" s="55">
        <f>'Investment returns (2)'!AA48</f>
        <v>2.3758689999999999E-2</v>
      </c>
      <c r="I64" s="55">
        <f>'Investment returns (2)'!AB48</f>
        <v>1.7782129999999997E-2</v>
      </c>
      <c r="J64" s="55">
        <f>'Investment returns (2)'!AC48</f>
        <v>-5.5999999999999999E-3</v>
      </c>
      <c r="K64" s="4">
        <v>1.7000000000000001E-2</v>
      </c>
      <c r="L64" s="55">
        <f>'Investment returns (2)'!AD48</f>
        <v>1.6641285099999851E-2</v>
      </c>
      <c r="M64" s="55">
        <f>'Investment returns (2)'!AE48</f>
        <v>1.0394088287661083E-2</v>
      </c>
      <c r="N64" s="55">
        <f>'Investment returns (2)'!AF48</f>
        <v>4.4161916938304643E-3</v>
      </c>
      <c r="O64" s="55">
        <f>'Investment returns (2)'!AG48</f>
        <v>-1.8965938306169536E-2</v>
      </c>
    </row>
    <row r="65" spans="1:15">
      <c r="A65">
        <f t="shared" si="4"/>
        <v>2061</v>
      </c>
      <c r="B65" s="4">
        <f t="shared" si="0"/>
        <v>1.7000000000000001E-2</v>
      </c>
      <c r="C65" s="4"/>
      <c r="F65" s="4">
        <v>0.03</v>
      </c>
      <c r="G65" s="55">
        <f>'Investment returns (2)'!Z49</f>
        <v>3.000856E-2</v>
      </c>
      <c r="H65" s="55">
        <f>'Investment returns (2)'!AA49</f>
        <v>2.3758689999999999E-2</v>
      </c>
      <c r="I65" s="55">
        <f>'Investment returns (2)'!AB49</f>
        <v>1.7782129999999997E-2</v>
      </c>
      <c r="J65" s="55">
        <f>'Investment returns (2)'!AC49</f>
        <v>-5.5999999999999999E-3</v>
      </c>
      <c r="K65" s="4">
        <v>1.7000000000000001E-2</v>
      </c>
      <c r="L65" s="55">
        <f>'Investment returns (2)'!AD49</f>
        <v>1.6641285099999851E-2</v>
      </c>
      <c r="M65" s="55">
        <f>'Investment returns (2)'!AE49</f>
        <v>1.0394088287661083E-2</v>
      </c>
      <c r="N65" s="55">
        <f>'Investment returns (2)'!AF49</f>
        <v>4.4161916938304643E-3</v>
      </c>
      <c r="O65" s="55">
        <f>'Investment returns (2)'!AG49</f>
        <v>-1.8965938306169536E-2</v>
      </c>
    </row>
    <row r="66" spans="1:15">
      <c r="A66">
        <f t="shared" si="4"/>
        <v>2062</v>
      </c>
      <c r="B66" s="4">
        <f t="shared" si="0"/>
        <v>1.7000000000000001E-2</v>
      </c>
      <c r="C66" s="4"/>
      <c r="F66" s="4">
        <v>0.03</v>
      </c>
      <c r="G66" s="55">
        <f>'Investment returns (2)'!Z50</f>
        <v>3.000856E-2</v>
      </c>
      <c r="H66" s="55">
        <f>'Investment returns (2)'!AA50</f>
        <v>2.3758689999999999E-2</v>
      </c>
      <c r="I66" s="55">
        <f>'Investment returns (2)'!AB50</f>
        <v>1.7782129999999997E-2</v>
      </c>
      <c r="J66" s="55">
        <f>'Investment returns (2)'!AC50</f>
        <v>-5.5999999999999999E-3</v>
      </c>
      <c r="K66" s="4">
        <v>1.7000000000000001E-2</v>
      </c>
      <c r="L66" s="55">
        <f>'Investment returns (2)'!AD50</f>
        <v>1.6641285099999851E-2</v>
      </c>
      <c r="M66" s="55">
        <f>'Investment returns (2)'!AE50</f>
        <v>1.0394088287661083E-2</v>
      </c>
      <c r="N66" s="55">
        <f>'Investment returns (2)'!AF50</f>
        <v>4.4161916938304643E-3</v>
      </c>
      <c r="O66" s="55">
        <f>'Investment returns (2)'!AG50</f>
        <v>-1.8965938306169536E-2</v>
      </c>
    </row>
    <row r="67" spans="1:15">
      <c r="A67">
        <f t="shared" si="4"/>
        <v>2063</v>
      </c>
      <c r="B67" s="4">
        <f t="shared" si="0"/>
        <v>1.7000000000000001E-2</v>
      </c>
      <c r="C67" s="4"/>
      <c r="F67" s="4">
        <v>0.03</v>
      </c>
      <c r="G67" s="55">
        <f>'Investment returns (2)'!Z51</f>
        <v>3.000856E-2</v>
      </c>
      <c r="H67" s="55">
        <f>'Investment returns (2)'!AA51</f>
        <v>2.3758689999999999E-2</v>
      </c>
      <c r="I67" s="55">
        <f>'Investment returns (2)'!AB51</f>
        <v>1.7782129999999997E-2</v>
      </c>
      <c r="J67" s="55">
        <f>'Investment returns (2)'!AC51</f>
        <v>-5.5999999999999999E-3</v>
      </c>
      <c r="K67" s="4">
        <v>1.7000000000000001E-2</v>
      </c>
      <c r="L67" s="55">
        <f>'Investment returns (2)'!AD51</f>
        <v>1.6641285099999851E-2</v>
      </c>
      <c r="M67" s="55">
        <f>'Investment returns (2)'!AE51</f>
        <v>1.0394088287661083E-2</v>
      </c>
      <c r="N67" s="55">
        <f>'Investment returns (2)'!AF51</f>
        <v>4.4161916938304643E-3</v>
      </c>
      <c r="O67" s="55">
        <f>'Investment returns (2)'!AG51</f>
        <v>-1.8965938306169536E-2</v>
      </c>
    </row>
    <row r="68" spans="1:15">
      <c r="A68">
        <f t="shared" si="4"/>
        <v>2064</v>
      </c>
      <c r="B68" s="4">
        <f t="shared" si="0"/>
        <v>1.7000000000000001E-2</v>
      </c>
      <c r="C68" s="4"/>
      <c r="F68" s="4">
        <v>0.03</v>
      </c>
      <c r="G68" s="55">
        <f>'Investment returns (2)'!Z52</f>
        <v>3.000856E-2</v>
      </c>
      <c r="H68" s="55">
        <f>'Investment returns (2)'!AA52</f>
        <v>2.3758689999999999E-2</v>
      </c>
      <c r="I68" s="55">
        <f>'Investment returns (2)'!AB52</f>
        <v>1.7782129999999997E-2</v>
      </c>
      <c r="J68" s="55">
        <f>'Investment returns (2)'!AC52</f>
        <v>-5.5999999999999999E-3</v>
      </c>
      <c r="K68" s="4">
        <v>1.7000000000000001E-2</v>
      </c>
      <c r="L68" s="55">
        <f>'Investment returns (2)'!AD52</f>
        <v>1.6641285099999851E-2</v>
      </c>
      <c r="M68" s="55">
        <f>'Investment returns (2)'!AE52</f>
        <v>1.0394088287661083E-2</v>
      </c>
      <c r="N68" s="55">
        <f>'Investment returns (2)'!AF52</f>
        <v>4.4161916938304643E-3</v>
      </c>
      <c r="O68" s="55">
        <f>'Investment returns (2)'!AG52</f>
        <v>-1.8965938306169536E-2</v>
      </c>
    </row>
    <row r="69" spans="1:15">
      <c r="A69">
        <f t="shared" si="4"/>
        <v>2065</v>
      </c>
      <c r="B69" s="4">
        <f t="shared" si="0"/>
        <v>1.7000000000000001E-2</v>
      </c>
      <c r="C69" s="4"/>
      <c r="F69" s="4">
        <v>0.03</v>
      </c>
      <c r="G69" s="55">
        <f>'Investment returns (2)'!Z53</f>
        <v>3.000856E-2</v>
      </c>
      <c r="H69" s="55">
        <f>'Investment returns (2)'!AA53</f>
        <v>2.3758689999999999E-2</v>
      </c>
      <c r="I69" s="55">
        <f>'Investment returns (2)'!AB53</f>
        <v>1.7782129999999997E-2</v>
      </c>
      <c r="J69" s="55">
        <f>'Investment returns (2)'!AC53</f>
        <v>-5.5999999999999999E-3</v>
      </c>
      <c r="K69" s="4">
        <v>1.7000000000000001E-2</v>
      </c>
      <c r="L69" s="55">
        <f>'Investment returns (2)'!AD53</f>
        <v>1.6641285099999851E-2</v>
      </c>
      <c r="M69" s="55">
        <f>'Investment returns (2)'!AE53</f>
        <v>1.0394088287661083E-2</v>
      </c>
      <c r="N69" s="55">
        <f>'Investment returns (2)'!AF53</f>
        <v>4.4161916938304643E-3</v>
      </c>
      <c r="O69" s="55">
        <f>'Investment returns (2)'!AG53</f>
        <v>-1.8965938306169536E-2</v>
      </c>
    </row>
    <row r="70" spans="1:15">
      <c r="A70">
        <f t="shared" si="4"/>
        <v>2066</v>
      </c>
      <c r="B70" s="4">
        <f t="shared" si="0"/>
        <v>1.7000000000000001E-2</v>
      </c>
      <c r="C70" s="4"/>
      <c r="F70" s="4">
        <v>0.03</v>
      </c>
      <c r="G70" s="55">
        <f>'Investment returns (2)'!Z54</f>
        <v>3.000856E-2</v>
      </c>
      <c r="H70" s="55">
        <f>'Investment returns (2)'!AA54</f>
        <v>2.3758689999999999E-2</v>
      </c>
      <c r="I70" s="55">
        <f>'Investment returns (2)'!AB54</f>
        <v>1.7782129999999997E-2</v>
      </c>
      <c r="J70" s="55">
        <f>'Investment returns (2)'!AC54</f>
        <v>-5.5999999999999999E-3</v>
      </c>
      <c r="K70" s="4">
        <v>1.7000000000000001E-2</v>
      </c>
      <c r="L70" s="55">
        <f>'Investment returns (2)'!AD54</f>
        <v>1.6641285099999851E-2</v>
      </c>
      <c r="M70" s="55">
        <f>'Investment returns (2)'!AE54</f>
        <v>1.0394088287661083E-2</v>
      </c>
      <c r="N70" s="55">
        <f>'Investment returns (2)'!AF54</f>
        <v>4.4161916938304643E-3</v>
      </c>
      <c r="O70" s="55">
        <f>'Investment returns (2)'!AG54</f>
        <v>-1.8965938306169536E-2</v>
      </c>
    </row>
    <row r="71" spans="1:15">
      <c r="A71">
        <f t="shared" si="4"/>
        <v>2067</v>
      </c>
      <c r="B71" s="4">
        <f t="shared" si="0"/>
        <v>1.7000000000000001E-2</v>
      </c>
      <c r="C71" s="4"/>
      <c r="F71" s="4">
        <v>0.03</v>
      </c>
      <c r="G71" s="55">
        <f>'Investment returns (2)'!Z55</f>
        <v>3.000856E-2</v>
      </c>
      <c r="H71" s="55">
        <f>'Investment returns (2)'!AA55</f>
        <v>2.3758689999999999E-2</v>
      </c>
      <c r="I71" s="55">
        <f>'Investment returns (2)'!AB55</f>
        <v>1.7782129999999997E-2</v>
      </c>
      <c r="J71" s="55">
        <f>'Investment returns (2)'!AC55</f>
        <v>-5.5999999999999999E-3</v>
      </c>
      <c r="K71" s="4">
        <v>1.7000000000000001E-2</v>
      </c>
      <c r="L71" s="55">
        <f>'Investment returns (2)'!AD55</f>
        <v>1.6641285099999851E-2</v>
      </c>
      <c r="M71" s="55">
        <f>'Investment returns (2)'!AE55</f>
        <v>1.0394088287661083E-2</v>
      </c>
      <c r="N71" s="55">
        <f>'Investment returns (2)'!AF55</f>
        <v>4.4161916938304643E-3</v>
      </c>
      <c r="O71" s="55">
        <f>'Investment returns (2)'!AG55</f>
        <v>-1.8965938306169536E-2</v>
      </c>
    </row>
  </sheetData>
  <mergeCells count="17">
    <mergeCell ref="A3:C3"/>
    <mergeCell ref="A4:I6"/>
    <mergeCell ref="A17:I17"/>
    <mergeCell ref="A16:B16"/>
    <mergeCell ref="A8:I8"/>
    <mergeCell ref="A10:I14"/>
    <mergeCell ref="A9:C9"/>
    <mergeCell ref="F19:F21"/>
    <mergeCell ref="G19:G21"/>
    <mergeCell ref="H19:H21"/>
    <mergeCell ref="I19:I21"/>
    <mergeCell ref="J19:J21"/>
    <mergeCell ref="K19:K21"/>
    <mergeCell ref="L19:L21"/>
    <mergeCell ref="M19:M21"/>
    <mergeCell ref="N19:N21"/>
    <mergeCell ref="O19:O2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Inputs</vt:lpstr>
      <vt:lpstr>Notes</vt:lpstr>
      <vt:lpstr>Difference in benefits</vt:lpstr>
      <vt:lpstr>Difference in benefits TPS</vt:lpstr>
      <vt:lpstr>Annuity rates</vt:lpstr>
      <vt:lpstr>DB pension</vt:lpstr>
      <vt:lpstr>Income</vt:lpstr>
      <vt:lpstr>DC pension</vt:lpstr>
      <vt:lpstr>Investment returns</vt:lpstr>
      <vt:lpstr>Investment returns (2)</vt:lpstr>
      <vt:lpstr>State pension age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NM Davies</dc:creator>
  <cp:lastModifiedBy>Neil Davies</cp:lastModifiedBy>
  <dcterms:created xsi:type="dcterms:W3CDTF">2018-01-25T11:21:09Z</dcterms:created>
  <dcterms:modified xsi:type="dcterms:W3CDTF">2018-02-12T21:50:23Z</dcterms:modified>
</cp:coreProperties>
</file>