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66925"/>
  <mc:AlternateContent xmlns:mc="http://schemas.openxmlformats.org/markup-compatibility/2006">
    <mc:Choice Requires="x15">
      <x15ac:absPath xmlns:x15ac="http://schemas.microsoft.com/office/spreadsheetml/2010/11/ac" url="/Users/ecnmd/Library/Mobile Documents/com~apple~CloudDocs/USS/"/>
    </mc:Choice>
  </mc:AlternateContent>
  <xr:revisionPtr revIDLastSave="0" documentId="8_{A878DB62-58CB-F240-A3E6-518DEBD41F1F}" xr6:coauthVersionLast="46" xr6:coauthVersionMax="46" xr10:uidLastSave="{00000000-0000-0000-0000-000000000000}"/>
  <bookViews>
    <workbookView xWindow="9340" yWindow="4280" windowWidth="36160" windowHeight="22100" xr2:uid="{00000000-000D-0000-FFFF-FFFF00000000}"/>
  </bookViews>
  <sheets>
    <sheet name="Inputs" sheetId="7" r:id="rId1"/>
    <sheet name="2020 scenarios" sheetId="12" r:id="rId2"/>
    <sheet name="Notes" sheetId="10" r:id="rId3"/>
    <sheet name="Difference in benefits" sheetId="5" r:id="rId4"/>
    <sheet name="Difference in benefits TPS" sheetId="11" r:id="rId5"/>
    <sheet name="Annuity rates" sheetId="1" r:id="rId6"/>
    <sheet name="DB pension" sheetId="4" r:id="rId7"/>
    <sheet name="Income" sheetId="6" r:id="rId8"/>
    <sheet name="DC pension" sheetId="3" r:id="rId9"/>
    <sheet name="Investment returns" sheetId="2" r:id="rId10"/>
    <sheet name="Investment returns (2)" sheetId="9" r:id="rId11"/>
    <sheet name="State pension age" sheetId="8"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2" i="7" l="1"/>
  <c r="C21" i="2" s="1"/>
  <c r="B30" i="7"/>
  <c r="B29" i="7"/>
  <c r="D9" i="6" s="1"/>
  <c r="J11" i="4" s="1"/>
  <c r="B28" i="7"/>
  <c r="B27" i="7"/>
  <c r="R24" i="2"/>
  <c r="R25" i="2" s="1"/>
  <c r="R26" i="2" s="1"/>
  <c r="R27" i="2" s="1"/>
  <c r="R28" i="2" s="1"/>
  <c r="R29" i="2" s="1"/>
  <c r="R30" i="2" s="1"/>
  <c r="R31" i="2" s="1"/>
  <c r="R32" i="2" s="1"/>
  <c r="R33" i="2" s="1"/>
  <c r="R34" i="2" s="1"/>
  <c r="R35" i="2" s="1"/>
  <c r="R36" i="2" s="1"/>
  <c r="R37" i="2" s="1"/>
  <c r="R38" i="2" s="1"/>
  <c r="R39" i="2" s="1"/>
  <c r="R40" i="2" s="1"/>
  <c r="R41" i="2" s="1"/>
  <c r="R42" i="2" s="1"/>
  <c r="R43" i="2" s="1"/>
  <c r="R44" i="2" s="1"/>
  <c r="R45" i="2" s="1"/>
  <c r="R46" i="2" s="1"/>
  <c r="R47" i="2" s="1"/>
  <c r="R48" i="2" s="1"/>
  <c r="R49" i="2" s="1"/>
  <c r="R50" i="2" s="1"/>
  <c r="R51" i="2" s="1"/>
  <c r="R52" i="2" s="1"/>
  <c r="R53" i="2" s="1"/>
  <c r="R54" i="2" s="1"/>
  <c r="R55" i="2" s="1"/>
  <c r="R56" i="2" s="1"/>
  <c r="R57" i="2" s="1"/>
  <c r="R58" i="2" s="1"/>
  <c r="R59" i="2" s="1"/>
  <c r="R60" i="2" s="1"/>
  <c r="R61" i="2" s="1"/>
  <c r="R62" i="2" s="1"/>
  <c r="R63" i="2" s="1"/>
  <c r="R64" i="2" s="1"/>
  <c r="R65" i="2" s="1"/>
  <c r="R66" i="2" s="1"/>
  <c r="R67" i="2" s="1"/>
  <c r="R68" i="2" s="1"/>
  <c r="R69" i="2" s="1"/>
  <c r="R70" i="2" s="1"/>
  <c r="R71" i="2" s="1"/>
  <c r="T24" i="2"/>
  <c r="T25" i="2" s="1"/>
  <c r="T26" i="2" s="1"/>
  <c r="T27" i="2" s="1"/>
  <c r="T28" i="2" s="1"/>
  <c r="T29" i="2" s="1"/>
  <c r="T30" i="2" s="1"/>
  <c r="T31" i="2" s="1"/>
  <c r="T32" i="2" s="1"/>
  <c r="T33" i="2" s="1"/>
  <c r="T34" i="2" s="1"/>
  <c r="T35" i="2" s="1"/>
  <c r="T36" i="2" s="1"/>
  <c r="T37" i="2" s="1"/>
  <c r="T38" i="2" s="1"/>
  <c r="T39" i="2" s="1"/>
  <c r="T40" i="2" s="1"/>
  <c r="T41" i="2" s="1"/>
  <c r="T42" i="2" s="1"/>
  <c r="T43" i="2" s="1"/>
  <c r="T44" i="2" s="1"/>
  <c r="T45" i="2" s="1"/>
  <c r="T46" i="2" s="1"/>
  <c r="T47" i="2" s="1"/>
  <c r="T48" i="2" s="1"/>
  <c r="T49" i="2" s="1"/>
  <c r="T50" i="2" s="1"/>
  <c r="T51" i="2" s="1"/>
  <c r="T52" i="2" s="1"/>
  <c r="T53" i="2" s="1"/>
  <c r="T54" i="2" s="1"/>
  <c r="T55" i="2" s="1"/>
  <c r="T56" i="2" s="1"/>
  <c r="T57" i="2" s="1"/>
  <c r="T58" i="2" s="1"/>
  <c r="T59" i="2" s="1"/>
  <c r="T60" i="2" s="1"/>
  <c r="T61" i="2" s="1"/>
  <c r="T62" i="2" s="1"/>
  <c r="T63" i="2" s="1"/>
  <c r="T64" i="2" s="1"/>
  <c r="T65" i="2" s="1"/>
  <c r="T66" i="2" s="1"/>
  <c r="T67" i="2" s="1"/>
  <c r="T68" i="2" s="1"/>
  <c r="T69" i="2" s="1"/>
  <c r="T70" i="2" s="1"/>
  <c r="T71" i="2" s="1"/>
  <c r="S24" i="2"/>
  <c r="S25" i="2" s="1"/>
  <c r="S26" i="2" s="1"/>
  <c r="S27" i="2" s="1"/>
  <c r="S28" i="2" s="1"/>
  <c r="S29" i="2" s="1"/>
  <c r="S30" i="2" s="1"/>
  <c r="S31" i="2" s="1"/>
  <c r="S32" i="2" s="1"/>
  <c r="S33" i="2" s="1"/>
  <c r="S34" i="2" s="1"/>
  <c r="S35" i="2" s="1"/>
  <c r="S36" i="2" s="1"/>
  <c r="S37" i="2" s="1"/>
  <c r="S38" i="2" s="1"/>
  <c r="S39" i="2" s="1"/>
  <c r="S40" i="2" s="1"/>
  <c r="S41" i="2" s="1"/>
  <c r="S42" i="2" s="1"/>
  <c r="S43" i="2" s="1"/>
  <c r="S44" i="2" s="1"/>
  <c r="S45" i="2" s="1"/>
  <c r="S46" i="2" s="1"/>
  <c r="S47" i="2" s="1"/>
  <c r="S48" i="2" s="1"/>
  <c r="S49" i="2" s="1"/>
  <c r="S50" i="2" s="1"/>
  <c r="S51" i="2" s="1"/>
  <c r="S52" i="2" s="1"/>
  <c r="S53" i="2" s="1"/>
  <c r="S54" i="2" s="1"/>
  <c r="S55" i="2" s="1"/>
  <c r="S56" i="2" s="1"/>
  <c r="S57" i="2" s="1"/>
  <c r="S58" i="2" s="1"/>
  <c r="S59" i="2" s="1"/>
  <c r="S60" i="2" s="1"/>
  <c r="S61" i="2" s="1"/>
  <c r="S62" i="2" s="1"/>
  <c r="S63" i="2" s="1"/>
  <c r="S64" i="2" s="1"/>
  <c r="S65" i="2" s="1"/>
  <c r="S66" i="2" s="1"/>
  <c r="S67" i="2" s="1"/>
  <c r="S68" i="2" s="1"/>
  <c r="S69" i="2" s="1"/>
  <c r="S70" i="2" s="1"/>
  <c r="S71" i="2" s="1"/>
  <c r="Q25" i="2"/>
  <c r="Q26" i="2" s="1"/>
  <c r="Q27" i="2" s="1"/>
  <c r="Q28" i="2" s="1"/>
  <c r="Q29" i="2" s="1"/>
  <c r="Q30" i="2" s="1"/>
  <c r="Q31" i="2" s="1"/>
  <c r="Q32" i="2" s="1"/>
  <c r="Q33" i="2" s="1"/>
  <c r="Q34" i="2" s="1"/>
  <c r="Q35" i="2" s="1"/>
  <c r="Q36" i="2" s="1"/>
  <c r="Q37" i="2" s="1"/>
  <c r="Q38" i="2" s="1"/>
  <c r="Q39" i="2" s="1"/>
  <c r="Q40" i="2" s="1"/>
  <c r="Q41" i="2" s="1"/>
  <c r="Q42" i="2" s="1"/>
  <c r="Q43" i="2" s="1"/>
  <c r="Q44" i="2" s="1"/>
  <c r="Q45" i="2" s="1"/>
  <c r="Q46" i="2" s="1"/>
  <c r="Q47" i="2" s="1"/>
  <c r="Q48" i="2" s="1"/>
  <c r="Q49" i="2" s="1"/>
  <c r="Q50" i="2" s="1"/>
  <c r="Q51" i="2" s="1"/>
  <c r="Q52" i="2" s="1"/>
  <c r="Q53" i="2" s="1"/>
  <c r="Q54" i="2" s="1"/>
  <c r="Q55" i="2" s="1"/>
  <c r="Q56" i="2" s="1"/>
  <c r="Q57" i="2" s="1"/>
  <c r="Q58" i="2" s="1"/>
  <c r="Q59" i="2" s="1"/>
  <c r="Q60" i="2" s="1"/>
  <c r="Q61" i="2" s="1"/>
  <c r="Q62" i="2" s="1"/>
  <c r="Q63" i="2" s="1"/>
  <c r="Q64" i="2" s="1"/>
  <c r="Q65" i="2" s="1"/>
  <c r="Q66" i="2" s="1"/>
  <c r="Q67" i="2" s="1"/>
  <c r="Q68" i="2" s="1"/>
  <c r="Q69" i="2" s="1"/>
  <c r="Q70" i="2" s="1"/>
  <c r="Q71" i="2" s="1"/>
  <c r="Q24" i="2"/>
  <c r="AF9" i="9"/>
  <c r="AF10" i="9"/>
  <c r="AF11" i="9"/>
  <c r="AF12" i="9" s="1"/>
  <c r="AF13" i="9" s="1"/>
  <c r="AF14" i="9" s="1"/>
  <c r="AF15" i="9" s="1"/>
  <c r="AF16" i="9" s="1"/>
  <c r="AF17" i="9" s="1"/>
  <c r="AF18" i="9" s="1"/>
  <c r="AF19" i="9" s="1"/>
  <c r="AF20" i="9" s="1"/>
  <c r="AF21" i="9" s="1"/>
  <c r="AF22" i="9" s="1"/>
  <c r="AF23" i="9" s="1"/>
  <c r="AF24" i="9" s="1"/>
  <c r="AF25" i="9" s="1"/>
  <c r="AF26" i="9" s="1"/>
  <c r="AF27" i="9" s="1"/>
  <c r="AF28" i="9" s="1"/>
  <c r="AF29" i="9" s="1"/>
  <c r="AF30" i="9" s="1"/>
  <c r="AF31" i="9" s="1"/>
  <c r="AF32" i="9" s="1"/>
  <c r="AF33" i="9" s="1"/>
  <c r="AF34" i="9" s="1"/>
  <c r="AF35" i="9" s="1"/>
  <c r="AF36" i="9" s="1"/>
  <c r="AF37" i="9" s="1"/>
  <c r="AF38" i="9" s="1"/>
  <c r="AF39" i="9" s="1"/>
  <c r="AF40" i="9" s="1"/>
  <c r="AF41" i="9" s="1"/>
  <c r="AF42" i="9" s="1"/>
  <c r="AF43" i="9" s="1"/>
  <c r="AF44" i="9" s="1"/>
  <c r="AF45" i="9" s="1"/>
  <c r="AF46" i="9" s="1"/>
  <c r="AF47" i="9" s="1"/>
  <c r="AF48" i="9" s="1"/>
  <c r="AF49" i="9" s="1"/>
  <c r="AF50" i="9" s="1"/>
  <c r="AF51" i="9" s="1"/>
  <c r="AF52" i="9" s="1"/>
  <c r="AF53" i="9" s="1"/>
  <c r="AF54" i="9" s="1"/>
  <c r="AF55" i="9" s="1"/>
  <c r="AF8" i="9"/>
  <c r="L23" i="2"/>
  <c r="E30" i="9"/>
  <c r="F30" i="9" s="1"/>
  <c r="D22" i="9"/>
  <c r="E22" i="9" s="1"/>
  <c r="F22" i="9" s="1"/>
  <c r="C22" i="9"/>
  <c r="C29" i="9"/>
  <c r="C17" i="9" s="1"/>
  <c r="E25" i="9"/>
  <c r="F25" i="9" s="1"/>
  <c r="C12" i="9"/>
  <c r="E7" i="9"/>
  <c r="F7" i="9" s="1"/>
  <c r="E8" i="9"/>
  <c r="F8" i="9" s="1"/>
  <c r="E9" i="9"/>
  <c r="F9" i="9" s="1"/>
  <c r="E10" i="9"/>
  <c r="F10" i="9" s="1"/>
  <c r="E6" i="9"/>
  <c r="F6" i="9" s="1"/>
  <c r="C10" i="9"/>
  <c r="E11" i="9"/>
  <c r="F11" i="9" s="1"/>
  <c r="G10" i="9"/>
  <c r="G9" i="9"/>
  <c r="G8" i="9"/>
  <c r="G7" i="9"/>
  <c r="G6" i="9"/>
  <c r="J14" i="1"/>
  <c r="I14" i="1"/>
  <c r="L10" i="1"/>
  <c r="K10" i="1"/>
  <c r="J10" i="1"/>
  <c r="J9" i="1"/>
  <c r="I9" i="1"/>
  <c r="I10" i="1"/>
  <c r="J35" i="1"/>
  <c r="K35" i="1"/>
  <c r="L35" i="1"/>
  <c r="I35" i="1"/>
  <c r="I32" i="1"/>
  <c r="K32" i="1"/>
  <c r="J32" i="1"/>
  <c r="L32" i="1"/>
  <c r="I18" i="1"/>
  <c r="J18" i="1"/>
  <c r="K18" i="1"/>
  <c r="L18" i="1"/>
  <c r="K14" i="1"/>
  <c r="L14" i="1"/>
  <c r="L15" i="1" s="1"/>
  <c r="L17" i="1"/>
  <c r="L8" i="1"/>
  <c r="J8" i="1"/>
  <c r="I8" i="1"/>
  <c r="C9" i="6"/>
  <c r="D5" i="6"/>
  <c r="B21" i="2" l="1"/>
  <c r="B23" i="2" s="1"/>
  <c r="K11" i="4"/>
  <c r="D29" i="9"/>
  <c r="D18" i="9" s="1"/>
  <c r="C18" i="9"/>
  <c r="C76" i="11"/>
  <c r="G5" i="11"/>
  <c r="G6" i="11" s="1"/>
  <c r="G7" i="11" s="1"/>
  <c r="G8" i="11" s="1"/>
  <c r="G9" i="11" s="1"/>
  <c r="G10" i="11" s="1"/>
  <c r="G11" i="11" s="1"/>
  <c r="G12" i="11" s="1"/>
  <c r="G13" i="11" s="1"/>
  <c r="G14" i="11" s="1"/>
  <c r="G15" i="11" s="1"/>
  <c r="G16" i="11" s="1"/>
  <c r="G17" i="11" s="1"/>
  <c r="G18" i="11" s="1"/>
  <c r="G19" i="11" s="1"/>
  <c r="G20" i="11" s="1"/>
  <c r="G21" i="11" s="1"/>
  <c r="G22" i="11" s="1"/>
  <c r="G23" i="11" s="1"/>
  <c r="G24" i="11" s="1"/>
  <c r="G25" i="11" s="1"/>
  <c r="G26" i="11" s="1"/>
  <c r="G27" i="11" s="1"/>
  <c r="G28" i="11" s="1"/>
  <c r="G29" i="11" s="1"/>
  <c r="G30" i="11" s="1"/>
  <c r="G31" i="11" s="1"/>
  <c r="G32" i="11" s="1"/>
  <c r="G33" i="11" s="1"/>
  <c r="G34" i="11" s="1"/>
  <c r="G35" i="11" s="1"/>
  <c r="G36" i="11" s="1"/>
  <c r="G37" i="11" s="1"/>
  <c r="G38" i="11" s="1"/>
  <c r="G39" i="11" s="1"/>
  <c r="G40" i="11" s="1"/>
  <c r="G41" i="11" s="1"/>
  <c r="G42" i="11" s="1"/>
  <c r="G43" i="11" s="1"/>
  <c r="G44" i="11" s="1"/>
  <c r="G45" i="11" s="1"/>
  <c r="G46" i="11" s="1"/>
  <c r="G47" i="11" s="1"/>
  <c r="G48" i="11" s="1"/>
  <c r="G49" i="11" s="1"/>
  <c r="G50" i="11" s="1"/>
  <c r="G51" i="11" s="1"/>
  <c r="G52" i="11" s="1"/>
  <c r="A5" i="1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B32" i="2" l="1"/>
  <c r="B54" i="2"/>
  <c r="B67" i="2"/>
  <c r="B40" i="2"/>
  <c r="B28" i="2"/>
  <c r="B37" i="2"/>
  <c r="B65" i="2"/>
  <c r="B62" i="2"/>
  <c r="B29" i="2"/>
  <c r="B57" i="2"/>
  <c r="B55" i="2"/>
  <c r="B27" i="2"/>
  <c r="B44" i="2"/>
  <c r="B53" i="2"/>
  <c r="B64" i="2"/>
  <c r="B26" i="2"/>
  <c r="B35" i="2"/>
  <c r="B52" i="2"/>
  <c r="B61" i="2"/>
  <c r="B70" i="2"/>
  <c r="B49" i="2"/>
  <c r="B63" i="2"/>
  <c r="B36" i="2"/>
  <c r="B56" i="2"/>
  <c r="B34" i="2"/>
  <c r="B43" i="2"/>
  <c r="B69" i="2"/>
  <c r="B51" i="2"/>
  <c r="B47" i="2"/>
  <c r="B71" i="2"/>
  <c r="B58" i="2"/>
  <c r="B38" i="2"/>
  <c r="B66" i="2"/>
  <c r="B46" i="2"/>
  <c r="B48" i="2"/>
  <c r="B45" i="2"/>
  <c r="B25" i="2"/>
  <c r="B60" i="2"/>
  <c r="B39" i="2"/>
  <c r="B33" i="2"/>
  <c r="B42" i="2"/>
  <c r="B68" i="2"/>
  <c r="B24" i="2"/>
  <c r="B41" i="2"/>
  <c r="B50" i="2"/>
  <c r="B59" i="2"/>
  <c r="B31" i="2"/>
  <c r="B30" i="2"/>
  <c r="D17" i="9"/>
  <c r="E29" i="9"/>
  <c r="F29" i="9" s="1"/>
  <c r="F19" i="9" s="1"/>
  <c r="D21" i="2"/>
  <c r="X23" i="2"/>
  <c r="M19" i="2"/>
  <c r="N19" i="2"/>
  <c r="O19" i="2"/>
  <c r="L19" i="2"/>
  <c r="H19" i="2"/>
  <c r="I19" i="2"/>
  <c r="J19" i="2"/>
  <c r="G19" i="2"/>
  <c r="Y8" i="9"/>
  <c r="Y9" i="9" s="1"/>
  <c r="Y10" i="9" s="1"/>
  <c r="Y11" i="9" s="1"/>
  <c r="Y12" i="9" s="1"/>
  <c r="Y13" i="9" s="1"/>
  <c r="Y14" i="9" s="1"/>
  <c r="Y15" i="9" s="1"/>
  <c r="Y16" i="9" s="1"/>
  <c r="Y17" i="9" s="1"/>
  <c r="Y18" i="9" s="1"/>
  <c r="Y19" i="9" s="1"/>
  <c r="Y20" i="9" s="1"/>
  <c r="Y21" i="9" s="1"/>
  <c r="Y22" i="9" s="1"/>
  <c r="Y23" i="9" s="1"/>
  <c r="Y24" i="9" s="1"/>
  <c r="Y25" i="9" s="1"/>
  <c r="Y26" i="9" s="1"/>
  <c r="Y27" i="9" s="1"/>
  <c r="Y28" i="9" s="1"/>
  <c r="Y29" i="9" s="1"/>
  <c r="Y30" i="9" s="1"/>
  <c r="Y31" i="9" s="1"/>
  <c r="Y32" i="9" s="1"/>
  <c r="Y33" i="9" s="1"/>
  <c r="Y34" i="9" s="1"/>
  <c r="Y35" i="9" s="1"/>
  <c r="Y36" i="9" s="1"/>
  <c r="Y37" i="9" s="1"/>
  <c r="Y38" i="9" s="1"/>
  <c r="Y39" i="9" s="1"/>
  <c r="Y40" i="9" s="1"/>
  <c r="Y41" i="9" s="1"/>
  <c r="Y42" i="9" s="1"/>
  <c r="Y43" i="9" s="1"/>
  <c r="Y44" i="9" s="1"/>
  <c r="Y45" i="9" s="1"/>
  <c r="Y46" i="9" s="1"/>
  <c r="Y47" i="9" s="1"/>
  <c r="Y48" i="9" s="1"/>
  <c r="Y49" i="9" s="1"/>
  <c r="Y50" i="9" s="1"/>
  <c r="Y51" i="9" s="1"/>
  <c r="Y52" i="9" s="1"/>
  <c r="Y53" i="9" s="1"/>
  <c r="Y54" i="9" s="1"/>
  <c r="Y55" i="9" s="1"/>
  <c r="D12" i="9"/>
  <c r="R10" i="9"/>
  <c r="AC7" i="9" s="1"/>
  <c r="S10" i="9"/>
  <c r="AC17" i="9" s="1"/>
  <c r="J33" i="2" s="1"/>
  <c r="U10" i="9"/>
  <c r="AC37" i="9" s="1"/>
  <c r="N10" i="9"/>
  <c r="M10" i="9"/>
  <c r="N9" i="9"/>
  <c r="M9" i="9"/>
  <c r="N8" i="9"/>
  <c r="M8" i="9"/>
  <c r="S8" i="9" s="1"/>
  <c r="AA17" i="9" s="1"/>
  <c r="L8" i="9"/>
  <c r="N6" i="9"/>
  <c r="M6" i="9"/>
  <c r="L6" i="9"/>
  <c r="F17" i="9"/>
  <c r="F18" i="9"/>
  <c r="D19" i="9"/>
  <c r="D20" i="9"/>
  <c r="D21" i="9"/>
  <c r="C19" i="9"/>
  <c r="C20" i="9"/>
  <c r="C21" i="9"/>
  <c r="R8" i="9"/>
  <c r="AA7" i="9" s="1"/>
  <c r="H23" i="2" s="1"/>
  <c r="U8" i="9"/>
  <c r="AA37" i="9" s="1"/>
  <c r="F12" i="9"/>
  <c r="E20" i="9"/>
  <c r="E17" i="9"/>
  <c r="C97" i="5"/>
  <c r="C38" i="1"/>
  <c r="C7" i="6"/>
  <c r="D10" i="6" s="1"/>
  <c r="J12" i="4" s="1"/>
  <c r="K12" i="4" s="1"/>
  <c r="D62" i="8"/>
  <c r="D48" i="8"/>
  <c r="D31" i="8"/>
  <c r="D37" i="8"/>
  <c r="E38" i="8"/>
  <c r="G9" i="1"/>
  <c r="G10" i="1" s="1"/>
  <c r="G11" i="1" s="1"/>
  <c r="G12" i="1" s="1"/>
  <c r="G13" i="1" s="1"/>
  <c r="G14" i="1" s="1"/>
  <c r="G15" i="1" s="1"/>
  <c r="G16" i="1" s="1"/>
  <c r="G17" i="1" s="1"/>
  <c r="G18" i="1" s="1"/>
  <c r="G19" i="1" s="1"/>
  <c r="G20" i="1" s="1"/>
  <c r="G21" i="1" s="1"/>
  <c r="G22" i="1" s="1"/>
  <c r="G23" i="1" s="1"/>
  <c r="G24" i="1" s="1"/>
  <c r="G25" i="1" s="1"/>
  <c r="G26" i="1" s="1"/>
  <c r="G27" i="1" s="1"/>
  <c r="G28" i="1" s="1"/>
  <c r="G29" i="1" s="1"/>
  <c r="G30" i="1" s="1"/>
  <c r="G31" i="1" s="1"/>
  <c r="G32" i="1" s="1"/>
  <c r="G33" i="1" s="1"/>
  <c r="G34" i="1" s="1"/>
  <c r="G35" i="1" s="1"/>
  <c r="G36" i="1" s="1"/>
  <c r="G37" i="1" s="1"/>
  <c r="G38" i="1" s="1"/>
  <c r="G39" i="1" s="1"/>
  <c r="G40" i="1" s="1"/>
  <c r="G41" i="1" s="1"/>
  <c r="G42" i="1" s="1"/>
  <c r="G43" i="1" s="1"/>
  <c r="G44" i="1" s="1"/>
  <c r="G45" i="1" s="1"/>
  <c r="G46" i="1" s="1"/>
  <c r="G47" i="1" s="1"/>
  <c r="G48" i="1" s="1"/>
  <c r="G49" i="1" s="1"/>
  <c r="G50" i="1" s="1"/>
  <c r="G51" i="1" s="1"/>
  <c r="G52" i="1" s="1"/>
  <c r="G53" i="1" s="1"/>
  <c r="G54" i="1" s="1"/>
  <c r="G55" i="1" s="1"/>
  <c r="G56" i="1" s="1"/>
  <c r="C8" i="1"/>
  <c r="C9" i="1"/>
  <c r="C7" i="1"/>
  <c r="B62" i="8"/>
  <c r="B50" i="8"/>
  <c r="C50" i="8"/>
  <c r="B51" i="8" s="1"/>
  <c r="B37" i="8"/>
  <c r="C37" i="8" s="1"/>
  <c r="B38" i="8" s="1"/>
  <c r="C38" i="8"/>
  <c r="B39" i="8" s="1"/>
  <c r="C39" i="8"/>
  <c r="C21" i="8"/>
  <c r="C22" i="8"/>
  <c r="C23" i="8"/>
  <c r="C24" i="8"/>
  <c r="C25" i="8" s="1"/>
  <c r="B24" i="8"/>
  <c r="B23" i="8"/>
  <c r="B21" i="8"/>
  <c r="B22" i="8"/>
  <c r="H9" i="1"/>
  <c r="H10" i="1" s="1"/>
  <c r="H11" i="1" s="1"/>
  <c r="H12" i="1" s="1"/>
  <c r="H13" i="1" s="1"/>
  <c r="H14" i="1" s="1"/>
  <c r="H15" i="1" s="1"/>
  <c r="H16" i="1" s="1"/>
  <c r="H17" i="1" s="1"/>
  <c r="H18" i="1" s="1"/>
  <c r="H19" i="1" s="1"/>
  <c r="H20" i="1" s="1"/>
  <c r="H21" i="1" s="1"/>
  <c r="H22" i="1" s="1"/>
  <c r="H23" i="1" s="1"/>
  <c r="H24" i="1" s="1"/>
  <c r="H25" i="1" s="1"/>
  <c r="H26" i="1" s="1"/>
  <c r="H27" i="1" s="1"/>
  <c r="H28" i="1" s="1"/>
  <c r="H29" i="1" s="1"/>
  <c r="H30" i="1" s="1"/>
  <c r="H31" i="1" s="1"/>
  <c r="H32" i="1" s="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G5" i="5"/>
  <c r="G6" i="5" s="1"/>
  <c r="G7" i="5" s="1"/>
  <c r="G8" i="5" s="1"/>
  <c r="G9" i="5" s="1"/>
  <c r="G10" i="5" s="1"/>
  <c r="G11" i="5" s="1"/>
  <c r="G12" i="5" s="1"/>
  <c r="G13" i="5" s="1"/>
  <c r="G14" i="5" s="1"/>
  <c r="G15" i="5" s="1"/>
  <c r="G16" i="5" s="1"/>
  <c r="G17" i="5" s="1"/>
  <c r="G18" i="5" s="1"/>
  <c r="G19" i="5" s="1"/>
  <c r="G20" i="5" s="1"/>
  <c r="G21" i="5" s="1"/>
  <c r="G22" i="5" s="1"/>
  <c r="G23" i="5" s="1"/>
  <c r="G24" i="5" s="1"/>
  <c r="G25" i="5" s="1"/>
  <c r="G26" i="5" s="1"/>
  <c r="G27" i="5" s="1"/>
  <c r="G28" i="5" s="1"/>
  <c r="G29" i="5" s="1"/>
  <c r="G30" i="5" s="1"/>
  <c r="G31" i="5" s="1"/>
  <c r="G32" i="5" s="1"/>
  <c r="G33" i="5" s="1"/>
  <c r="G34" i="5" s="1"/>
  <c r="G35" i="5" s="1"/>
  <c r="G36" i="5" s="1"/>
  <c r="G37" i="5" s="1"/>
  <c r="G38" i="5" s="1"/>
  <c r="G39" i="5" s="1"/>
  <c r="G40" i="5" s="1"/>
  <c r="G41" i="5" s="1"/>
  <c r="G42" i="5" s="1"/>
  <c r="G43" i="5" s="1"/>
  <c r="G44" i="5" s="1"/>
  <c r="G45" i="5" s="1"/>
  <c r="G46" i="5" s="1"/>
  <c r="G47" i="5" s="1"/>
  <c r="G48" i="5" s="1"/>
  <c r="G49" i="5" s="1"/>
  <c r="G50" i="5" s="1"/>
  <c r="G51" i="5" s="1"/>
  <c r="G52" i="5" s="1"/>
  <c r="A10" i="6"/>
  <c r="A11" i="6"/>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 i="5"/>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G65" i="4"/>
  <c r="G66" i="4"/>
  <c r="G67" i="4"/>
  <c r="E65" i="4"/>
  <c r="A12" i="4"/>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11" i="3"/>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24" i="2"/>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E21" i="9" l="1"/>
  <c r="F20" i="9"/>
  <c r="U21" i="9" s="1"/>
  <c r="E19" i="9"/>
  <c r="F21" i="9"/>
  <c r="U18" i="9" s="1"/>
  <c r="AD37" i="9" s="1"/>
  <c r="L53" i="2" s="1"/>
  <c r="S7" i="9"/>
  <c r="Z17" i="9" s="1"/>
  <c r="R7" i="9"/>
  <c r="Z7" i="9" s="1"/>
  <c r="U9" i="9"/>
  <c r="AB37" i="9" s="1"/>
  <c r="K8" i="1"/>
  <c r="K9" i="1" s="1"/>
  <c r="K11" i="1"/>
  <c r="S18" i="9"/>
  <c r="AD17" i="9" s="1"/>
  <c r="L33" i="2" s="1"/>
  <c r="S19" i="9"/>
  <c r="S21" i="9"/>
  <c r="O33" i="2" s="1"/>
  <c r="D23" i="9"/>
  <c r="C23" i="9"/>
  <c r="E12" i="9"/>
  <c r="R21" i="9"/>
  <c r="O23" i="2" s="1"/>
  <c r="T8" i="9"/>
  <c r="AA27" i="9" s="1"/>
  <c r="H43" i="2" s="1"/>
  <c r="E18" i="9"/>
  <c r="T20" i="9" s="1"/>
  <c r="T9" i="9"/>
  <c r="AB27" i="9" s="1"/>
  <c r="I43" i="2" s="1"/>
  <c r="R19" i="9"/>
  <c r="C26" i="8"/>
  <c r="B26" i="8"/>
  <c r="AA18" i="9"/>
  <c r="H33" i="2"/>
  <c r="C40" i="8"/>
  <c r="B40" i="8"/>
  <c r="AA38" i="9"/>
  <c r="H53" i="2"/>
  <c r="D38" i="8"/>
  <c r="E39" i="8"/>
  <c r="B25" i="8"/>
  <c r="I53" i="2"/>
  <c r="AB38" i="9"/>
  <c r="C51" i="8"/>
  <c r="T10" i="9"/>
  <c r="AC27" i="9" s="1"/>
  <c r="AA8" i="9"/>
  <c r="U7" i="9"/>
  <c r="Z37" i="9" s="1"/>
  <c r="R9" i="9"/>
  <c r="AB7" i="9" s="1"/>
  <c r="S20" i="9"/>
  <c r="R20" i="9"/>
  <c r="L36" i="1"/>
  <c r="L37" i="1" s="1"/>
  <c r="L38" i="1" s="1"/>
  <c r="L39" i="1" s="1"/>
  <c r="L40" i="1" s="1"/>
  <c r="L41" i="1" s="1"/>
  <c r="L42" i="1" s="1"/>
  <c r="L43" i="1" s="1"/>
  <c r="L44" i="1" s="1"/>
  <c r="L45" i="1" s="1"/>
  <c r="L46" i="1" s="1"/>
  <c r="L47" i="1" s="1"/>
  <c r="L48" i="1" s="1"/>
  <c r="L49" i="1" s="1"/>
  <c r="L50" i="1" s="1"/>
  <c r="L51" i="1" s="1"/>
  <c r="L52" i="1" s="1"/>
  <c r="L53" i="1" s="1"/>
  <c r="L54" i="1" s="1"/>
  <c r="L55" i="1" s="1"/>
  <c r="L56" i="1" s="1"/>
  <c r="AC38" i="9"/>
  <c r="J53" i="2"/>
  <c r="T7" i="9"/>
  <c r="Z27" i="9" s="1"/>
  <c r="AC18" i="9"/>
  <c r="AC8" i="9"/>
  <c r="J23" i="2"/>
  <c r="S9" i="9"/>
  <c r="AB17" i="9" s="1"/>
  <c r="R18" i="9"/>
  <c r="AD7" i="9" s="1"/>
  <c r="I11" i="1"/>
  <c r="I12" i="1" s="1"/>
  <c r="I13" i="1" s="1"/>
  <c r="I15" i="1" s="1"/>
  <c r="I16" i="1" s="1"/>
  <c r="K36" i="1"/>
  <c r="K37" i="1" s="1"/>
  <c r="K38" i="1" s="1"/>
  <c r="K39" i="1" s="1"/>
  <c r="K40" i="1" s="1"/>
  <c r="K41" i="1" s="1"/>
  <c r="K42" i="1" s="1"/>
  <c r="K43" i="1" s="1"/>
  <c r="K44" i="1" s="1"/>
  <c r="K45" i="1" s="1"/>
  <c r="K46" i="1" s="1"/>
  <c r="K47" i="1" s="1"/>
  <c r="K48" i="1" s="1"/>
  <c r="K49" i="1" s="1"/>
  <c r="K50" i="1" s="1"/>
  <c r="K51" i="1" s="1"/>
  <c r="K52" i="1" s="1"/>
  <c r="K53" i="1" s="1"/>
  <c r="K54" i="1" s="1"/>
  <c r="K55" i="1" s="1"/>
  <c r="K56" i="1" s="1"/>
  <c r="K17" i="1"/>
  <c r="K19" i="1" s="1"/>
  <c r="K20" i="1" s="1"/>
  <c r="K21" i="1" s="1"/>
  <c r="K22" i="1" s="1"/>
  <c r="K23" i="1" s="1"/>
  <c r="K24" i="1" s="1"/>
  <c r="K25" i="1" s="1"/>
  <c r="K26" i="1" s="1"/>
  <c r="K27" i="1" s="1"/>
  <c r="K28" i="1" s="1"/>
  <c r="K29" i="1" s="1"/>
  <c r="K30" i="1" s="1"/>
  <c r="K31" i="1" s="1"/>
  <c r="K33" i="1" s="1"/>
  <c r="K34" i="1" s="1"/>
  <c r="J36" i="1"/>
  <c r="J37" i="1" s="1"/>
  <c r="J38" i="1" s="1"/>
  <c r="J39" i="1" s="1"/>
  <c r="J40" i="1" s="1"/>
  <c r="J41" i="1" s="1"/>
  <c r="J42" i="1" s="1"/>
  <c r="J43" i="1" s="1"/>
  <c r="J44" i="1" s="1"/>
  <c r="J45" i="1" s="1"/>
  <c r="J46" i="1" s="1"/>
  <c r="J47" i="1" s="1"/>
  <c r="J48" i="1" s="1"/>
  <c r="J49" i="1" s="1"/>
  <c r="J50" i="1" s="1"/>
  <c r="J51" i="1" s="1"/>
  <c r="J52" i="1" s="1"/>
  <c r="J53" i="1" s="1"/>
  <c r="J54" i="1" s="1"/>
  <c r="J55" i="1" s="1"/>
  <c r="J56" i="1" s="1"/>
  <c r="L19" i="1"/>
  <c r="L20" i="1" s="1"/>
  <c r="L21" i="1" s="1"/>
  <c r="L22" i="1" s="1"/>
  <c r="L23" i="1" s="1"/>
  <c r="L24" i="1" s="1"/>
  <c r="L25" i="1" s="1"/>
  <c r="L26" i="1" s="1"/>
  <c r="L27" i="1" s="1"/>
  <c r="L28" i="1" s="1"/>
  <c r="L29" i="1" s="1"/>
  <c r="L30" i="1" s="1"/>
  <c r="L31" i="1" s="1"/>
  <c r="L33" i="1" s="1"/>
  <c r="L34" i="1" s="1"/>
  <c r="I36" i="1"/>
  <c r="I37" i="1" s="1"/>
  <c r="I38" i="1" s="1"/>
  <c r="I39" i="1" s="1"/>
  <c r="I40" i="1" s="1"/>
  <c r="I41" i="1" s="1"/>
  <c r="I42" i="1" s="1"/>
  <c r="I43" i="1" s="1"/>
  <c r="I44" i="1" s="1"/>
  <c r="I45" i="1" s="1"/>
  <c r="I46" i="1" s="1"/>
  <c r="I47" i="1" s="1"/>
  <c r="I48" i="1" s="1"/>
  <c r="I49" i="1" s="1"/>
  <c r="I50" i="1" s="1"/>
  <c r="I51" i="1" s="1"/>
  <c r="I52" i="1" s="1"/>
  <c r="I53" i="1" s="1"/>
  <c r="I54" i="1" s="1"/>
  <c r="I55" i="1" s="1"/>
  <c r="I56" i="1" s="1"/>
  <c r="I17" i="1"/>
  <c r="I19" i="1" s="1"/>
  <c r="I20" i="1" s="1"/>
  <c r="I21" i="1" s="1"/>
  <c r="I22" i="1" s="1"/>
  <c r="I23" i="1" s="1"/>
  <c r="I24" i="1" s="1"/>
  <c r="I25" i="1" s="1"/>
  <c r="I26" i="1" s="1"/>
  <c r="I27" i="1" s="1"/>
  <c r="I28" i="1" s="1"/>
  <c r="I29" i="1" s="1"/>
  <c r="I30" i="1" s="1"/>
  <c r="I31" i="1" s="1"/>
  <c r="I33" i="1" s="1"/>
  <c r="I34" i="1" s="1"/>
  <c r="L9" i="1"/>
  <c r="K12" i="1"/>
  <c r="K13" i="1" s="1"/>
  <c r="K15" i="1" s="1"/>
  <c r="K16" i="1" s="1"/>
  <c r="L11" i="1"/>
  <c r="L12" i="1" s="1"/>
  <c r="L13" i="1" s="1"/>
  <c r="L16" i="1" s="1"/>
  <c r="J11" i="1"/>
  <c r="J12" i="1" s="1"/>
  <c r="J13" i="1" s="1"/>
  <c r="J15" i="1" s="1"/>
  <c r="J16" i="1" s="1"/>
  <c r="J17" i="1"/>
  <c r="J19" i="1" s="1"/>
  <c r="J20" i="1" s="1"/>
  <c r="J21" i="1" s="1"/>
  <c r="J22" i="1" s="1"/>
  <c r="J23" i="1" s="1"/>
  <c r="J24" i="1" s="1"/>
  <c r="J25" i="1" s="1"/>
  <c r="J26" i="1" s="1"/>
  <c r="J27" i="1" s="1"/>
  <c r="J28" i="1" s="1"/>
  <c r="J29" i="1" s="1"/>
  <c r="J30" i="1" s="1"/>
  <c r="J31" i="1" s="1"/>
  <c r="J33" i="1" s="1"/>
  <c r="J34" i="1" s="1"/>
  <c r="F23" i="9" l="1"/>
  <c r="U20" i="9"/>
  <c r="U19" i="9"/>
  <c r="O53" i="2"/>
  <c r="E23" i="9"/>
  <c r="T18" i="9"/>
  <c r="AD27" i="9" s="1"/>
  <c r="L43" i="2" s="1"/>
  <c r="T19" i="9"/>
  <c r="T21" i="9"/>
  <c r="O43" i="2" s="1"/>
  <c r="AA28" i="9"/>
  <c r="AA29" i="9" s="1"/>
  <c r="M33" i="2"/>
  <c r="AB28" i="9"/>
  <c r="I44" i="2" s="1"/>
  <c r="M23" i="2"/>
  <c r="N44" i="2"/>
  <c r="N43" i="2"/>
  <c r="AD38" i="9"/>
  <c r="L54" i="2" s="1"/>
  <c r="M53" i="2"/>
  <c r="N53" i="2"/>
  <c r="J43" i="2"/>
  <c r="AC28" i="9"/>
  <c r="C41" i="8"/>
  <c r="B41" i="8"/>
  <c r="AD8" i="9"/>
  <c r="L24" i="2" s="1"/>
  <c r="AC19" i="9"/>
  <c r="J34" i="2"/>
  <c r="N23" i="2"/>
  <c r="AB39" i="9"/>
  <c r="I54" i="2"/>
  <c r="O54" i="2"/>
  <c r="G33" i="2"/>
  <c r="Z18" i="9"/>
  <c r="N33" i="2"/>
  <c r="H34" i="2"/>
  <c r="AA19" i="9"/>
  <c r="AB8" i="9"/>
  <c r="I23" i="2"/>
  <c r="D39" i="8"/>
  <c r="E40" i="8"/>
  <c r="I33" i="2"/>
  <c r="AB18" i="9"/>
  <c r="G43" i="2"/>
  <c r="Z28" i="9"/>
  <c r="G53" i="2"/>
  <c r="Z38" i="9"/>
  <c r="C52" i="8"/>
  <c r="B52" i="8"/>
  <c r="G23" i="2"/>
  <c r="Z8" i="9"/>
  <c r="H24" i="2"/>
  <c r="AA9" i="9"/>
  <c r="AD18" i="9"/>
  <c r="L34" i="2" s="1"/>
  <c r="AC9" i="9"/>
  <c r="J24" i="2"/>
  <c r="J54" i="2"/>
  <c r="AC39" i="9"/>
  <c r="M24" i="2"/>
  <c r="H54" i="2"/>
  <c r="AA39" i="9"/>
  <c r="B27" i="8"/>
  <c r="C27" i="8"/>
  <c r="N10" i="3"/>
  <c r="O10" i="3" s="1"/>
  <c r="O34" i="2" l="1"/>
  <c r="O44" i="2"/>
  <c r="AD28" i="9"/>
  <c r="L44" i="2" s="1"/>
  <c r="M43" i="2"/>
  <c r="H44" i="2"/>
  <c r="O24" i="2"/>
  <c r="AB29" i="9"/>
  <c r="AB30" i="9" s="1"/>
  <c r="M34" i="2"/>
  <c r="N45" i="2"/>
  <c r="N34" i="2"/>
  <c r="AC10" i="9"/>
  <c r="J25" i="2"/>
  <c r="AB9" i="9"/>
  <c r="I24" i="2"/>
  <c r="AD19" i="9"/>
  <c r="L35" i="2" s="1"/>
  <c r="AA20" i="9"/>
  <c r="H35" i="2"/>
  <c r="O25" i="2"/>
  <c r="N24" i="2"/>
  <c r="B28" i="8"/>
  <c r="C28" i="8"/>
  <c r="AA10" i="9"/>
  <c r="H25" i="2"/>
  <c r="AD9" i="9"/>
  <c r="L25" i="2" s="1"/>
  <c r="I55" i="2"/>
  <c r="AB40" i="9"/>
  <c r="AB19" i="9"/>
  <c r="I34" i="2"/>
  <c r="G34" i="2"/>
  <c r="Z19" i="9"/>
  <c r="N54" i="2"/>
  <c r="C42" i="8"/>
  <c r="B42" i="8"/>
  <c r="M25" i="2"/>
  <c r="C53" i="8"/>
  <c r="B53" i="8"/>
  <c r="M54" i="2"/>
  <c r="G44" i="2"/>
  <c r="Z29" i="9"/>
  <c r="AA40" i="9"/>
  <c r="H55" i="2"/>
  <c r="G24" i="2"/>
  <c r="Z9" i="9"/>
  <c r="M44" i="2"/>
  <c r="AA30" i="9"/>
  <c r="H45" i="2"/>
  <c r="G54" i="2"/>
  <c r="Z39" i="9"/>
  <c r="D40" i="8"/>
  <c r="E41" i="8"/>
  <c r="O35" i="2"/>
  <c r="AD39" i="9"/>
  <c r="L55" i="2" s="1"/>
  <c r="J55" i="2"/>
  <c r="AC40" i="9"/>
  <c r="AC29" i="9"/>
  <c r="J44" i="2"/>
  <c r="O55" i="2"/>
  <c r="J35" i="2"/>
  <c r="AC20" i="9"/>
  <c r="N11" i="3"/>
  <c r="AD29" i="9" l="1"/>
  <c r="L45" i="2" s="1"/>
  <c r="I45" i="2"/>
  <c r="N46" i="2"/>
  <c r="M35" i="2"/>
  <c r="B54" i="8"/>
  <c r="C54" i="8"/>
  <c r="AB10" i="9"/>
  <c r="I25" i="2"/>
  <c r="O56" i="2"/>
  <c r="N25" i="2"/>
  <c r="H56" i="2"/>
  <c r="AA41" i="9"/>
  <c r="M26" i="2"/>
  <c r="I46" i="2"/>
  <c r="AB31" i="9"/>
  <c r="H46" i="2"/>
  <c r="AA31" i="9"/>
  <c r="O45" i="2"/>
  <c r="AC41" i="9"/>
  <c r="J56" i="2"/>
  <c r="AD10" i="9"/>
  <c r="L26" i="2" s="1"/>
  <c r="G35" i="2"/>
  <c r="Z20" i="9"/>
  <c r="O36" i="2"/>
  <c r="G45" i="2"/>
  <c r="Z30" i="9"/>
  <c r="O26" i="2"/>
  <c r="J45" i="2"/>
  <c r="AC30" i="9"/>
  <c r="I35" i="2"/>
  <c r="AB20" i="9"/>
  <c r="H26" i="2"/>
  <c r="AA11" i="9"/>
  <c r="J26" i="2"/>
  <c r="AC11" i="9"/>
  <c r="D41" i="8"/>
  <c r="E42" i="8"/>
  <c r="M45" i="2"/>
  <c r="M55" i="2"/>
  <c r="AB41" i="9"/>
  <c r="I56" i="2"/>
  <c r="B29" i="8"/>
  <c r="C29" i="8"/>
  <c r="B43" i="8"/>
  <c r="C43" i="8"/>
  <c r="H36" i="2"/>
  <c r="AA21" i="9"/>
  <c r="N35" i="2"/>
  <c r="AC21" i="9"/>
  <c r="J36" i="2"/>
  <c r="AD40" i="9"/>
  <c r="L56" i="2" s="1"/>
  <c r="G55" i="2"/>
  <c r="Z40" i="9"/>
  <c r="G25" i="2"/>
  <c r="Z10" i="9"/>
  <c r="N55" i="2"/>
  <c r="AD30" i="9"/>
  <c r="L46" i="2" s="1"/>
  <c r="AD20" i="9"/>
  <c r="L36" i="2" s="1"/>
  <c r="O11" i="3"/>
  <c r="N12" i="3"/>
  <c r="N47" i="2" l="1"/>
  <c r="M36" i="2"/>
  <c r="AA12" i="9"/>
  <c r="H27" i="2"/>
  <c r="O57" i="2"/>
  <c r="AA22" i="9"/>
  <c r="H37" i="2"/>
  <c r="I47" i="2"/>
  <c r="AB32" i="9"/>
  <c r="J46" i="2"/>
  <c r="AC31" i="9"/>
  <c r="M56" i="2"/>
  <c r="G46" i="2"/>
  <c r="Z31" i="9"/>
  <c r="AD41" i="9"/>
  <c r="L57" i="2" s="1"/>
  <c r="AB11" i="9"/>
  <c r="I26" i="2"/>
  <c r="Z41" i="9"/>
  <c r="G56" i="2"/>
  <c r="AD11" i="9"/>
  <c r="L27" i="2" s="1"/>
  <c r="AD31" i="9"/>
  <c r="L47" i="2" s="1"/>
  <c r="M46" i="2"/>
  <c r="J57" i="2"/>
  <c r="AC42" i="9"/>
  <c r="B30" i="8"/>
  <c r="C30" i="8"/>
  <c r="B31" i="8" s="1"/>
  <c r="G26" i="2"/>
  <c r="Z11" i="9"/>
  <c r="N36" i="2"/>
  <c r="J27" i="2"/>
  <c r="AC12" i="9"/>
  <c r="O27" i="2"/>
  <c r="Z21" i="9"/>
  <c r="G36" i="2"/>
  <c r="H47" i="2"/>
  <c r="AA32" i="9"/>
  <c r="N26" i="2"/>
  <c r="C55" i="8"/>
  <c r="B55" i="8"/>
  <c r="AD21" i="9"/>
  <c r="L37" i="2" s="1"/>
  <c r="C44" i="8"/>
  <c r="B44" i="8"/>
  <c r="AB21" i="9"/>
  <c r="I36" i="2"/>
  <c r="M27" i="2"/>
  <c r="E43" i="8"/>
  <c r="D42" i="8"/>
  <c r="O46" i="2"/>
  <c r="H57" i="2"/>
  <c r="AA42" i="9"/>
  <c r="N56" i="2"/>
  <c r="AC22" i="9"/>
  <c r="J37" i="2"/>
  <c r="O37" i="2"/>
  <c r="AB42" i="9"/>
  <c r="I57" i="2"/>
  <c r="O12" i="3"/>
  <c r="N13" i="3"/>
  <c r="M37" i="2" l="1"/>
  <c r="O13" i="3"/>
  <c r="O28" i="2"/>
  <c r="AD12" i="9"/>
  <c r="L28" i="2" s="1"/>
  <c r="AD42" i="9"/>
  <c r="L58" i="2" s="1"/>
  <c r="AB33" i="9"/>
  <c r="I48" i="2"/>
  <c r="I58" i="2"/>
  <c r="AB43" i="9"/>
  <c r="I37" i="2"/>
  <c r="AB22" i="9"/>
  <c r="C56" i="8"/>
  <c r="B56" i="8"/>
  <c r="O47" i="2"/>
  <c r="N27" i="2"/>
  <c r="AC13" i="9"/>
  <c r="J28" i="2"/>
  <c r="AC43" i="9"/>
  <c r="J58" i="2"/>
  <c r="G47" i="2"/>
  <c r="Z32" i="9"/>
  <c r="G57" i="2"/>
  <c r="Z42" i="9"/>
  <c r="C45" i="8"/>
  <c r="B45" i="8"/>
  <c r="N48" i="2"/>
  <c r="N37" i="2"/>
  <c r="M47" i="2"/>
  <c r="M57" i="2"/>
  <c r="O58" i="2"/>
  <c r="H58" i="2"/>
  <c r="AA43" i="9"/>
  <c r="H48" i="2"/>
  <c r="AA33" i="9"/>
  <c r="AC23" i="9"/>
  <c r="J38" i="2"/>
  <c r="E44" i="8"/>
  <c r="D43" i="8"/>
  <c r="AB12" i="9"/>
  <c r="I27" i="2"/>
  <c r="M28" i="2"/>
  <c r="AD22" i="9"/>
  <c r="L38" i="2" s="1"/>
  <c r="Z12" i="9"/>
  <c r="G27" i="2"/>
  <c r="AD32" i="9"/>
  <c r="L48" i="2" s="1"/>
  <c r="J47" i="2"/>
  <c r="AC32" i="9"/>
  <c r="O38" i="2"/>
  <c r="H38" i="2"/>
  <c r="AA23" i="9"/>
  <c r="N57" i="2"/>
  <c r="G37" i="2"/>
  <c r="Z22" i="9"/>
  <c r="H28" i="2"/>
  <c r="AA13" i="9"/>
  <c r="N14" i="3"/>
  <c r="M38" i="2" l="1"/>
  <c r="O14" i="3"/>
  <c r="H39" i="2"/>
  <c r="AA24" i="9"/>
  <c r="N38" i="2"/>
  <c r="J59" i="2"/>
  <c r="AC44" i="9"/>
  <c r="AD33" i="9"/>
  <c r="L49" i="2" s="1"/>
  <c r="G48" i="2"/>
  <c r="Z33" i="9"/>
  <c r="I49" i="2"/>
  <c r="AB34" i="9"/>
  <c r="H29" i="2"/>
  <c r="AA14" i="9"/>
  <c r="O59" i="2"/>
  <c r="D44" i="8"/>
  <c r="E45" i="8"/>
  <c r="AD23" i="9"/>
  <c r="L39" i="2" s="1"/>
  <c r="J39" i="2"/>
  <c r="AC24" i="9"/>
  <c r="H59" i="2"/>
  <c r="AA44" i="9"/>
  <c r="N49" i="2"/>
  <c r="AD43" i="9"/>
  <c r="L59" i="2" s="1"/>
  <c r="Z13" i="9"/>
  <c r="G28" i="2"/>
  <c r="Z23" i="9"/>
  <c r="G38" i="2"/>
  <c r="O48" i="2"/>
  <c r="AB13" i="9"/>
  <c r="I28" i="2"/>
  <c r="O39" i="2"/>
  <c r="C57" i="8"/>
  <c r="B57" i="8"/>
  <c r="J48" i="2"/>
  <c r="AC33" i="9"/>
  <c r="M58" i="2"/>
  <c r="I38" i="2"/>
  <c r="AB23" i="9"/>
  <c r="AD13" i="9"/>
  <c r="L29" i="2" s="1"/>
  <c r="C46" i="8"/>
  <c r="B46" i="8"/>
  <c r="J29" i="2"/>
  <c r="AC14" i="9"/>
  <c r="N58" i="2"/>
  <c r="H49" i="2"/>
  <c r="AA34" i="9"/>
  <c r="M48" i="2"/>
  <c r="G58" i="2"/>
  <c r="Z43" i="9"/>
  <c r="I59" i="2"/>
  <c r="AB44" i="9"/>
  <c r="M29" i="2"/>
  <c r="N28" i="2"/>
  <c r="O29" i="2"/>
  <c r="N15" i="3"/>
  <c r="M39" i="2" l="1"/>
  <c r="O15" i="3"/>
  <c r="H50" i="2"/>
  <c r="AA35" i="9"/>
  <c r="B58" i="8"/>
  <c r="C58" i="8"/>
  <c r="H30" i="2"/>
  <c r="AA15" i="9"/>
  <c r="N59" i="2"/>
  <c r="Z14" i="9"/>
  <c r="G29" i="2"/>
  <c r="G59" i="2"/>
  <c r="Z44" i="9"/>
  <c r="N39" i="2"/>
  <c r="AD14" i="9"/>
  <c r="L30" i="2" s="1"/>
  <c r="H60" i="2"/>
  <c r="AA45" i="9"/>
  <c r="G39" i="2"/>
  <c r="Z24" i="9"/>
  <c r="I39" i="2"/>
  <c r="AB24" i="9"/>
  <c r="AC25" i="9"/>
  <c r="J40" i="2"/>
  <c r="M59" i="2"/>
  <c r="AD34" i="9"/>
  <c r="L50" i="2" s="1"/>
  <c r="AB45" i="9"/>
  <c r="I60" i="2"/>
  <c r="O40" i="2"/>
  <c r="AC45" i="9"/>
  <c r="J60" i="2"/>
  <c r="M30" i="2"/>
  <c r="O60" i="2"/>
  <c r="AC15" i="9"/>
  <c r="J30" i="2"/>
  <c r="AD44" i="9"/>
  <c r="L60" i="2" s="1"/>
  <c r="AB35" i="9"/>
  <c r="I50" i="2"/>
  <c r="O30" i="2"/>
  <c r="AB14" i="9"/>
  <c r="I29" i="2"/>
  <c r="AD24" i="9"/>
  <c r="L40" i="2" s="1"/>
  <c r="N29" i="2"/>
  <c r="M49" i="2"/>
  <c r="J49" i="2"/>
  <c r="AC34" i="9"/>
  <c r="O49" i="2"/>
  <c r="N50" i="2"/>
  <c r="D45" i="8"/>
  <c r="E46" i="8"/>
  <c r="G49" i="2"/>
  <c r="Z34" i="9"/>
  <c r="H40" i="2"/>
  <c r="AA25" i="9"/>
  <c r="B47" i="8"/>
  <c r="C47" i="8"/>
  <c r="B48" i="8" s="1"/>
  <c r="N16" i="3"/>
  <c r="M40" i="2" l="1"/>
  <c r="O16" i="3"/>
  <c r="N40" i="2"/>
  <c r="AD35" i="9"/>
  <c r="L51" i="2" s="1"/>
  <c r="G60" i="2"/>
  <c r="Z45" i="9"/>
  <c r="B59" i="8"/>
  <c r="C59" i="8"/>
  <c r="N60" i="2"/>
  <c r="J41" i="2"/>
  <c r="AC26" i="9"/>
  <c r="J42" i="2" s="1"/>
  <c r="M50" i="2"/>
  <c r="I61" i="2"/>
  <c r="AB46" i="9"/>
  <c r="G50" i="2"/>
  <c r="Z35" i="9"/>
  <c r="O41" i="2"/>
  <c r="O42" i="2"/>
  <c r="AC16" i="9"/>
  <c r="J32" i="2" s="1"/>
  <c r="J31" i="2"/>
  <c r="AD15" i="9"/>
  <c r="L31" i="2" s="1"/>
  <c r="D46" i="8"/>
  <c r="E47" i="8"/>
  <c r="N30" i="2"/>
  <c r="J50" i="2"/>
  <c r="AC35" i="9"/>
  <c r="AB15" i="9"/>
  <c r="I30" i="2"/>
  <c r="O61" i="2"/>
  <c r="I40" i="2"/>
  <c r="AB25" i="9"/>
  <c r="H31" i="2"/>
  <c r="AA16" i="9"/>
  <c r="H32" i="2" s="1"/>
  <c r="O31" i="2"/>
  <c r="O32" i="2"/>
  <c r="M31" i="2"/>
  <c r="M32" i="2"/>
  <c r="G40" i="2"/>
  <c r="Z25" i="9"/>
  <c r="N51" i="2"/>
  <c r="N52" i="2"/>
  <c r="I51" i="2"/>
  <c r="AB36" i="9"/>
  <c r="I52" i="2" s="1"/>
  <c r="H41" i="2"/>
  <c r="AA26" i="9"/>
  <c r="H42" i="2" s="1"/>
  <c r="O50" i="2"/>
  <c r="AD25" i="9"/>
  <c r="L41" i="2" s="1"/>
  <c r="AD45" i="9"/>
  <c r="L61" i="2" s="1"/>
  <c r="AA46" i="9"/>
  <c r="H61" i="2"/>
  <c r="H51" i="2"/>
  <c r="AA36" i="9"/>
  <c r="H52" i="2" s="1"/>
  <c r="AC46" i="9"/>
  <c r="J61" i="2"/>
  <c r="M60" i="2"/>
  <c r="Z15" i="9"/>
  <c r="G30" i="2"/>
  <c r="N17" i="3"/>
  <c r="M42" i="2" l="1"/>
  <c r="M41" i="2"/>
  <c r="O17" i="3"/>
  <c r="G61" i="2"/>
  <c r="Z46" i="9"/>
  <c r="AD26" i="9"/>
  <c r="L42" i="2" s="1"/>
  <c r="M61" i="2"/>
  <c r="AB47" i="9"/>
  <c r="I62" i="2"/>
  <c r="J51" i="2"/>
  <c r="AC36" i="9"/>
  <c r="J52" i="2" s="1"/>
  <c r="J62" i="2"/>
  <c r="AC47" i="9"/>
  <c r="O51" i="2"/>
  <c r="O52" i="2"/>
  <c r="I41" i="2"/>
  <c r="AB26" i="9"/>
  <c r="I42" i="2" s="1"/>
  <c r="N31" i="2"/>
  <c r="N32" i="2"/>
  <c r="AD36" i="9"/>
  <c r="L52" i="2" s="1"/>
  <c r="AD46" i="9"/>
  <c r="L62" i="2" s="1"/>
  <c r="AD16" i="9"/>
  <c r="L32" i="2" s="1"/>
  <c r="AB16" i="9"/>
  <c r="I32" i="2" s="1"/>
  <c r="I31" i="2"/>
  <c r="M51" i="2"/>
  <c r="M52" i="2"/>
  <c r="G41" i="2"/>
  <c r="Z26" i="9"/>
  <c r="G42" i="2" s="1"/>
  <c r="C60" i="8"/>
  <c r="B61" i="8" s="1"/>
  <c r="G10" i="8" s="1"/>
  <c r="B13" i="7" s="1"/>
  <c r="B60" i="8"/>
  <c r="O62" i="2"/>
  <c r="D47" i="8"/>
  <c r="E48" i="8"/>
  <c r="G51" i="2"/>
  <c r="Z36" i="9"/>
  <c r="G52" i="2" s="1"/>
  <c r="N61" i="2"/>
  <c r="G31" i="2"/>
  <c r="Z16" i="9"/>
  <c r="G32" i="2" s="1"/>
  <c r="H62" i="2"/>
  <c r="AA47" i="9"/>
  <c r="N41" i="2"/>
  <c r="N42" i="2"/>
  <c r="N18" i="3"/>
  <c r="O18" i="3" l="1"/>
  <c r="I63" i="2"/>
  <c r="AB48" i="9"/>
  <c r="AD47" i="9"/>
  <c r="L63" i="2" s="1"/>
  <c r="N62" i="2"/>
  <c r="M62" i="2"/>
  <c r="AA48" i="9"/>
  <c r="H63" i="2"/>
  <c r="J63" i="2"/>
  <c r="AC48" i="9"/>
  <c r="G62" i="2"/>
  <c r="Z47" i="9"/>
  <c r="O63" i="2"/>
  <c r="N19" i="3"/>
  <c r="O19" i="3" l="1"/>
  <c r="O64" i="2"/>
  <c r="N63" i="2"/>
  <c r="AC49" i="9"/>
  <c r="J64" i="2"/>
  <c r="I64" i="2"/>
  <c r="AB49" i="9"/>
  <c r="M63" i="2"/>
  <c r="G63" i="2"/>
  <c r="Z48" i="9"/>
  <c r="AD48" i="9"/>
  <c r="L64" i="2" s="1"/>
  <c r="H64" i="2"/>
  <c r="AA49" i="9"/>
  <c r="N20" i="3"/>
  <c r="O20" i="3" l="1"/>
  <c r="AB50" i="9"/>
  <c r="I65" i="2"/>
  <c r="AD49" i="9"/>
  <c r="L65" i="2" s="1"/>
  <c r="Z49" i="9"/>
  <c r="G64" i="2"/>
  <c r="M64" i="2"/>
  <c r="O65" i="2"/>
  <c r="AA50" i="9"/>
  <c r="H65" i="2"/>
  <c r="J65" i="2"/>
  <c r="AC50" i="9"/>
  <c r="N64" i="2"/>
  <c r="N21" i="3"/>
  <c r="O21" i="3" l="1"/>
  <c r="N65" i="2"/>
  <c r="M65" i="2"/>
  <c r="AC51" i="9"/>
  <c r="J66" i="2"/>
  <c r="G65" i="2"/>
  <c r="Z50" i="9"/>
  <c r="AD50" i="9"/>
  <c r="L66" i="2" s="1"/>
  <c r="H66" i="2"/>
  <c r="AA51" i="9"/>
  <c r="O66" i="2"/>
  <c r="I66" i="2"/>
  <c r="AB51" i="9"/>
  <c r="N22" i="3"/>
  <c r="O22" i="3" l="1"/>
  <c r="G66" i="2"/>
  <c r="Z51" i="9"/>
  <c r="O67" i="2"/>
  <c r="H67" i="2"/>
  <c r="AA52" i="9"/>
  <c r="N66" i="2"/>
  <c r="I67" i="2"/>
  <c r="AB52" i="9"/>
  <c r="J67" i="2"/>
  <c r="AC52" i="9"/>
  <c r="M66" i="2"/>
  <c r="AD51" i="9"/>
  <c r="L67" i="2" s="1"/>
  <c r="N23" i="3"/>
  <c r="O23" i="3" l="1"/>
  <c r="N67" i="2"/>
  <c r="AD52" i="9"/>
  <c r="L68" i="2" s="1"/>
  <c r="H68" i="2"/>
  <c r="AA53" i="9"/>
  <c r="M67" i="2"/>
  <c r="J68" i="2"/>
  <c r="AC53" i="9"/>
  <c r="AB53" i="9"/>
  <c r="I68" i="2"/>
  <c r="G67" i="2"/>
  <c r="Z52" i="9"/>
  <c r="O68" i="2"/>
  <c r="N24" i="3"/>
  <c r="O24" i="3" l="1"/>
  <c r="M68" i="2"/>
  <c r="G68" i="2"/>
  <c r="Z53" i="9"/>
  <c r="AD53" i="9"/>
  <c r="L69" i="2" s="1"/>
  <c r="AC54" i="9"/>
  <c r="J69" i="2"/>
  <c r="N68" i="2"/>
  <c r="O69" i="2"/>
  <c r="H69" i="2"/>
  <c r="AA54" i="9"/>
  <c r="I69" i="2"/>
  <c r="AB54" i="9"/>
  <c r="N25" i="3"/>
  <c r="O25" i="3" l="1"/>
  <c r="AB55" i="9"/>
  <c r="I71" i="2" s="1"/>
  <c r="I70" i="2"/>
  <c r="J70" i="2"/>
  <c r="AC55" i="9"/>
  <c r="J71" i="2" s="1"/>
  <c r="AD54" i="9"/>
  <c r="L70" i="2" s="1"/>
  <c r="O71" i="2"/>
  <c r="O70" i="2"/>
  <c r="N69" i="2"/>
  <c r="M69" i="2"/>
  <c r="H70" i="2"/>
  <c r="AA55" i="9"/>
  <c r="H71" i="2" s="1"/>
  <c r="G69" i="2"/>
  <c r="Z54" i="9"/>
  <c r="N26" i="3"/>
  <c r="O26" i="3" l="1"/>
  <c r="G70" i="2"/>
  <c r="Z55" i="9"/>
  <c r="G71" i="2" s="1"/>
  <c r="N70" i="2"/>
  <c r="N71" i="2"/>
  <c r="AD55" i="9"/>
  <c r="L71" i="2" s="1"/>
  <c r="M70" i="2"/>
  <c r="M71" i="2"/>
  <c r="N27" i="3"/>
  <c r="O27" i="3" l="1"/>
  <c r="N28" i="3"/>
  <c r="O28" i="3" l="1"/>
  <c r="N29" i="3"/>
  <c r="O29" i="3" l="1"/>
  <c r="N30" i="3"/>
  <c r="O30" i="3" l="1"/>
  <c r="N31" i="3"/>
  <c r="O31" i="3" l="1"/>
  <c r="N32" i="3"/>
  <c r="O32" i="3" l="1"/>
  <c r="N33" i="3"/>
  <c r="O33" i="3" l="1"/>
  <c r="N34" i="3"/>
  <c r="O34" i="3" l="1"/>
  <c r="N35" i="3"/>
  <c r="O35" i="3" l="1"/>
  <c r="N36" i="3"/>
  <c r="O36" i="3" l="1"/>
  <c r="N37" i="3"/>
  <c r="O37" i="3" l="1"/>
  <c r="N38" i="3"/>
  <c r="O38" i="3" l="1"/>
  <c r="N39" i="3"/>
  <c r="O39" i="3" l="1"/>
  <c r="N40" i="3"/>
  <c r="O40" i="3" l="1"/>
  <c r="N41" i="3"/>
  <c r="O41" i="3" l="1"/>
  <c r="N42" i="3"/>
  <c r="O42" i="3" l="1"/>
  <c r="N43" i="3"/>
  <c r="O43" i="3" l="1"/>
  <c r="N44" i="3"/>
  <c r="O44" i="3" l="1"/>
  <c r="N45" i="3"/>
  <c r="O45" i="3" l="1"/>
  <c r="N46" i="3"/>
  <c r="O46" i="3" l="1"/>
  <c r="N47" i="3"/>
  <c r="O47" i="3" l="1"/>
  <c r="N48" i="3"/>
  <c r="O48" i="3" l="1"/>
  <c r="N49" i="3"/>
  <c r="O49" i="3" l="1"/>
  <c r="N50" i="3"/>
  <c r="O50" i="3" l="1"/>
  <c r="N51" i="3"/>
  <c r="O51" i="3" l="1"/>
  <c r="N52" i="3"/>
  <c r="O52" i="3" l="1"/>
  <c r="N53" i="3"/>
  <c r="O53" i="3" l="1"/>
  <c r="N54" i="3"/>
  <c r="O54" i="3" l="1"/>
  <c r="N55" i="3"/>
  <c r="O55" i="3" l="1"/>
  <c r="N56" i="3"/>
  <c r="O56" i="3" s="1"/>
  <c r="N57" i="3" l="1"/>
  <c r="O57" i="3" s="1"/>
  <c r="N58" i="3" l="1"/>
  <c r="O58" i="3" s="1"/>
  <c r="C10" i="6" l="1"/>
  <c r="B9" i="6"/>
  <c r="B11" i="4"/>
  <c r="C11" i="4" s="1"/>
  <c r="K10" i="3" l="1"/>
  <c r="L10" i="3" s="1"/>
  <c r="Q10" i="3" s="1"/>
  <c r="H11" i="4"/>
  <c r="G11" i="4"/>
  <c r="E11" i="4"/>
  <c r="F11" i="4"/>
  <c r="N11" i="4"/>
  <c r="O11" i="4"/>
  <c r="M11" i="4"/>
  <c r="P11" i="4"/>
  <c r="C11" i="6"/>
  <c r="D12" i="6" s="1"/>
  <c r="J14" i="4" s="1"/>
  <c r="D11" i="6"/>
  <c r="J13" i="4" s="1"/>
  <c r="K13" i="4" s="1"/>
  <c r="R11" i="4"/>
  <c r="S11" i="4" s="1"/>
  <c r="B10" i="3"/>
  <c r="B10" i="6"/>
  <c r="K11" i="3" s="1"/>
  <c r="C10" i="3"/>
  <c r="D10" i="3" s="1"/>
  <c r="B12" i="4"/>
  <c r="C12" i="4" s="1"/>
  <c r="C12" i="6" l="1"/>
  <c r="D13" i="6" s="1"/>
  <c r="J15" i="4" s="1"/>
  <c r="M12" i="4"/>
  <c r="O12" i="4"/>
  <c r="P12" i="4"/>
  <c r="N12" i="4"/>
  <c r="B13" i="4"/>
  <c r="C13" i="4" s="1"/>
  <c r="C4" i="5"/>
  <c r="D4" i="5"/>
  <c r="E4" i="5"/>
  <c r="B4" i="5"/>
  <c r="K14" i="4"/>
  <c r="G12" i="4"/>
  <c r="H12" i="4"/>
  <c r="F12" i="4"/>
  <c r="E12" i="4"/>
  <c r="V11" i="4"/>
  <c r="C4" i="11" s="1"/>
  <c r="W11" i="4"/>
  <c r="D4" i="11" s="1"/>
  <c r="U11" i="4"/>
  <c r="B4" i="11" s="1"/>
  <c r="X11" i="4"/>
  <c r="E4" i="11" s="1"/>
  <c r="I10" i="3"/>
  <c r="H10" i="3"/>
  <c r="G10" i="3"/>
  <c r="F10" i="3"/>
  <c r="B14" i="4"/>
  <c r="C13" i="6"/>
  <c r="D14" i="6" s="1"/>
  <c r="J16" i="4" s="1"/>
  <c r="L11" i="3"/>
  <c r="R12" i="4"/>
  <c r="S12" i="4" s="1"/>
  <c r="C11" i="3"/>
  <c r="D11" i="3" s="1"/>
  <c r="B11" i="3"/>
  <c r="B11" i="6"/>
  <c r="K12" i="3" s="1"/>
  <c r="T10" i="3"/>
  <c r="V10" i="3"/>
  <c r="U10" i="3"/>
  <c r="S10" i="3"/>
  <c r="J4" i="5" l="1"/>
  <c r="J4" i="11"/>
  <c r="K4" i="5"/>
  <c r="K4" i="11"/>
  <c r="I4" i="5"/>
  <c r="I4" i="11"/>
  <c r="H4" i="11"/>
  <c r="C14" i="4"/>
  <c r="M14" i="4" s="1"/>
  <c r="O13" i="4"/>
  <c r="P13" i="4"/>
  <c r="N13" i="4"/>
  <c r="M13" i="4"/>
  <c r="H4" i="5"/>
  <c r="K15" i="4"/>
  <c r="C12" i="3"/>
  <c r="D12" i="3" s="1"/>
  <c r="R13" i="4"/>
  <c r="S13" i="4" s="1"/>
  <c r="L12" i="3"/>
  <c r="B12" i="3"/>
  <c r="B12" i="6"/>
  <c r="K13" i="3" s="1"/>
  <c r="Q11" i="3"/>
  <c r="B15" i="4"/>
  <c r="C14" i="6"/>
  <c r="D15" i="6" s="1"/>
  <c r="J17" i="4" s="1"/>
  <c r="I11" i="3"/>
  <c r="G11" i="3"/>
  <c r="F11" i="3"/>
  <c r="H11" i="3"/>
  <c r="X12" i="4"/>
  <c r="V12" i="4"/>
  <c r="U12" i="4"/>
  <c r="W12" i="4"/>
  <c r="G13" i="4"/>
  <c r="E13" i="4"/>
  <c r="F13" i="4"/>
  <c r="H13" i="4"/>
  <c r="N14" i="4" l="1"/>
  <c r="P14" i="4"/>
  <c r="O14" i="4"/>
  <c r="E5" i="11"/>
  <c r="D5" i="11"/>
  <c r="B5" i="11"/>
  <c r="C5" i="11"/>
  <c r="C15" i="4"/>
  <c r="N15" i="4" s="1"/>
  <c r="E5" i="5"/>
  <c r="C5" i="5"/>
  <c r="D5" i="5"/>
  <c r="B5" i="5"/>
  <c r="K16" i="4"/>
  <c r="Q12" i="3"/>
  <c r="U13" i="4"/>
  <c r="V13" i="4"/>
  <c r="X13" i="4"/>
  <c r="W13" i="4"/>
  <c r="F14" i="4"/>
  <c r="E14" i="4"/>
  <c r="G14" i="4"/>
  <c r="H14" i="4"/>
  <c r="V11" i="3"/>
  <c r="S11" i="3"/>
  <c r="U11" i="3"/>
  <c r="T11" i="3"/>
  <c r="B16" i="4"/>
  <c r="C15" i="6"/>
  <c r="D16" i="6" s="1"/>
  <c r="J18" i="4" s="1"/>
  <c r="G12" i="3"/>
  <c r="F12" i="3"/>
  <c r="H12" i="3"/>
  <c r="I12" i="3"/>
  <c r="R14" i="4"/>
  <c r="S14" i="4" s="1"/>
  <c r="B13" i="3"/>
  <c r="C13" i="3"/>
  <c r="D13" i="3" s="1"/>
  <c r="L13" i="3"/>
  <c r="B13" i="6"/>
  <c r="K14" i="3" s="1"/>
  <c r="P15" i="4" l="1"/>
  <c r="M15" i="4"/>
  <c r="O15" i="4"/>
  <c r="K5" i="5"/>
  <c r="K5" i="11"/>
  <c r="I5" i="5"/>
  <c r="I5" i="11"/>
  <c r="E6" i="11"/>
  <c r="B6" i="11"/>
  <c r="C6" i="11"/>
  <c r="D6" i="11"/>
  <c r="J5" i="5"/>
  <c r="J5" i="11"/>
  <c r="H5" i="5"/>
  <c r="H5" i="11"/>
  <c r="C16" i="4"/>
  <c r="O16" i="4" s="1"/>
  <c r="D6" i="5"/>
  <c r="E6" i="5"/>
  <c r="B6" i="5"/>
  <c r="C6" i="5"/>
  <c r="K17" i="4"/>
  <c r="I13" i="3"/>
  <c r="H13" i="3"/>
  <c r="F13" i="3"/>
  <c r="G13" i="3"/>
  <c r="B17" i="4"/>
  <c r="C16" i="6"/>
  <c r="D17" i="6" s="1"/>
  <c r="J19" i="4" s="1"/>
  <c r="F15" i="4"/>
  <c r="H15" i="4"/>
  <c r="G15" i="4"/>
  <c r="E15" i="4"/>
  <c r="U14" i="4"/>
  <c r="W14" i="4"/>
  <c r="X14" i="4"/>
  <c r="V14" i="4"/>
  <c r="C14" i="3"/>
  <c r="D14" i="3" s="1"/>
  <c r="L14" i="3"/>
  <c r="B14" i="3"/>
  <c r="R15" i="4"/>
  <c r="S15" i="4" s="1"/>
  <c r="B14" i="6"/>
  <c r="K15" i="3" s="1"/>
  <c r="Q13" i="3"/>
  <c r="S12" i="3"/>
  <c r="V12" i="3"/>
  <c r="T12" i="3"/>
  <c r="U12" i="3"/>
  <c r="N16" i="4" l="1"/>
  <c r="M16" i="4"/>
  <c r="P16" i="4"/>
  <c r="H6" i="5"/>
  <c r="H6" i="11"/>
  <c r="K6" i="5"/>
  <c r="K6" i="11"/>
  <c r="J6" i="5"/>
  <c r="J6" i="11"/>
  <c r="C7" i="11"/>
  <c r="E7" i="11"/>
  <c r="D7" i="11"/>
  <c r="B7" i="11"/>
  <c r="I6" i="5"/>
  <c r="I6" i="11"/>
  <c r="C17" i="4"/>
  <c r="P17" i="4" s="1"/>
  <c r="C7" i="5"/>
  <c r="D7" i="5"/>
  <c r="E7" i="5"/>
  <c r="B7" i="5"/>
  <c r="K18" i="4"/>
  <c r="Q14" i="3"/>
  <c r="I14" i="3"/>
  <c r="G14" i="3"/>
  <c r="H14" i="3"/>
  <c r="F14" i="3"/>
  <c r="W15" i="4"/>
  <c r="X15" i="4"/>
  <c r="V15" i="4"/>
  <c r="U15" i="4"/>
  <c r="S13" i="3"/>
  <c r="V13" i="3"/>
  <c r="U13" i="3"/>
  <c r="T13" i="3"/>
  <c r="L15" i="3"/>
  <c r="R16" i="4"/>
  <c r="S16" i="4" s="1"/>
  <c r="B15" i="3"/>
  <c r="C15" i="3"/>
  <c r="D15" i="3" s="1"/>
  <c r="B15" i="6"/>
  <c r="K16" i="3" s="1"/>
  <c r="B18" i="4"/>
  <c r="C17" i="6"/>
  <c r="D18" i="6" s="1"/>
  <c r="J20" i="4" s="1"/>
  <c r="E16" i="4"/>
  <c r="F16" i="4"/>
  <c r="H16" i="4"/>
  <c r="G16" i="4"/>
  <c r="O17" i="4" l="1"/>
  <c r="N17" i="4"/>
  <c r="M17" i="4"/>
  <c r="H7" i="5"/>
  <c r="H7" i="11"/>
  <c r="I7" i="5"/>
  <c r="I7" i="11"/>
  <c r="D8" i="11"/>
  <c r="C8" i="11"/>
  <c r="E8" i="11"/>
  <c r="B8" i="11"/>
  <c r="J7" i="5"/>
  <c r="J7" i="11"/>
  <c r="K7" i="5"/>
  <c r="K7" i="11"/>
  <c r="C18" i="4"/>
  <c r="P18" i="4" s="1"/>
  <c r="C8" i="5"/>
  <c r="E8" i="5"/>
  <c r="D8" i="5"/>
  <c r="B8" i="5"/>
  <c r="K19" i="4"/>
  <c r="Q15" i="3"/>
  <c r="W16" i="4"/>
  <c r="V16" i="4"/>
  <c r="U16" i="4"/>
  <c r="X16" i="4"/>
  <c r="E17" i="4"/>
  <c r="F17" i="4"/>
  <c r="G17" i="4"/>
  <c r="H17" i="4"/>
  <c r="H15" i="3"/>
  <c r="G15" i="3"/>
  <c r="I15" i="3"/>
  <c r="F15" i="3"/>
  <c r="L16" i="3"/>
  <c r="R17" i="4"/>
  <c r="S17" i="4" s="1"/>
  <c r="C16" i="3"/>
  <c r="D16" i="3" s="1"/>
  <c r="B16" i="3"/>
  <c r="B16" i="6"/>
  <c r="K17" i="3" s="1"/>
  <c r="B19" i="4"/>
  <c r="C18" i="6"/>
  <c r="D19" i="6" s="1"/>
  <c r="J21" i="4" s="1"/>
  <c r="U14" i="3"/>
  <c r="S14" i="3"/>
  <c r="T14" i="3"/>
  <c r="V14" i="3"/>
  <c r="N18" i="4" l="1"/>
  <c r="M18" i="4"/>
  <c r="O18" i="4"/>
  <c r="H8" i="5"/>
  <c r="H8" i="11"/>
  <c r="J8" i="5"/>
  <c r="J8" i="11"/>
  <c r="E9" i="11"/>
  <c r="D9" i="11"/>
  <c r="C9" i="11"/>
  <c r="B9" i="11"/>
  <c r="K8" i="5"/>
  <c r="K8" i="11"/>
  <c r="I8" i="5"/>
  <c r="I8" i="11"/>
  <c r="C19" i="4"/>
  <c r="P19" i="4" s="1"/>
  <c r="C9" i="5"/>
  <c r="E9" i="5"/>
  <c r="D9" i="5"/>
  <c r="B9" i="5"/>
  <c r="K20" i="4"/>
  <c r="Q16" i="3"/>
  <c r="H16" i="3"/>
  <c r="I16" i="3"/>
  <c r="G16" i="3"/>
  <c r="F16" i="3"/>
  <c r="G18" i="4"/>
  <c r="F18" i="4"/>
  <c r="E18" i="4"/>
  <c r="H18" i="4"/>
  <c r="B20" i="4"/>
  <c r="C19" i="6"/>
  <c r="D20" i="6" s="1"/>
  <c r="J22" i="4" s="1"/>
  <c r="V17" i="4"/>
  <c r="U17" i="4"/>
  <c r="W17" i="4"/>
  <c r="X17" i="4"/>
  <c r="B17" i="3"/>
  <c r="C17" i="3"/>
  <c r="D17" i="3" s="1"/>
  <c r="L17" i="3"/>
  <c r="R18" i="4"/>
  <c r="S18" i="4" s="1"/>
  <c r="B17" i="6"/>
  <c r="K18" i="3" s="1"/>
  <c r="U15" i="3"/>
  <c r="S15" i="3"/>
  <c r="V15" i="3"/>
  <c r="T15" i="3"/>
  <c r="N19" i="4" l="1"/>
  <c r="O19" i="4"/>
  <c r="M19" i="4"/>
  <c r="J9" i="5"/>
  <c r="J9" i="11"/>
  <c r="I9" i="5"/>
  <c r="I9" i="11"/>
  <c r="H9" i="5"/>
  <c r="H9" i="11"/>
  <c r="E10" i="11"/>
  <c r="D10" i="11"/>
  <c r="B10" i="11"/>
  <c r="C10" i="11"/>
  <c r="K9" i="5"/>
  <c r="K9" i="11"/>
  <c r="C20" i="4"/>
  <c r="O20" i="4" s="1"/>
  <c r="D10" i="5"/>
  <c r="B10" i="5"/>
  <c r="E10" i="5"/>
  <c r="C10" i="5"/>
  <c r="K21" i="4"/>
  <c r="Q17" i="3"/>
  <c r="V18" i="4"/>
  <c r="X18" i="4"/>
  <c r="W18" i="4"/>
  <c r="U18" i="4"/>
  <c r="B21" i="4"/>
  <c r="C20" i="6"/>
  <c r="D21" i="6" s="1"/>
  <c r="J23" i="4" s="1"/>
  <c r="H17" i="3"/>
  <c r="F17" i="3"/>
  <c r="G17" i="3"/>
  <c r="I17" i="3"/>
  <c r="C18" i="3"/>
  <c r="D18" i="3" s="1"/>
  <c r="L18" i="3"/>
  <c r="B18" i="3"/>
  <c r="R19" i="4"/>
  <c r="S19" i="4" s="1"/>
  <c r="B18" i="6"/>
  <c r="K19" i="3" s="1"/>
  <c r="H19" i="4"/>
  <c r="F19" i="4"/>
  <c r="G19" i="4"/>
  <c r="E19" i="4"/>
  <c r="T16" i="3"/>
  <c r="S16" i="3"/>
  <c r="U16" i="3"/>
  <c r="V16" i="3"/>
  <c r="P20" i="4" l="1"/>
  <c r="N20" i="4"/>
  <c r="M20" i="4"/>
  <c r="H10" i="5"/>
  <c r="H10" i="11"/>
  <c r="C11" i="11"/>
  <c r="E11" i="11"/>
  <c r="D11" i="11"/>
  <c r="B11" i="11"/>
  <c r="K10" i="5"/>
  <c r="K10" i="11"/>
  <c r="I10" i="5"/>
  <c r="I10" i="11"/>
  <c r="J10" i="5"/>
  <c r="J10" i="11"/>
  <c r="C21" i="4"/>
  <c r="M21" i="4" s="1"/>
  <c r="C11" i="5"/>
  <c r="E11" i="5"/>
  <c r="D11" i="5"/>
  <c r="B11" i="5"/>
  <c r="K22" i="4"/>
  <c r="I18" i="3"/>
  <c r="F18" i="3"/>
  <c r="G18" i="3"/>
  <c r="H18" i="3"/>
  <c r="U19" i="4"/>
  <c r="W19" i="4"/>
  <c r="V19" i="4"/>
  <c r="X19" i="4"/>
  <c r="B19" i="3"/>
  <c r="L19" i="3"/>
  <c r="C19" i="3"/>
  <c r="D19" i="3" s="1"/>
  <c r="R20" i="4"/>
  <c r="S20" i="4" s="1"/>
  <c r="B19" i="6"/>
  <c r="K20" i="3" s="1"/>
  <c r="B22" i="4"/>
  <c r="C21" i="6"/>
  <c r="D22" i="6" s="1"/>
  <c r="J24" i="4" s="1"/>
  <c r="Q18" i="3"/>
  <c r="H20" i="4"/>
  <c r="G20" i="4"/>
  <c r="F20" i="4"/>
  <c r="E20" i="4"/>
  <c r="T17" i="3"/>
  <c r="S17" i="3"/>
  <c r="U17" i="3"/>
  <c r="V17" i="3"/>
  <c r="P21" i="4" l="1"/>
  <c r="N21" i="4"/>
  <c r="O21" i="4"/>
  <c r="H11" i="5"/>
  <c r="H11" i="11"/>
  <c r="I11" i="5"/>
  <c r="I11" i="11"/>
  <c r="K11" i="5"/>
  <c r="K11" i="11"/>
  <c r="D12" i="11"/>
  <c r="C12" i="11"/>
  <c r="B12" i="11"/>
  <c r="E12" i="11"/>
  <c r="J11" i="5"/>
  <c r="J11" i="11"/>
  <c r="C22" i="4"/>
  <c r="M22" i="4" s="1"/>
  <c r="D12" i="5"/>
  <c r="E12" i="5"/>
  <c r="C12" i="5"/>
  <c r="B12" i="5"/>
  <c r="K23" i="4"/>
  <c r="X20" i="4"/>
  <c r="V20" i="4"/>
  <c r="U20" i="4"/>
  <c r="W20" i="4"/>
  <c r="I19" i="3"/>
  <c r="G19" i="3"/>
  <c r="H19" i="3"/>
  <c r="F19" i="3"/>
  <c r="G21" i="4"/>
  <c r="E21" i="4"/>
  <c r="H21" i="4"/>
  <c r="F21" i="4"/>
  <c r="V18" i="3"/>
  <c r="S18" i="3"/>
  <c r="U18" i="3"/>
  <c r="T18" i="3"/>
  <c r="C20" i="3"/>
  <c r="D20" i="3" s="1"/>
  <c r="R21" i="4"/>
  <c r="S21" i="4" s="1"/>
  <c r="L20" i="3"/>
  <c r="B20" i="3"/>
  <c r="B20" i="6"/>
  <c r="K21" i="3" s="1"/>
  <c r="B23" i="4"/>
  <c r="C22" i="6"/>
  <c r="D23" i="6" s="1"/>
  <c r="J25" i="4" s="1"/>
  <c r="Q19" i="3"/>
  <c r="P22" i="4" l="1"/>
  <c r="O22" i="4"/>
  <c r="N22" i="4"/>
  <c r="H12" i="5"/>
  <c r="H12" i="11"/>
  <c r="K12" i="5"/>
  <c r="K12" i="11"/>
  <c r="E13" i="11"/>
  <c r="D13" i="11"/>
  <c r="B13" i="11"/>
  <c r="C13" i="11"/>
  <c r="I12" i="5"/>
  <c r="I12" i="11"/>
  <c r="J12" i="5"/>
  <c r="J12" i="11"/>
  <c r="C23" i="4"/>
  <c r="N23" i="4" s="1"/>
  <c r="B13" i="5"/>
  <c r="C13" i="5"/>
  <c r="E13" i="5"/>
  <c r="D13" i="5"/>
  <c r="K24" i="4"/>
  <c r="F20" i="3"/>
  <c r="G20" i="3"/>
  <c r="H20" i="3"/>
  <c r="I20" i="3"/>
  <c r="Q20" i="3"/>
  <c r="X21" i="4"/>
  <c r="U21" i="4"/>
  <c r="W21" i="4"/>
  <c r="V21" i="4"/>
  <c r="R22" i="4"/>
  <c r="S22" i="4" s="1"/>
  <c r="C21" i="3"/>
  <c r="D21" i="3" s="1"/>
  <c r="B21" i="3"/>
  <c r="L21" i="3"/>
  <c r="B21" i="6"/>
  <c r="K22" i="3" s="1"/>
  <c r="B24" i="4"/>
  <c r="C23" i="6"/>
  <c r="D24" i="6" s="1"/>
  <c r="J26" i="4" s="1"/>
  <c r="S19" i="3"/>
  <c r="T19" i="3"/>
  <c r="U19" i="3"/>
  <c r="V19" i="3"/>
  <c r="H22" i="4"/>
  <c r="G22" i="4"/>
  <c r="E22" i="4"/>
  <c r="F22" i="4"/>
  <c r="M23" i="4" l="1"/>
  <c r="P23" i="4"/>
  <c r="O23" i="4"/>
  <c r="J13" i="5"/>
  <c r="J13" i="11"/>
  <c r="E14" i="11"/>
  <c r="B14" i="11"/>
  <c r="D14" i="11"/>
  <c r="C14" i="11"/>
  <c r="I13" i="5"/>
  <c r="I13" i="11"/>
  <c r="H13" i="5"/>
  <c r="H13" i="11"/>
  <c r="K13" i="5"/>
  <c r="K13" i="11"/>
  <c r="C24" i="4"/>
  <c r="M24" i="4" s="1"/>
  <c r="D14" i="5"/>
  <c r="B14" i="5"/>
  <c r="C14" i="5"/>
  <c r="E14" i="5"/>
  <c r="K25" i="4"/>
  <c r="Q21" i="3"/>
  <c r="F21" i="3"/>
  <c r="I21" i="3"/>
  <c r="G21" i="3"/>
  <c r="H21" i="3"/>
  <c r="U22" i="4"/>
  <c r="V22" i="4"/>
  <c r="W22" i="4"/>
  <c r="X22" i="4"/>
  <c r="S20" i="3"/>
  <c r="V20" i="3"/>
  <c r="T20" i="3"/>
  <c r="U20" i="3"/>
  <c r="R23" i="4"/>
  <c r="S23" i="4" s="1"/>
  <c r="L22" i="3"/>
  <c r="C22" i="3"/>
  <c r="D22" i="3" s="1"/>
  <c r="B22" i="3"/>
  <c r="B22" i="6"/>
  <c r="K23" i="3" s="1"/>
  <c r="G23" i="4"/>
  <c r="F23" i="4"/>
  <c r="E23" i="4"/>
  <c r="H23" i="4"/>
  <c r="B25" i="4"/>
  <c r="C24" i="6"/>
  <c r="D25" i="6" s="1"/>
  <c r="J27" i="4" s="1"/>
  <c r="P24" i="4" l="1"/>
  <c r="O24" i="4"/>
  <c r="N24" i="4"/>
  <c r="H14" i="5"/>
  <c r="H14" i="11"/>
  <c r="J14" i="5"/>
  <c r="J14" i="11"/>
  <c r="C15" i="11"/>
  <c r="E15" i="11"/>
  <c r="D15" i="11"/>
  <c r="B15" i="11"/>
  <c r="I14" i="5"/>
  <c r="I14" i="11"/>
  <c r="K14" i="5"/>
  <c r="K14" i="11"/>
  <c r="C25" i="4"/>
  <c r="M25" i="4" s="1"/>
  <c r="D15" i="5"/>
  <c r="E15" i="5"/>
  <c r="C15" i="5"/>
  <c r="B15" i="5"/>
  <c r="K26" i="4"/>
  <c r="Q22" i="3"/>
  <c r="W23" i="4"/>
  <c r="V23" i="4"/>
  <c r="U23" i="4"/>
  <c r="X23" i="4"/>
  <c r="I22" i="3"/>
  <c r="H22" i="3"/>
  <c r="F22" i="3"/>
  <c r="G22" i="3"/>
  <c r="B23" i="3"/>
  <c r="R24" i="4"/>
  <c r="S24" i="4" s="1"/>
  <c r="L23" i="3"/>
  <c r="C23" i="3"/>
  <c r="D23" i="3" s="1"/>
  <c r="B23" i="6"/>
  <c r="K24" i="3" s="1"/>
  <c r="B26" i="4"/>
  <c r="C25" i="6"/>
  <c r="D26" i="6" s="1"/>
  <c r="J28" i="4" s="1"/>
  <c r="F24" i="4"/>
  <c r="E24" i="4"/>
  <c r="H24" i="4"/>
  <c r="G24" i="4"/>
  <c r="U21" i="3"/>
  <c r="S21" i="3"/>
  <c r="V21" i="3"/>
  <c r="T21" i="3"/>
  <c r="P25" i="4" l="1"/>
  <c r="O25" i="4"/>
  <c r="N25" i="4"/>
  <c r="H15" i="5"/>
  <c r="H15" i="11"/>
  <c r="J15" i="5"/>
  <c r="J15" i="11"/>
  <c r="D16" i="11"/>
  <c r="C16" i="11"/>
  <c r="E16" i="11"/>
  <c r="B16" i="11"/>
  <c r="I15" i="5"/>
  <c r="I15" i="11"/>
  <c r="K15" i="5"/>
  <c r="K15" i="11"/>
  <c r="C26" i="4"/>
  <c r="O26" i="4" s="1"/>
  <c r="E16" i="5"/>
  <c r="D16" i="5"/>
  <c r="B16" i="5"/>
  <c r="C16" i="5"/>
  <c r="K27" i="4"/>
  <c r="Q23" i="3"/>
  <c r="V24" i="4"/>
  <c r="W24" i="4"/>
  <c r="X24" i="4"/>
  <c r="U24" i="4"/>
  <c r="H25" i="4"/>
  <c r="G25" i="4"/>
  <c r="F25" i="4"/>
  <c r="E25" i="4"/>
  <c r="L24" i="3"/>
  <c r="B24" i="3"/>
  <c r="R25" i="4"/>
  <c r="S25" i="4" s="1"/>
  <c r="C24" i="3"/>
  <c r="D24" i="3" s="1"/>
  <c r="B24" i="6"/>
  <c r="K25" i="3" s="1"/>
  <c r="F23" i="3"/>
  <c r="G23" i="3"/>
  <c r="H23" i="3"/>
  <c r="I23" i="3"/>
  <c r="B27" i="4"/>
  <c r="C26" i="6"/>
  <c r="D27" i="6" s="1"/>
  <c r="J29" i="4" s="1"/>
  <c r="V22" i="3"/>
  <c r="U22" i="3"/>
  <c r="S22" i="3"/>
  <c r="T22" i="3"/>
  <c r="C27" i="4" l="1"/>
  <c r="N27" i="4" s="1"/>
  <c r="I16" i="5"/>
  <c r="I16" i="11"/>
  <c r="K16" i="5"/>
  <c r="K16" i="11"/>
  <c r="E17" i="11"/>
  <c r="D17" i="11"/>
  <c r="C17" i="11"/>
  <c r="B17" i="11"/>
  <c r="H16" i="5"/>
  <c r="H16" i="11"/>
  <c r="J16" i="5"/>
  <c r="J16" i="11"/>
  <c r="M26" i="4"/>
  <c r="P26" i="4"/>
  <c r="N26" i="4"/>
  <c r="C17" i="5"/>
  <c r="D17" i="5"/>
  <c r="B17" i="5"/>
  <c r="E17" i="5"/>
  <c r="K28" i="4"/>
  <c r="P27" i="4"/>
  <c r="V25" i="4"/>
  <c r="X25" i="4"/>
  <c r="U25" i="4"/>
  <c r="W25" i="4"/>
  <c r="Q24" i="3"/>
  <c r="F24" i="3"/>
  <c r="H24" i="3"/>
  <c r="I24" i="3"/>
  <c r="G24" i="3"/>
  <c r="B25" i="3"/>
  <c r="C25" i="3"/>
  <c r="D25" i="3" s="1"/>
  <c r="L25" i="3"/>
  <c r="R26" i="4"/>
  <c r="S26" i="4" s="1"/>
  <c r="B25" i="6"/>
  <c r="K26" i="3" s="1"/>
  <c r="B28" i="4"/>
  <c r="C28" i="4" s="1"/>
  <c r="C27" i="6"/>
  <c r="D28" i="6" s="1"/>
  <c r="J30" i="4" s="1"/>
  <c r="E26" i="4"/>
  <c r="G26" i="4"/>
  <c r="F26" i="4"/>
  <c r="H26" i="4"/>
  <c r="U23" i="3"/>
  <c r="T23" i="3"/>
  <c r="V23" i="3"/>
  <c r="S23" i="3"/>
  <c r="O27" i="4" l="1"/>
  <c r="M27" i="4"/>
  <c r="I17" i="5"/>
  <c r="I17" i="11"/>
  <c r="K17" i="5"/>
  <c r="K17" i="11"/>
  <c r="J17" i="5"/>
  <c r="J17" i="11"/>
  <c r="E18" i="11"/>
  <c r="D18" i="11"/>
  <c r="B18" i="11"/>
  <c r="C18" i="11"/>
  <c r="H17" i="5"/>
  <c r="H17" i="11"/>
  <c r="E18" i="5"/>
  <c r="C18" i="5"/>
  <c r="D18" i="5"/>
  <c r="B18" i="5"/>
  <c r="K29" i="4"/>
  <c r="M28" i="4"/>
  <c r="O28" i="4"/>
  <c r="N28" i="4"/>
  <c r="P28" i="4"/>
  <c r="W26" i="4"/>
  <c r="V26" i="4"/>
  <c r="U26" i="4"/>
  <c r="X26" i="4"/>
  <c r="Q25" i="3"/>
  <c r="I25" i="3"/>
  <c r="H25" i="3"/>
  <c r="F25" i="3"/>
  <c r="G25" i="3"/>
  <c r="B29" i="4"/>
  <c r="C29" i="4" s="1"/>
  <c r="C28" i="6"/>
  <c r="D29" i="6" s="1"/>
  <c r="J31" i="4" s="1"/>
  <c r="T24" i="3"/>
  <c r="V24" i="3"/>
  <c r="S24" i="3"/>
  <c r="U24" i="3"/>
  <c r="H27" i="4"/>
  <c r="G27" i="4"/>
  <c r="E27" i="4"/>
  <c r="F27" i="4"/>
  <c r="L26" i="3"/>
  <c r="C26" i="3"/>
  <c r="D26" i="3" s="1"/>
  <c r="B26" i="3"/>
  <c r="R27" i="4"/>
  <c r="S27" i="4" s="1"/>
  <c r="B26" i="6"/>
  <c r="K27" i="3" s="1"/>
  <c r="J18" i="5" l="1"/>
  <c r="J18" i="11"/>
  <c r="H18" i="5"/>
  <c r="H18" i="11"/>
  <c r="K18" i="5"/>
  <c r="K18" i="11"/>
  <c r="C19" i="11"/>
  <c r="E19" i="11"/>
  <c r="D19" i="11"/>
  <c r="B19" i="11"/>
  <c r="I18" i="5"/>
  <c r="I18" i="11"/>
  <c r="D19" i="5"/>
  <c r="E19" i="5"/>
  <c r="B19" i="5"/>
  <c r="C19" i="5"/>
  <c r="K30" i="4"/>
  <c r="M29" i="4"/>
  <c r="N29" i="4"/>
  <c r="O29" i="4"/>
  <c r="P29" i="4"/>
  <c r="I26" i="3"/>
  <c r="H26" i="3"/>
  <c r="F26" i="3"/>
  <c r="G26" i="3"/>
  <c r="V27" i="4"/>
  <c r="X27" i="4"/>
  <c r="W27" i="4"/>
  <c r="U27" i="4"/>
  <c r="Q26" i="3"/>
  <c r="T25" i="3"/>
  <c r="V25" i="3"/>
  <c r="S25" i="3"/>
  <c r="U25" i="3"/>
  <c r="F28" i="4"/>
  <c r="H28" i="4"/>
  <c r="G28" i="4"/>
  <c r="E28" i="4"/>
  <c r="B30" i="4"/>
  <c r="C30" i="4" s="1"/>
  <c r="C29" i="6"/>
  <c r="D30" i="6" s="1"/>
  <c r="J32" i="4" s="1"/>
  <c r="R28" i="4"/>
  <c r="S28" i="4" s="1"/>
  <c r="B27" i="3"/>
  <c r="L27" i="3"/>
  <c r="C27" i="3"/>
  <c r="D27" i="3" s="1"/>
  <c r="B27" i="6"/>
  <c r="K28" i="3" s="1"/>
  <c r="K19" i="5" l="1"/>
  <c r="K19" i="11"/>
  <c r="I19" i="5"/>
  <c r="I19" i="11"/>
  <c r="J19" i="5"/>
  <c r="J19" i="11"/>
  <c r="D20" i="11"/>
  <c r="C20" i="11"/>
  <c r="B20" i="11"/>
  <c r="E20" i="11"/>
  <c r="H19" i="5"/>
  <c r="H19" i="11"/>
  <c r="E20" i="5"/>
  <c r="D20" i="5"/>
  <c r="C20" i="5"/>
  <c r="B20" i="5"/>
  <c r="K31" i="4"/>
  <c r="M30" i="4"/>
  <c r="O30" i="4"/>
  <c r="N30" i="4"/>
  <c r="P30" i="4"/>
  <c r="Q27" i="3"/>
  <c r="U28" i="4"/>
  <c r="X28" i="4"/>
  <c r="W28" i="4"/>
  <c r="V28" i="4"/>
  <c r="I27" i="3"/>
  <c r="H27" i="3"/>
  <c r="F27" i="3"/>
  <c r="G27" i="3"/>
  <c r="T26" i="3"/>
  <c r="V26" i="3"/>
  <c r="U26" i="3"/>
  <c r="S26" i="3"/>
  <c r="R29" i="4"/>
  <c r="S29" i="4" s="1"/>
  <c r="B28" i="3"/>
  <c r="L28" i="3"/>
  <c r="C28" i="3"/>
  <c r="D28" i="3" s="1"/>
  <c r="B28" i="6"/>
  <c r="K29" i="3" s="1"/>
  <c r="B31" i="4"/>
  <c r="C31" i="4" s="1"/>
  <c r="C30" i="6"/>
  <c r="D31" i="6" s="1"/>
  <c r="J33" i="4" s="1"/>
  <c r="G29" i="4"/>
  <c r="F29" i="4"/>
  <c r="E29" i="4"/>
  <c r="H29" i="4"/>
  <c r="I20" i="5" l="1"/>
  <c r="I20" i="11"/>
  <c r="H20" i="5"/>
  <c r="H20" i="11"/>
  <c r="J20" i="5"/>
  <c r="J20" i="11"/>
  <c r="E21" i="11"/>
  <c r="D21" i="11"/>
  <c r="B21" i="11"/>
  <c r="C21" i="11"/>
  <c r="K20" i="5"/>
  <c r="K20" i="11"/>
  <c r="E21" i="5"/>
  <c r="D21" i="5"/>
  <c r="B21" i="5"/>
  <c r="C21" i="5"/>
  <c r="K32" i="4"/>
  <c r="M31" i="4"/>
  <c r="N31" i="4"/>
  <c r="O31" i="4"/>
  <c r="P31" i="4"/>
  <c r="Q28" i="3"/>
  <c r="X29" i="4"/>
  <c r="U29" i="4"/>
  <c r="W29" i="4"/>
  <c r="V29" i="4"/>
  <c r="B29" i="3"/>
  <c r="R30" i="4"/>
  <c r="S30" i="4" s="1"/>
  <c r="L29" i="3"/>
  <c r="C29" i="3"/>
  <c r="D29" i="3" s="1"/>
  <c r="B29" i="6"/>
  <c r="K30" i="3" s="1"/>
  <c r="I28" i="3"/>
  <c r="G28" i="3"/>
  <c r="F28" i="3"/>
  <c r="H28" i="3"/>
  <c r="F30" i="4"/>
  <c r="E30" i="4"/>
  <c r="H30" i="4"/>
  <c r="G30" i="4"/>
  <c r="B32" i="4"/>
  <c r="C32" i="4" s="1"/>
  <c r="C31" i="6"/>
  <c r="D32" i="6" s="1"/>
  <c r="J34" i="4" s="1"/>
  <c r="U27" i="3"/>
  <c r="S27" i="3"/>
  <c r="T27" i="3"/>
  <c r="V27" i="3"/>
  <c r="I21" i="5" l="1"/>
  <c r="I21" i="11"/>
  <c r="J21" i="5"/>
  <c r="J21" i="11"/>
  <c r="E22" i="11"/>
  <c r="B22" i="11"/>
  <c r="D22" i="11"/>
  <c r="C22" i="11"/>
  <c r="H21" i="5"/>
  <c r="H21" i="11"/>
  <c r="K21" i="5"/>
  <c r="K21" i="11"/>
  <c r="B22" i="5"/>
  <c r="C22" i="5"/>
  <c r="E22" i="5"/>
  <c r="D22" i="5"/>
  <c r="K33" i="4"/>
  <c r="M32" i="4"/>
  <c r="O32" i="4"/>
  <c r="N32" i="4"/>
  <c r="P32" i="4"/>
  <c r="I29" i="3"/>
  <c r="H29" i="3"/>
  <c r="F29" i="3"/>
  <c r="G29" i="3"/>
  <c r="Q29" i="3"/>
  <c r="B33" i="4"/>
  <c r="C33" i="4" s="1"/>
  <c r="C32" i="6"/>
  <c r="D33" i="6" s="1"/>
  <c r="J35" i="4" s="1"/>
  <c r="H31" i="4"/>
  <c r="E31" i="4"/>
  <c r="F31" i="4"/>
  <c r="G31" i="4"/>
  <c r="V30" i="4"/>
  <c r="U30" i="4"/>
  <c r="W30" i="4"/>
  <c r="X30" i="4"/>
  <c r="L30" i="3"/>
  <c r="C30" i="3"/>
  <c r="D30" i="3" s="1"/>
  <c r="B30" i="3"/>
  <c r="R31" i="4"/>
  <c r="S31" i="4" s="1"/>
  <c r="B30" i="6"/>
  <c r="K31" i="3" s="1"/>
  <c r="U28" i="3"/>
  <c r="T28" i="3"/>
  <c r="V28" i="3"/>
  <c r="S28" i="3"/>
  <c r="K22" i="5" l="1"/>
  <c r="K22" i="11"/>
  <c r="I22" i="5"/>
  <c r="I22" i="11"/>
  <c r="J22" i="5"/>
  <c r="J22" i="11"/>
  <c r="C23" i="11"/>
  <c r="E23" i="11"/>
  <c r="D23" i="11"/>
  <c r="B23" i="11"/>
  <c r="H22" i="5"/>
  <c r="H22" i="11"/>
  <c r="C23" i="5"/>
  <c r="B23" i="5"/>
  <c r="E23" i="5"/>
  <c r="D23" i="5"/>
  <c r="K34" i="4"/>
  <c r="M33" i="4"/>
  <c r="N33" i="4"/>
  <c r="O33" i="4"/>
  <c r="P33" i="4"/>
  <c r="G30" i="3"/>
  <c r="I30" i="3"/>
  <c r="F30" i="3"/>
  <c r="H30" i="3"/>
  <c r="W31" i="4"/>
  <c r="U31" i="4"/>
  <c r="V31" i="4"/>
  <c r="X31" i="4"/>
  <c r="Q30" i="3"/>
  <c r="U29" i="3"/>
  <c r="T29" i="3"/>
  <c r="V29" i="3"/>
  <c r="S29" i="3"/>
  <c r="B34" i="4"/>
  <c r="C34" i="4" s="1"/>
  <c r="C33" i="6"/>
  <c r="D34" i="6" s="1"/>
  <c r="J36" i="4" s="1"/>
  <c r="L31" i="3"/>
  <c r="R32" i="4"/>
  <c r="S32" i="4" s="1"/>
  <c r="C31" i="3"/>
  <c r="D31" i="3" s="1"/>
  <c r="B31" i="3"/>
  <c r="B31" i="6"/>
  <c r="K32" i="3" s="1"/>
  <c r="F32" i="4"/>
  <c r="G32" i="4"/>
  <c r="H32" i="4"/>
  <c r="E32" i="4"/>
  <c r="I23" i="5" l="1"/>
  <c r="I23" i="11"/>
  <c r="J23" i="5"/>
  <c r="J23" i="11"/>
  <c r="H23" i="5"/>
  <c r="H23" i="11"/>
  <c r="D24" i="11"/>
  <c r="C24" i="11"/>
  <c r="B24" i="11"/>
  <c r="E24" i="11"/>
  <c r="K23" i="5"/>
  <c r="K23" i="11"/>
  <c r="E24" i="5"/>
  <c r="C24" i="5"/>
  <c r="B24" i="5"/>
  <c r="D24" i="5"/>
  <c r="K35" i="4"/>
  <c r="M34" i="4"/>
  <c r="O34" i="4"/>
  <c r="N34" i="4"/>
  <c r="P34" i="4"/>
  <c r="X32" i="4"/>
  <c r="V32" i="4"/>
  <c r="U32" i="4"/>
  <c r="W32" i="4"/>
  <c r="Q31" i="3"/>
  <c r="F31" i="3"/>
  <c r="G31" i="3"/>
  <c r="H31" i="3"/>
  <c r="I31" i="3"/>
  <c r="H33" i="4"/>
  <c r="F33" i="4"/>
  <c r="G33" i="4"/>
  <c r="E33" i="4"/>
  <c r="B35" i="4"/>
  <c r="C35" i="4" s="1"/>
  <c r="C34" i="6"/>
  <c r="D35" i="6" s="1"/>
  <c r="J37" i="4" s="1"/>
  <c r="S30" i="3"/>
  <c r="T30" i="3"/>
  <c r="U30" i="3"/>
  <c r="V30" i="3"/>
  <c r="C32" i="3"/>
  <c r="D32" i="3" s="1"/>
  <c r="R33" i="4"/>
  <c r="S33" i="4" s="1"/>
  <c r="B32" i="3"/>
  <c r="L32" i="3"/>
  <c r="B32" i="6"/>
  <c r="K33" i="3" s="1"/>
  <c r="J24" i="5" l="1"/>
  <c r="J24" i="11"/>
  <c r="K24" i="5"/>
  <c r="K24" i="11"/>
  <c r="I24" i="5"/>
  <c r="I24" i="11"/>
  <c r="E25" i="11"/>
  <c r="D25" i="11"/>
  <c r="C25" i="11"/>
  <c r="B25" i="11"/>
  <c r="H24" i="5"/>
  <c r="H24" i="11"/>
  <c r="D25" i="5"/>
  <c r="E25" i="5"/>
  <c r="B25" i="5"/>
  <c r="C25" i="5"/>
  <c r="K36" i="4"/>
  <c r="M35" i="4"/>
  <c r="N35" i="4"/>
  <c r="O35" i="4"/>
  <c r="P35" i="4"/>
  <c r="U33" i="4"/>
  <c r="X33" i="4"/>
  <c r="W33" i="4"/>
  <c r="V33" i="4"/>
  <c r="I32" i="3"/>
  <c r="F32" i="3"/>
  <c r="H32" i="3"/>
  <c r="G32" i="3"/>
  <c r="B36" i="4"/>
  <c r="C36" i="4" s="1"/>
  <c r="C35" i="6"/>
  <c r="D36" i="6" s="1"/>
  <c r="J38" i="4" s="1"/>
  <c r="Q32" i="3"/>
  <c r="C33" i="3"/>
  <c r="D33" i="3" s="1"/>
  <c r="B33" i="3"/>
  <c r="L33" i="3"/>
  <c r="R34" i="4"/>
  <c r="S34" i="4" s="1"/>
  <c r="B33" i="6"/>
  <c r="K34" i="3" s="1"/>
  <c r="S31" i="3"/>
  <c r="U31" i="3"/>
  <c r="V31" i="3"/>
  <c r="T31" i="3"/>
  <c r="H34" i="4"/>
  <c r="E34" i="4"/>
  <c r="F34" i="4"/>
  <c r="G34" i="4"/>
  <c r="K25" i="5" l="1"/>
  <c r="K25" i="11"/>
  <c r="J25" i="5"/>
  <c r="J25" i="11"/>
  <c r="E26" i="11"/>
  <c r="D26" i="11"/>
  <c r="B26" i="11"/>
  <c r="C26" i="11"/>
  <c r="H25" i="5"/>
  <c r="H25" i="11"/>
  <c r="I25" i="5"/>
  <c r="I25" i="11"/>
  <c r="C26" i="5"/>
  <c r="B26" i="5"/>
  <c r="D26" i="5"/>
  <c r="E26" i="5"/>
  <c r="K37" i="4"/>
  <c r="M36" i="4"/>
  <c r="O36" i="4"/>
  <c r="N36" i="4"/>
  <c r="P36" i="4"/>
  <c r="H33" i="3"/>
  <c r="I33" i="3"/>
  <c r="F33" i="3"/>
  <c r="G33" i="3"/>
  <c r="X34" i="4"/>
  <c r="U34" i="4"/>
  <c r="W34" i="4"/>
  <c r="V34" i="4"/>
  <c r="B37" i="4"/>
  <c r="C37" i="4" s="1"/>
  <c r="C36" i="6"/>
  <c r="D37" i="6" s="1"/>
  <c r="J39" i="4" s="1"/>
  <c r="R35" i="4"/>
  <c r="S35" i="4" s="1"/>
  <c r="B34" i="3"/>
  <c r="C34" i="3"/>
  <c r="D34" i="3" s="1"/>
  <c r="L34" i="3"/>
  <c r="B34" i="6"/>
  <c r="K35" i="3" s="1"/>
  <c r="Q33" i="3"/>
  <c r="H35" i="4"/>
  <c r="E35" i="4"/>
  <c r="F35" i="4"/>
  <c r="G35" i="4"/>
  <c r="S32" i="3"/>
  <c r="U32" i="3"/>
  <c r="T32" i="3"/>
  <c r="V32" i="3"/>
  <c r="I26" i="5" l="1"/>
  <c r="I26" i="11"/>
  <c r="J26" i="5"/>
  <c r="J26" i="11"/>
  <c r="H26" i="5"/>
  <c r="H26" i="11"/>
  <c r="K26" i="5"/>
  <c r="K26" i="11"/>
  <c r="C27" i="11"/>
  <c r="E27" i="11"/>
  <c r="D27" i="11"/>
  <c r="B27" i="11"/>
  <c r="C27" i="5"/>
  <c r="B27" i="5"/>
  <c r="E27" i="5"/>
  <c r="D27" i="5"/>
  <c r="K38" i="4"/>
  <c r="M37" i="4"/>
  <c r="N37" i="4"/>
  <c r="O37" i="4"/>
  <c r="P37" i="4"/>
  <c r="Q34" i="3"/>
  <c r="H34" i="3"/>
  <c r="I34" i="3"/>
  <c r="F34" i="3"/>
  <c r="G34" i="3"/>
  <c r="E36" i="4"/>
  <c r="H36" i="4"/>
  <c r="G36" i="4"/>
  <c r="F36" i="4"/>
  <c r="B38" i="4"/>
  <c r="C38" i="4" s="1"/>
  <c r="C37" i="6"/>
  <c r="D38" i="6" s="1"/>
  <c r="J40" i="4" s="1"/>
  <c r="V35" i="4"/>
  <c r="W35" i="4"/>
  <c r="X35" i="4"/>
  <c r="U35" i="4"/>
  <c r="T33" i="3"/>
  <c r="V33" i="3"/>
  <c r="U33" i="3"/>
  <c r="S33" i="3"/>
  <c r="R36" i="4"/>
  <c r="S36" i="4" s="1"/>
  <c r="B35" i="3"/>
  <c r="C35" i="3"/>
  <c r="D35" i="3" s="1"/>
  <c r="L35" i="3"/>
  <c r="B35" i="6"/>
  <c r="K36" i="3" s="1"/>
  <c r="H27" i="5" l="1"/>
  <c r="H27" i="11"/>
  <c r="J27" i="5"/>
  <c r="J27" i="11"/>
  <c r="K27" i="5"/>
  <c r="K27" i="11"/>
  <c r="D28" i="11"/>
  <c r="C28" i="11"/>
  <c r="E28" i="11"/>
  <c r="B28" i="11"/>
  <c r="I27" i="5"/>
  <c r="I27" i="11"/>
  <c r="D28" i="5"/>
  <c r="C28" i="5"/>
  <c r="B28" i="5"/>
  <c r="E28" i="5"/>
  <c r="K39" i="4"/>
  <c r="M38" i="4"/>
  <c r="N38" i="4"/>
  <c r="O38" i="4"/>
  <c r="P38" i="4"/>
  <c r="Q35" i="3"/>
  <c r="I35" i="3"/>
  <c r="F35" i="3"/>
  <c r="H35" i="3"/>
  <c r="G35" i="3"/>
  <c r="B39" i="4"/>
  <c r="C39" i="4" s="1"/>
  <c r="C38" i="6"/>
  <c r="D39" i="6" s="1"/>
  <c r="J41" i="4" s="1"/>
  <c r="S34" i="3"/>
  <c r="V34" i="3"/>
  <c r="T34" i="3"/>
  <c r="U34" i="3"/>
  <c r="V36" i="4"/>
  <c r="U36" i="4"/>
  <c r="W36" i="4"/>
  <c r="X36" i="4"/>
  <c r="B36" i="3"/>
  <c r="C36" i="3"/>
  <c r="D36" i="3" s="1"/>
  <c r="L36" i="3"/>
  <c r="R37" i="4"/>
  <c r="S37" i="4" s="1"/>
  <c r="B36" i="6"/>
  <c r="K37" i="3" s="1"/>
  <c r="H37" i="4"/>
  <c r="E37" i="4"/>
  <c r="G37" i="4"/>
  <c r="F37" i="4"/>
  <c r="I28" i="5" l="1"/>
  <c r="I28" i="11"/>
  <c r="J28" i="5"/>
  <c r="J28" i="11"/>
  <c r="K28" i="5"/>
  <c r="K28" i="11"/>
  <c r="E29" i="11"/>
  <c r="D29" i="11"/>
  <c r="B29" i="11"/>
  <c r="C29" i="11"/>
  <c r="H28" i="5"/>
  <c r="H28" i="11"/>
  <c r="C29" i="5"/>
  <c r="D29" i="5"/>
  <c r="B29" i="5"/>
  <c r="E29" i="5"/>
  <c r="K40" i="4"/>
  <c r="M39" i="4"/>
  <c r="N39" i="4"/>
  <c r="O39" i="4"/>
  <c r="P39" i="4"/>
  <c r="Q36" i="3"/>
  <c r="G36" i="3"/>
  <c r="I36" i="3"/>
  <c r="H36" i="3"/>
  <c r="F36" i="3"/>
  <c r="B37" i="3"/>
  <c r="L37" i="3"/>
  <c r="R38" i="4"/>
  <c r="S38" i="4" s="1"/>
  <c r="C37" i="3"/>
  <c r="D37" i="3" s="1"/>
  <c r="B37" i="6"/>
  <c r="K38" i="3" s="1"/>
  <c r="W37" i="4"/>
  <c r="U37" i="4"/>
  <c r="V37" i="4"/>
  <c r="X37" i="4"/>
  <c r="B40" i="4"/>
  <c r="C40" i="4" s="1"/>
  <c r="C39" i="6"/>
  <c r="D40" i="6" s="1"/>
  <c r="J42" i="4" s="1"/>
  <c r="H38" i="4"/>
  <c r="E38" i="4"/>
  <c r="G38" i="4"/>
  <c r="F38" i="4"/>
  <c r="S35" i="3"/>
  <c r="U35" i="3"/>
  <c r="T35" i="3"/>
  <c r="V35" i="3"/>
  <c r="I29" i="5" l="1"/>
  <c r="I29" i="11"/>
  <c r="E30" i="11"/>
  <c r="B30" i="11"/>
  <c r="C30" i="11"/>
  <c r="D30" i="11"/>
  <c r="J29" i="5"/>
  <c r="J29" i="11"/>
  <c r="H29" i="5"/>
  <c r="H29" i="11"/>
  <c r="K29" i="5"/>
  <c r="K29" i="11"/>
  <c r="D30" i="5"/>
  <c r="B30" i="5"/>
  <c r="E30" i="5"/>
  <c r="C30" i="5"/>
  <c r="K41" i="4"/>
  <c r="M40" i="4"/>
  <c r="N40" i="4"/>
  <c r="O40" i="4"/>
  <c r="P40" i="4"/>
  <c r="Q37" i="3"/>
  <c r="W38" i="4"/>
  <c r="U38" i="4"/>
  <c r="X38" i="4"/>
  <c r="V38" i="4"/>
  <c r="C38" i="3"/>
  <c r="D38" i="3" s="1"/>
  <c r="B38" i="3"/>
  <c r="L38" i="3"/>
  <c r="R39" i="4"/>
  <c r="S39" i="4" s="1"/>
  <c r="B38" i="6"/>
  <c r="K39" i="3" s="1"/>
  <c r="G37" i="3"/>
  <c r="I37" i="3"/>
  <c r="F37" i="3"/>
  <c r="H37" i="3"/>
  <c r="F39" i="4"/>
  <c r="G39" i="4"/>
  <c r="H39" i="4"/>
  <c r="E39" i="4"/>
  <c r="B41" i="4"/>
  <c r="C41" i="4" s="1"/>
  <c r="C59" i="5" s="1"/>
  <c r="C40" i="6"/>
  <c r="D41" i="6" s="1"/>
  <c r="J43" i="4" s="1"/>
  <c r="S36" i="3"/>
  <c r="V36" i="3"/>
  <c r="T36" i="3"/>
  <c r="U36" i="3"/>
  <c r="I30" i="5" l="1"/>
  <c r="I30" i="11"/>
  <c r="K30" i="5"/>
  <c r="K30" i="11"/>
  <c r="H30" i="5"/>
  <c r="H30" i="11"/>
  <c r="E31" i="11"/>
  <c r="C31" i="11"/>
  <c r="D31" i="11"/>
  <c r="B31" i="11"/>
  <c r="J30" i="5"/>
  <c r="J30" i="11"/>
  <c r="C31" i="5"/>
  <c r="D31" i="5"/>
  <c r="E31" i="5"/>
  <c r="B31" i="5"/>
  <c r="K42" i="4"/>
  <c r="M41" i="4"/>
  <c r="N41" i="4"/>
  <c r="O41" i="4"/>
  <c r="P41" i="4"/>
  <c r="Q38" i="3"/>
  <c r="I38" i="3"/>
  <c r="G38" i="3"/>
  <c r="F38" i="3"/>
  <c r="H38" i="3"/>
  <c r="H40" i="4"/>
  <c r="G40" i="4"/>
  <c r="F40" i="4"/>
  <c r="E40" i="4"/>
  <c r="C39" i="3"/>
  <c r="D39" i="3" s="1"/>
  <c r="R40" i="4"/>
  <c r="S40" i="4" s="1"/>
  <c r="L39" i="3"/>
  <c r="B39" i="3"/>
  <c r="B39" i="6"/>
  <c r="K40" i="3" s="1"/>
  <c r="U39" i="4"/>
  <c r="V39" i="4"/>
  <c r="X39" i="4"/>
  <c r="W39" i="4"/>
  <c r="B42" i="4"/>
  <c r="C42" i="4" s="1"/>
  <c r="C41" i="6"/>
  <c r="D42" i="6" s="1"/>
  <c r="J44" i="4" s="1"/>
  <c r="V37" i="3"/>
  <c r="U37" i="3"/>
  <c r="T37" i="3"/>
  <c r="S37" i="3"/>
  <c r="I31" i="5" l="1"/>
  <c r="I31" i="11"/>
  <c r="K31" i="5"/>
  <c r="K31" i="11"/>
  <c r="J31" i="5"/>
  <c r="J31" i="11"/>
  <c r="D32" i="11"/>
  <c r="C32" i="11"/>
  <c r="E32" i="11"/>
  <c r="B32" i="11"/>
  <c r="H31" i="5"/>
  <c r="H31" i="11"/>
  <c r="E32" i="5"/>
  <c r="B32" i="5"/>
  <c r="D32" i="5"/>
  <c r="C32" i="5"/>
  <c r="K43" i="4"/>
  <c r="M42" i="4"/>
  <c r="N42" i="4"/>
  <c r="O42" i="4"/>
  <c r="P42" i="4"/>
  <c r="F39" i="3"/>
  <c r="H39" i="3"/>
  <c r="I39" i="3"/>
  <c r="G39" i="3"/>
  <c r="Q39" i="3"/>
  <c r="B43" i="4"/>
  <c r="C43" i="4" s="1"/>
  <c r="C42" i="6"/>
  <c r="D43" i="6" s="1"/>
  <c r="J45" i="4" s="1"/>
  <c r="F41" i="4"/>
  <c r="H41" i="4"/>
  <c r="E41" i="4"/>
  <c r="G41" i="4"/>
  <c r="U40" i="4"/>
  <c r="X40" i="4"/>
  <c r="V40" i="4"/>
  <c r="W40" i="4"/>
  <c r="C40" i="3"/>
  <c r="D40" i="3" s="1"/>
  <c r="L40" i="3"/>
  <c r="R41" i="4"/>
  <c r="S41" i="4" s="1"/>
  <c r="B40" i="3"/>
  <c r="B40" i="6"/>
  <c r="K41" i="3" s="1"/>
  <c r="U38" i="3"/>
  <c r="T38" i="3"/>
  <c r="V38" i="3"/>
  <c r="S38" i="3"/>
  <c r="K32" i="5" l="1"/>
  <c r="K32" i="11"/>
  <c r="I32" i="5"/>
  <c r="I32" i="11"/>
  <c r="J32" i="5"/>
  <c r="J32" i="11"/>
  <c r="E33" i="11"/>
  <c r="D33" i="11"/>
  <c r="C33" i="11"/>
  <c r="B33" i="11"/>
  <c r="H32" i="5"/>
  <c r="H32" i="11"/>
  <c r="C33" i="5"/>
  <c r="E33" i="5"/>
  <c r="B33" i="5"/>
  <c r="D33" i="5"/>
  <c r="K44" i="4"/>
  <c r="M43" i="4"/>
  <c r="N43" i="4"/>
  <c r="O43" i="4"/>
  <c r="P43" i="4"/>
  <c r="H40" i="3"/>
  <c r="G40" i="3"/>
  <c r="F40" i="3"/>
  <c r="I40" i="3"/>
  <c r="C41" i="3"/>
  <c r="D41" i="3" s="1"/>
  <c r="R42" i="4"/>
  <c r="S42" i="4" s="1"/>
  <c r="B41" i="3"/>
  <c r="B41" i="6"/>
  <c r="K42" i="3" s="1"/>
  <c r="G42" i="4"/>
  <c r="H42" i="4"/>
  <c r="E42" i="4"/>
  <c r="F42" i="4"/>
  <c r="B44" i="4"/>
  <c r="C44" i="4" s="1"/>
  <c r="C43" i="6"/>
  <c r="D44" i="6" s="1"/>
  <c r="J46" i="4" s="1"/>
  <c r="T39" i="3"/>
  <c r="S39" i="3"/>
  <c r="V39" i="3"/>
  <c r="U39" i="3"/>
  <c r="V41" i="4"/>
  <c r="U41" i="4"/>
  <c r="W41" i="4"/>
  <c r="X41" i="4"/>
  <c r="Q40" i="3"/>
  <c r="L41" i="3"/>
  <c r="J33" i="5" l="1"/>
  <c r="J33" i="11"/>
  <c r="K33" i="5"/>
  <c r="K33" i="11"/>
  <c r="H33" i="5"/>
  <c r="H33" i="11"/>
  <c r="E34" i="11"/>
  <c r="D34" i="11"/>
  <c r="B34" i="11"/>
  <c r="C34" i="11"/>
  <c r="I33" i="5"/>
  <c r="I33" i="11"/>
  <c r="C34" i="5"/>
  <c r="E34" i="5"/>
  <c r="D34" i="5"/>
  <c r="B34" i="5"/>
  <c r="K45" i="4"/>
  <c r="M44" i="4"/>
  <c r="N44" i="4"/>
  <c r="O44" i="4"/>
  <c r="P44" i="4"/>
  <c r="X42" i="4"/>
  <c r="V42" i="4"/>
  <c r="U42" i="4"/>
  <c r="W42" i="4"/>
  <c r="I41" i="3"/>
  <c r="F41" i="3"/>
  <c r="G41" i="3"/>
  <c r="H41" i="3"/>
  <c r="B45" i="4"/>
  <c r="C45" i="4" s="1"/>
  <c r="C44" i="6"/>
  <c r="D45" i="6" s="1"/>
  <c r="J47" i="4" s="1"/>
  <c r="B42" i="3"/>
  <c r="R43" i="4"/>
  <c r="S43" i="4" s="1"/>
  <c r="C42" i="3"/>
  <c r="D42" i="3" s="1"/>
  <c r="B42" i="6"/>
  <c r="K43" i="3" s="1"/>
  <c r="G43" i="4"/>
  <c r="E43" i="4"/>
  <c r="F43" i="4"/>
  <c r="H43" i="4"/>
  <c r="Q41" i="3"/>
  <c r="L42" i="3"/>
  <c r="T40" i="3"/>
  <c r="U40" i="3"/>
  <c r="V40" i="3"/>
  <c r="S40" i="3"/>
  <c r="H34" i="5" l="1"/>
  <c r="H34" i="11"/>
  <c r="I34" i="5"/>
  <c r="I34" i="11"/>
  <c r="E35" i="11"/>
  <c r="D35" i="11"/>
  <c r="C35" i="11"/>
  <c r="B35" i="11"/>
  <c r="K34" i="5"/>
  <c r="K34" i="11"/>
  <c r="J34" i="5"/>
  <c r="J34" i="11"/>
  <c r="C35" i="5"/>
  <c r="D35" i="5"/>
  <c r="B35" i="5"/>
  <c r="E35" i="5"/>
  <c r="K46" i="4"/>
  <c r="M45" i="4"/>
  <c r="N45" i="4"/>
  <c r="O45" i="4"/>
  <c r="P45" i="4"/>
  <c r="F42" i="3"/>
  <c r="H42" i="3"/>
  <c r="G42" i="3"/>
  <c r="I42" i="3"/>
  <c r="L43" i="3"/>
  <c r="R44" i="4"/>
  <c r="S44" i="4" s="1"/>
  <c r="B43" i="3"/>
  <c r="C43" i="3"/>
  <c r="D43" i="3" s="1"/>
  <c r="B43" i="6"/>
  <c r="K44" i="3" s="1"/>
  <c r="Q42" i="3"/>
  <c r="U43" i="4"/>
  <c r="W43" i="4"/>
  <c r="V43" i="4"/>
  <c r="X43" i="4"/>
  <c r="B46" i="4"/>
  <c r="C46" i="4" s="1"/>
  <c r="C45" i="6"/>
  <c r="D46" i="6" s="1"/>
  <c r="J48" i="4" s="1"/>
  <c r="U41" i="3"/>
  <c r="V41" i="3"/>
  <c r="T41" i="3"/>
  <c r="S41" i="3"/>
  <c r="E44" i="4"/>
  <c r="G44" i="4"/>
  <c r="H44" i="4"/>
  <c r="F44" i="4"/>
  <c r="I35" i="5" l="1"/>
  <c r="I35" i="11"/>
  <c r="K35" i="5"/>
  <c r="K35" i="11"/>
  <c r="D36" i="11"/>
  <c r="C36" i="11"/>
  <c r="B36" i="11"/>
  <c r="E36" i="11"/>
  <c r="J35" i="5"/>
  <c r="J35" i="11"/>
  <c r="H35" i="5"/>
  <c r="H35" i="11"/>
  <c r="B36" i="5"/>
  <c r="C36" i="5"/>
  <c r="E36" i="5"/>
  <c r="D36" i="5"/>
  <c r="K47" i="4"/>
  <c r="M46" i="4"/>
  <c r="N46" i="4"/>
  <c r="O46" i="4"/>
  <c r="P46" i="4"/>
  <c r="U44" i="4"/>
  <c r="X44" i="4"/>
  <c r="W44" i="4"/>
  <c r="V44" i="4"/>
  <c r="Q43" i="3"/>
  <c r="H43" i="3"/>
  <c r="F43" i="3"/>
  <c r="G43" i="3"/>
  <c r="I43" i="3"/>
  <c r="B47" i="4"/>
  <c r="C47" i="4" s="1"/>
  <c r="C46" i="6"/>
  <c r="D47" i="6" s="1"/>
  <c r="J49" i="4" s="1"/>
  <c r="V42" i="3"/>
  <c r="S42" i="3"/>
  <c r="T42" i="3"/>
  <c r="U42" i="3"/>
  <c r="F45" i="4"/>
  <c r="E45" i="4"/>
  <c r="G45" i="4"/>
  <c r="H45" i="4"/>
  <c r="R45" i="4"/>
  <c r="S45" i="4" s="1"/>
  <c r="B44" i="3"/>
  <c r="C44" i="3"/>
  <c r="D44" i="3" s="1"/>
  <c r="L44" i="3"/>
  <c r="B44" i="6"/>
  <c r="K45" i="3" s="1"/>
  <c r="H36" i="5" l="1"/>
  <c r="H36" i="11"/>
  <c r="I36" i="5"/>
  <c r="I36" i="11"/>
  <c r="K36" i="5"/>
  <c r="K36" i="11"/>
  <c r="E37" i="11"/>
  <c r="D37" i="11"/>
  <c r="C37" i="11"/>
  <c r="B37" i="11"/>
  <c r="J36" i="5"/>
  <c r="J36" i="11"/>
  <c r="C37" i="5"/>
  <c r="D37" i="5"/>
  <c r="B37" i="5"/>
  <c r="E37" i="5"/>
  <c r="K48" i="4"/>
  <c r="M47" i="4"/>
  <c r="N47" i="4"/>
  <c r="O47" i="4"/>
  <c r="P47" i="4"/>
  <c r="Q44" i="3"/>
  <c r="X45" i="4"/>
  <c r="V45" i="4"/>
  <c r="W45" i="4"/>
  <c r="U45" i="4"/>
  <c r="E46" i="4"/>
  <c r="G46" i="4"/>
  <c r="F46" i="4"/>
  <c r="H46" i="4"/>
  <c r="R46" i="4"/>
  <c r="S46" i="4" s="1"/>
  <c r="C45" i="3"/>
  <c r="D45" i="3" s="1"/>
  <c r="L45" i="3"/>
  <c r="B45" i="3"/>
  <c r="B45" i="6"/>
  <c r="K46" i="3" s="1"/>
  <c r="F44" i="3"/>
  <c r="H44" i="3"/>
  <c r="G44" i="3"/>
  <c r="I44" i="3"/>
  <c r="U43" i="3"/>
  <c r="S43" i="3"/>
  <c r="V43" i="3"/>
  <c r="T43" i="3"/>
  <c r="B48" i="4"/>
  <c r="C48" i="4" s="1"/>
  <c r="C47" i="6"/>
  <c r="D48" i="6" s="1"/>
  <c r="J50" i="4" s="1"/>
  <c r="I37" i="5" l="1"/>
  <c r="I37" i="11"/>
  <c r="J37" i="5"/>
  <c r="J37" i="11"/>
  <c r="K37" i="5"/>
  <c r="K37" i="11"/>
  <c r="E38" i="11"/>
  <c r="B38" i="11"/>
  <c r="C38" i="11"/>
  <c r="D38" i="11"/>
  <c r="H37" i="5"/>
  <c r="H37" i="11"/>
  <c r="C38" i="5"/>
  <c r="B38" i="5"/>
  <c r="E38" i="5"/>
  <c r="D38" i="5"/>
  <c r="K49" i="4"/>
  <c r="M48" i="4"/>
  <c r="N48" i="4"/>
  <c r="O48" i="4"/>
  <c r="P48" i="4"/>
  <c r="Q45" i="3"/>
  <c r="V46" i="4"/>
  <c r="U46" i="4"/>
  <c r="X46" i="4"/>
  <c r="W46" i="4"/>
  <c r="E47" i="4"/>
  <c r="G47" i="4"/>
  <c r="H47" i="4"/>
  <c r="F47" i="4"/>
  <c r="B49" i="4"/>
  <c r="C49" i="4" s="1"/>
  <c r="C48" i="6"/>
  <c r="D49" i="6" s="1"/>
  <c r="J51" i="4" s="1"/>
  <c r="R47" i="4"/>
  <c r="S47" i="4" s="1"/>
  <c r="B46" i="3"/>
  <c r="L46" i="3"/>
  <c r="C46" i="3"/>
  <c r="D46" i="3" s="1"/>
  <c r="B46" i="6"/>
  <c r="K47" i="3" s="1"/>
  <c r="F45" i="3"/>
  <c r="G45" i="3"/>
  <c r="H45" i="3"/>
  <c r="I45" i="3"/>
  <c r="T44" i="3"/>
  <c r="S44" i="3"/>
  <c r="U44" i="3"/>
  <c r="V44" i="3"/>
  <c r="J38" i="5" l="1"/>
  <c r="J38" i="11"/>
  <c r="K38" i="5"/>
  <c r="K38" i="11"/>
  <c r="H38" i="5"/>
  <c r="H38" i="11"/>
  <c r="I38" i="5"/>
  <c r="I38" i="11"/>
  <c r="E39" i="11"/>
  <c r="D39" i="11"/>
  <c r="C39" i="11"/>
  <c r="B39" i="11"/>
  <c r="D39" i="5"/>
  <c r="B39" i="5"/>
  <c r="C39" i="5"/>
  <c r="E39" i="5"/>
  <c r="K50" i="4"/>
  <c r="M49" i="4"/>
  <c r="N49" i="4"/>
  <c r="O49" i="4"/>
  <c r="P49" i="4"/>
  <c r="F46" i="3"/>
  <c r="I46" i="3"/>
  <c r="H46" i="3"/>
  <c r="G46" i="3"/>
  <c r="Q46" i="3"/>
  <c r="V47" i="4"/>
  <c r="W47" i="4"/>
  <c r="X47" i="4"/>
  <c r="U47" i="4"/>
  <c r="L47" i="3"/>
  <c r="R48" i="4"/>
  <c r="S48" i="4" s="1"/>
  <c r="B47" i="3"/>
  <c r="C47" i="3"/>
  <c r="D47" i="3" s="1"/>
  <c r="B47" i="6"/>
  <c r="K48" i="3" s="1"/>
  <c r="F48" i="4"/>
  <c r="H48" i="4"/>
  <c r="E48" i="4"/>
  <c r="G48" i="4"/>
  <c r="B50" i="4"/>
  <c r="C50" i="4" s="1"/>
  <c r="C49" i="6"/>
  <c r="D50" i="6" s="1"/>
  <c r="J52" i="4" s="1"/>
  <c r="T45" i="3"/>
  <c r="S45" i="3"/>
  <c r="U45" i="3"/>
  <c r="V45" i="3"/>
  <c r="I39" i="5" l="1"/>
  <c r="I39" i="11"/>
  <c r="K39" i="5"/>
  <c r="K39" i="11"/>
  <c r="H39" i="5"/>
  <c r="H39" i="11"/>
  <c r="D40" i="11"/>
  <c r="C40" i="11"/>
  <c r="B40" i="11"/>
  <c r="E40" i="11"/>
  <c r="J39" i="5"/>
  <c r="J39" i="11"/>
  <c r="C40" i="5"/>
  <c r="B40" i="5"/>
  <c r="D40" i="5"/>
  <c r="E40" i="5"/>
  <c r="K51" i="4"/>
  <c r="M50" i="4"/>
  <c r="N50" i="4"/>
  <c r="P50" i="4"/>
  <c r="O50" i="4"/>
  <c r="V48" i="4"/>
  <c r="U48" i="4"/>
  <c r="X48" i="4"/>
  <c r="W48" i="4"/>
  <c r="I47" i="3"/>
  <c r="G47" i="3"/>
  <c r="H47" i="3"/>
  <c r="F47" i="3"/>
  <c r="G49" i="4"/>
  <c r="E49" i="4"/>
  <c r="H49" i="4"/>
  <c r="F49" i="4"/>
  <c r="T46" i="3"/>
  <c r="U46" i="3"/>
  <c r="S46" i="3"/>
  <c r="V46" i="3"/>
  <c r="B51" i="4"/>
  <c r="C51" i="4" s="1"/>
  <c r="C50" i="6"/>
  <c r="D51" i="6" s="1"/>
  <c r="J53" i="4" s="1"/>
  <c r="Q47" i="3"/>
  <c r="L48" i="3"/>
  <c r="B48" i="3"/>
  <c r="C48" i="3"/>
  <c r="D48" i="3" s="1"/>
  <c r="R49" i="4"/>
  <c r="S49" i="4" s="1"/>
  <c r="B48" i="6"/>
  <c r="K49" i="3" s="1"/>
  <c r="H40" i="5" l="1"/>
  <c r="H40" i="11"/>
  <c r="E41" i="11"/>
  <c r="D41" i="11"/>
  <c r="B41" i="11"/>
  <c r="C41" i="11"/>
  <c r="J40" i="5"/>
  <c r="J40" i="11"/>
  <c r="I40" i="5"/>
  <c r="I40" i="11"/>
  <c r="K40" i="5"/>
  <c r="K40" i="11"/>
  <c r="E41" i="5"/>
  <c r="B41" i="5"/>
  <c r="D41" i="5"/>
  <c r="C41" i="5"/>
  <c r="K52" i="4"/>
  <c r="M51" i="4"/>
  <c r="N51" i="4"/>
  <c r="O51" i="4"/>
  <c r="P51" i="4"/>
  <c r="W49" i="4"/>
  <c r="X49" i="4"/>
  <c r="U49" i="4"/>
  <c r="V49" i="4"/>
  <c r="H48" i="3"/>
  <c r="G48" i="3"/>
  <c r="I48" i="3"/>
  <c r="F48" i="3"/>
  <c r="F50" i="4"/>
  <c r="G50" i="4"/>
  <c r="H50" i="4"/>
  <c r="E50" i="4"/>
  <c r="Q48" i="3"/>
  <c r="B52" i="4"/>
  <c r="C52" i="4" s="1"/>
  <c r="C51" i="6"/>
  <c r="D52" i="6" s="1"/>
  <c r="J54" i="4" s="1"/>
  <c r="V47" i="3"/>
  <c r="T47" i="3"/>
  <c r="U47" i="3"/>
  <c r="S47" i="3"/>
  <c r="L49" i="3"/>
  <c r="C49" i="3"/>
  <c r="D49" i="3" s="1"/>
  <c r="R50" i="4"/>
  <c r="S50" i="4" s="1"/>
  <c r="B49" i="3"/>
  <c r="B49" i="6"/>
  <c r="K50" i="3" s="1"/>
  <c r="H41" i="5" l="1"/>
  <c r="H41" i="11"/>
  <c r="E42" i="11"/>
  <c r="D42" i="11"/>
  <c r="C42" i="11"/>
  <c r="B42" i="11"/>
  <c r="J41" i="5"/>
  <c r="J41" i="11"/>
  <c r="I41" i="5"/>
  <c r="I41" i="11"/>
  <c r="K41" i="5"/>
  <c r="K41" i="11"/>
  <c r="B42" i="5"/>
  <c r="D42" i="5"/>
  <c r="C42" i="5"/>
  <c r="E42" i="5"/>
  <c r="K53" i="4"/>
  <c r="M52" i="4"/>
  <c r="N52" i="4"/>
  <c r="P52" i="4"/>
  <c r="O52" i="4"/>
  <c r="W50" i="4"/>
  <c r="X50" i="4"/>
  <c r="V50" i="4"/>
  <c r="U50" i="4"/>
  <c r="F49" i="3"/>
  <c r="G49" i="3"/>
  <c r="H49" i="3"/>
  <c r="I49" i="3"/>
  <c r="Q49" i="3"/>
  <c r="V48" i="3"/>
  <c r="U48" i="3"/>
  <c r="T48" i="3"/>
  <c r="S48" i="3"/>
  <c r="R51" i="4"/>
  <c r="S51" i="4" s="1"/>
  <c r="B50" i="6"/>
  <c r="K51" i="3" s="1"/>
  <c r="B50" i="3"/>
  <c r="C50" i="3"/>
  <c r="D50" i="3" s="1"/>
  <c r="L50" i="3"/>
  <c r="C52" i="6"/>
  <c r="D53" i="6" s="1"/>
  <c r="J55" i="4" s="1"/>
  <c r="B53" i="4"/>
  <c r="C53" i="4" s="1"/>
  <c r="F51" i="4"/>
  <c r="H51" i="4"/>
  <c r="E51" i="4"/>
  <c r="G51" i="4"/>
  <c r="F59" i="5" l="1"/>
  <c r="D82" i="5" s="1"/>
  <c r="D59" i="5"/>
  <c r="C82" i="5" s="1"/>
  <c r="E59" i="5"/>
  <c r="E71" i="5"/>
  <c r="F71" i="5"/>
  <c r="D90" i="5" s="1"/>
  <c r="D71" i="5"/>
  <c r="C90" i="5" s="1"/>
  <c r="C71" i="5"/>
  <c r="J42" i="5"/>
  <c r="J42" i="11"/>
  <c r="K42" i="5"/>
  <c r="K42" i="11"/>
  <c r="H42" i="5"/>
  <c r="H42" i="11"/>
  <c r="E43" i="11"/>
  <c r="D43" i="11"/>
  <c r="C43" i="11"/>
  <c r="B43" i="11"/>
  <c r="I42" i="5"/>
  <c r="I42" i="11"/>
  <c r="B43" i="5"/>
  <c r="E43" i="5"/>
  <c r="C43" i="5"/>
  <c r="D43" i="5"/>
  <c r="K54" i="4"/>
  <c r="M53" i="4"/>
  <c r="C72" i="5" s="1"/>
  <c r="N53" i="4"/>
  <c r="D72" i="5" s="1"/>
  <c r="C91" i="5" s="1"/>
  <c r="O53" i="4"/>
  <c r="E72" i="5" s="1"/>
  <c r="P53" i="4"/>
  <c r="F72" i="5" s="1"/>
  <c r="D91" i="5" s="1"/>
  <c r="C108" i="5" s="1"/>
  <c r="H50" i="3"/>
  <c r="I50" i="3"/>
  <c r="F50" i="3"/>
  <c r="G50" i="3"/>
  <c r="Q50" i="3"/>
  <c r="B54" i="4"/>
  <c r="C54" i="4" s="1"/>
  <c r="C53" i="6"/>
  <c r="D54" i="6" s="1"/>
  <c r="J56" i="4" s="1"/>
  <c r="V51" i="4"/>
  <c r="W51" i="4"/>
  <c r="X51" i="4"/>
  <c r="U51" i="4"/>
  <c r="T49" i="3"/>
  <c r="S49" i="3"/>
  <c r="V49" i="3"/>
  <c r="U49" i="3"/>
  <c r="L51" i="3"/>
  <c r="R52" i="4"/>
  <c r="S52" i="4" s="1"/>
  <c r="B51" i="6"/>
  <c r="K52" i="3" s="1"/>
  <c r="B51" i="3"/>
  <c r="C51" i="3"/>
  <c r="D51" i="3" s="1"/>
  <c r="G52" i="4"/>
  <c r="E52" i="4"/>
  <c r="H52" i="4"/>
  <c r="F52" i="4"/>
  <c r="C99" i="5" l="1"/>
  <c r="C107" i="5"/>
  <c r="J43" i="5"/>
  <c r="J43" i="11"/>
  <c r="K43" i="5"/>
  <c r="K43" i="11"/>
  <c r="H43" i="5"/>
  <c r="H43" i="11"/>
  <c r="D44" i="11"/>
  <c r="C44" i="11"/>
  <c r="E44" i="11"/>
  <c r="B44" i="11"/>
  <c r="I43" i="5"/>
  <c r="I43" i="11"/>
  <c r="D44" i="5"/>
  <c r="B44" i="5"/>
  <c r="C44" i="5"/>
  <c r="E44" i="5"/>
  <c r="K55" i="4"/>
  <c r="M54" i="4"/>
  <c r="N54" i="4"/>
  <c r="P54" i="4"/>
  <c r="O54" i="4"/>
  <c r="W52" i="4"/>
  <c r="U52" i="4"/>
  <c r="V52" i="4"/>
  <c r="X52" i="4"/>
  <c r="I51" i="3"/>
  <c r="H51" i="3"/>
  <c r="G51" i="3"/>
  <c r="F51" i="3"/>
  <c r="F53" i="4"/>
  <c r="D60" i="5" s="1"/>
  <c r="C83" i="5" s="1"/>
  <c r="E53" i="4"/>
  <c r="C60" i="5" s="1"/>
  <c r="G53" i="4"/>
  <c r="E60" i="5" s="1"/>
  <c r="H53" i="4"/>
  <c r="F60" i="5" s="1"/>
  <c r="D83" i="5" s="1"/>
  <c r="C54" i="6"/>
  <c r="D55" i="6" s="1"/>
  <c r="J57" i="4" s="1"/>
  <c r="B55" i="4"/>
  <c r="C55" i="4" s="1"/>
  <c r="T50" i="3"/>
  <c r="V50" i="3"/>
  <c r="U50" i="3"/>
  <c r="S50" i="3"/>
  <c r="R53" i="4"/>
  <c r="S53" i="4" s="1"/>
  <c r="B52" i="3"/>
  <c r="C52" i="3"/>
  <c r="D52" i="3" s="1"/>
  <c r="B52" i="6"/>
  <c r="K53" i="3" s="1"/>
  <c r="L52" i="3"/>
  <c r="Q51" i="3"/>
  <c r="C100" i="5" l="1"/>
  <c r="E59" i="11"/>
  <c r="F59" i="11"/>
  <c r="D69" i="11" s="1"/>
  <c r="D59" i="11"/>
  <c r="C69" i="11" s="1"/>
  <c r="C59" i="11"/>
  <c r="E78" i="5"/>
  <c r="C65" i="11"/>
  <c r="C78" i="5"/>
  <c r="F65" i="11"/>
  <c r="D74" i="11" s="1"/>
  <c r="E65" i="11"/>
  <c r="D65" i="11"/>
  <c r="C74" i="11" s="1"/>
  <c r="D78" i="5"/>
  <c r="C95" i="5" s="1"/>
  <c r="F78" i="5"/>
  <c r="D95" i="5" s="1"/>
  <c r="J44" i="5"/>
  <c r="J44" i="11"/>
  <c r="I44" i="5"/>
  <c r="I44" i="11"/>
  <c r="H44" i="5"/>
  <c r="H44" i="11"/>
  <c r="E45" i="11"/>
  <c r="D45" i="11"/>
  <c r="B45" i="11"/>
  <c r="C45" i="11"/>
  <c r="K44" i="5"/>
  <c r="K44" i="11"/>
  <c r="B45" i="5"/>
  <c r="C45" i="5"/>
  <c r="D45" i="5"/>
  <c r="E45" i="5"/>
  <c r="K56" i="4"/>
  <c r="M55" i="4"/>
  <c r="N55" i="4"/>
  <c r="O55" i="4"/>
  <c r="P55" i="4"/>
  <c r="V53" i="4"/>
  <c r="D60" i="11" s="1"/>
  <c r="C70" i="11" s="1"/>
  <c r="W53" i="4"/>
  <c r="E60" i="11" s="1"/>
  <c r="X53" i="4"/>
  <c r="F60" i="11" s="1"/>
  <c r="D70" i="11" s="1"/>
  <c r="U53" i="4"/>
  <c r="C60" i="11" s="1"/>
  <c r="G52" i="3"/>
  <c r="F52" i="3"/>
  <c r="I52" i="3"/>
  <c r="H52" i="3"/>
  <c r="Q52" i="3"/>
  <c r="H54" i="4"/>
  <c r="E54" i="4"/>
  <c r="G54" i="4"/>
  <c r="F54" i="4"/>
  <c r="T51" i="3"/>
  <c r="V51" i="3"/>
  <c r="S51" i="3"/>
  <c r="U51" i="3"/>
  <c r="C55" i="6"/>
  <c r="D56" i="6" s="1"/>
  <c r="J58" i="4" s="1"/>
  <c r="B56" i="4"/>
  <c r="C56" i="4" s="1"/>
  <c r="B53" i="3"/>
  <c r="C53" i="3"/>
  <c r="D53" i="3" s="1"/>
  <c r="R54" i="4"/>
  <c r="S54" i="4" s="1"/>
  <c r="L53" i="3"/>
  <c r="B53" i="6"/>
  <c r="K54" i="3" s="1"/>
  <c r="C78" i="11" l="1"/>
  <c r="B49" i="7" s="1"/>
  <c r="C112" i="5"/>
  <c r="B42" i="7" s="1"/>
  <c r="C79" i="11"/>
  <c r="B50" i="7" s="1"/>
  <c r="C77" i="5"/>
  <c r="C64" i="11"/>
  <c r="F64" i="11"/>
  <c r="D73" i="11" s="1"/>
  <c r="F77" i="5"/>
  <c r="D94" i="5" s="1"/>
  <c r="D64" i="11"/>
  <c r="C73" i="11" s="1"/>
  <c r="D77" i="5"/>
  <c r="C94" i="5" s="1"/>
  <c r="F66" i="5"/>
  <c r="D87" i="5" s="1"/>
  <c r="C104" i="5" s="1"/>
  <c r="B38" i="7" s="1"/>
  <c r="D66" i="5"/>
  <c r="C87" i="5" s="1"/>
  <c r="E66" i="5"/>
  <c r="C66" i="5"/>
  <c r="C83" i="11"/>
  <c r="E64" i="11"/>
  <c r="E77" i="5"/>
  <c r="K45" i="5"/>
  <c r="K45" i="11"/>
  <c r="E46" i="11"/>
  <c r="B46" i="11"/>
  <c r="C46" i="11"/>
  <c r="D46" i="11"/>
  <c r="I45" i="5"/>
  <c r="I45" i="11"/>
  <c r="J45" i="5"/>
  <c r="J45" i="11"/>
  <c r="H45" i="5"/>
  <c r="H45" i="11"/>
  <c r="C46" i="5"/>
  <c r="E46" i="5"/>
  <c r="B46" i="5"/>
  <c r="D46" i="5"/>
  <c r="K57" i="4"/>
  <c r="M56" i="4"/>
  <c r="N56" i="4"/>
  <c r="P56" i="4"/>
  <c r="O56" i="4"/>
  <c r="U54" i="4"/>
  <c r="X54" i="4"/>
  <c r="W54" i="4"/>
  <c r="V54" i="4"/>
  <c r="G53" i="3"/>
  <c r="I53" i="3"/>
  <c r="H53" i="3"/>
  <c r="F53" i="3"/>
  <c r="C56" i="6"/>
  <c r="D57" i="6" s="1"/>
  <c r="J59" i="4" s="1"/>
  <c r="B57" i="4"/>
  <c r="C57" i="4" s="1"/>
  <c r="Q53" i="3"/>
  <c r="F55" i="4"/>
  <c r="H55" i="4"/>
  <c r="G55" i="4"/>
  <c r="E55" i="4"/>
  <c r="R55" i="4"/>
  <c r="S55" i="4" s="1"/>
  <c r="B54" i="6"/>
  <c r="K55" i="3" s="1"/>
  <c r="C54" i="3"/>
  <c r="D54" i="3" s="1"/>
  <c r="B54" i="3"/>
  <c r="L54" i="3"/>
  <c r="S52" i="3"/>
  <c r="C65" i="5" s="1"/>
  <c r="T52" i="3"/>
  <c r="D65" i="5" s="1"/>
  <c r="C86" i="5" s="1"/>
  <c r="V52" i="3"/>
  <c r="F65" i="5" s="1"/>
  <c r="D86" i="5" s="1"/>
  <c r="U52" i="3"/>
  <c r="E65" i="5" s="1"/>
  <c r="B46" i="7" l="1"/>
  <c r="C46" i="7" s="1"/>
  <c r="B54" i="7"/>
  <c r="C54" i="7" s="1"/>
  <c r="C103" i="5"/>
  <c r="B37" i="7" s="1"/>
  <c r="C82" i="11"/>
  <c r="C111" i="5"/>
  <c r="B41" i="7" s="1"/>
  <c r="I46" i="5"/>
  <c r="I46" i="11"/>
  <c r="H46" i="5"/>
  <c r="H46" i="11"/>
  <c r="K46" i="5"/>
  <c r="K46" i="11"/>
  <c r="C47" i="11"/>
  <c r="E47" i="11"/>
  <c r="D47" i="11"/>
  <c r="B47" i="11"/>
  <c r="J46" i="5"/>
  <c r="J46" i="11"/>
  <c r="E47" i="5"/>
  <c r="B47" i="5"/>
  <c r="C47" i="5"/>
  <c r="D47" i="5"/>
  <c r="K58" i="4"/>
  <c r="M57" i="4"/>
  <c r="N57" i="4"/>
  <c r="O57" i="4"/>
  <c r="P57" i="4"/>
  <c r="Q54" i="3"/>
  <c r="F54" i="3"/>
  <c r="G54" i="3"/>
  <c r="H54" i="3"/>
  <c r="I54" i="3"/>
  <c r="F56" i="4"/>
  <c r="E56" i="4"/>
  <c r="G56" i="4"/>
  <c r="H56" i="4"/>
  <c r="C55" i="3"/>
  <c r="D55" i="3" s="1"/>
  <c r="L55" i="3"/>
  <c r="B55" i="6"/>
  <c r="K56" i="3" s="1"/>
  <c r="R56" i="4"/>
  <c r="S56" i="4" s="1"/>
  <c r="B55" i="3"/>
  <c r="T53" i="3"/>
  <c r="S53" i="3"/>
  <c r="V53" i="3"/>
  <c r="U53" i="3"/>
  <c r="C57" i="6"/>
  <c r="B59" i="4" s="1"/>
  <c r="B58" i="4"/>
  <c r="C58" i="4" s="1"/>
  <c r="W55" i="4"/>
  <c r="V55" i="4"/>
  <c r="U55" i="4"/>
  <c r="X55" i="4"/>
  <c r="B53" i="7" l="1"/>
  <c r="C53" i="7" s="1"/>
  <c r="B45" i="7"/>
  <c r="C45" i="7" s="1"/>
  <c r="C59" i="4"/>
  <c r="I47" i="5"/>
  <c r="I47" i="11"/>
  <c r="J47" i="5"/>
  <c r="J47" i="11"/>
  <c r="K47" i="5"/>
  <c r="K47" i="11"/>
  <c r="D48" i="11"/>
  <c r="C48" i="11"/>
  <c r="B48" i="11"/>
  <c r="E48" i="11"/>
  <c r="H47" i="5"/>
  <c r="H47" i="11"/>
  <c r="D48" i="5"/>
  <c r="B48" i="5"/>
  <c r="C48" i="5"/>
  <c r="E48" i="5"/>
  <c r="K59" i="4"/>
  <c r="M58" i="4"/>
  <c r="N58" i="4"/>
  <c r="P58" i="4"/>
  <c r="O58" i="4"/>
  <c r="I55" i="3"/>
  <c r="F55" i="3"/>
  <c r="G55" i="3"/>
  <c r="H55" i="3"/>
  <c r="Q55" i="3"/>
  <c r="C56" i="3"/>
  <c r="D56" i="3" s="1"/>
  <c r="L56" i="3"/>
  <c r="B56" i="3"/>
  <c r="B56" i="6"/>
  <c r="K57" i="3" s="1"/>
  <c r="R57" i="4"/>
  <c r="S57" i="4" s="1"/>
  <c r="F57" i="4"/>
  <c r="H57" i="4"/>
  <c r="E57" i="4"/>
  <c r="G57" i="4"/>
  <c r="S54" i="3"/>
  <c r="T54" i="3"/>
  <c r="U54" i="3"/>
  <c r="V54" i="3"/>
  <c r="W56" i="4"/>
  <c r="V56" i="4"/>
  <c r="X56" i="4"/>
  <c r="U56" i="4"/>
  <c r="H48" i="5" l="1"/>
  <c r="H48" i="11"/>
  <c r="K48" i="5"/>
  <c r="K48" i="11"/>
  <c r="J48" i="5"/>
  <c r="J48" i="11"/>
  <c r="E49" i="11"/>
  <c r="D49" i="11"/>
  <c r="C49" i="11"/>
  <c r="B49" i="11"/>
  <c r="I48" i="5"/>
  <c r="I48" i="11"/>
  <c r="C49" i="5"/>
  <c r="D49" i="5"/>
  <c r="E49" i="5"/>
  <c r="B49" i="5"/>
  <c r="M59" i="4"/>
  <c r="N59" i="4"/>
  <c r="O59" i="4"/>
  <c r="P59" i="4"/>
  <c r="I56" i="3"/>
  <c r="H56" i="3"/>
  <c r="G56" i="3"/>
  <c r="F56" i="3"/>
  <c r="Q56" i="3"/>
  <c r="V55" i="3"/>
  <c r="S55" i="3"/>
  <c r="T55" i="3"/>
  <c r="U55" i="3"/>
  <c r="V57" i="4"/>
  <c r="W57" i="4"/>
  <c r="X57" i="4"/>
  <c r="U57" i="4"/>
  <c r="F58" i="4"/>
  <c r="G58" i="4"/>
  <c r="H58" i="4"/>
  <c r="E58" i="4"/>
  <c r="L57" i="3"/>
  <c r="R58" i="4"/>
  <c r="S58" i="4" s="1"/>
  <c r="B57" i="3"/>
  <c r="C57" i="3"/>
  <c r="D57" i="3" s="1"/>
  <c r="B57" i="6"/>
  <c r="K58" i="3" s="1"/>
  <c r="K49" i="5" l="1"/>
  <c r="K49" i="11"/>
  <c r="I49" i="5"/>
  <c r="I49" i="11"/>
  <c r="H49" i="5"/>
  <c r="H49" i="11"/>
  <c r="J49" i="5"/>
  <c r="J49" i="11"/>
  <c r="E50" i="11"/>
  <c r="D50" i="11"/>
  <c r="B50" i="11"/>
  <c r="C50" i="11"/>
  <c r="B50" i="5"/>
  <c r="C50" i="5"/>
  <c r="E50" i="5"/>
  <c r="D50" i="5"/>
  <c r="W58" i="4"/>
  <c r="X58" i="4"/>
  <c r="U58" i="4"/>
  <c r="V58" i="4"/>
  <c r="Q57" i="3"/>
  <c r="H57" i="3"/>
  <c r="F57" i="3"/>
  <c r="G57" i="3"/>
  <c r="I57" i="3"/>
  <c r="E59" i="4"/>
  <c r="F59" i="4"/>
  <c r="H59" i="4"/>
  <c r="G59" i="4"/>
  <c r="B58" i="3"/>
  <c r="C58" i="3"/>
  <c r="D58" i="3" s="1"/>
  <c r="R59" i="4"/>
  <c r="S59" i="4" s="1"/>
  <c r="L58" i="3"/>
  <c r="Q58" i="3" s="1"/>
  <c r="T56" i="3"/>
  <c r="V56" i="3"/>
  <c r="S56" i="3"/>
  <c r="U56" i="3"/>
  <c r="B52" i="5" l="1"/>
  <c r="E52" i="5"/>
  <c r="H50" i="5"/>
  <c r="H50" i="11"/>
  <c r="K50" i="5"/>
  <c r="K50" i="11"/>
  <c r="I50" i="5"/>
  <c r="I50" i="11"/>
  <c r="J50" i="5"/>
  <c r="J50" i="11"/>
  <c r="E51" i="11"/>
  <c r="D51" i="11"/>
  <c r="B51" i="11"/>
  <c r="C51" i="11"/>
  <c r="D52" i="5"/>
  <c r="C51" i="5"/>
  <c r="E51" i="5"/>
  <c r="B51" i="5"/>
  <c r="D51" i="5"/>
  <c r="C52" i="5"/>
  <c r="T58" i="3"/>
  <c r="V58" i="3"/>
  <c r="U58" i="3"/>
  <c r="S58" i="3"/>
  <c r="W59" i="4"/>
  <c r="D52" i="11" s="1"/>
  <c r="U59" i="4"/>
  <c r="B52" i="11" s="1"/>
  <c r="X59" i="4"/>
  <c r="E52" i="11" s="1"/>
  <c r="V59" i="4"/>
  <c r="C52" i="11" s="1"/>
  <c r="F58" i="3"/>
  <c r="G58" i="3"/>
  <c r="H58" i="3"/>
  <c r="I58" i="3"/>
  <c r="U57" i="3"/>
  <c r="V57" i="3"/>
  <c r="T57" i="3"/>
  <c r="S57" i="3"/>
  <c r="K52" i="11" l="1"/>
  <c r="K51" i="5"/>
  <c r="K51" i="11"/>
  <c r="J51" i="5"/>
  <c r="J51" i="11"/>
  <c r="I52" i="5"/>
  <c r="I52" i="11"/>
  <c r="H51" i="5"/>
  <c r="H51" i="11"/>
  <c r="H52" i="5"/>
  <c r="H52" i="11"/>
  <c r="I51" i="5"/>
  <c r="I51" i="11"/>
  <c r="J52" i="11"/>
  <c r="K52" i="5"/>
  <c r="J52" i="5"/>
</calcChain>
</file>

<file path=xl/sharedStrings.xml><?xml version="1.0" encoding="utf-8"?>
<sst xmlns="http://schemas.openxmlformats.org/spreadsheetml/2006/main" count="548" uniqueCount="263">
  <si>
    <t>Money advice service quote for annuities</t>
  </si>
  <si>
    <t>DC pot</t>
  </si>
  <si>
    <t>Joint linked to RPI</t>
  </si>
  <si>
    <t>Single linked to RPI</t>
  </si>
  <si>
    <t>Assumptions:</t>
  </si>
  <si>
    <t>Retire at 65</t>
  </si>
  <si>
    <t>No guarantee period</t>
  </si>
  <si>
    <t>Indexed to RPI</t>
  </si>
  <si>
    <t>Height</t>
  </si>
  <si>
    <t>Weight</t>
  </si>
  <si>
    <t>Units of alcohol</t>
  </si>
  <si>
    <t>Joint</t>
  </si>
  <si>
    <t>Joint spouse details</t>
  </si>
  <si>
    <t>Waist</t>
  </si>
  <si>
    <t>No health conditions</t>
  </si>
  <si>
    <t>Men</t>
  </si>
  <si>
    <t>Women</t>
  </si>
  <si>
    <t>Female spouse three years younger</t>
  </si>
  <si>
    <t>The spread is -0.53% pa in years 1-10, 2.8% pa in year 11, then assumed to reduce linearly to 1.7% pa over the following 10 years and assumed to stay at 1.7% pa beyond that point. This approach therefore implicitly includes a provision for gradual investment de-risking to take place.</t>
  </si>
  <si>
    <t>The investment returns</t>
  </si>
  <si>
    <t>Linear rate of decrease</t>
  </si>
  <si>
    <t>Income</t>
  </si>
  <si>
    <t>DC pension contribution</t>
  </si>
  <si>
    <t>Annuity income</t>
  </si>
  <si>
    <t>Males</t>
  </si>
  <si>
    <t>Single</t>
  </si>
  <si>
    <t>Females</t>
  </si>
  <si>
    <t>DB benefits</t>
  </si>
  <si>
    <t>Difference in total  value</t>
  </si>
  <si>
    <t>Difference in expected income</t>
  </si>
  <si>
    <t>Annuity income costs + lump sum of 3 times pension</t>
  </si>
  <si>
    <t>USS 50%</t>
  </si>
  <si>
    <t>Male</t>
  </si>
  <si>
    <t>Female</t>
  </si>
  <si>
    <t>Date of birth</t>
  </si>
  <si>
    <t>State retirement date</t>
  </si>
  <si>
    <t xml:space="preserve">6 April 1953 – 5 May 1953 </t>
  </si>
  <si>
    <t xml:space="preserve">6 May 1953 – 5 June 1953 </t>
  </si>
  <si>
    <t xml:space="preserve">6 June 1953 – 5 July 1953 </t>
  </si>
  <si>
    <t xml:space="preserve">6 July 1953 – 5 August 1953 </t>
  </si>
  <si>
    <t xml:space="preserve">6 August 1953 – 5 September 1953 </t>
  </si>
  <si>
    <t xml:space="preserve">6 September 1953 – 5 October 1953 </t>
  </si>
  <si>
    <t xml:space="preserve">6 October 1953 – 5 November 1953 </t>
  </si>
  <si>
    <t xml:space="preserve">6 November 1953 – 5 December 1953 </t>
  </si>
  <si>
    <t xml:space="preserve">Women’s State Pension age under the Pensions Act 2011 </t>
  </si>
  <si>
    <t xml:space="preserve">6 December 1953 – 5 January 1954 </t>
  </si>
  <si>
    <t xml:space="preserve">6 January 1954 – 5 February 1954 </t>
  </si>
  <si>
    <t xml:space="preserve">6 February 1954 – 5 March 1954 </t>
  </si>
  <si>
    <t xml:space="preserve">6 March 1954 – 5 April 1954 </t>
  </si>
  <si>
    <t xml:space="preserve">6 April 1954 – 5 May 1954 </t>
  </si>
  <si>
    <t xml:space="preserve">6 May 1954 – 5 June 1954 </t>
  </si>
  <si>
    <t xml:space="preserve">6 June 1954 – 5 July 1954 </t>
  </si>
  <si>
    <t xml:space="preserve">6 July 1954 – 5 August 1954 </t>
  </si>
  <si>
    <t xml:space="preserve">6 August 1954 – 5 September 1954 </t>
  </si>
  <si>
    <t xml:space="preserve">6 September 1954 – 5 October 1954 </t>
  </si>
  <si>
    <t xml:space="preserve">6 October 1954 – 5 April 1960 </t>
  </si>
  <si>
    <t>Date state pension age reached</t>
  </si>
  <si>
    <t xml:space="preserve">Date of birth </t>
  </si>
  <si>
    <t xml:space="preserve">6 April 1960 – 5 May 1960 </t>
  </si>
  <si>
    <t xml:space="preserve">6 May 1960 – 5 June 1960 </t>
  </si>
  <si>
    <t xml:space="preserve">6 June 1960 – 5 July 1960 </t>
  </si>
  <si>
    <t xml:space="preserve">6 July 1960 – 5 August 1960 </t>
  </si>
  <si>
    <t xml:space="preserve">6 August 1960 – 5 September 1960 </t>
  </si>
  <si>
    <t xml:space="preserve">6 September 1960 – 5 October 1960 </t>
  </si>
  <si>
    <t xml:space="preserve">6 October 1960 – 5 November 1960 </t>
  </si>
  <si>
    <t xml:space="preserve">6 November 1960 – 5 December 1960 </t>
  </si>
  <si>
    <t xml:space="preserve">6 December 1960 – 5 January 1961 </t>
  </si>
  <si>
    <t xml:space="preserve">6 January 1961 – 5 February 1961 </t>
  </si>
  <si>
    <t xml:space="preserve">6 February 1961 – 5 March 1961 </t>
  </si>
  <si>
    <t xml:space="preserve">6 March 1961 – 5 April 1977* </t>
  </si>
  <si>
    <t>Min</t>
  </si>
  <si>
    <t>max</t>
  </si>
  <si>
    <t>All State Pension age</t>
  </si>
  <si>
    <t>Age state pension reached</t>
  </si>
  <si>
    <t xml:space="preserve">6 April 1977 – 5 May 1977 </t>
  </si>
  <si>
    <t xml:space="preserve">6 May 1977 – 5 June 1977 </t>
  </si>
  <si>
    <t xml:space="preserve">6 June 1977 – 5 July 1977 </t>
  </si>
  <si>
    <t xml:space="preserve">6 July 1977 – 5 August 1977 </t>
  </si>
  <si>
    <t xml:space="preserve">6 August 1977 – 5 September 1977 </t>
  </si>
  <si>
    <t xml:space="preserve">6 September 1977 – 5 October 1977 </t>
  </si>
  <si>
    <t xml:space="preserve">6 October 1977 – 5 November 1977 </t>
  </si>
  <si>
    <t xml:space="preserve">6 November 1977 – 5 December 1977 </t>
  </si>
  <si>
    <t xml:space="preserve">6 December 1977 – 5 January 1978 </t>
  </si>
  <si>
    <t xml:space="preserve">6 January 1978 – 5 February 1978 </t>
  </si>
  <si>
    <t xml:space="preserve">6 February 1978 – 5 March 1978 </t>
  </si>
  <si>
    <t xml:space="preserve">6 March 1978 – 5 April 1978 </t>
  </si>
  <si>
    <t xml:space="preserve">6 April 1978 onwards </t>
  </si>
  <si>
    <t>Age</t>
  </si>
  <si>
    <t>Year of</t>
  </si>
  <si>
    <t>retirement</t>
  </si>
  <si>
    <t>USS 67%</t>
  </si>
  <si>
    <t>Single - male</t>
  </si>
  <si>
    <t>Joint - male</t>
  </si>
  <si>
    <t>Single - female</t>
  </si>
  <si>
    <t>Joint - female</t>
  </si>
  <si>
    <t>Inputs</t>
  </si>
  <si>
    <t>Expected pension income</t>
  </si>
  <si>
    <t>Defined benefit (current)</t>
  </si>
  <si>
    <t>Defined contribution (proposed)</t>
  </si>
  <si>
    <t>Total value of pension income plus lump sum at retirement</t>
  </si>
  <si>
    <t>Real increase in pay</t>
  </si>
  <si>
    <t>Increase in life expectancy</t>
  </si>
  <si>
    <t>Yes</t>
  </si>
  <si>
    <t>Assumptions</t>
  </si>
  <si>
    <t>https://www.sheffield.ac.uk/polopoly_fs/1.728969!/file/USSTechnicalprovisionsconsultationdocumentSept2017.pdf</t>
  </si>
  <si>
    <t>Most assumptions are taken from the USS valuation document:</t>
  </si>
  <si>
    <t>Further details about the assumptions are provided on the tabs below.</t>
  </si>
  <si>
    <t>Let me know if this modeller can be improved in any way.</t>
  </si>
  <si>
    <t>State pension age increased to 66</t>
  </si>
  <si>
    <t>State pension age increased to 67</t>
  </si>
  <si>
    <t>State pension age increased to 68</t>
  </si>
  <si>
    <t xml:space="preserve">The 67% estimate of returns is taken directly from the USS valuation documents. The USS expects investment returns to be higher than this 67% of the time. Thus this is a conservative estimate of investment returns. These values have been used to value to estimate the deficit of the fund. </t>
  </si>
  <si>
    <t>The 50% best estimate returns are based on the valuation consultation document and taken from Prof Mike Otuska's spreadsheet available here (https://drive.google.com/file/d/1JPUZoZDsj-lrxqzGnnlWuJpDmzPSkKvA/view). The represent the USS best estimate of investment returns. They expect returns to be higher than this 50% of the time. These figures have not been used for the main estimate the deficit of the fund. When these figures are used in the valuation the scheme has a multibillion pound surplus.</t>
  </si>
  <si>
    <t>67% "prudent" returns</t>
  </si>
  <si>
    <t>50% "best estimate" returns</t>
  </si>
  <si>
    <t>Assumptions here:</t>
  </si>
  <si>
    <t>This takes income from the input sheet and updates it by the assumed rate of salary growth of 2%. This rate can be modified on the input page.</t>
  </si>
  <si>
    <t>Defined benefit pension</t>
  </si>
  <si>
    <t>This sheet estimates the valuation of the current defined benefit pension at retirement. We currently accrue 1/75 of our salary and get 3* salary as a lump sum.</t>
  </si>
  <si>
    <t>We can work out how much a defined benefit pension costs at retirement using annuity prices given on the annuity tab. The prices given on the annuity tab are given for the amount of pension you can buy today for £100,000.</t>
  </si>
  <si>
    <t>Here we calculate how much money we would need to buy the amount of defined benefit pension you've accrued in each year.</t>
  </si>
  <si>
    <t>Note: All these calculations ignore the pension you have already accrued - because this will not change. This spreadsheet only works out what you future benefits will be.</t>
  </si>
  <si>
    <t>This page calculates how much we can expect to earn in our DC pots over time. It then estimates how much annuity income we can buy with that pension pot in each year.</t>
  </si>
  <si>
    <t>All figures are in real terms - i.e. after inflation.</t>
  </si>
  <si>
    <t>State pension age</t>
  </si>
  <si>
    <t>This tab is a look up for your state pension age based on your date of birth.</t>
  </si>
  <si>
    <t>The valuation document assumes that pay will increase by 2% after inflation. This includes the effects of pay increments.</t>
  </si>
  <si>
    <t>No</t>
  </si>
  <si>
    <t>Gender (Female or Male)</t>
  </si>
  <si>
    <t>Your details</t>
  </si>
  <si>
    <t>Annual increase in pay (after CPI)</t>
  </si>
  <si>
    <t>Do you have a spouse or partner? (Yes or No)</t>
  </si>
  <si>
    <t>Technical assumptions</t>
  </si>
  <si>
    <r>
      <t>Vary the parameters in green</t>
    </r>
    <r>
      <rPr>
        <sz val="11"/>
        <color rgb="FFFF0000"/>
        <rFont val="Calibri"/>
        <family val="2"/>
        <scheme val="minor"/>
      </rPr>
      <t xml:space="preserve"> </t>
    </r>
    <r>
      <rPr>
        <sz val="11"/>
        <color theme="4"/>
        <rFont val="Calibri"/>
        <family val="2"/>
        <scheme val="minor"/>
      </rPr>
      <t xml:space="preserve">and watch the graphs and values in yellow change. </t>
    </r>
  </si>
  <si>
    <t>Input values for annuities and path of income growth can be changed on the other sheets.
The cells in yellow are returned and indicate your state retirement date, pension income under the current scheme (defined benefit) and the proposed scheme (defined contribution).</t>
  </si>
  <si>
    <r>
      <t xml:space="preserve">Expected </t>
    </r>
    <r>
      <rPr>
        <sz val="12"/>
        <color theme="4"/>
        <rFont val="Calibri (Body)_x0000_"/>
      </rPr>
      <t>annual</t>
    </r>
    <r>
      <rPr>
        <sz val="12"/>
        <color theme="1"/>
        <rFont val="Calibri"/>
        <family val="2"/>
        <scheme val="minor"/>
      </rPr>
      <t xml:space="preserve"> pension income</t>
    </r>
  </si>
  <si>
    <t>10 yr expected real return</t>
  </si>
  <si>
    <t>10 yr fwd 20 yr exp real return</t>
  </si>
  <si>
    <t>20 yr expected real return</t>
  </si>
  <si>
    <t>30 yr expected real return</t>
  </si>
  <si>
    <t>Allocation of assets in the DB reference portfolio</t>
  </si>
  <si>
    <t>Equities</t>
  </si>
  <si>
    <t>Property</t>
  </si>
  <si>
    <t>Listed Credit</t>
  </si>
  <si>
    <t>Index linked</t>
  </si>
  <si>
    <t>Cash</t>
  </si>
  <si>
    <t>Rebalancing &amp; diversification premium</t>
  </si>
  <si>
    <t>Best estimate return:</t>
  </si>
  <si>
    <t>Best estimates (50%) of returns on different assets in the USS</t>
  </si>
  <si>
    <t>Prudence</t>
  </si>
  <si>
    <t>factor (%)</t>
  </si>
  <si>
    <t>Real returns at 67% prudence</t>
  </si>
  <si>
    <t>Allocation of assets</t>
  </si>
  <si>
    <t>Growth Fund (DC)</t>
  </si>
  <si>
    <t>Moderate Growth Fund (DC)</t>
  </si>
  <si>
    <t>Cautious Growth Fund (DC)</t>
  </si>
  <si>
    <t>Cash Fund (DC)</t>
  </si>
  <si>
    <t>Cash fund (DC)</t>
  </si>
  <si>
    <t>Real returns on different investments at 67% prudence</t>
  </si>
  <si>
    <t>Year</t>
  </si>
  <si>
    <t>67% prudence returns</t>
  </si>
  <si>
    <t>50% prudence returns</t>
  </si>
  <si>
    <t>Growth Fund (DC) 50%</t>
  </si>
  <si>
    <t>Moderate Growth Fund (DC) 50%</t>
  </si>
  <si>
    <t>Cautious Growth Fund (DC) 50%</t>
  </si>
  <si>
    <t>Cash fund (DC) 50%</t>
  </si>
  <si>
    <t>Growth Fund (DC) 67%</t>
  </si>
  <si>
    <t>Moderate Growth Fund (DC) 67%</t>
  </si>
  <si>
    <t>Cautious Growth Fund (DC) 67%</t>
  </si>
  <si>
    <t>Cash fund (DC) 67%</t>
  </si>
  <si>
    <t>List</t>
  </si>
  <si>
    <t>Value</t>
  </si>
  <si>
    <t>Assumed investment returns</t>
  </si>
  <si>
    <t>Investment returns</t>
  </si>
  <si>
    <t>The model allows for five different investment returns:</t>
  </si>
  <si>
    <t>USS - the return expected for the current USS portfolio. This is not an option for a DC pension and is provided for information only.</t>
  </si>
  <si>
    <t>Cash fund - this is invested in cash.</t>
  </si>
  <si>
    <t>Growth fund. The majority of this fund is invested in company shares</t>
  </si>
  <si>
    <t>Moderate growth fund. This is invested in a mixture of shares and bonds.</t>
  </si>
  <si>
    <t>Cautious growth fund. This is mainly invested in high quality government and corporate bonds.</t>
  </si>
  <si>
    <t>Details of how the expected return for each of these investments was calculated is given on the Investment returns (2) tab.</t>
  </si>
  <si>
    <t>Life expectancy</t>
  </si>
  <si>
    <t>The assumed returns are taken from the USS valuation documents.</t>
  </si>
  <si>
    <t>The DC pensions typically sell company shares and buy high quality government debt and corporate bonds near retirement.</t>
  </si>
  <si>
    <t>This over estimates returns because it does not allow for a linear decrease from 2.8% to 1.7% between 10 and 20 years.</t>
  </si>
  <si>
    <t>The 67% prudent returns are taken from the September 2017 consultation document. The returns on each of the assets in each period are back calculated using the prudence factors given in cells c29:f29 to get the reported 67% returns for each time period.</t>
  </si>
  <si>
    <t>Real returns at 50% prudence</t>
  </si>
  <si>
    <t>Real returns on different investments at 50% prudence</t>
  </si>
  <si>
    <t>Each investment has two sets of estimated return - the 50% "best estimate". The USS expects returns to be better than this 50% of the time.</t>
  </si>
  <si>
    <t>The second option is a more conservative 67% estimate. The USS expects returns to better than this 67% of the time.</t>
  </si>
  <si>
    <t>The modeller assumes that you will buy an annuity at retirement with your DC pot and that the DB pension is bought using an annuity.</t>
  </si>
  <si>
    <t>Salary changes take into account increments and cost of living awards.</t>
  </si>
  <si>
    <r>
      <t>Difference in pension income (</t>
    </r>
    <r>
      <rPr>
        <sz val="12"/>
        <color theme="4"/>
        <rFont val="Calibri (Body)_x0000_"/>
      </rPr>
      <t>Figure 1</t>
    </r>
    <r>
      <rPr>
        <sz val="12"/>
        <color theme="1"/>
        <rFont val="Calibri"/>
        <family val="2"/>
        <scheme val="minor"/>
      </rPr>
      <t>)</t>
    </r>
  </si>
  <si>
    <r>
      <t>Difference total pension benefits (</t>
    </r>
    <r>
      <rPr>
        <sz val="12"/>
        <color theme="4"/>
        <rFont val="Calibri (Body)_x0000_"/>
      </rPr>
      <t>Figure 2</t>
    </r>
    <r>
      <rPr>
        <sz val="12"/>
        <color theme="1"/>
        <rFont val="Calibri"/>
        <family val="2"/>
        <scheme val="minor"/>
      </rPr>
      <t>)</t>
    </r>
  </si>
  <si>
    <t>DB benefits in TPS</t>
  </si>
  <si>
    <t>Post 92 Teacher Pension Scheme</t>
  </si>
  <si>
    <t>Difference in expected benefits current USS vs proposed</t>
  </si>
  <si>
    <t>Benefits TPS</t>
  </si>
  <si>
    <t>Annuity income costs</t>
  </si>
  <si>
    <t>Benefits USS DB</t>
  </si>
  <si>
    <t>Difference in expected benefits current TPS pensions in post 92 vs USS proposed</t>
  </si>
  <si>
    <t>Difference in pension income</t>
  </si>
  <si>
    <t>Difference total pension benefits</t>
  </si>
  <si>
    <t>DC pension proposed scheme</t>
  </si>
  <si>
    <t>DC pension current scheme</t>
  </si>
  <si>
    <t>Proposed USS scheme</t>
  </si>
  <si>
    <t>Current USS DC scheme</t>
  </si>
  <si>
    <t>1% match</t>
  </si>
  <si>
    <t>Did you take the 1% match?</t>
  </si>
  <si>
    <t>Pension above threshold</t>
  </si>
  <si>
    <t>Total DC pot</t>
  </si>
  <si>
    <t>Annuity income from DC pots</t>
  </si>
  <si>
    <t>Defined contribution (current)</t>
  </si>
  <si>
    <t>Total value of fund at retirement</t>
  </si>
  <si>
    <t>Defined contribution income threshold</t>
  </si>
  <si>
    <t>Differences by gender</t>
  </si>
  <si>
    <t>Insurance companies cannot discriminate against individuals because of gender. The differences in annuity rates between</t>
  </si>
  <si>
    <r>
      <t xml:space="preserve">This spreadsheet models the impact of the proposed reforms on </t>
    </r>
    <r>
      <rPr>
        <b/>
        <sz val="12"/>
        <color theme="1"/>
        <rFont val="Calibri"/>
        <family val="2"/>
        <scheme val="minor"/>
      </rPr>
      <t>future</t>
    </r>
    <r>
      <rPr>
        <sz val="12"/>
        <color theme="1"/>
        <rFont val="Calibri"/>
        <family val="2"/>
        <scheme val="minor"/>
      </rPr>
      <t xml:space="preserve"> benefits.</t>
    </r>
  </si>
  <si>
    <t>This modeller provides a forecast of the pensions we can expect to receive under the current defined benefit defined contribution hybrid scheme and the UUK proposed defined contribution scheme. I am not an actuary, accountant or a financial advisor. This is for information only and should not be used for personal financial decisions. Before making any decisions about your pension you should seek professional advice.</t>
  </si>
  <si>
    <t>This lowers investment returns near retirement. This model does not take this into account and means the estimates of the return to DC investments are likely to be over estimates.</t>
  </si>
  <si>
    <t>Benefits in the current BD-DC hybrid scheme</t>
  </si>
  <si>
    <t>Estimated FUTURE pension benefits (accrued benefits will not change)</t>
  </si>
  <si>
    <t>Improvement in life expectancy per year</t>
  </si>
  <si>
    <t>This model uses an estimate of change in life expectancy at age 65 from the ONS: https://www.ons.gov.uk/peoplepopulationandcommunity/birthsdeathsandmarriages/lifeexpectancies/datasets/expectationoflifeprincipalprojectionunitedkingdom</t>
  </si>
  <si>
    <t>The modeller only models the pensions we will accrue in future - pensions already accrued will not be changed.</t>
  </si>
  <si>
    <t>men and women is driven by the age of spouse. We assume the male spouse is 3 years older. The annuity assumptions can be changed on the annuity tab.</t>
  </si>
  <si>
    <t>Income current DB</t>
  </si>
  <si>
    <t>Income proposed DB</t>
  </si>
  <si>
    <t>Employee DC contribution</t>
  </si>
  <si>
    <t>Accural rate</t>
  </si>
  <si>
    <t>Employer DC contribution</t>
  </si>
  <si>
    <t>Benefits USS Proposed DB</t>
  </si>
  <si>
    <t>Defined Benefit (proposed)</t>
  </si>
  <si>
    <t>Defined benefit (Proposed)</t>
  </si>
  <si>
    <t>Defined benefit (proposed)</t>
  </si>
  <si>
    <r>
      <t xml:space="preserve">Model of </t>
    </r>
    <r>
      <rPr>
        <b/>
        <sz val="12"/>
        <color theme="1"/>
        <rFont val="Calibri (Body)_x0000_"/>
      </rPr>
      <t>future</t>
    </r>
    <r>
      <rPr>
        <b/>
        <sz val="12"/>
        <color theme="1"/>
        <rFont val="Calibri"/>
        <family val="2"/>
        <scheme val="minor"/>
      </rPr>
      <t xml:space="preserve"> USS benefits (version 2)</t>
    </r>
  </si>
  <si>
    <t>5ft 8</t>
  </si>
  <si>
    <t>5 ft 2</t>
  </si>
  <si>
    <t>Annuity rates published by the Money Advice Service (16/04/2021)</t>
  </si>
  <si>
    <t>Gilt reversion after 10 years 0.5% improvement in longevity</t>
  </si>
  <si>
    <t>Prudence factor in 2017</t>
  </si>
  <si>
    <t>Benefits under the USS's proposals</t>
  </si>
  <si>
    <r>
      <rPr>
        <b/>
        <sz val="11"/>
        <color theme="1"/>
        <rFont val="Calibri"/>
        <family val="2"/>
        <scheme val="minor"/>
      </rPr>
      <t xml:space="preserve">* Source for expected returns: </t>
    </r>
    <r>
      <rPr>
        <sz val="12"/>
        <color theme="1"/>
        <rFont val="Calibri"/>
        <family val="2"/>
        <scheme val="minor"/>
      </rPr>
      <t>USS September 2020 Consultation Document, Table 8.1, p. 23 &lt;https://www.uss.co.uk/-/media/project/ussmainsite/files/about-us/valuations_yearly/2020-valuation/uss-technical-provisions-consultation-2020-valuation.pdf&gt;</t>
    </r>
  </si>
  <si>
    <t>^ Taken from the stochastic analysis paper https://www.uss.co.uk/-/media/project/ussmainsite/files/about-us/valuations_yearly/2020-valuation/scenario-testing-and-stochastic-analysis-792020.pdf</t>
  </si>
  <si>
    <t>Derivation validation^</t>
  </si>
  <si>
    <t>30 year returns</t>
  </si>
  <si>
    <t>Prudent return (67% centile)</t>
  </si>
  <si>
    <t>Prudent (67%) return:</t>
  </si>
  <si>
    <t xml:space="preserve">Valuation 2020 </t>
  </si>
  <si>
    <t>Table 9.1</t>
  </si>
  <si>
    <t>TSS covenent</t>
  </si>
  <si>
    <t xml:space="preserve">2020 valuation scenarios </t>
  </si>
  <si>
    <t>Scenario 1</t>
  </si>
  <si>
    <t>https://www.uss.co.uk/-/media/project/ussmainsite/files/about-us/valuations_yearly/2020-valuation/uss-technical-provisions-consultation-2020-valuation.pdf?rev=89e3e8d0fbb344bf8d9609f6d0eb412e&amp;hash=484A87C8F8D8719BF0AA864D7CC1A3D4</t>
  </si>
  <si>
    <t>The model assumes that if life expectancy increases by 0.5% a year the cost of purchasing a given amount of pension income increases by 0.5% a year.</t>
  </si>
  <si>
    <t>The USS valuation documents assume a 1.6% and 1.8% improvements for women and men in mortality per year based on Continuous Mortality Investigation</t>
  </si>
  <si>
    <t>Table: 2020 valuation parameters</t>
  </si>
  <si>
    <t>https://www.ussemployers.org.uk/sites/default/files/field/attachemnt/uss-indicative-outcome-consultation_0.pdf</t>
  </si>
  <si>
    <t>Taken from</t>
  </si>
  <si>
    <t>Scenario 2a</t>
  </si>
  <si>
    <t>Scenario 2b</t>
  </si>
  <si>
    <t>Scenario 3a</t>
  </si>
  <si>
    <t>Scenario 3b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</si>
</sst>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0.000"/>
    <numFmt numFmtId="168" formatCode="0.0%"/>
  </numFmts>
  <fonts count="21">
    <font>
      <sz val="12"/>
      <color theme="1"/>
      <name val="Calibri"/>
      <family val="2"/>
      <scheme val="minor"/>
    </font>
    <font>
      <sz val="12"/>
      <color theme="1"/>
      <name val="Calibri"/>
      <family val="2"/>
      <scheme val="minor"/>
    </font>
    <font>
      <b/>
      <sz val="12"/>
      <color theme="1"/>
      <name val="Calibri"/>
      <family val="2"/>
      <scheme val="minor"/>
    </font>
    <font>
      <sz val="12"/>
      <color theme="0" tint="-0.34998626667073579"/>
      <name val="Calibri"/>
      <family val="2"/>
      <scheme val="minor"/>
    </font>
    <font>
      <sz val="12"/>
      <color theme="1"/>
      <name val="ArialMT"/>
    </font>
    <font>
      <b/>
      <sz val="14"/>
      <color theme="1"/>
      <name val="Arial"/>
      <family val="2"/>
    </font>
    <font>
      <b/>
      <sz val="12"/>
      <color theme="1"/>
      <name val="Arial"/>
      <family val="2"/>
    </font>
    <font>
      <b/>
      <sz val="12"/>
      <color theme="1"/>
      <name val="ArialMT"/>
    </font>
    <font>
      <sz val="12"/>
      <color rgb="FFFF0000"/>
      <name val="Calibri"/>
      <family val="2"/>
      <scheme val="minor"/>
    </font>
    <font>
      <b/>
      <sz val="16"/>
      <color rgb="FF0A0101"/>
      <name val="Helvetica Neue"/>
      <family val="2"/>
    </font>
    <font>
      <sz val="11"/>
      <color theme="1"/>
      <name val="Calibri"/>
      <family val="2"/>
      <scheme val="minor"/>
    </font>
    <font>
      <sz val="11"/>
      <color rgb="FFFF0000"/>
      <name val="Calibri"/>
      <family val="2"/>
      <scheme val="minor"/>
    </font>
    <font>
      <sz val="11"/>
      <color theme="4"/>
      <name val="Calibri"/>
      <family val="2"/>
      <scheme val="minor"/>
    </font>
    <font>
      <sz val="12"/>
      <color theme="4"/>
      <name val="Calibri (Body)_x0000_"/>
    </font>
    <font>
      <b/>
      <sz val="11"/>
      <color theme="1"/>
      <name val="Calibri"/>
      <family val="2"/>
      <scheme val="minor"/>
    </font>
    <font>
      <sz val="9"/>
      <color theme="1"/>
      <name val="Calibri"/>
      <family val="2"/>
      <scheme val="minor"/>
    </font>
    <font>
      <b/>
      <sz val="9"/>
      <color theme="1"/>
      <name val="Calibri"/>
      <family val="2"/>
      <scheme val="minor"/>
    </font>
    <font>
      <sz val="6"/>
      <color theme="1"/>
      <name val="ArialMT"/>
    </font>
    <font>
      <b/>
      <sz val="12"/>
      <color theme="1"/>
      <name val="Calibri (Body)_x0000_"/>
    </font>
    <font>
      <sz val="13"/>
      <color rgb="FF000000"/>
      <name val="Arial"/>
      <family val="2"/>
    </font>
    <font>
      <sz val="12"/>
      <color rgb="FF000000"/>
      <name val="Calibri"/>
      <family val="2"/>
      <scheme val="minor"/>
    </font>
  </fonts>
  <fills count="4">
    <fill>
      <patternFill patternType="none"/>
    </fill>
    <fill>
      <patternFill patternType="gray125"/>
    </fill>
    <fill>
      <patternFill patternType="solid">
        <fgColor rgb="FF00B050"/>
        <bgColor indexed="64"/>
      </patternFill>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17">
    <xf numFmtId="0" fontId="0" fillId="0" borderId="0" xfId="0"/>
    <xf numFmtId="44" fontId="0" fillId="0" borderId="0" xfId="1" applyFont="1"/>
    <xf numFmtId="0" fontId="0" fillId="0" borderId="0" xfId="0" applyAlignment="1">
      <alignment horizontal="left" wrapText="1"/>
    </xf>
    <xf numFmtId="0" fontId="2" fillId="0" borderId="0" xfId="0" applyFont="1"/>
    <xf numFmtId="10" fontId="0" fillId="0" borderId="0" xfId="0" applyNumberFormat="1"/>
    <xf numFmtId="44" fontId="0" fillId="0" borderId="0" xfId="0" applyNumberFormat="1"/>
    <xf numFmtId="0" fontId="3" fillId="0" borderId="0" xfId="0" applyFont="1"/>
    <xf numFmtId="44" fontId="3" fillId="0" borderId="0" xfId="1" applyFont="1"/>
    <xf numFmtId="14" fontId="0" fillId="0" borderId="0" xfId="0" applyNumberFormat="1"/>
    <xf numFmtId="3" fontId="0" fillId="0" borderId="0" xfId="0" applyNumberFormat="1"/>
    <xf numFmtId="15" fontId="0" fillId="0" borderId="0" xfId="0" applyNumberFormat="1"/>
    <xf numFmtId="0" fontId="5" fillId="0" borderId="0" xfId="0" applyFont="1"/>
    <xf numFmtId="0" fontId="4" fillId="0" borderId="0" xfId="0" applyFont="1" applyAlignment="1"/>
    <xf numFmtId="15" fontId="4" fillId="0" borderId="0" xfId="0" applyNumberFormat="1" applyFont="1" applyAlignment="1"/>
    <xf numFmtId="15" fontId="4" fillId="0" borderId="0" xfId="0" applyNumberFormat="1" applyFont="1" applyAlignment="1">
      <alignment horizontal="center"/>
    </xf>
    <xf numFmtId="0" fontId="7" fillId="0" borderId="0" xfId="0" applyFont="1" applyAlignment="1"/>
    <xf numFmtId="0" fontId="0" fillId="0" borderId="0" xfId="0" applyFont="1"/>
    <xf numFmtId="0" fontId="0" fillId="0" borderId="0" xfId="0" applyAlignment="1">
      <alignment horizontal="left" wrapText="1"/>
    </xf>
    <xf numFmtId="0" fontId="9" fillId="0" borderId="0" xfId="0" applyFont="1"/>
    <xf numFmtId="1" fontId="4" fillId="0" borderId="0" xfId="0" applyNumberFormat="1" applyFont="1" applyAlignment="1">
      <alignment horizontal="center"/>
    </xf>
    <xf numFmtId="14" fontId="4" fillId="0" borderId="0" xfId="0" applyNumberFormat="1" applyFont="1" applyAlignment="1"/>
    <xf numFmtId="44" fontId="0" fillId="3" borderId="0" xfId="1" applyFont="1" applyFill="1"/>
    <xf numFmtId="2" fontId="0" fillId="3" borderId="0" xfId="2" applyNumberFormat="1" applyFont="1" applyFill="1"/>
    <xf numFmtId="44" fontId="0" fillId="2" borderId="0" xfId="1" applyFont="1" applyFill="1" applyAlignment="1">
      <alignment horizontal="center"/>
    </xf>
    <xf numFmtId="9" fontId="0" fillId="2" borderId="0" xfId="2" applyFont="1" applyFill="1" applyAlignment="1">
      <alignment horizontal="center"/>
    </xf>
    <xf numFmtId="14" fontId="0" fillId="2" borderId="0" xfId="0" applyNumberFormat="1" applyFill="1" applyAlignment="1">
      <alignment horizontal="center"/>
    </xf>
    <xf numFmtId="1" fontId="0" fillId="3" borderId="0" xfId="0" applyNumberFormat="1" applyFill="1" applyAlignment="1">
      <alignment horizontal="center"/>
    </xf>
    <xf numFmtId="10" fontId="0" fillId="2" borderId="0" xfId="0" applyNumberFormat="1" applyFill="1" applyAlignment="1">
      <alignment horizontal="center"/>
    </xf>
    <xf numFmtId="165" fontId="0" fillId="0" borderId="0" xfId="0" applyNumberFormat="1"/>
    <xf numFmtId="0" fontId="0" fillId="0" borderId="0" xfId="0" applyAlignment="1">
      <alignment horizontal="left" vertical="top" wrapText="1"/>
    </xf>
    <xf numFmtId="0" fontId="0" fillId="0" borderId="0" xfId="0" applyAlignment="1">
      <alignment wrapText="1"/>
    </xf>
    <xf numFmtId="44" fontId="0" fillId="0" borderId="0" xfId="1" applyFont="1" applyFill="1"/>
    <xf numFmtId="0" fontId="0" fillId="2" borderId="0" xfId="0" applyFill="1" applyAlignment="1">
      <alignment horizontal="center"/>
    </xf>
    <xf numFmtId="0" fontId="2" fillId="0" borderId="0" xfId="0" applyFont="1" applyAlignment="1">
      <alignment wrapText="1"/>
    </xf>
    <xf numFmtId="44" fontId="0" fillId="0" borderId="0" xfId="1" applyFont="1" applyFill="1" applyAlignment="1">
      <alignment horizontal="center"/>
    </xf>
    <xf numFmtId="0" fontId="2" fillId="0" borderId="0" xfId="0" applyFont="1" applyAlignment="1">
      <alignment horizontal="center"/>
    </xf>
    <xf numFmtId="0" fontId="10" fillId="0" borderId="0" xfId="0" applyFont="1"/>
    <xf numFmtId="0" fontId="15" fillId="0" borderId="4" xfId="0" applyFont="1" applyBorder="1" applyAlignment="1">
      <alignment vertical="top" wrapText="1"/>
    </xf>
    <xf numFmtId="0" fontId="15" fillId="0" borderId="0" xfId="0" applyFont="1" applyBorder="1" applyAlignment="1">
      <alignment vertical="top" wrapText="1"/>
    </xf>
    <xf numFmtId="0" fontId="15" fillId="0" borderId="5" xfId="0" applyFont="1" applyBorder="1" applyAlignment="1">
      <alignment vertical="top" wrapText="1"/>
    </xf>
    <xf numFmtId="10" fontId="0" fillId="0" borderId="4" xfId="0" applyNumberFormat="1" applyBorder="1"/>
    <xf numFmtId="10" fontId="0" fillId="0" borderId="0" xfId="0" applyNumberFormat="1" applyBorder="1"/>
    <xf numFmtId="10" fontId="0" fillId="0" borderId="5" xfId="0" applyNumberFormat="1" applyBorder="1"/>
    <xf numFmtId="10" fontId="0" fillId="0" borderId="6" xfId="0" applyNumberFormat="1" applyBorder="1"/>
    <xf numFmtId="10" fontId="0" fillId="0" borderId="7" xfId="0" applyNumberFormat="1" applyBorder="1"/>
    <xf numFmtId="10" fontId="0" fillId="0" borderId="8" xfId="0" applyNumberFormat="1" applyBorder="1"/>
    <xf numFmtId="0" fontId="15" fillId="0" borderId="0" xfId="0" applyFont="1" applyAlignment="1">
      <alignment vertical="top" wrapText="1"/>
    </xf>
    <xf numFmtId="0" fontId="15" fillId="0" borderId="0" xfId="0" applyFont="1"/>
    <xf numFmtId="0" fontId="16" fillId="0" borderId="0" xfId="0" applyFont="1"/>
    <xf numFmtId="0" fontId="16" fillId="0" borderId="4" xfId="0" applyFont="1" applyBorder="1" applyAlignment="1">
      <alignment vertical="top" wrapText="1"/>
    </xf>
    <xf numFmtId="0" fontId="16" fillId="0" borderId="0" xfId="0" applyFont="1" applyBorder="1" applyAlignment="1">
      <alignment vertical="top" wrapText="1"/>
    </xf>
    <xf numFmtId="0" fontId="16" fillId="0" borderId="5" xfId="0" applyFont="1" applyBorder="1" applyAlignment="1">
      <alignment vertical="top" wrapText="1"/>
    </xf>
    <xf numFmtId="0" fontId="15" fillId="0" borderId="0" xfId="0" applyFont="1" applyAlignment="1">
      <alignment wrapText="1"/>
    </xf>
    <xf numFmtId="0" fontId="16" fillId="0" borderId="0" xfId="0" applyFont="1" applyAlignment="1">
      <alignment wrapText="1"/>
    </xf>
    <xf numFmtId="10" fontId="0" fillId="0" borderId="0" xfId="2" applyNumberFormat="1" applyFont="1"/>
    <xf numFmtId="1" fontId="0" fillId="0" borderId="0" xfId="0" applyNumberFormat="1" applyAlignment="1">
      <alignment horizontal="center"/>
    </xf>
    <xf numFmtId="1" fontId="0" fillId="0" borderId="0" xfId="2" applyNumberFormat="1" applyFont="1" applyAlignment="1">
      <alignment horizontal="center" wrapText="1"/>
    </xf>
    <xf numFmtId="2" fontId="0" fillId="0" borderId="0" xfId="0" applyNumberFormat="1"/>
    <xf numFmtId="0" fontId="0" fillId="2" borderId="0" xfId="0" applyFill="1" applyAlignment="1">
      <alignment horizontal="center" wrapText="1"/>
    </xf>
    <xf numFmtId="9" fontId="0" fillId="2" borderId="0" xfId="2" applyNumberFormat="1" applyFont="1" applyFill="1" applyAlignment="1">
      <alignment horizontal="center"/>
    </xf>
    <xf numFmtId="1" fontId="0" fillId="2" borderId="0" xfId="0" applyNumberFormat="1" applyFill="1" applyAlignment="1">
      <alignment horizontal="center"/>
    </xf>
    <xf numFmtId="1" fontId="0" fillId="0" borderId="0" xfId="0" applyNumberFormat="1" applyFill="1" applyAlignment="1">
      <alignment horizontal="center"/>
    </xf>
    <xf numFmtId="0" fontId="2" fillId="0" borderId="1" xfId="0" applyFont="1" applyBorder="1"/>
    <xf numFmtId="0" fontId="0" fillId="0" borderId="3" xfId="0" applyBorder="1"/>
    <xf numFmtId="0" fontId="2" fillId="0" borderId="4" xfId="0" applyFont="1" applyBorder="1"/>
    <xf numFmtId="0" fontId="0" fillId="0" borderId="5" xfId="0" applyBorder="1"/>
    <xf numFmtId="0" fontId="0" fillId="0" borderId="4" xfId="0" applyBorder="1"/>
    <xf numFmtId="0" fontId="0" fillId="0" borderId="6" xfId="0" applyBorder="1"/>
    <xf numFmtId="0" fontId="0" fillId="0" borderId="0" xfId="0" applyBorder="1"/>
    <xf numFmtId="44" fontId="0" fillId="3" borderId="0" xfId="1" applyFont="1" applyFill="1" applyBorder="1"/>
    <xf numFmtId="44" fontId="0" fillId="0" borderId="0" xfId="1" applyFont="1" applyFill="1" applyBorder="1"/>
    <xf numFmtId="0" fontId="0" fillId="0" borderId="2" xfId="0" applyBorder="1"/>
    <xf numFmtId="164" fontId="8" fillId="3" borderId="0" xfId="1" applyNumberFormat="1" applyFont="1" applyFill="1" applyBorder="1"/>
    <xf numFmtId="9" fontId="8" fillId="0" borderId="5" xfId="2" applyFont="1" applyBorder="1"/>
    <xf numFmtId="164" fontId="8" fillId="0" borderId="0" xfId="1" applyNumberFormat="1" applyFont="1" applyFill="1" applyBorder="1"/>
    <xf numFmtId="44" fontId="0" fillId="0" borderId="0" xfId="0" applyNumberFormat="1" applyBorder="1"/>
    <xf numFmtId="164" fontId="8" fillId="3" borderId="7" xfId="1" applyNumberFormat="1" applyFont="1" applyFill="1" applyBorder="1"/>
    <xf numFmtId="9" fontId="8" fillId="0" borderId="8" xfId="2" applyFont="1" applyBorder="1"/>
    <xf numFmtId="0" fontId="17" fillId="0" borderId="0" xfId="0" applyFont="1"/>
    <xf numFmtId="9" fontId="8" fillId="0" borderId="0" xfId="2" applyFont="1" applyBorder="1"/>
    <xf numFmtId="0" fontId="2" fillId="0" borderId="4" xfId="0" applyFont="1" applyFill="1" applyBorder="1"/>
    <xf numFmtId="9" fontId="8" fillId="0" borderId="3" xfId="2" applyFont="1" applyBorder="1"/>
    <xf numFmtId="0" fontId="0" fillId="0" borderId="0" xfId="0" applyAlignment="1">
      <alignment horizontal="center"/>
    </xf>
    <xf numFmtId="0" fontId="2" fillId="0" borderId="0" xfId="0" applyFont="1" applyAlignment="1">
      <alignment horizontal="center"/>
    </xf>
    <xf numFmtId="164" fontId="0" fillId="0" borderId="0" xfId="0" applyNumberFormat="1"/>
    <xf numFmtId="0" fontId="0" fillId="2" borderId="0" xfId="1" applyNumberFormat="1" applyFont="1" applyFill="1" applyAlignment="1">
      <alignment horizontal="center"/>
    </xf>
    <xf numFmtId="44" fontId="0" fillId="0" borderId="0" xfId="1" applyNumberFormat="1" applyFont="1"/>
    <xf numFmtId="0" fontId="19" fillId="0" borderId="0" xfId="0" applyFont="1"/>
    <xf numFmtId="0" fontId="0" fillId="0" borderId="0" xfId="0" applyAlignment="1">
      <alignment horizontal="left" vertical="top" wrapText="1"/>
    </xf>
    <xf numFmtId="0" fontId="0" fillId="2" borderId="0" xfId="0" applyFill="1" applyAlignment="1">
      <alignment horizontal="center" wrapText="1"/>
    </xf>
    <xf numFmtId="0" fontId="10" fillId="0" borderId="0" xfId="0" applyFont="1" applyAlignment="1">
      <alignment horizontal="left" vertical="top" wrapText="1"/>
    </xf>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wrapText="1"/>
    </xf>
    <xf numFmtId="0" fontId="2" fillId="0" borderId="0" xfId="0" applyFont="1" applyAlignment="1">
      <alignment horizontal="left" wrapText="1"/>
    </xf>
    <xf numFmtId="0" fontId="0" fillId="0" borderId="0" xfId="0" applyAlignment="1">
      <alignment horizontal="left" wrapText="1"/>
    </xf>
    <xf numFmtId="0" fontId="0" fillId="0" borderId="0" xfId="0" applyAlignment="1">
      <alignment horizontal="center" vertical="top" wrapText="1"/>
    </xf>
    <xf numFmtId="10" fontId="0" fillId="0" borderId="0" xfId="2" applyNumberFormat="1" applyFont="1" applyAlignment="1">
      <alignment horizontal="center" wrapText="1"/>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14" fillId="0" borderId="1" xfId="0" applyFont="1" applyBorder="1" applyAlignment="1">
      <alignment horizontal="center"/>
    </xf>
    <xf numFmtId="0" fontId="14" fillId="0" borderId="2" xfId="0" applyFont="1" applyBorder="1" applyAlignment="1">
      <alignment horizontal="center"/>
    </xf>
    <xf numFmtId="0" fontId="14" fillId="0" borderId="3" xfId="0" applyFont="1" applyBorder="1" applyAlignment="1">
      <alignment horizontal="center"/>
    </xf>
    <xf numFmtId="0" fontId="2" fillId="0" borderId="0" xfId="0" applyFont="1" applyAlignment="1">
      <alignment horizontal="center" wrapText="1"/>
    </xf>
    <xf numFmtId="0" fontId="6" fillId="0" borderId="0" xfId="0" applyFont="1"/>
    <xf numFmtId="44" fontId="2" fillId="0" borderId="0" xfId="1" applyFont="1"/>
    <xf numFmtId="0" fontId="8" fillId="0" borderId="0" xfId="0" applyFont="1"/>
    <xf numFmtId="44" fontId="8" fillId="0" borderId="0" xfId="1" applyFont="1"/>
    <xf numFmtId="0" fontId="20" fillId="0" borderId="0" xfId="0" applyFont="1"/>
    <xf numFmtId="0" fontId="15" fillId="0" borderId="0" xfId="0" applyFont="1" applyFill="1" applyBorder="1" applyAlignment="1">
      <alignment vertical="top" wrapText="1"/>
    </xf>
    <xf numFmtId="9" fontId="0" fillId="0" borderId="0" xfId="2" applyFont="1"/>
    <xf numFmtId="168" fontId="0" fillId="0" borderId="0" xfId="2" applyNumberFormat="1" applyFont="1"/>
    <xf numFmtId="0" fontId="15" fillId="0" borderId="1" xfId="0" applyFont="1" applyBorder="1" applyAlignment="1">
      <alignment vertical="top" wrapText="1"/>
    </xf>
    <xf numFmtId="0" fontId="15" fillId="0" borderId="3" xfId="0" applyFont="1" applyBorder="1" applyAlignment="1">
      <alignment vertical="top" wrapText="1"/>
    </xf>
    <xf numFmtId="168" fontId="0" fillId="2" borderId="0" xfId="2" applyNumberFormat="1" applyFont="1" applyFill="1" applyAlignment="1">
      <alignment horizontal="center"/>
    </xf>
    <xf numFmtId="10" fontId="0" fillId="2" borderId="0" xfId="0" applyNumberFormat="1" applyFill="1" applyAlignment="1">
      <alignment horizontal="center" wrapText="1"/>
    </xf>
  </cellXfs>
  <cellStyles count="3">
    <cellStyle name="Currency" xfId="1" builtinId="4"/>
    <cellStyle name="Normal" xfId="0" builtinId="0"/>
    <cellStyle name="Per 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sz="1400" b="0" i="0" baseline="0">
                <a:solidFill>
                  <a:schemeClr val="accent1"/>
                </a:solidFill>
                <a:effectLst/>
              </a:rPr>
              <a:t>Figure 2: Difference in total pension benefits by year of retirement</a:t>
            </a:r>
            <a:endParaRPr lang="en-GB" sz="1400">
              <a:solidFill>
                <a:schemeClr val="accent1"/>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US"/>
        </a:p>
      </c:txPr>
    </c:title>
    <c:autoTitleDeleted val="0"/>
    <c:plotArea>
      <c:layout/>
      <c:lineChart>
        <c:grouping val="standard"/>
        <c:varyColors val="0"/>
        <c:ser>
          <c:idx val="0"/>
          <c:order val="0"/>
          <c:tx>
            <c:strRef>
              <c:f>'Difference in benefits'!$B$3</c:f>
              <c:strCache>
                <c:ptCount val="1"/>
                <c:pt idx="0">
                  <c:v>Single - male</c:v>
                </c:pt>
              </c:strCache>
            </c:strRef>
          </c:tx>
          <c:spPr>
            <a:ln w="28575" cap="rnd">
              <a:solidFill>
                <a:schemeClr val="accent1"/>
              </a:solidFill>
              <a:round/>
            </a:ln>
            <a:effectLst/>
          </c:spPr>
          <c:marker>
            <c:symbol val="none"/>
          </c:marker>
          <c:cat>
            <c:numRef>
              <c:f>'Difference in benefits'!$A$4:$A$45</c:f>
              <c:numCache>
                <c:formatCode>General</c:formatCode>
                <c:ptCount val="42"/>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pt idx="29">
                  <c:v>2051</c:v>
                </c:pt>
                <c:pt idx="30">
                  <c:v>2052</c:v>
                </c:pt>
                <c:pt idx="31">
                  <c:v>2053</c:v>
                </c:pt>
                <c:pt idx="32">
                  <c:v>2054</c:v>
                </c:pt>
                <c:pt idx="33">
                  <c:v>2055</c:v>
                </c:pt>
                <c:pt idx="34">
                  <c:v>2056</c:v>
                </c:pt>
                <c:pt idx="35">
                  <c:v>2057</c:v>
                </c:pt>
                <c:pt idx="36">
                  <c:v>2058</c:v>
                </c:pt>
                <c:pt idx="37">
                  <c:v>2059</c:v>
                </c:pt>
                <c:pt idx="38">
                  <c:v>2060</c:v>
                </c:pt>
                <c:pt idx="39">
                  <c:v>2061</c:v>
                </c:pt>
                <c:pt idx="40">
                  <c:v>2062</c:v>
                </c:pt>
                <c:pt idx="41">
                  <c:v>2063</c:v>
                </c:pt>
              </c:numCache>
            </c:numRef>
          </c:cat>
          <c:val>
            <c:numRef>
              <c:f>'Difference in benefits'!$B$4:$B$45</c:f>
              <c:numCache>
                <c:formatCode>_("£"* #,##0.00_);_("£"* \(#,##0.00\);_("£"* "-"??_);_(@_)</c:formatCode>
                <c:ptCount val="42"/>
                <c:pt idx="0">
                  <c:v>8276.4690382081699</c:v>
                </c:pt>
                <c:pt idx="1">
                  <c:v>16859.358418972326</c:v>
                </c:pt>
                <c:pt idx="2">
                  <c:v>25758.16401486165</c:v>
                </c:pt>
                <c:pt idx="3">
                  <c:v>34982.638797266271</c:v>
                </c:pt>
                <c:pt idx="4">
                  <c:v>44542.799523284033</c:v>
                </c:pt>
                <c:pt idx="5">
                  <c:v>54448.933594170245</c:v>
                </c:pt>
                <c:pt idx="6">
                  <c:v>61272.286962841681</c:v>
                </c:pt>
                <c:pt idx="7">
                  <c:v>71324.082168398134</c:v>
                </c:pt>
                <c:pt idx="8">
                  <c:v>81730.782774957552</c:v>
                </c:pt>
                <c:pt idx="9">
                  <c:v>92503.159128050567</c:v>
                </c:pt>
                <c:pt idx="10">
                  <c:v>103652.27181752848</c:v>
                </c:pt>
                <c:pt idx="11">
                  <c:v>115189.47922030944</c:v>
                </c:pt>
                <c:pt idx="12">
                  <c:v>127126.44523665604</c:v>
                </c:pt>
                <c:pt idx="13">
                  <c:v>139475.14722491952</c:v>
                </c:pt>
                <c:pt idx="14">
                  <c:v>152247.88413981258</c:v>
                </c:pt>
                <c:pt idx="15">
                  <c:v>165457.28487940042</c:v>
                </c:pt>
                <c:pt idx="16">
                  <c:v>179116.31684613103</c:v>
                </c:pt>
                <c:pt idx="17">
                  <c:v>193238.29472736365</c:v>
                </c:pt>
                <c:pt idx="18">
                  <c:v>207836.88950098839</c:v>
                </c:pt>
                <c:pt idx="19">
                  <c:v>222926.13767187719</c:v>
                </c:pt>
                <c:pt idx="20">
                  <c:v>238520.450745048</c:v>
                </c:pt>
                <c:pt idx="21">
                  <c:v>254634.62494157552</c:v>
                </c:pt>
                <c:pt idx="22">
                  <c:v>271283.8511634352</c:v>
                </c:pt>
                <c:pt idx="23">
                  <c:v>288483.72521362233</c:v>
                </c:pt>
                <c:pt idx="24">
                  <c:v>294998.58097609098</c:v>
                </c:pt>
                <c:pt idx="25">
                  <c:v>312649.52251922473</c:v>
                </c:pt>
                <c:pt idx="26">
                  <c:v>330876.28556569491</c:v>
                </c:pt>
                <c:pt idx="27">
                  <c:v>349695.53119714459</c:v>
                </c:pt>
                <c:pt idx="28">
                  <c:v>369124.36355487426</c:v>
                </c:pt>
                <c:pt idx="29">
                  <c:v>389180.34130479587</c:v>
                </c:pt>
                <c:pt idx="30">
                  <c:v>409881.48939601873</c:v>
                </c:pt>
                <c:pt idx="31">
                  <c:v>431246.3111205477</c:v>
                </c:pt>
                <c:pt idx="32">
                  <c:v>453167.55304996396</c:v>
                </c:pt>
                <c:pt idx="33">
                  <c:v>475424.80230436072</c:v>
                </c:pt>
                <c:pt idx="34">
                  <c:v>498021.87457913411</c:v>
                </c:pt>
                <c:pt idx="35">
                  <c:v>520962.63804001198</c:v>
                </c:pt>
                <c:pt idx="36">
                  <c:v>544251.01420927618</c:v>
                </c:pt>
                <c:pt idx="37">
                  <c:v>567890.97886867705</c:v>
                </c:pt>
                <c:pt idx="38">
                  <c:v>591886.56297936628</c:v>
                </c:pt>
                <c:pt idx="39">
                  <c:v>616241.85361918202</c:v>
                </c:pt>
                <c:pt idx="40">
                  <c:v>640960.99493763014</c:v>
                </c:pt>
                <c:pt idx="41">
                  <c:v>666048.18912890367</c:v>
                </c:pt>
              </c:numCache>
            </c:numRef>
          </c:val>
          <c:smooth val="0"/>
          <c:extLst>
            <c:ext xmlns:c16="http://schemas.microsoft.com/office/drawing/2014/chart" uri="{C3380CC4-5D6E-409C-BE32-E72D297353CC}">
              <c16:uniqueId val="{00000000-D00F-4A44-8719-221A57B5DD12}"/>
            </c:ext>
          </c:extLst>
        </c:ser>
        <c:ser>
          <c:idx val="1"/>
          <c:order val="1"/>
          <c:tx>
            <c:strRef>
              <c:f>'Difference in benefits'!$C$3</c:f>
              <c:strCache>
                <c:ptCount val="1"/>
                <c:pt idx="0">
                  <c:v>Joint - male</c:v>
                </c:pt>
              </c:strCache>
            </c:strRef>
          </c:tx>
          <c:spPr>
            <a:ln w="28575" cap="rnd">
              <a:solidFill>
                <a:schemeClr val="accent2"/>
              </a:solidFill>
              <a:round/>
            </a:ln>
            <a:effectLst/>
          </c:spPr>
          <c:marker>
            <c:symbol val="none"/>
          </c:marker>
          <c:cat>
            <c:numRef>
              <c:f>'Difference in benefits'!$A$4:$A$45</c:f>
              <c:numCache>
                <c:formatCode>General</c:formatCode>
                <c:ptCount val="42"/>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pt idx="29">
                  <c:v>2051</c:v>
                </c:pt>
                <c:pt idx="30">
                  <c:v>2052</c:v>
                </c:pt>
                <c:pt idx="31">
                  <c:v>2053</c:v>
                </c:pt>
                <c:pt idx="32">
                  <c:v>2054</c:v>
                </c:pt>
                <c:pt idx="33">
                  <c:v>2055</c:v>
                </c:pt>
                <c:pt idx="34">
                  <c:v>2056</c:v>
                </c:pt>
                <c:pt idx="35">
                  <c:v>2057</c:v>
                </c:pt>
                <c:pt idx="36">
                  <c:v>2058</c:v>
                </c:pt>
                <c:pt idx="37">
                  <c:v>2059</c:v>
                </c:pt>
                <c:pt idx="38">
                  <c:v>2060</c:v>
                </c:pt>
                <c:pt idx="39">
                  <c:v>2061</c:v>
                </c:pt>
                <c:pt idx="40">
                  <c:v>2062</c:v>
                </c:pt>
                <c:pt idx="41">
                  <c:v>2063</c:v>
                </c:pt>
              </c:numCache>
            </c:numRef>
          </c:cat>
          <c:val>
            <c:numRef>
              <c:f>'Difference in benefits'!$C$4:$C$45</c:f>
              <c:numCache>
                <c:formatCode>_("£"* #,##0.00_);_("£"* \(#,##0.00\);_("£"* "-"??_);_(@_)</c:formatCode>
                <c:ptCount val="42"/>
                <c:pt idx="0">
                  <c:v>9676.9090663622883</c:v>
                </c:pt>
                <c:pt idx="1">
                  <c:v>19723.294327478918</c:v>
                </c:pt>
                <c:pt idx="2">
                  <c:v>30150.478394883445</c:v>
                </c:pt>
                <c:pt idx="3">
                  <c:v>40970.088572828987</c:v>
                </c:pt>
                <c:pt idx="4">
                  <c:v>52194.064751108286</c:v>
                </c:pt>
                <c:pt idx="5">
                  <c:v>63834.667499775693</c:v>
                </c:pt>
                <c:pt idx="6">
                  <c:v>72259.999723364235</c:v>
                </c:pt>
                <c:pt idx="7">
                  <c:v>84159.20048876066</c:v>
                </c:pt>
                <c:pt idx="8">
                  <c:v>96488.783107331823</c:v>
                </c:pt>
                <c:pt idx="9">
                  <c:v>109261.66415893505</c:v>
                </c:pt>
                <c:pt idx="10">
                  <c:v>122491.10612831911</c:v>
                </c:pt>
                <c:pt idx="11">
                  <c:v>136190.72635655751</c:v>
                </c:pt>
                <c:pt idx="12">
                  <c:v>150374.50622144231</c:v>
                </c:pt>
                <c:pt idx="13">
                  <c:v>165056.80055266374</c:v>
                </c:pt>
                <c:pt idx="14">
                  <c:v>180252.34728774894</c:v>
                </c:pt>
                <c:pt idx="15">
                  <c:v>195976.2773748856</c:v>
                </c:pt>
                <c:pt idx="16">
                  <c:v>212244.12492890912</c:v>
                </c:pt>
                <c:pt idx="17">
                  <c:v>229071.83764689436</c:v>
                </c:pt>
                <c:pt idx="18">
                  <c:v>246475.78748995316</c:v>
                </c:pt>
                <c:pt idx="19">
                  <c:v>264472.78163800924</c:v>
                </c:pt>
                <c:pt idx="20">
                  <c:v>283080.07372449117</c:v>
                </c:pt>
                <c:pt idx="21">
                  <c:v>302315.37535806088</c:v>
                </c:pt>
                <c:pt idx="22">
                  <c:v>322196.86793867807</c:v>
                </c:pt>
                <c:pt idx="23">
                  <c:v>342743.21477548138</c:v>
                </c:pt>
                <c:pt idx="24">
                  <c:v>348568.57732618053</c:v>
                </c:pt>
                <c:pt idx="25">
                  <c:v>369546.0189832942</c:v>
                </c:pt>
                <c:pt idx="26">
                  <c:v>391214.25863272289</c:v>
                </c:pt>
                <c:pt idx="27">
                  <c:v>413593.1085320143</c:v>
                </c:pt>
                <c:pt idx="28">
                  <c:v>436702.90495851508</c:v>
                </c:pt>
                <c:pt idx="29">
                  <c:v>460564.52171845001</c:v>
                </c:pt>
                <c:pt idx="30">
                  <c:v>485199.38400101289</c:v>
                </c:pt>
                <c:pt idx="31">
                  <c:v>510629.48258624139</c:v>
                </c:pt>
                <c:pt idx="32">
                  <c:v>536716.77675383491</c:v>
                </c:pt>
                <c:pt idx="33">
                  <c:v>563179.75418950384</c:v>
                </c:pt>
                <c:pt idx="34">
                  <c:v>590022.52319676941</c:v>
                </c:pt>
                <c:pt idx="35">
                  <c:v>617249.24648366775</c:v>
                </c:pt>
                <c:pt idx="36">
                  <c:v>644864.14206099708</c:v>
                </c:pt>
                <c:pt idx="37">
                  <c:v>672871.48415733222</c:v>
                </c:pt>
                <c:pt idx="38">
                  <c:v>701275.60415112914</c:v>
                </c:pt>
                <c:pt idx="39">
                  <c:v>730080.8915202514</c:v>
                </c:pt>
                <c:pt idx="40">
                  <c:v>759291.79480926995</c:v>
                </c:pt>
                <c:pt idx="41">
                  <c:v>788912.82261487166</c:v>
                </c:pt>
              </c:numCache>
            </c:numRef>
          </c:val>
          <c:smooth val="0"/>
          <c:extLst>
            <c:ext xmlns:c16="http://schemas.microsoft.com/office/drawing/2014/chart" uri="{C3380CC4-5D6E-409C-BE32-E72D297353CC}">
              <c16:uniqueId val="{00000001-D00F-4A44-8719-221A57B5DD12}"/>
            </c:ext>
          </c:extLst>
        </c:ser>
        <c:ser>
          <c:idx val="2"/>
          <c:order val="2"/>
          <c:tx>
            <c:strRef>
              <c:f>'Difference in benefits'!$D$3</c:f>
              <c:strCache>
                <c:ptCount val="1"/>
                <c:pt idx="0">
                  <c:v>Single - female</c:v>
                </c:pt>
              </c:strCache>
            </c:strRef>
          </c:tx>
          <c:spPr>
            <a:ln w="28575" cap="rnd">
              <a:solidFill>
                <a:schemeClr val="accent3"/>
              </a:solidFill>
              <a:round/>
            </a:ln>
            <a:effectLst/>
          </c:spPr>
          <c:marker>
            <c:symbol val="none"/>
          </c:marker>
          <c:cat>
            <c:numRef>
              <c:f>'Difference in benefits'!$A$4:$A$45</c:f>
              <c:numCache>
                <c:formatCode>General</c:formatCode>
                <c:ptCount val="42"/>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pt idx="29">
                  <c:v>2051</c:v>
                </c:pt>
                <c:pt idx="30">
                  <c:v>2052</c:v>
                </c:pt>
                <c:pt idx="31">
                  <c:v>2053</c:v>
                </c:pt>
                <c:pt idx="32">
                  <c:v>2054</c:v>
                </c:pt>
                <c:pt idx="33">
                  <c:v>2055</c:v>
                </c:pt>
                <c:pt idx="34">
                  <c:v>2056</c:v>
                </c:pt>
                <c:pt idx="35">
                  <c:v>2057</c:v>
                </c:pt>
                <c:pt idx="36">
                  <c:v>2058</c:v>
                </c:pt>
                <c:pt idx="37">
                  <c:v>2059</c:v>
                </c:pt>
                <c:pt idx="38">
                  <c:v>2060</c:v>
                </c:pt>
                <c:pt idx="39">
                  <c:v>2061</c:v>
                </c:pt>
                <c:pt idx="40">
                  <c:v>2062</c:v>
                </c:pt>
                <c:pt idx="41">
                  <c:v>2063</c:v>
                </c:pt>
              </c:numCache>
            </c:numRef>
          </c:cat>
          <c:val>
            <c:numRef>
              <c:f>'Difference in benefits'!$D$4:$D$45</c:f>
              <c:numCache>
                <c:formatCode>_("£"* #,##0.00_);_("£"* \(#,##0.00\);_("£"* "-"??_);_(@_)</c:formatCode>
                <c:ptCount val="42"/>
                <c:pt idx="0">
                  <c:v>8276.4690382081699</c:v>
                </c:pt>
                <c:pt idx="1">
                  <c:v>16859.358418972326</c:v>
                </c:pt>
                <c:pt idx="2">
                  <c:v>25758.16401486165</c:v>
                </c:pt>
                <c:pt idx="3">
                  <c:v>34982.638797266271</c:v>
                </c:pt>
                <c:pt idx="4">
                  <c:v>44542.799523284033</c:v>
                </c:pt>
                <c:pt idx="5">
                  <c:v>54448.933594170245</c:v>
                </c:pt>
                <c:pt idx="6">
                  <c:v>61272.286962841681</c:v>
                </c:pt>
                <c:pt idx="7">
                  <c:v>71324.082168398134</c:v>
                </c:pt>
                <c:pt idx="8">
                  <c:v>81730.782774957552</c:v>
                </c:pt>
                <c:pt idx="9">
                  <c:v>92503.159128050567</c:v>
                </c:pt>
                <c:pt idx="10">
                  <c:v>103652.27181752848</c:v>
                </c:pt>
                <c:pt idx="11">
                  <c:v>115189.47922030944</c:v>
                </c:pt>
                <c:pt idx="12">
                  <c:v>127126.44523665604</c:v>
                </c:pt>
                <c:pt idx="13">
                  <c:v>139475.14722491952</c:v>
                </c:pt>
                <c:pt idx="14">
                  <c:v>152247.88413981258</c:v>
                </c:pt>
                <c:pt idx="15">
                  <c:v>165457.28487940042</c:v>
                </c:pt>
                <c:pt idx="16">
                  <c:v>179116.31684613103</c:v>
                </c:pt>
                <c:pt idx="17">
                  <c:v>193238.29472736365</c:v>
                </c:pt>
                <c:pt idx="18">
                  <c:v>207836.88950098839</c:v>
                </c:pt>
                <c:pt idx="19">
                  <c:v>222926.13767187719</c:v>
                </c:pt>
                <c:pt idx="20">
                  <c:v>238520.450745048</c:v>
                </c:pt>
                <c:pt idx="21">
                  <c:v>254634.62494157552</c:v>
                </c:pt>
                <c:pt idx="22">
                  <c:v>271283.8511634352</c:v>
                </c:pt>
                <c:pt idx="23">
                  <c:v>288483.72521362233</c:v>
                </c:pt>
                <c:pt idx="24">
                  <c:v>294998.58097609098</c:v>
                </c:pt>
                <c:pt idx="25">
                  <c:v>312649.52251922473</c:v>
                </c:pt>
                <c:pt idx="26">
                  <c:v>330876.28556569491</c:v>
                </c:pt>
                <c:pt idx="27">
                  <c:v>349695.53119714459</c:v>
                </c:pt>
                <c:pt idx="28">
                  <c:v>369124.36355487426</c:v>
                </c:pt>
                <c:pt idx="29">
                  <c:v>389180.34130479587</c:v>
                </c:pt>
                <c:pt idx="30">
                  <c:v>409881.48939601873</c:v>
                </c:pt>
                <c:pt idx="31">
                  <c:v>431246.3111205477</c:v>
                </c:pt>
                <c:pt idx="32">
                  <c:v>453167.55304996396</c:v>
                </c:pt>
                <c:pt idx="33">
                  <c:v>475424.80230436072</c:v>
                </c:pt>
                <c:pt idx="34">
                  <c:v>498021.87457913411</c:v>
                </c:pt>
                <c:pt idx="35">
                  <c:v>520962.63804001198</c:v>
                </c:pt>
                <c:pt idx="36">
                  <c:v>544251.01420927618</c:v>
                </c:pt>
                <c:pt idx="37">
                  <c:v>567890.97886867705</c:v>
                </c:pt>
                <c:pt idx="38">
                  <c:v>591886.56297936628</c:v>
                </c:pt>
                <c:pt idx="39">
                  <c:v>616241.85361918202</c:v>
                </c:pt>
                <c:pt idx="40">
                  <c:v>640960.99493763014</c:v>
                </c:pt>
                <c:pt idx="41">
                  <c:v>666048.18912890367</c:v>
                </c:pt>
              </c:numCache>
            </c:numRef>
          </c:val>
          <c:smooth val="0"/>
          <c:extLst>
            <c:ext xmlns:c16="http://schemas.microsoft.com/office/drawing/2014/chart" uri="{C3380CC4-5D6E-409C-BE32-E72D297353CC}">
              <c16:uniqueId val="{00000002-D00F-4A44-8719-221A57B5DD12}"/>
            </c:ext>
          </c:extLst>
        </c:ser>
        <c:ser>
          <c:idx val="3"/>
          <c:order val="3"/>
          <c:tx>
            <c:strRef>
              <c:f>'Difference in benefits'!$E$3</c:f>
              <c:strCache>
                <c:ptCount val="1"/>
                <c:pt idx="0">
                  <c:v>Joint - female</c:v>
                </c:pt>
              </c:strCache>
            </c:strRef>
          </c:tx>
          <c:spPr>
            <a:ln w="28575" cap="rnd">
              <a:solidFill>
                <a:schemeClr val="accent4"/>
              </a:solidFill>
              <a:round/>
            </a:ln>
            <a:effectLst/>
          </c:spPr>
          <c:marker>
            <c:symbol val="none"/>
          </c:marker>
          <c:cat>
            <c:numRef>
              <c:f>'Difference in benefits'!$A$4:$A$45</c:f>
              <c:numCache>
                <c:formatCode>General</c:formatCode>
                <c:ptCount val="42"/>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pt idx="29">
                  <c:v>2051</c:v>
                </c:pt>
                <c:pt idx="30">
                  <c:v>2052</c:v>
                </c:pt>
                <c:pt idx="31">
                  <c:v>2053</c:v>
                </c:pt>
                <c:pt idx="32">
                  <c:v>2054</c:v>
                </c:pt>
                <c:pt idx="33">
                  <c:v>2055</c:v>
                </c:pt>
                <c:pt idx="34">
                  <c:v>2056</c:v>
                </c:pt>
                <c:pt idx="35">
                  <c:v>2057</c:v>
                </c:pt>
                <c:pt idx="36">
                  <c:v>2058</c:v>
                </c:pt>
                <c:pt idx="37">
                  <c:v>2059</c:v>
                </c:pt>
                <c:pt idx="38">
                  <c:v>2060</c:v>
                </c:pt>
                <c:pt idx="39">
                  <c:v>2061</c:v>
                </c:pt>
                <c:pt idx="40">
                  <c:v>2062</c:v>
                </c:pt>
                <c:pt idx="41">
                  <c:v>2063</c:v>
                </c:pt>
              </c:numCache>
            </c:numRef>
          </c:cat>
          <c:val>
            <c:numRef>
              <c:f>'Difference in benefits'!$E$4:$E$45</c:f>
              <c:numCache>
                <c:formatCode>_("£"* #,##0.00_);_("£"* \(#,##0.00\);_("£"* "-"??_);_(@_)</c:formatCode>
                <c:ptCount val="42"/>
                <c:pt idx="0">
                  <c:v>8761.7825311942979</c:v>
                </c:pt>
                <c:pt idx="1">
                  <c:v>17851.837005347588</c:v>
                </c:pt>
                <c:pt idx="2">
                  <c:v>27280.292339679138</c:v>
                </c:pt>
                <c:pt idx="3">
                  <c:v>37057.551043588872</c:v>
                </c:pt>
                <c:pt idx="4">
                  <c:v>47194.296323452632</c:v>
                </c:pt>
                <c:pt idx="5">
                  <c:v>57701.499369494137</c:v>
                </c:pt>
                <c:pt idx="6">
                  <c:v>64664.288016858729</c:v>
                </c:pt>
                <c:pt idx="7">
                  <c:v>75286.393144302507</c:v>
                </c:pt>
                <c:pt idx="8">
                  <c:v>86286.703900094144</c:v>
                </c:pt>
                <c:pt idx="9">
                  <c:v>97676.653190686251</c:v>
                </c:pt>
                <c:pt idx="10">
                  <c:v>109467.98134974735</c:v>
                </c:pt>
                <c:pt idx="11">
                  <c:v>121672.74411578142</c:v>
                </c:pt>
                <c:pt idx="12">
                  <c:v>134303.32081421686</c:v>
                </c:pt>
                <c:pt idx="13">
                  <c:v>147372.42274917342</c:v>
                </c:pt>
                <c:pt idx="14">
                  <c:v>160893.10181025194</c:v>
                </c:pt>
                <c:pt idx="15">
                  <c:v>174878.75929982381</c:v>
                </c:pt>
                <c:pt idx="16">
                  <c:v>189343.15498643863</c:v>
                </c:pt>
                <c:pt idx="17">
                  <c:v>204300.41639011016</c:v>
                </c:pt>
                <c:pt idx="18">
                  <c:v>219765.0483053865</c:v>
                </c:pt>
                <c:pt idx="19">
                  <c:v>235751.94256826295</c:v>
                </c:pt>
                <c:pt idx="20">
                  <c:v>252276.38807314431</c:v>
                </c:pt>
                <c:pt idx="21">
                  <c:v>269354.08104622795</c:v>
                </c:pt>
                <c:pt idx="22">
                  <c:v>287001.13558183465</c:v>
                </c:pt>
                <c:pt idx="23">
                  <c:v>305234.09444838366</c:v>
                </c:pt>
                <c:pt idx="24">
                  <c:v>309444.45725884708</c:v>
                </c:pt>
                <c:pt idx="25">
                  <c:v>327992.43468727532</c:v>
                </c:pt>
                <c:pt idx="26">
                  <c:v>347147.23858914245</c:v>
                </c:pt>
                <c:pt idx="27">
                  <c:v>366926.37980342464</c:v>
                </c:pt>
                <c:pt idx="28">
                  <c:v>387347.83406075707</c:v>
                </c:pt>
                <c:pt idx="29">
                  <c:v>408430.05399961228</c:v>
                </c:pt>
                <c:pt idx="30">
                  <c:v>430191.98148996831</c:v>
                </c:pt>
                <c:pt idx="31">
                  <c:v>452653.06027229183</c:v>
                </c:pt>
                <c:pt idx="32">
                  <c:v>475697.73470722669</c:v>
                </c:pt>
                <c:pt idx="33">
                  <c:v>499089.11562346877</c:v>
                </c:pt>
                <c:pt idx="34">
                  <c:v>522831.09762216418</c:v>
                </c:pt>
                <c:pt idx="35">
                  <c:v>546927.62829637027</c:v>
                </c:pt>
                <c:pt idx="36">
                  <c:v>571382.70912051992</c:v>
                </c:pt>
                <c:pt idx="37">
                  <c:v>596200.39635659871</c:v>
                </c:pt>
                <c:pt idx="38">
                  <c:v>621384.80197735969</c:v>
                </c:pt>
                <c:pt idx="39">
                  <c:v>646940.09460691107</c:v>
                </c:pt>
                <c:pt idx="40">
                  <c:v>672870.50047901715</c:v>
                </c:pt>
                <c:pt idx="41">
                  <c:v>699180.30441346043</c:v>
                </c:pt>
              </c:numCache>
            </c:numRef>
          </c:val>
          <c:smooth val="0"/>
          <c:extLst>
            <c:ext xmlns:c16="http://schemas.microsoft.com/office/drawing/2014/chart" uri="{C3380CC4-5D6E-409C-BE32-E72D297353CC}">
              <c16:uniqueId val="{00000003-D00F-4A44-8719-221A57B5DD12}"/>
            </c:ext>
          </c:extLst>
        </c:ser>
        <c:dLbls>
          <c:showLegendKey val="0"/>
          <c:showVal val="0"/>
          <c:showCatName val="0"/>
          <c:showSerName val="0"/>
          <c:showPercent val="0"/>
          <c:showBubbleSize val="0"/>
        </c:dLbls>
        <c:smooth val="0"/>
        <c:axId val="2083467359"/>
        <c:axId val="2083469055"/>
      </c:lineChart>
      <c:catAx>
        <c:axId val="2083467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 of retirement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469055"/>
        <c:crosses val="autoZero"/>
        <c:auto val="1"/>
        <c:lblAlgn val="ctr"/>
        <c:lblOffset val="100"/>
        <c:noMultiLvlLbl val="0"/>
      </c:catAx>
      <c:valAx>
        <c:axId val="208346905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467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solidFill>
                  <a:schemeClr val="accent1"/>
                </a:solidFill>
                <a:effectLst/>
              </a:rPr>
              <a:t>Figure 1: Difference in expected annual income from pension by year of retirement</a:t>
            </a:r>
            <a:endParaRPr lang="en-GB" sz="1400">
              <a:solidFill>
                <a:schemeClr val="accent1"/>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'Difference in benefits'!$H$3</c:f>
              <c:strCache>
                <c:ptCount val="1"/>
                <c:pt idx="0">
                  <c:v>Single - male</c:v>
                </c:pt>
              </c:strCache>
            </c:strRef>
          </c:tx>
          <c:spPr>
            <a:ln w="28575" cap="rnd">
              <a:solidFill>
                <a:schemeClr val="accent1"/>
              </a:solidFill>
              <a:round/>
            </a:ln>
            <a:effectLst/>
          </c:spPr>
          <c:marker>
            <c:symbol val="none"/>
          </c:marker>
          <c:cat>
            <c:numRef>
              <c:f>'Difference in benefits'!$G$4:$G$45</c:f>
              <c:numCache>
                <c:formatCode>General</c:formatCode>
                <c:ptCount val="4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numCache>
            </c:numRef>
          </c:cat>
          <c:val>
            <c:numRef>
              <c:f>'Difference in benefits'!$H$4:$H$45</c:f>
              <c:numCache>
                <c:formatCode>_("£"* #,##0.00_);_("£"* \(#,##0.00\);_("£"* "-"??_);_(@_)</c:formatCode>
                <c:ptCount val="42"/>
                <c:pt idx="0">
                  <c:v>237.9484848484849</c:v>
                </c:pt>
                <c:pt idx="1">
                  <c:v>482.295079149706</c:v>
                </c:pt>
                <c:pt idx="2">
                  <c:v>733.19691634095466</c:v>
                </c:pt>
                <c:pt idx="3">
                  <c:v>990.81421724466509</c:v>
                </c:pt>
                <c:pt idx="4">
                  <c:v>1255.3103542171934</c:v>
                </c:pt>
                <c:pt idx="5">
                  <c:v>1526.8519165972355</c:v>
                </c:pt>
                <c:pt idx="6">
                  <c:v>1800.6263066887491</c:v>
                </c:pt>
                <c:pt idx="7">
                  <c:v>2085.5933346165575</c:v>
                </c:pt>
                <c:pt idx="8">
                  <c:v>2378.006487869055</c:v>
                </c:pt>
                <c:pt idx="9">
                  <c:v>2678.0450587725463</c:v>
                </c:pt>
                <c:pt idx="10">
                  <c:v>2985.8918853580312</c:v>
                </c:pt>
                <c:pt idx="11">
                  <c:v>3301.7334249350565</c:v>
                </c:pt>
                <c:pt idx="12">
                  <c:v>3625.7598291573254</c:v>
                </c:pt>
                <c:pt idx="13">
                  <c:v>3958.1650206103227</c:v>
                </c:pt>
                <c:pt idx="14">
                  <c:v>4299.1467709517965</c:v>
                </c:pt>
                <c:pt idx="15">
                  <c:v>4648.9067806365983</c:v>
                </c:pt>
                <c:pt idx="16">
                  <c:v>5007.6507602579732</c:v>
                </c:pt>
                <c:pt idx="17">
                  <c:v>5375.588513538085</c:v>
                </c:pt>
                <c:pt idx="18">
                  <c:v>5752.9340220011964</c:v>
                </c:pt>
                <c:pt idx="19">
                  <c:v>6139.9055313635927</c:v>
                </c:pt>
                <c:pt idx="20">
                  <c:v>6536.7256396750527</c:v>
                </c:pt>
                <c:pt idx="21">
                  <c:v>6943.6213872473436</c:v>
                </c:pt>
                <c:pt idx="22">
                  <c:v>7360.8243484059576</c:v>
                </c:pt>
                <c:pt idx="23">
                  <c:v>7788.5707251020112</c:v>
                </c:pt>
                <c:pt idx="24">
                  <c:v>8196.4687495579601</c:v>
                </c:pt>
                <c:pt idx="25">
                  <c:v>8643.6777731896182</c:v>
                </c:pt>
                <c:pt idx="26">
                  <c:v>9102.0743492376059</c:v>
                </c:pt>
                <c:pt idx="27">
                  <c:v>9571.9133315741456</c:v>
                </c:pt>
                <c:pt idx="28">
                  <c:v>10053.454682723786</c:v>
                </c:pt>
                <c:pt idx="29">
                  <c:v>10546.963579235206</c:v>
                </c:pt>
                <c:pt idx="30">
                  <c:v>11052.710519190023</c:v>
                </c:pt>
                <c:pt idx="31">
                  <c:v>11570.971431891958</c:v>
                </c:pt>
                <c:pt idx="32">
                  <c:v>12098.65723865783</c:v>
                </c:pt>
                <c:pt idx="33">
                  <c:v>12629.732122937214</c:v>
                </c:pt>
                <c:pt idx="34">
                  <c:v>13164.205753199825</c:v>
                </c:pt>
                <c:pt idx="35">
                  <c:v>13702.088215225984</c:v>
                </c:pt>
                <c:pt idx="36">
                  <c:v>14243.390016700469</c:v>
                </c:pt>
                <c:pt idx="37">
                  <c:v>14788.122091884205</c:v>
                </c:pt>
                <c:pt idx="38">
                  <c:v>15336.295806364804</c:v>
                </c:pt>
                <c:pt idx="39">
                  <c:v>15887.922961887216</c:v>
                </c:pt>
                <c:pt idx="40">
                  <c:v>16443.015801265487</c:v>
                </c:pt>
                <c:pt idx="41">
                  <c:v>17001.587013376928</c:v>
                </c:pt>
              </c:numCache>
            </c:numRef>
          </c:val>
          <c:smooth val="0"/>
          <c:extLst>
            <c:ext xmlns:c16="http://schemas.microsoft.com/office/drawing/2014/chart" uri="{C3380CC4-5D6E-409C-BE32-E72D297353CC}">
              <c16:uniqueId val="{00000000-6CB4-7847-A5BC-34E84C7E789C}"/>
            </c:ext>
          </c:extLst>
        </c:ser>
        <c:ser>
          <c:idx val="1"/>
          <c:order val="1"/>
          <c:tx>
            <c:strRef>
              <c:f>'Difference in benefits'!$I$3</c:f>
              <c:strCache>
                <c:ptCount val="1"/>
                <c:pt idx="0">
                  <c:v>Joint - male</c:v>
                </c:pt>
              </c:strCache>
            </c:strRef>
          </c:tx>
          <c:spPr>
            <a:ln w="28575" cap="rnd">
              <a:solidFill>
                <a:schemeClr val="accent2"/>
              </a:solidFill>
              <a:round/>
            </a:ln>
            <a:effectLst/>
          </c:spPr>
          <c:marker>
            <c:symbol val="none"/>
          </c:marker>
          <c:cat>
            <c:numRef>
              <c:f>'Difference in benefits'!$G$4:$G$45</c:f>
              <c:numCache>
                <c:formatCode>General</c:formatCode>
                <c:ptCount val="4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numCache>
            </c:numRef>
          </c:cat>
          <c:val>
            <c:numRef>
              <c:f>'Difference in benefits'!$I$4:$I$45</c:f>
              <c:numCache>
                <c:formatCode>_("£"* #,##0.00_);_("£"* \(#,##0.00\);_("£"* "-"??_);_(@_)</c:formatCode>
                <c:ptCount val="42"/>
                <c:pt idx="0">
                  <c:v>238.9228848484849</c:v>
                </c:pt>
                <c:pt idx="1">
                  <c:v>484.54540989597467</c:v>
                </c:pt>
                <c:pt idx="2">
                  <c:v>737.02661970710892</c:v>
                </c:pt>
                <c:pt idx="3">
                  <c:v>996.52869226122334</c:v>
                </c:pt>
                <c:pt idx="4">
                  <c:v>1263.2170036826465</c:v>
                </c:pt>
                <c:pt idx="5">
                  <c:v>1537.2601942799104</c:v>
                </c:pt>
                <c:pt idx="6">
                  <c:v>1814.9549808603228</c:v>
                </c:pt>
                <c:pt idx="7">
                  <c:v>2103.3107462556964</c:v>
                </c:pt>
                <c:pt idx="8">
                  <c:v>2399.4549872544712</c:v>
                </c:pt>
                <c:pt idx="9">
                  <c:v>2703.5694301367694</c:v>
                </c:pt>
                <c:pt idx="10">
                  <c:v>3015.8394013995116</c:v>
                </c:pt>
                <c:pt idx="11">
                  <c:v>3336.4539020340212</c:v>
                </c:pt>
                <c:pt idx="12">
                  <c:v>3665.6056833065145</c:v>
                </c:pt>
                <c:pt idx="13">
                  <c:v>4003.4913240718874</c:v>
                </c:pt>
                <c:pt idx="14">
                  <c:v>4350.3113096518318</c:v>
                </c:pt>
                <c:pt idx="15">
                  <c:v>4706.2701123089155</c:v>
                </c:pt>
                <c:pt idx="16">
                  <c:v>5071.5762733489173</c:v>
                </c:pt>
                <c:pt idx="17">
                  <c:v>5446.4424868843616</c:v>
                </c:pt>
                <c:pt idx="18">
                  <c:v>5831.0856852928337</c:v>
                </c:pt>
                <c:pt idx="19">
                  <c:v>6225.7271264043811</c:v>
                </c:pt>
                <c:pt idx="20">
                  <c:v>6630.5924824529484</c:v>
                </c:pt>
                <c:pt idx="21">
                  <c:v>7045.9119308275149</c:v>
                </c:pt>
                <c:pt idx="22">
                  <c:v>7471.9202466593588</c:v>
                </c:pt>
                <c:pt idx="23">
                  <c:v>7908.8568972825151</c:v>
                </c:pt>
                <c:pt idx="24">
                  <c:v>8326.1493763037397</c:v>
                </c:pt>
                <c:pt idx="25">
                  <c:v>8783.3144394895717</c:v>
                </c:pt>
                <c:pt idx="26">
                  <c:v>9252.0616066141556</c:v>
                </c:pt>
                <c:pt idx="27">
                  <c:v>9732.6492589880072</c:v>
                </c:pt>
                <c:pt idx="28">
                  <c:v>10225.340955498832</c:v>
                </c:pt>
                <c:pt idx="29">
                  <c:v>10730.405538913052</c:v>
                </c:pt>
                <c:pt idx="30">
                  <c:v>11248.117244328772</c:v>
                </c:pt>
                <c:pt idx="31">
                  <c:v>11778.755809823793</c:v>
                </c:pt>
                <c:pt idx="32">
                  <c:v>12318.920171614784</c:v>
                </c:pt>
                <c:pt idx="33">
                  <c:v>12861.998137949475</c:v>
                </c:pt>
                <c:pt idx="34">
                  <c:v>13407.998020852945</c:v>
                </c:pt>
                <c:pt idx="35">
                  <c:v>13956.928491114006</c:v>
                </c:pt>
                <c:pt idx="36">
                  <c:v>14508.798582234547</c:v>
                </c:pt>
                <c:pt idx="37">
                  <c:v>15063.617694445798</c:v>
                </c:pt>
                <c:pt idx="38">
                  <c:v>15621.39559879242</c:v>
                </c:pt>
                <c:pt idx="39">
                  <c:v>16182.142441285399</c:v>
                </c:pt>
                <c:pt idx="40">
                  <c:v>16745.868747124729</c:v>
                </c:pt>
                <c:pt idx="41">
                  <c:v>17312.585424992922</c:v>
                </c:pt>
              </c:numCache>
            </c:numRef>
          </c:val>
          <c:smooth val="0"/>
          <c:extLst>
            <c:ext xmlns:c16="http://schemas.microsoft.com/office/drawing/2014/chart" uri="{C3380CC4-5D6E-409C-BE32-E72D297353CC}">
              <c16:uniqueId val="{00000001-6CB4-7847-A5BC-34E84C7E789C}"/>
            </c:ext>
          </c:extLst>
        </c:ser>
        <c:ser>
          <c:idx val="2"/>
          <c:order val="2"/>
          <c:tx>
            <c:strRef>
              <c:f>'Difference in benefits'!$J$3</c:f>
              <c:strCache>
                <c:ptCount val="1"/>
                <c:pt idx="0">
                  <c:v>Single - female</c:v>
                </c:pt>
              </c:strCache>
            </c:strRef>
          </c:tx>
          <c:spPr>
            <a:ln w="28575" cap="rnd">
              <a:solidFill>
                <a:schemeClr val="accent3"/>
              </a:solidFill>
              <a:round/>
            </a:ln>
            <a:effectLst/>
          </c:spPr>
          <c:marker>
            <c:symbol val="none"/>
          </c:marker>
          <c:cat>
            <c:numRef>
              <c:f>'Difference in benefits'!$G$4:$G$45</c:f>
              <c:numCache>
                <c:formatCode>General</c:formatCode>
                <c:ptCount val="4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numCache>
            </c:numRef>
          </c:cat>
          <c:val>
            <c:numRef>
              <c:f>'Difference in benefits'!$J$4:$J$45</c:f>
              <c:numCache>
                <c:formatCode>_("£"* #,##0.00_);_("£"* \(#,##0.00\);_("£"* "-"??_);_(@_)</c:formatCode>
                <c:ptCount val="42"/>
                <c:pt idx="0">
                  <c:v>237.9484848484849</c:v>
                </c:pt>
                <c:pt idx="1">
                  <c:v>482.295079149706</c:v>
                </c:pt>
                <c:pt idx="2">
                  <c:v>733.19691634095466</c:v>
                </c:pt>
                <c:pt idx="3">
                  <c:v>990.81421724466509</c:v>
                </c:pt>
                <c:pt idx="4">
                  <c:v>1255.3103542171934</c:v>
                </c:pt>
                <c:pt idx="5">
                  <c:v>1526.8519165972355</c:v>
                </c:pt>
                <c:pt idx="6">
                  <c:v>1800.6263066887491</c:v>
                </c:pt>
                <c:pt idx="7">
                  <c:v>2085.5933346165575</c:v>
                </c:pt>
                <c:pt idx="8">
                  <c:v>2378.006487869055</c:v>
                </c:pt>
                <c:pt idx="9">
                  <c:v>2678.0450587725463</c:v>
                </c:pt>
                <c:pt idx="10">
                  <c:v>2985.8918853580312</c:v>
                </c:pt>
                <c:pt idx="11">
                  <c:v>3301.7334249350565</c:v>
                </c:pt>
                <c:pt idx="12">
                  <c:v>3625.7598291573254</c:v>
                </c:pt>
                <c:pt idx="13">
                  <c:v>3958.1650206103227</c:v>
                </c:pt>
                <c:pt idx="14">
                  <c:v>4299.1467709517965</c:v>
                </c:pt>
                <c:pt idx="15">
                  <c:v>4648.9067806365983</c:v>
                </c:pt>
                <c:pt idx="16">
                  <c:v>5007.6507602579732</c:v>
                </c:pt>
                <c:pt idx="17">
                  <c:v>5375.588513538085</c:v>
                </c:pt>
                <c:pt idx="18">
                  <c:v>5752.9340220011964</c:v>
                </c:pt>
                <c:pt idx="19">
                  <c:v>6139.9055313635927</c:v>
                </c:pt>
                <c:pt idx="20">
                  <c:v>6536.7256396750527</c:v>
                </c:pt>
                <c:pt idx="21">
                  <c:v>6943.6213872473436</c:v>
                </c:pt>
                <c:pt idx="22">
                  <c:v>7360.8243484059576</c:v>
                </c:pt>
                <c:pt idx="23">
                  <c:v>7788.5707251020112</c:v>
                </c:pt>
                <c:pt idx="24">
                  <c:v>8196.4687495579601</c:v>
                </c:pt>
                <c:pt idx="25">
                  <c:v>8643.6777731896182</c:v>
                </c:pt>
                <c:pt idx="26">
                  <c:v>9102.0743492376059</c:v>
                </c:pt>
                <c:pt idx="27">
                  <c:v>9571.9133315741456</c:v>
                </c:pt>
                <c:pt idx="28">
                  <c:v>10053.454682723786</c:v>
                </c:pt>
                <c:pt idx="29">
                  <c:v>10546.963579235206</c:v>
                </c:pt>
                <c:pt idx="30">
                  <c:v>11052.710519190023</c:v>
                </c:pt>
                <c:pt idx="31">
                  <c:v>11570.971431891958</c:v>
                </c:pt>
                <c:pt idx="32">
                  <c:v>12098.65723865783</c:v>
                </c:pt>
                <c:pt idx="33">
                  <c:v>12629.732122937214</c:v>
                </c:pt>
                <c:pt idx="34">
                  <c:v>13164.205753199825</c:v>
                </c:pt>
                <c:pt idx="35">
                  <c:v>13702.088215225984</c:v>
                </c:pt>
                <c:pt idx="36">
                  <c:v>14243.390016700469</c:v>
                </c:pt>
                <c:pt idx="37">
                  <c:v>14788.122091884205</c:v>
                </c:pt>
                <c:pt idx="38">
                  <c:v>15336.295806364804</c:v>
                </c:pt>
                <c:pt idx="39">
                  <c:v>15887.922961887216</c:v>
                </c:pt>
                <c:pt idx="40">
                  <c:v>16443.015801265487</c:v>
                </c:pt>
                <c:pt idx="41">
                  <c:v>17001.587013376928</c:v>
                </c:pt>
              </c:numCache>
            </c:numRef>
          </c:val>
          <c:smooth val="0"/>
          <c:extLst>
            <c:ext xmlns:c16="http://schemas.microsoft.com/office/drawing/2014/chart" uri="{C3380CC4-5D6E-409C-BE32-E72D297353CC}">
              <c16:uniqueId val="{00000002-6CB4-7847-A5BC-34E84C7E789C}"/>
            </c:ext>
          </c:extLst>
        </c:ser>
        <c:ser>
          <c:idx val="3"/>
          <c:order val="3"/>
          <c:tx>
            <c:strRef>
              <c:f>'Difference in benefits'!$K$3</c:f>
              <c:strCache>
                <c:ptCount val="1"/>
                <c:pt idx="0">
                  <c:v>Joint - female</c:v>
                </c:pt>
              </c:strCache>
            </c:strRef>
          </c:tx>
          <c:spPr>
            <a:ln w="28575" cap="rnd">
              <a:solidFill>
                <a:schemeClr val="accent4"/>
              </a:solidFill>
              <a:round/>
            </a:ln>
            <a:effectLst/>
          </c:spPr>
          <c:marker>
            <c:symbol val="none"/>
          </c:marker>
          <c:cat>
            <c:numRef>
              <c:f>'Difference in benefits'!$G$4:$G$45</c:f>
              <c:numCache>
                <c:formatCode>General</c:formatCode>
                <c:ptCount val="4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numCache>
            </c:numRef>
          </c:cat>
          <c:val>
            <c:numRef>
              <c:f>'Difference in benefits'!$K$4:$K$45</c:f>
              <c:numCache>
                <c:formatCode>_("£"* #,##0.00_);_("£"* \(#,##0.00\);_("£"* "-"??_);_(@_)</c:formatCode>
                <c:ptCount val="42"/>
                <c:pt idx="0">
                  <c:v>238.32048484848485</c:v>
                </c:pt>
                <c:pt idx="1">
                  <c:v>483.15419556761651</c:v>
                </c:pt>
                <c:pt idx="2">
                  <c:v>734.6589952122697</c:v>
                </c:pt>
                <c:pt idx="3">
                  <c:v>992.99585179532164</c:v>
                </c:pt>
                <c:pt idx="4">
                  <c:v>1258.328902658438</c:v>
                </c:pt>
                <c:pt idx="5">
                  <c:v>1530.8255201460399</c:v>
                </c:pt>
                <c:pt idx="6">
                  <c:v>1805.5436471430849</c:v>
                </c:pt>
                <c:pt idx="7">
                  <c:v>2091.6736281563526</c:v>
                </c:pt>
                <c:pt idx="8">
                  <c:v>2385.3672228854139</c:v>
                </c:pt>
                <c:pt idx="9">
                  <c:v>2686.8045589452686</c:v>
                </c:pt>
                <c:pt idx="10">
                  <c:v>2996.1693283631762</c:v>
                </c:pt>
                <c:pt idx="11">
                  <c:v>3313.6488613940196</c:v>
                </c:pt>
                <c:pt idx="12">
                  <c:v>3639.4342018312514</c:v>
                </c:pt>
                <c:pt idx="13">
                  <c:v>3973.7201838437227</c:v>
                </c:pt>
                <c:pt idx="14">
                  <c:v>4316.7055103693092</c:v>
                </c:pt>
                <c:pt idx="15">
                  <c:v>4668.5928330968709</c:v>
                </c:pt>
                <c:pt idx="16">
                  <c:v>5029.5888340687288</c:v>
                </c:pt>
                <c:pt idx="17">
                  <c:v>5399.9043089364659</c:v>
                </c:pt>
                <c:pt idx="18">
                  <c:v>5779.7542519035542</c:v>
                </c:pt>
                <c:pt idx="19">
                  <c:v>6169.3579423889532</c:v>
                </c:pt>
                <c:pt idx="20">
                  <c:v>6568.939033446557</c:v>
                </c:pt>
                <c:pt idx="21">
                  <c:v>6978.7256419759924</c:v>
                </c:pt>
                <c:pt idx="22">
                  <c:v>7398.950440761103</c:v>
                </c:pt>
                <c:pt idx="23">
                  <c:v>7829.8507523730486</c:v>
                </c:pt>
                <c:pt idx="24">
                  <c:v>8235.4310903291116</c:v>
                </c:pt>
                <c:pt idx="25">
                  <c:v>8685.6313904187518</c:v>
                </c:pt>
                <c:pt idx="26">
                  <c:v>9147.1377853103841</c:v>
                </c:pt>
                <c:pt idx="27">
                  <c:v>9620.2061886895208</c:v>
                </c:pt>
                <c:pt idx="28">
                  <c:v>10105.097643602388</c:v>
                </c:pt>
                <c:pt idx="29">
                  <c:v>10602.078428107023</c:v>
                </c:pt>
                <c:pt idx="30">
                  <c:v>11111.420163065792</c:v>
                </c:pt>
                <c:pt idx="31">
                  <c:v>11633.3999221226</c:v>
                </c:pt>
                <c:pt idx="32">
                  <c:v>12164.83489116059</c:v>
                </c:pt>
                <c:pt idx="33">
                  <c:v>12699.516082604572</c:v>
                </c:pt>
                <c:pt idx="34">
                  <c:v>13237.452757382602</c:v>
                </c:pt>
                <c:pt idx="35">
                  <c:v>13778.654576143013</c:v>
                </c:pt>
                <c:pt idx="36">
                  <c:v>14323.131603654652</c:v>
                </c:pt>
                <c:pt idx="37">
                  <c:v>14870.894313281635</c:v>
                </c:pt>
                <c:pt idx="38">
                  <c:v>15421.953591533638</c:v>
                </c:pt>
                <c:pt idx="39">
                  <c:v>15976.320742692948</c:v>
                </c:pt>
                <c:pt idx="40">
                  <c:v>16534.007493519159</c:v>
                </c:pt>
                <c:pt idx="41">
                  <c:v>17095.025998032852</c:v>
                </c:pt>
              </c:numCache>
            </c:numRef>
          </c:val>
          <c:smooth val="0"/>
          <c:extLst>
            <c:ext xmlns:c16="http://schemas.microsoft.com/office/drawing/2014/chart" uri="{C3380CC4-5D6E-409C-BE32-E72D297353CC}">
              <c16:uniqueId val="{00000003-6CB4-7847-A5BC-34E84C7E789C}"/>
            </c:ext>
          </c:extLst>
        </c:ser>
        <c:dLbls>
          <c:showLegendKey val="0"/>
          <c:showVal val="0"/>
          <c:showCatName val="0"/>
          <c:showSerName val="0"/>
          <c:showPercent val="0"/>
          <c:showBubbleSize val="0"/>
        </c:dLbls>
        <c:smooth val="0"/>
        <c:axId val="1651964799"/>
        <c:axId val="1651998575"/>
      </c:lineChart>
      <c:catAx>
        <c:axId val="1651964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 of retirement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998575"/>
        <c:crosses val="autoZero"/>
        <c:auto val="1"/>
        <c:lblAlgn val="ctr"/>
        <c:lblOffset val="100"/>
        <c:noMultiLvlLbl val="0"/>
      </c:catAx>
      <c:valAx>
        <c:axId val="165199857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9647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Difference</a:t>
            </a:r>
            <a:r>
              <a:rPr lang="en-US" baseline="0"/>
              <a:t> in value of the DB versus DC pension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'Difference in benefits'!$B$3</c:f>
              <c:strCache>
                <c:ptCount val="1"/>
                <c:pt idx="0">
                  <c:v>Single - male</c:v>
                </c:pt>
              </c:strCache>
            </c:strRef>
          </c:tx>
          <c:spPr>
            <a:ln w="28575" cap="rnd">
              <a:solidFill>
                <a:schemeClr val="accent1"/>
              </a:solidFill>
              <a:round/>
            </a:ln>
            <a:effectLst/>
          </c:spPr>
          <c:marker>
            <c:symbol val="none"/>
          </c:marker>
          <c:cat>
            <c:numRef>
              <c:f>'Difference in benefits'!$A$4:$A$45</c:f>
              <c:numCache>
                <c:formatCode>General</c:formatCode>
                <c:ptCount val="42"/>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pt idx="29">
                  <c:v>2051</c:v>
                </c:pt>
                <c:pt idx="30">
                  <c:v>2052</c:v>
                </c:pt>
                <c:pt idx="31">
                  <c:v>2053</c:v>
                </c:pt>
                <c:pt idx="32">
                  <c:v>2054</c:v>
                </c:pt>
                <c:pt idx="33">
                  <c:v>2055</c:v>
                </c:pt>
                <c:pt idx="34">
                  <c:v>2056</c:v>
                </c:pt>
                <c:pt idx="35">
                  <c:v>2057</c:v>
                </c:pt>
                <c:pt idx="36">
                  <c:v>2058</c:v>
                </c:pt>
                <c:pt idx="37">
                  <c:v>2059</c:v>
                </c:pt>
                <c:pt idx="38">
                  <c:v>2060</c:v>
                </c:pt>
                <c:pt idx="39">
                  <c:v>2061</c:v>
                </c:pt>
                <c:pt idx="40">
                  <c:v>2062</c:v>
                </c:pt>
                <c:pt idx="41">
                  <c:v>2063</c:v>
                </c:pt>
              </c:numCache>
            </c:numRef>
          </c:cat>
          <c:val>
            <c:numRef>
              <c:f>'Difference in benefits'!$B$4:$B$45</c:f>
              <c:numCache>
                <c:formatCode>_("£"* #,##0.00_);_("£"* \(#,##0.00\);_("£"* "-"??_);_(@_)</c:formatCode>
                <c:ptCount val="42"/>
                <c:pt idx="0">
                  <c:v>8276.4690382081699</c:v>
                </c:pt>
                <c:pt idx="1">
                  <c:v>16859.358418972326</c:v>
                </c:pt>
                <c:pt idx="2">
                  <c:v>25758.16401486165</c:v>
                </c:pt>
                <c:pt idx="3">
                  <c:v>34982.638797266271</c:v>
                </c:pt>
                <c:pt idx="4">
                  <c:v>44542.799523284033</c:v>
                </c:pt>
                <c:pt idx="5">
                  <c:v>54448.933594170245</c:v>
                </c:pt>
                <c:pt idx="6">
                  <c:v>61272.286962841681</c:v>
                </c:pt>
                <c:pt idx="7">
                  <c:v>71324.082168398134</c:v>
                </c:pt>
                <c:pt idx="8">
                  <c:v>81730.782774957552</c:v>
                </c:pt>
                <c:pt idx="9">
                  <c:v>92503.159128050567</c:v>
                </c:pt>
                <c:pt idx="10">
                  <c:v>103652.27181752848</c:v>
                </c:pt>
                <c:pt idx="11">
                  <c:v>115189.47922030944</c:v>
                </c:pt>
                <c:pt idx="12">
                  <c:v>127126.44523665604</c:v>
                </c:pt>
                <c:pt idx="13">
                  <c:v>139475.14722491952</c:v>
                </c:pt>
                <c:pt idx="14">
                  <c:v>152247.88413981258</c:v>
                </c:pt>
                <c:pt idx="15">
                  <c:v>165457.28487940042</c:v>
                </c:pt>
                <c:pt idx="16">
                  <c:v>179116.31684613103</c:v>
                </c:pt>
                <c:pt idx="17">
                  <c:v>193238.29472736365</c:v>
                </c:pt>
                <c:pt idx="18">
                  <c:v>207836.88950098839</c:v>
                </c:pt>
                <c:pt idx="19">
                  <c:v>222926.13767187719</c:v>
                </c:pt>
                <c:pt idx="20">
                  <c:v>238520.450745048</c:v>
                </c:pt>
                <c:pt idx="21">
                  <c:v>254634.62494157552</c:v>
                </c:pt>
                <c:pt idx="22">
                  <c:v>271283.8511634352</c:v>
                </c:pt>
                <c:pt idx="23">
                  <c:v>288483.72521362233</c:v>
                </c:pt>
                <c:pt idx="24">
                  <c:v>294998.58097609098</c:v>
                </c:pt>
                <c:pt idx="25">
                  <c:v>312649.52251922473</c:v>
                </c:pt>
                <c:pt idx="26">
                  <c:v>330876.28556569491</c:v>
                </c:pt>
                <c:pt idx="27">
                  <c:v>349695.53119714459</c:v>
                </c:pt>
                <c:pt idx="28">
                  <c:v>369124.36355487426</c:v>
                </c:pt>
                <c:pt idx="29">
                  <c:v>389180.34130479587</c:v>
                </c:pt>
                <c:pt idx="30">
                  <c:v>409881.48939601873</c:v>
                </c:pt>
                <c:pt idx="31">
                  <c:v>431246.3111205477</c:v>
                </c:pt>
                <c:pt idx="32">
                  <c:v>453167.55304996396</c:v>
                </c:pt>
                <c:pt idx="33">
                  <c:v>475424.80230436072</c:v>
                </c:pt>
                <c:pt idx="34">
                  <c:v>498021.87457913411</c:v>
                </c:pt>
                <c:pt idx="35">
                  <c:v>520962.63804001198</c:v>
                </c:pt>
                <c:pt idx="36">
                  <c:v>544251.01420927618</c:v>
                </c:pt>
                <c:pt idx="37">
                  <c:v>567890.97886867705</c:v>
                </c:pt>
                <c:pt idx="38">
                  <c:v>591886.56297936628</c:v>
                </c:pt>
                <c:pt idx="39">
                  <c:v>616241.85361918202</c:v>
                </c:pt>
                <c:pt idx="40">
                  <c:v>640960.99493763014</c:v>
                </c:pt>
                <c:pt idx="41">
                  <c:v>666048.18912890367</c:v>
                </c:pt>
              </c:numCache>
            </c:numRef>
          </c:val>
          <c:smooth val="0"/>
          <c:extLst>
            <c:ext xmlns:c16="http://schemas.microsoft.com/office/drawing/2014/chart" uri="{C3380CC4-5D6E-409C-BE32-E72D297353CC}">
              <c16:uniqueId val="{00000000-F52C-2346-B059-E875B0A0DA94}"/>
            </c:ext>
          </c:extLst>
        </c:ser>
        <c:ser>
          <c:idx val="1"/>
          <c:order val="1"/>
          <c:tx>
            <c:strRef>
              <c:f>'Difference in benefits'!$C$3</c:f>
              <c:strCache>
                <c:ptCount val="1"/>
                <c:pt idx="0">
                  <c:v>Joint - male</c:v>
                </c:pt>
              </c:strCache>
            </c:strRef>
          </c:tx>
          <c:spPr>
            <a:ln w="28575" cap="rnd">
              <a:solidFill>
                <a:schemeClr val="accent2"/>
              </a:solidFill>
              <a:round/>
            </a:ln>
            <a:effectLst/>
          </c:spPr>
          <c:marker>
            <c:symbol val="none"/>
          </c:marker>
          <c:cat>
            <c:numRef>
              <c:f>'Difference in benefits'!$A$4:$A$45</c:f>
              <c:numCache>
                <c:formatCode>General</c:formatCode>
                <c:ptCount val="42"/>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pt idx="29">
                  <c:v>2051</c:v>
                </c:pt>
                <c:pt idx="30">
                  <c:v>2052</c:v>
                </c:pt>
                <c:pt idx="31">
                  <c:v>2053</c:v>
                </c:pt>
                <c:pt idx="32">
                  <c:v>2054</c:v>
                </c:pt>
                <c:pt idx="33">
                  <c:v>2055</c:v>
                </c:pt>
                <c:pt idx="34">
                  <c:v>2056</c:v>
                </c:pt>
                <c:pt idx="35">
                  <c:v>2057</c:v>
                </c:pt>
                <c:pt idx="36">
                  <c:v>2058</c:v>
                </c:pt>
                <c:pt idx="37">
                  <c:v>2059</c:v>
                </c:pt>
                <c:pt idx="38">
                  <c:v>2060</c:v>
                </c:pt>
                <c:pt idx="39">
                  <c:v>2061</c:v>
                </c:pt>
                <c:pt idx="40">
                  <c:v>2062</c:v>
                </c:pt>
                <c:pt idx="41">
                  <c:v>2063</c:v>
                </c:pt>
              </c:numCache>
            </c:numRef>
          </c:cat>
          <c:val>
            <c:numRef>
              <c:f>'Difference in benefits'!$C$4:$C$45</c:f>
              <c:numCache>
                <c:formatCode>_("£"* #,##0.00_);_("£"* \(#,##0.00\);_("£"* "-"??_);_(@_)</c:formatCode>
                <c:ptCount val="42"/>
                <c:pt idx="0">
                  <c:v>9676.9090663622883</c:v>
                </c:pt>
                <c:pt idx="1">
                  <c:v>19723.294327478918</c:v>
                </c:pt>
                <c:pt idx="2">
                  <c:v>30150.478394883445</c:v>
                </c:pt>
                <c:pt idx="3">
                  <c:v>40970.088572828987</c:v>
                </c:pt>
                <c:pt idx="4">
                  <c:v>52194.064751108286</c:v>
                </c:pt>
                <c:pt idx="5">
                  <c:v>63834.667499775693</c:v>
                </c:pt>
                <c:pt idx="6">
                  <c:v>72259.999723364235</c:v>
                </c:pt>
                <c:pt idx="7">
                  <c:v>84159.20048876066</c:v>
                </c:pt>
                <c:pt idx="8">
                  <c:v>96488.783107331823</c:v>
                </c:pt>
                <c:pt idx="9">
                  <c:v>109261.66415893505</c:v>
                </c:pt>
                <c:pt idx="10">
                  <c:v>122491.10612831911</c:v>
                </c:pt>
                <c:pt idx="11">
                  <c:v>136190.72635655751</c:v>
                </c:pt>
                <c:pt idx="12">
                  <c:v>150374.50622144231</c:v>
                </c:pt>
                <c:pt idx="13">
                  <c:v>165056.80055266374</c:v>
                </c:pt>
                <c:pt idx="14">
                  <c:v>180252.34728774894</c:v>
                </c:pt>
                <c:pt idx="15">
                  <c:v>195976.2773748856</c:v>
                </c:pt>
                <c:pt idx="16">
                  <c:v>212244.12492890912</c:v>
                </c:pt>
                <c:pt idx="17">
                  <c:v>229071.83764689436</c:v>
                </c:pt>
                <c:pt idx="18">
                  <c:v>246475.78748995316</c:v>
                </c:pt>
                <c:pt idx="19">
                  <c:v>264472.78163800924</c:v>
                </c:pt>
                <c:pt idx="20">
                  <c:v>283080.07372449117</c:v>
                </c:pt>
                <c:pt idx="21">
                  <c:v>302315.37535806088</c:v>
                </c:pt>
                <c:pt idx="22">
                  <c:v>322196.86793867807</c:v>
                </c:pt>
                <c:pt idx="23">
                  <c:v>342743.21477548138</c:v>
                </c:pt>
                <c:pt idx="24">
                  <c:v>348568.57732618053</c:v>
                </c:pt>
                <c:pt idx="25">
                  <c:v>369546.0189832942</c:v>
                </c:pt>
                <c:pt idx="26">
                  <c:v>391214.25863272289</c:v>
                </c:pt>
                <c:pt idx="27">
                  <c:v>413593.1085320143</c:v>
                </c:pt>
                <c:pt idx="28">
                  <c:v>436702.90495851508</c:v>
                </c:pt>
                <c:pt idx="29">
                  <c:v>460564.52171845001</c:v>
                </c:pt>
                <c:pt idx="30">
                  <c:v>485199.38400101289</c:v>
                </c:pt>
                <c:pt idx="31">
                  <c:v>510629.48258624139</c:v>
                </c:pt>
                <c:pt idx="32">
                  <c:v>536716.77675383491</c:v>
                </c:pt>
                <c:pt idx="33">
                  <c:v>563179.75418950384</c:v>
                </c:pt>
                <c:pt idx="34">
                  <c:v>590022.52319676941</c:v>
                </c:pt>
                <c:pt idx="35">
                  <c:v>617249.24648366775</c:v>
                </c:pt>
                <c:pt idx="36">
                  <c:v>644864.14206099708</c:v>
                </c:pt>
                <c:pt idx="37">
                  <c:v>672871.48415733222</c:v>
                </c:pt>
                <c:pt idx="38">
                  <c:v>701275.60415112914</c:v>
                </c:pt>
                <c:pt idx="39">
                  <c:v>730080.8915202514</c:v>
                </c:pt>
                <c:pt idx="40">
                  <c:v>759291.79480926995</c:v>
                </c:pt>
                <c:pt idx="41">
                  <c:v>788912.82261487166</c:v>
                </c:pt>
              </c:numCache>
            </c:numRef>
          </c:val>
          <c:smooth val="0"/>
          <c:extLst>
            <c:ext xmlns:c16="http://schemas.microsoft.com/office/drawing/2014/chart" uri="{C3380CC4-5D6E-409C-BE32-E72D297353CC}">
              <c16:uniqueId val="{00000001-F52C-2346-B059-E875B0A0DA94}"/>
            </c:ext>
          </c:extLst>
        </c:ser>
        <c:ser>
          <c:idx val="2"/>
          <c:order val="2"/>
          <c:tx>
            <c:strRef>
              <c:f>'Difference in benefits'!$D$3</c:f>
              <c:strCache>
                <c:ptCount val="1"/>
                <c:pt idx="0">
                  <c:v>Single - female</c:v>
                </c:pt>
              </c:strCache>
            </c:strRef>
          </c:tx>
          <c:spPr>
            <a:ln w="28575" cap="rnd">
              <a:solidFill>
                <a:schemeClr val="accent3"/>
              </a:solidFill>
              <a:round/>
            </a:ln>
            <a:effectLst/>
          </c:spPr>
          <c:marker>
            <c:symbol val="none"/>
          </c:marker>
          <c:cat>
            <c:numRef>
              <c:f>'Difference in benefits'!$A$4:$A$45</c:f>
              <c:numCache>
                <c:formatCode>General</c:formatCode>
                <c:ptCount val="42"/>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pt idx="29">
                  <c:v>2051</c:v>
                </c:pt>
                <c:pt idx="30">
                  <c:v>2052</c:v>
                </c:pt>
                <c:pt idx="31">
                  <c:v>2053</c:v>
                </c:pt>
                <c:pt idx="32">
                  <c:v>2054</c:v>
                </c:pt>
                <c:pt idx="33">
                  <c:v>2055</c:v>
                </c:pt>
                <c:pt idx="34">
                  <c:v>2056</c:v>
                </c:pt>
                <c:pt idx="35">
                  <c:v>2057</c:v>
                </c:pt>
                <c:pt idx="36">
                  <c:v>2058</c:v>
                </c:pt>
                <c:pt idx="37">
                  <c:v>2059</c:v>
                </c:pt>
                <c:pt idx="38">
                  <c:v>2060</c:v>
                </c:pt>
                <c:pt idx="39">
                  <c:v>2061</c:v>
                </c:pt>
                <c:pt idx="40">
                  <c:v>2062</c:v>
                </c:pt>
                <c:pt idx="41">
                  <c:v>2063</c:v>
                </c:pt>
              </c:numCache>
            </c:numRef>
          </c:cat>
          <c:val>
            <c:numRef>
              <c:f>'Difference in benefits'!$D$4:$D$45</c:f>
              <c:numCache>
                <c:formatCode>_("£"* #,##0.00_);_("£"* \(#,##0.00\);_("£"* "-"??_);_(@_)</c:formatCode>
                <c:ptCount val="42"/>
                <c:pt idx="0">
                  <c:v>8276.4690382081699</c:v>
                </c:pt>
                <c:pt idx="1">
                  <c:v>16859.358418972326</c:v>
                </c:pt>
                <c:pt idx="2">
                  <c:v>25758.16401486165</c:v>
                </c:pt>
                <c:pt idx="3">
                  <c:v>34982.638797266271</c:v>
                </c:pt>
                <c:pt idx="4">
                  <c:v>44542.799523284033</c:v>
                </c:pt>
                <c:pt idx="5">
                  <c:v>54448.933594170245</c:v>
                </c:pt>
                <c:pt idx="6">
                  <c:v>61272.286962841681</c:v>
                </c:pt>
                <c:pt idx="7">
                  <c:v>71324.082168398134</c:v>
                </c:pt>
                <c:pt idx="8">
                  <c:v>81730.782774957552</c:v>
                </c:pt>
                <c:pt idx="9">
                  <c:v>92503.159128050567</c:v>
                </c:pt>
                <c:pt idx="10">
                  <c:v>103652.27181752848</c:v>
                </c:pt>
                <c:pt idx="11">
                  <c:v>115189.47922030944</c:v>
                </c:pt>
                <c:pt idx="12">
                  <c:v>127126.44523665604</c:v>
                </c:pt>
                <c:pt idx="13">
                  <c:v>139475.14722491952</c:v>
                </c:pt>
                <c:pt idx="14">
                  <c:v>152247.88413981258</c:v>
                </c:pt>
                <c:pt idx="15">
                  <c:v>165457.28487940042</c:v>
                </c:pt>
                <c:pt idx="16">
                  <c:v>179116.31684613103</c:v>
                </c:pt>
                <c:pt idx="17">
                  <c:v>193238.29472736365</c:v>
                </c:pt>
                <c:pt idx="18">
                  <c:v>207836.88950098839</c:v>
                </c:pt>
                <c:pt idx="19">
                  <c:v>222926.13767187719</c:v>
                </c:pt>
                <c:pt idx="20">
                  <c:v>238520.450745048</c:v>
                </c:pt>
                <c:pt idx="21">
                  <c:v>254634.62494157552</c:v>
                </c:pt>
                <c:pt idx="22">
                  <c:v>271283.8511634352</c:v>
                </c:pt>
                <c:pt idx="23">
                  <c:v>288483.72521362233</c:v>
                </c:pt>
                <c:pt idx="24">
                  <c:v>294998.58097609098</c:v>
                </c:pt>
                <c:pt idx="25">
                  <c:v>312649.52251922473</c:v>
                </c:pt>
                <c:pt idx="26">
                  <c:v>330876.28556569491</c:v>
                </c:pt>
                <c:pt idx="27">
                  <c:v>349695.53119714459</c:v>
                </c:pt>
                <c:pt idx="28">
                  <c:v>369124.36355487426</c:v>
                </c:pt>
                <c:pt idx="29">
                  <c:v>389180.34130479587</c:v>
                </c:pt>
                <c:pt idx="30">
                  <c:v>409881.48939601873</c:v>
                </c:pt>
                <c:pt idx="31">
                  <c:v>431246.3111205477</c:v>
                </c:pt>
                <c:pt idx="32">
                  <c:v>453167.55304996396</c:v>
                </c:pt>
                <c:pt idx="33">
                  <c:v>475424.80230436072</c:v>
                </c:pt>
                <c:pt idx="34">
                  <c:v>498021.87457913411</c:v>
                </c:pt>
                <c:pt idx="35">
                  <c:v>520962.63804001198</c:v>
                </c:pt>
                <c:pt idx="36">
                  <c:v>544251.01420927618</c:v>
                </c:pt>
                <c:pt idx="37">
                  <c:v>567890.97886867705</c:v>
                </c:pt>
                <c:pt idx="38">
                  <c:v>591886.56297936628</c:v>
                </c:pt>
                <c:pt idx="39">
                  <c:v>616241.85361918202</c:v>
                </c:pt>
                <c:pt idx="40">
                  <c:v>640960.99493763014</c:v>
                </c:pt>
                <c:pt idx="41">
                  <c:v>666048.18912890367</c:v>
                </c:pt>
              </c:numCache>
            </c:numRef>
          </c:val>
          <c:smooth val="0"/>
          <c:extLst>
            <c:ext xmlns:c16="http://schemas.microsoft.com/office/drawing/2014/chart" uri="{C3380CC4-5D6E-409C-BE32-E72D297353CC}">
              <c16:uniqueId val="{00000002-F52C-2346-B059-E875B0A0DA94}"/>
            </c:ext>
          </c:extLst>
        </c:ser>
        <c:ser>
          <c:idx val="3"/>
          <c:order val="3"/>
          <c:tx>
            <c:strRef>
              <c:f>'Difference in benefits'!$E$3</c:f>
              <c:strCache>
                <c:ptCount val="1"/>
                <c:pt idx="0">
                  <c:v>Joint - female</c:v>
                </c:pt>
              </c:strCache>
            </c:strRef>
          </c:tx>
          <c:spPr>
            <a:ln w="28575" cap="rnd">
              <a:solidFill>
                <a:schemeClr val="accent4"/>
              </a:solidFill>
              <a:round/>
            </a:ln>
            <a:effectLst/>
          </c:spPr>
          <c:marker>
            <c:symbol val="none"/>
          </c:marker>
          <c:cat>
            <c:numRef>
              <c:f>'Difference in benefits'!$A$4:$A$45</c:f>
              <c:numCache>
                <c:formatCode>General</c:formatCode>
                <c:ptCount val="42"/>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pt idx="29">
                  <c:v>2051</c:v>
                </c:pt>
                <c:pt idx="30">
                  <c:v>2052</c:v>
                </c:pt>
                <c:pt idx="31">
                  <c:v>2053</c:v>
                </c:pt>
                <c:pt idx="32">
                  <c:v>2054</c:v>
                </c:pt>
                <c:pt idx="33">
                  <c:v>2055</c:v>
                </c:pt>
                <c:pt idx="34">
                  <c:v>2056</c:v>
                </c:pt>
                <c:pt idx="35">
                  <c:v>2057</c:v>
                </c:pt>
                <c:pt idx="36">
                  <c:v>2058</c:v>
                </c:pt>
                <c:pt idx="37">
                  <c:v>2059</c:v>
                </c:pt>
                <c:pt idx="38">
                  <c:v>2060</c:v>
                </c:pt>
                <c:pt idx="39">
                  <c:v>2061</c:v>
                </c:pt>
                <c:pt idx="40">
                  <c:v>2062</c:v>
                </c:pt>
                <c:pt idx="41">
                  <c:v>2063</c:v>
                </c:pt>
              </c:numCache>
            </c:numRef>
          </c:cat>
          <c:val>
            <c:numRef>
              <c:f>'Difference in benefits'!$E$4:$E$45</c:f>
              <c:numCache>
                <c:formatCode>_("£"* #,##0.00_);_("£"* \(#,##0.00\);_("£"* "-"??_);_(@_)</c:formatCode>
                <c:ptCount val="42"/>
                <c:pt idx="0">
                  <c:v>8761.7825311942979</c:v>
                </c:pt>
                <c:pt idx="1">
                  <c:v>17851.837005347588</c:v>
                </c:pt>
                <c:pt idx="2">
                  <c:v>27280.292339679138</c:v>
                </c:pt>
                <c:pt idx="3">
                  <c:v>37057.551043588872</c:v>
                </c:pt>
                <c:pt idx="4">
                  <c:v>47194.296323452632</c:v>
                </c:pt>
                <c:pt idx="5">
                  <c:v>57701.499369494137</c:v>
                </c:pt>
                <c:pt idx="6">
                  <c:v>64664.288016858729</c:v>
                </c:pt>
                <c:pt idx="7">
                  <c:v>75286.393144302507</c:v>
                </c:pt>
                <c:pt idx="8">
                  <c:v>86286.703900094144</c:v>
                </c:pt>
                <c:pt idx="9">
                  <c:v>97676.653190686251</c:v>
                </c:pt>
                <c:pt idx="10">
                  <c:v>109467.98134974735</c:v>
                </c:pt>
                <c:pt idx="11">
                  <c:v>121672.74411578142</c:v>
                </c:pt>
                <c:pt idx="12">
                  <c:v>134303.32081421686</c:v>
                </c:pt>
                <c:pt idx="13">
                  <c:v>147372.42274917342</c:v>
                </c:pt>
                <c:pt idx="14">
                  <c:v>160893.10181025194</c:v>
                </c:pt>
                <c:pt idx="15">
                  <c:v>174878.75929982381</c:v>
                </c:pt>
                <c:pt idx="16">
                  <c:v>189343.15498643863</c:v>
                </c:pt>
                <c:pt idx="17">
                  <c:v>204300.41639011016</c:v>
                </c:pt>
                <c:pt idx="18">
                  <c:v>219765.0483053865</c:v>
                </c:pt>
                <c:pt idx="19">
                  <c:v>235751.94256826295</c:v>
                </c:pt>
                <c:pt idx="20">
                  <c:v>252276.38807314431</c:v>
                </c:pt>
                <c:pt idx="21">
                  <c:v>269354.08104622795</c:v>
                </c:pt>
                <c:pt idx="22">
                  <c:v>287001.13558183465</c:v>
                </c:pt>
                <c:pt idx="23">
                  <c:v>305234.09444838366</c:v>
                </c:pt>
                <c:pt idx="24">
                  <c:v>309444.45725884708</c:v>
                </c:pt>
                <c:pt idx="25">
                  <c:v>327992.43468727532</c:v>
                </c:pt>
                <c:pt idx="26">
                  <c:v>347147.23858914245</c:v>
                </c:pt>
                <c:pt idx="27">
                  <c:v>366926.37980342464</c:v>
                </c:pt>
                <c:pt idx="28">
                  <c:v>387347.83406075707</c:v>
                </c:pt>
                <c:pt idx="29">
                  <c:v>408430.05399961228</c:v>
                </c:pt>
                <c:pt idx="30">
                  <c:v>430191.98148996831</c:v>
                </c:pt>
                <c:pt idx="31">
                  <c:v>452653.06027229183</c:v>
                </c:pt>
                <c:pt idx="32">
                  <c:v>475697.73470722669</c:v>
                </c:pt>
                <c:pt idx="33">
                  <c:v>499089.11562346877</c:v>
                </c:pt>
                <c:pt idx="34">
                  <c:v>522831.09762216418</c:v>
                </c:pt>
                <c:pt idx="35">
                  <c:v>546927.62829637027</c:v>
                </c:pt>
                <c:pt idx="36">
                  <c:v>571382.70912051992</c:v>
                </c:pt>
                <c:pt idx="37">
                  <c:v>596200.39635659871</c:v>
                </c:pt>
                <c:pt idx="38">
                  <c:v>621384.80197735969</c:v>
                </c:pt>
                <c:pt idx="39">
                  <c:v>646940.09460691107</c:v>
                </c:pt>
                <c:pt idx="40">
                  <c:v>672870.50047901715</c:v>
                </c:pt>
                <c:pt idx="41">
                  <c:v>699180.30441346043</c:v>
                </c:pt>
              </c:numCache>
            </c:numRef>
          </c:val>
          <c:smooth val="0"/>
          <c:extLst>
            <c:ext xmlns:c16="http://schemas.microsoft.com/office/drawing/2014/chart" uri="{C3380CC4-5D6E-409C-BE32-E72D297353CC}">
              <c16:uniqueId val="{00000003-F52C-2346-B059-E875B0A0DA94}"/>
            </c:ext>
          </c:extLst>
        </c:ser>
        <c:dLbls>
          <c:showLegendKey val="0"/>
          <c:showVal val="0"/>
          <c:showCatName val="0"/>
          <c:showSerName val="0"/>
          <c:showPercent val="0"/>
          <c:showBubbleSize val="0"/>
        </c:dLbls>
        <c:smooth val="0"/>
        <c:axId val="2083467359"/>
        <c:axId val="2083469055"/>
      </c:lineChart>
      <c:catAx>
        <c:axId val="2083467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469055"/>
        <c:crosses val="autoZero"/>
        <c:auto val="1"/>
        <c:lblAlgn val="ctr"/>
        <c:lblOffset val="100"/>
        <c:noMultiLvlLbl val="0"/>
      </c:catAx>
      <c:valAx>
        <c:axId val="208346905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467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Reduction</a:t>
            </a:r>
            <a:r>
              <a:rPr lang="en-US" baseline="0"/>
              <a:t> in annual pension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'Difference in benefits'!$H$3</c:f>
              <c:strCache>
                <c:ptCount val="1"/>
                <c:pt idx="0">
                  <c:v>Single - male</c:v>
                </c:pt>
              </c:strCache>
            </c:strRef>
          </c:tx>
          <c:spPr>
            <a:ln w="28575" cap="rnd">
              <a:solidFill>
                <a:schemeClr val="accent1"/>
              </a:solidFill>
              <a:round/>
            </a:ln>
            <a:effectLst/>
          </c:spPr>
          <c:marker>
            <c:symbol val="none"/>
          </c:marker>
          <c:cat>
            <c:numRef>
              <c:f>'Difference in benefits'!$G$4:$G$45</c:f>
              <c:numCache>
                <c:formatCode>General</c:formatCode>
                <c:ptCount val="4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numCache>
            </c:numRef>
          </c:cat>
          <c:val>
            <c:numRef>
              <c:f>'Difference in benefits'!$H$4:$H$45</c:f>
              <c:numCache>
                <c:formatCode>_("£"* #,##0.00_);_("£"* \(#,##0.00\);_("£"* "-"??_);_(@_)</c:formatCode>
                <c:ptCount val="42"/>
                <c:pt idx="0">
                  <c:v>237.9484848484849</c:v>
                </c:pt>
                <c:pt idx="1">
                  <c:v>482.295079149706</c:v>
                </c:pt>
                <c:pt idx="2">
                  <c:v>733.19691634095466</c:v>
                </c:pt>
                <c:pt idx="3">
                  <c:v>990.81421724466509</c:v>
                </c:pt>
                <c:pt idx="4">
                  <c:v>1255.3103542171934</c:v>
                </c:pt>
                <c:pt idx="5">
                  <c:v>1526.8519165972355</c:v>
                </c:pt>
                <c:pt idx="6">
                  <c:v>1800.6263066887491</c:v>
                </c:pt>
                <c:pt idx="7">
                  <c:v>2085.5933346165575</c:v>
                </c:pt>
                <c:pt idx="8">
                  <c:v>2378.006487869055</c:v>
                </c:pt>
                <c:pt idx="9">
                  <c:v>2678.0450587725463</c:v>
                </c:pt>
                <c:pt idx="10">
                  <c:v>2985.8918853580312</c:v>
                </c:pt>
                <c:pt idx="11">
                  <c:v>3301.7334249350565</c:v>
                </c:pt>
                <c:pt idx="12">
                  <c:v>3625.7598291573254</c:v>
                </c:pt>
                <c:pt idx="13">
                  <c:v>3958.1650206103227</c:v>
                </c:pt>
                <c:pt idx="14">
                  <c:v>4299.1467709517965</c:v>
                </c:pt>
                <c:pt idx="15">
                  <c:v>4648.9067806365983</c:v>
                </c:pt>
                <c:pt idx="16">
                  <c:v>5007.6507602579732</c:v>
                </c:pt>
                <c:pt idx="17">
                  <c:v>5375.588513538085</c:v>
                </c:pt>
                <c:pt idx="18">
                  <c:v>5752.9340220011964</c:v>
                </c:pt>
                <c:pt idx="19">
                  <c:v>6139.9055313635927</c:v>
                </c:pt>
                <c:pt idx="20">
                  <c:v>6536.7256396750527</c:v>
                </c:pt>
                <c:pt idx="21">
                  <c:v>6943.6213872473436</c:v>
                </c:pt>
                <c:pt idx="22">
                  <c:v>7360.8243484059576</c:v>
                </c:pt>
                <c:pt idx="23">
                  <c:v>7788.5707251020112</c:v>
                </c:pt>
                <c:pt idx="24">
                  <c:v>8196.4687495579601</c:v>
                </c:pt>
                <c:pt idx="25">
                  <c:v>8643.6777731896182</c:v>
                </c:pt>
                <c:pt idx="26">
                  <c:v>9102.0743492376059</c:v>
                </c:pt>
                <c:pt idx="27">
                  <c:v>9571.9133315741456</c:v>
                </c:pt>
                <c:pt idx="28">
                  <c:v>10053.454682723786</c:v>
                </c:pt>
                <c:pt idx="29">
                  <c:v>10546.963579235206</c:v>
                </c:pt>
                <c:pt idx="30">
                  <c:v>11052.710519190023</c:v>
                </c:pt>
                <c:pt idx="31">
                  <c:v>11570.971431891958</c:v>
                </c:pt>
                <c:pt idx="32">
                  <c:v>12098.65723865783</c:v>
                </c:pt>
                <c:pt idx="33">
                  <c:v>12629.732122937214</c:v>
                </c:pt>
                <c:pt idx="34">
                  <c:v>13164.205753199825</c:v>
                </c:pt>
                <c:pt idx="35">
                  <c:v>13702.088215225984</c:v>
                </c:pt>
                <c:pt idx="36">
                  <c:v>14243.390016700469</c:v>
                </c:pt>
                <c:pt idx="37">
                  <c:v>14788.122091884205</c:v>
                </c:pt>
                <c:pt idx="38">
                  <c:v>15336.295806364804</c:v>
                </c:pt>
                <c:pt idx="39">
                  <c:v>15887.922961887216</c:v>
                </c:pt>
                <c:pt idx="40">
                  <c:v>16443.015801265487</c:v>
                </c:pt>
                <c:pt idx="41">
                  <c:v>17001.587013376928</c:v>
                </c:pt>
              </c:numCache>
            </c:numRef>
          </c:val>
          <c:smooth val="0"/>
          <c:extLst>
            <c:ext xmlns:c16="http://schemas.microsoft.com/office/drawing/2014/chart" uri="{C3380CC4-5D6E-409C-BE32-E72D297353CC}">
              <c16:uniqueId val="{00000000-ED44-4148-B7CE-8C271C1120E4}"/>
            </c:ext>
          </c:extLst>
        </c:ser>
        <c:ser>
          <c:idx val="1"/>
          <c:order val="1"/>
          <c:tx>
            <c:strRef>
              <c:f>'Difference in benefits'!$I$3</c:f>
              <c:strCache>
                <c:ptCount val="1"/>
                <c:pt idx="0">
                  <c:v>Joint - male</c:v>
                </c:pt>
              </c:strCache>
            </c:strRef>
          </c:tx>
          <c:spPr>
            <a:ln w="28575" cap="rnd">
              <a:solidFill>
                <a:schemeClr val="accent2"/>
              </a:solidFill>
              <a:round/>
            </a:ln>
            <a:effectLst/>
          </c:spPr>
          <c:marker>
            <c:symbol val="none"/>
          </c:marker>
          <c:cat>
            <c:numRef>
              <c:f>'Difference in benefits'!$G$4:$G$45</c:f>
              <c:numCache>
                <c:formatCode>General</c:formatCode>
                <c:ptCount val="4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numCache>
            </c:numRef>
          </c:cat>
          <c:val>
            <c:numRef>
              <c:f>'Difference in benefits'!$I$4:$I$45</c:f>
              <c:numCache>
                <c:formatCode>_("£"* #,##0.00_);_("£"* \(#,##0.00\);_("£"* "-"??_);_(@_)</c:formatCode>
                <c:ptCount val="42"/>
                <c:pt idx="0">
                  <c:v>238.9228848484849</c:v>
                </c:pt>
                <c:pt idx="1">
                  <c:v>484.54540989597467</c:v>
                </c:pt>
                <c:pt idx="2">
                  <c:v>737.02661970710892</c:v>
                </c:pt>
                <c:pt idx="3">
                  <c:v>996.52869226122334</c:v>
                </c:pt>
                <c:pt idx="4">
                  <c:v>1263.2170036826465</c:v>
                </c:pt>
                <c:pt idx="5">
                  <c:v>1537.2601942799104</c:v>
                </c:pt>
                <c:pt idx="6">
                  <c:v>1814.9549808603228</c:v>
                </c:pt>
                <c:pt idx="7">
                  <c:v>2103.3107462556964</c:v>
                </c:pt>
                <c:pt idx="8">
                  <c:v>2399.4549872544712</c:v>
                </c:pt>
                <c:pt idx="9">
                  <c:v>2703.5694301367694</c:v>
                </c:pt>
                <c:pt idx="10">
                  <c:v>3015.8394013995116</c:v>
                </c:pt>
                <c:pt idx="11">
                  <c:v>3336.4539020340212</c:v>
                </c:pt>
                <c:pt idx="12">
                  <c:v>3665.6056833065145</c:v>
                </c:pt>
                <c:pt idx="13">
                  <c:v>4003.4913240718874</c:v>
                </c:pt>
                <c:pt idx="14">
                  <c:v>4350.3113096518318</c:v>
                </c:pt>
                <c:pt idx="15">
                  <c:v>4706.2701123089155</c:v>
                </c:pt>
                <c:pt idx="16">
                  <c:v>5071.5762733489173</c:v>
                </c:pt>
                <c:pt idx="17">
                  <c:v>5446.4424868843616</c:v>
                </c:pt>
                <c:pt idx="18">
                  <c:v>5831.0856852928337</c:v>
                </c:pt>
                <c:pt idx="19">
                  <c:v>6225.7271264043811</c:v>
                </c:pt>
                <c:pt idx="20">
                  <c:v>6630.5924824529484</c:v>
                </c:pt>
                <c:pt idx="21">
                  <c:v>7045.9119308275149</c:v>
                </c:pt>
                <c:pt idx="22">
                  <c:v>7471.9202466593588</c:v>
                </c:pt>
                <c:pt idx="23">
                  <c:v>7908.8568972825151</c:v>
                </c:pt>
                <c:pt idx="24">
                  <c:v>8326.1493763037397</c:v>
                </c:pt>
                <c:pt idx="25">
                  <c:v>8783.3144394895717</c:v>
                </c:pt>
                <c:pt idx="26">
                  <c:v>9252.0616066141556</c:v>
                </c:pt>
                <c:pt idx="27">
                  <c:v>9732.6492589880072</c:v>
                </c:pt>
                <c:pt idx="28">
                  <c:v>10225.340955498832</c:v>
                </c:pt>
                <c:pt idx="29">
                  <c:v>10730.405538913052</c:v>
                </c:pt>
                <c:pt idx="30">
                  <c:v>11248.117244328772</c:v>
                </c:pt>
                <c:pt idx="31">
                  <c:v>11778.755809823793</c:v>
                </c:pt>
                <c:pt idx="32">
                  <c:v>12318.920171614784</c:v>
                </c:pt>
                <c:pt idx="33">
                  <c:v>12861.998137949475</c:v>
                </c:pt>
                <c:pt idx="34">
                  <c:v>13407.998020852945</c:v>
                </c:pt>
                <c:pt idx="35">
                  <c:v>13956.928491114006</c:v>
                </c:pt>
                <c:pt idx="36">
                  <c:v>14508.798582234547</c:v>
                </c:pt>
                <c:pt idx="37">
                  <c:v>15063.617694445798</c:v>
                </c:pt>
                <c:pt idx="38">
                  <c:v>15621.39559879242</c:v>
                </c:pt>
                <c:pt idx="39">
                  <c:v>16182.142441285399</c:v>
                </c:pt>
                <c:pt idx="40">
                  <c:v>16745.868747124729</c:v>
                </c:pt>
                <c:pt idx="41">
                  <c:v>17312.585424992922</c:v>
                </c:pt>
              </c:numCache>
            </c:numRef>
          </c:val>
          <c:smooth val="0"/>
          <c:extLst>
            <c:ext xmlns:c16="http://schemas.microsoft.com/office/drawing/2014/chart" uri="{C3380CC4-5D6E-409C-BE32-E72D297353CC}">
              <c16:uniqueId val="{00000001-ED44-4148-B7CE-8C271C1120E4}"/>
            </c:ext>
          </c:extLst>
        </c:ser>
        <c:ser>
          <c:idx val="2"/>
          <c:order val="2"/>
          <c:tx>
            <c:strRef>
              <c:f>'Difference in benefits'!$J$3</c:f>
              <c:strCache>
                <c:ptCount val="1"/>
                <c:pt idx="0">
                  <c:v>Single - female</c:v>
                </c:pt>
              </c:strCache>
            </c:strRef>
          </c:tx>
          <c:spPr>
            <a:ln w="28575" cap="rnd">
              <a:solidFill>
                <a:schemeClr val="accent3"/>
              </a:solidFill>
              <a:round/>
            </a:ln>
            <a:effectLst/>
          </c:spPr>
          <c:marker>
            <c:symbol val="none"/>
          </c:marker>
          <c:cat>
            <c:numRef>
              <c:f>'Difference in benefits'!$G$4:$G$45</c:f>
              <c:numCache>
                <c:formatCode>General</c:formatCode>
                <c:ptCount val="4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numCache>
            </c:numRef>
          </c:cat>
          <c:val>
            <c:numRef>
              <c:f>'Difference in benefits'!$J$4:$J$45</c:f>
              <c:numCache>
                <c:formatCode>_("£"* #,##0.00_);_("£"* \(#,##0.00\);_("£"* "-"??_);_(@_)</c:formatCode>
                <c:ptCount val="42"/>
                <c:pt idx="0">
                  <c:v>237.9484848484849</c:v>
                </c:pt>
                <c:pt idx="1">
                  <c:v>482.295079149706</c:v>
                </c:pt>
                <c:pt idx="2">
                  <c:v>733.19691634095466</c:v>
                </c:pt>
                <c:pt idx="3">
                  <c:v>990.81421724466509</c:v>
                </c:pt>
                <c:pt idx="4">
                  <c:v>1255.3103542171934</c:v>
                </c:pt>
                <c:pt idx="5">
                  <c:v>1526.8519165972355</c:v>
                </c:pt>
                <c:pt idx="6">
                  <c:v>1800.6263066887491</c:v>
                </c:pt>
                <c:pt idx="7">
                  <c:v>2085.5933346165575</c:v>
                </c:pt>
                <c:pt idx="8">
                  <c:v>2378.006487869055</c:v>
                </c:pt>
                <c:pt idx="9">
                  <c:v>2678.0450587725463</c:v>
                </c:pt>
                <c:pt idx="10">
                  <c:v>2985.8918853580312</c:v>
                </c:pt>
                <c:pt idx="11">
                  <c:v>3301.7334249350565</c:v>
                </c:pt>
                <c:pt idx="12">
                  <c:v>3625.7598291573254</c:v>
                </c:pt>
                <c:pt idx="13">
                  <c:v>3958.1650206103227</c:v>
                </c:pt>
                <c:pt idx="14">
                  <c:v>4299.1467709517965</c:v>
                </c:pt>
                <c:pt idx="15">
                  <c:v>4648.9067806365983</c:v>
                </c:pt>
                <c:pt idx="16">
                  <c:v>5007.6507602579732</c:v>
                </c:pt>
                <c:pt idx="17">
                  <c:v>5375.588513538085</c:v>
                </c:pt>
                <c:pt idx="18">
                  <c:v>5752.9340220011964</c:v>
                </c:pt>
                <c:pt idx="19">
                  <c:v>6139.9055313635927</c:v>
                </c:pt>
                <c:pt idx="20">
                  <c:v>6536.7256396750527</c:v>
                </c:pt>
                <c:pt idx="21">
                  <c:v>6943.6213872473436</c:v>
                </c:pt>
                <c:pt idx="22">
                  <c:v>7360.8243484059576</c:v>
                </c:pt>
                <c:pt idx="23">
                  <c:v>7788.5707251020112</c:v>
                </c:pt>
                <c:pt idx="24">
                  <c:v>8196.4687495579601</c:v>
                </c:pt>
                <c:pt idx="25">
                  <c:v>8643.6777731896182</c:v>
                </c:pt>
                <c:pt idx="26">
                  <c:v>9102.0743492376059</c:v>
                </c:pt>
                <c:pt idx="27">
                  <c:v>9571.9133315741456</c:v>
                </c:pt>
                <c:pt idx="28">
                  <c:v>10053.454682723786</c:v>
                </c:pt>
                <c:pt idx="29">
                  <c:v>10546.963579235206</c:v>
                </c:pt>
                <c:pt idx="30">
                  <c:v>11052.710519190023</c:v>
                </c:pt>
                <c:pt idx="31">
                  <c:v>11570.971431891958</c:v>
                </c:pt>
                <c:pt idx="32">
                  <c:v>12098.65723865783</c:v>
                </c:pt>
                <c:pt idx="33">
                  <c:v>12629.732122937214</c:v>
                </c:pt>
                <c:pt idx="34">
                  <c:v>13164.205753199825</c:v>
                </c:pt>
                <c:pt idx="35">
                  <c:v>13702.088215225984</c:v>
                </c:pt>
                <c:pt idx="36">
                  <c:v>14243.390016700469</c:v>
                </c:pt>
                <c:pt idx="37">
                  <c:v>14788.122091884205</c:v>
                </c:pt>
                <c:pt idx="38">
                  <c:v>15336.295806364804</c:v>
                </c:pt>
                <c:pt idx="39">
                  <c:v>15887.922961887216</c:v>
                </c:pt>
                <c:pt idx="40">
                  <c:v>16443.015801265487</c:v>
                </c:pt>
                <c:pt idx="41">
                  <c:v>17001.587013376928</c:v>
                </c:pt>
              </c:numCache>
            </c:numRef>
          </c:val>
          <c:smooth val="0"/>
          <c:extLst>
            <c:ext xmlns:c16="http://schemas.microsoft.com/office/drawing/2014/chart" uri="{C3380CC4-5D6E-409C-BE32-E72D297353CC}">
              <c16:uniqueId val="{00000002-ED44-4148-B7CE-8C271C1120E4}"/>
            </c:ext>
          </c:extLst>
        </c:ser>
        <c:ser>
          <c:idx val="3"/>
          <c:order val="3"/>
          <c:tx>
            <c:strRef>
              <c:f>'Difference in benefits'!$K$3</c:f>
              <c:strCache>
                <c:ptCount val="1"/>
                <c:pt idx="0">
                  <c:v>Joint - female</c:v>
                </c:pt>
              </c:strCache>
            </c:strRef>
          </c:tx>
          <c:spPr>
            <a:ln w="28575" cap="rnd">
              <a:solidFill>
                <a:schemeClr val="accent4"/>
              </a:solidFill>
              <a:round/>
            </a:ln>
            <a:effectLst/>
          </c:spPr>
          <c:marker>
            <c:symbol val="none"/>
          </c:marker>
          <c:cat>
            <c:numRef>
              <c:f>'Difference in benefits'!$G$4:$G$45</c:f>
              <c:numCache>
                <c:formatCode>General</c:formatCode>
                <c:ptCount val="4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numCache>
            </c:numRef>
          </c:cat>
          <c:val>
            <c:numRef>
              <c:f>'Difference in benefits'!$K$4:$K$45</c:f>
              <c:numCache>
                <c:formatCode>_("£"* #,##0.00_);_("£"* \(#,##0.00\);_("£"* "-"??_);_(@_)</c:formatCode>
                <c:ptCount val="42"/>
                <c:pt idx="0">
                  <c:v>238.32048484848485</c:v>
                </c:pt>
                <c:pt idx="1">
                  <c:v>483.15419556761651</c:v>
                </c:pt>
                <c:pt idx="2">
                  <c:v>734.6589952122697</c:v>
                </c:pt>
                <c:pt idx="3">
                  <c:v>992.99585179532164</c:v>
                </c:pt>
                <c:pt idx="4">
                  <c:v>1258.328902658438</c:v>
                </c:pt>
                <c:pt idx="5">
                  <c:v>1530.8255201460399</c:v>
                </c:pt>
                <c:pt idx="6">
                  <c:v>1805.5436471430849</c:v>
                </c:pt>
                <c:pt idx="7">
                  <c:v>2091.6736281563526</c:v>
                </c:pt>
                <c:pt idx="8">
                  <c:v>2385.3672228854139</c:v>
                </c:pt>
                <c:pt idx="9">
                  <c:v>2686.8045589452686</c:v>
                </c:pt>
                <c:pt idx="10">
                  <c:v>2996.1693283631762</c:v>
                </c:pt>
                <c:pt idx="11">
                  <c:v>3313.6488613940196</c:v>
                </c:pt>
                <c:pt idx="12">
                  <c:v>3639.4342018312514</c:v>
                </c:pt>
                <c:pt idx="13">
                  <c:v>3973.7201838437227</c:v>
                </c:pt>
                <c:pt idx="14">
                  <c:v>4316.7055103693092</c:v>
                </c:pt>
                <c:pt idx="15">
                  <c:v>4668.5928330968709</c:v>
                </c:pt>
                <c:pt idx="16">
                  <c:v>5029.5888340687288</c:v>
                </c:pt>
                <c:pt idx="17">
                  <c:v>5399.9043089364659</c:v>
                </c:pt>
                <c:pt idx="18">
                  <c:v>5779.7542519035542</c:v>
                </c:pt>
                <c:pt idx="19">
                  <c:v>6169.3579423889532</c:v>
                </c:pt>
                <c:pt idx="20">
                  <c:v>6568.939033446557</c:v>
                </c:pt>
                <c:pt idx="21">
                  <c:v>6978.7256419759924</c:v>
                </c:pt>
                <c:pt idx="22">
                  <c:v>7398.950440761103</c:v>
                </c:pt>
                <c:pt idx="23">
                  <c:v>7829.8507523730486</c:v>
                </c:pt>
                <c:pt idx="24">
                  <c:v>8235.4310903291116</c:v>
                </c:pt>
                <c:pt idx="25">
                  <c:v>8685.6313904187518</c:v>
                </c:pt>
                <c:pt idx="26">
                  <c:v>9147.1377853103841</c:v>
                </c:pt>
                <c:pt idx="27">
                  <c:v>9620.2061886895208</c:v>
                </c:pt>
                <c:pt idx="28">
                  <c:v>10105.097643602388</c:v>
                </c:pt>
                <c:pt idx="29">
                  <c:v>10602.078428107023</c:v>
                </c:pt>
                <c:pt idx="30">
                  <c:v>11111.420163065792</c:v>
                </c:pt>
                <c:pt idx="31">
                  <c:v>11633.3999221226</c:v>
                </c:pt>
                <c:pt idx="32">
                  <c:v>12164.83489116059</c:v>
                </c:pt>
                <c:pt idx="33">
                  <c:v>12699.516082604572</c:v>
                </c:pt>
                <c:pt idx="34">
                  <c:v>13237.452757382602</c:v>
                </c:pt>
                <c:pt idx="35">
                  <c:v>13778.654576143013</c:v>
                </c:pt>
                <c:pt idx="36">
                  <c:v>14323.131603654652</c:v>
                </c:pt>
                <c:pt idx="37">
                  <c:v>14870.894313281635</c:v>
                </c:pt>
                <c:pt idx="38">
                  <c:v>15421.953591533638</c:v>
                </c:pt>
                <c:pt idx="39">
                  <c:v>15976.320742692948</c:v>
                </c:pt>
                <c:pt idx="40">
                  <c:v>16534.007493519159</c:v>
                </c:pt>
                <c:pt idx="41">
                  <c:v>17095.025998032852</c:v>
                </c:pt>
              </c:numCache>
            </c:numRef>
          </c:val>
          <c:smooth val="0"/>
          <c:extLst>
            <c:ext xmlns:c16="http://schemas.microsoft.com/office/drawing/2014/chart" uri="{C3380CC4-5D6E-409C-BE32-E72D297353CC}">
              <c16:uniqueId val="{00000003-ED44-4148-B7CE-8C271C1120E4}"/>
            </c:ext>
          </c:extLst>
        </c:ser>
        <c:dLbls>
          <c:showLegendKey val="0"/>
          <c:showVal val="0"/>
          <c:showCatName val="0"/>
          <c:showSerName val="0"/>
          <c:showPercent val="0"/>
          <c:showBubbleSize val="0"/>
        </c:dLbls>
        <c:smooth val="0"/>
        <c:axId val="1651964799"/>
        <c:axId val="1651998575"/>
      </c:lineChart>
      <c:catAx>
        <c:axId val="165196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998575"/>
        <c:crosses val="autoZero"/>
        <c:auto val="1"/>
        <c:lblAlgn val="ctr"/>
        <c:lblOffset val="100"/>
        <c:noMultiLvlLbl val="0"/>
      </c:catAx>
      <c:valAx>
        <c:axId val="165199857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9647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Difference</a:t>
            </a:r>
            <a:r>
              <a:rPr lang="en-US" baseline="0"/>
              <a:t> in value of the DB versus DC pension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'Difference in benefits TPS'!$B$3</c:f>
              <c:strCache>
                <c:ptCount val="1"/>
                <c:pt idx="0">
                  <c:v>Single - male</c:v>
                </c:pt>
              </c:strCache>
            </c:strRef>
          </c:tx>
          <c:spPr>
            <a:ln w="28575" cap="rnd">
              <a:solidFill>
                <a:schemeClr val="accent1"/>
              </a:solidFill>
              <a:round/>
            </a:ln>
            <a:effectLst/>
          </c:spPr>
          <c:marker>
            <c:symbol val="none"/>
          </c:marker>
          <c:cat>
            <c:numRef>
              <c:f>'Difference in benefits TPS'!$A$4:$A$45</c:f>
              <c:numCache>
                <c:formatCode>General</c:formatCode>
                <c:ptCount val="42"/>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pt idx="29">
                  <c:v>2051</c:v>
                </c:pt>
                <c:pt idx="30">
                  <c:v>2052</c:v>
                </c:pt>
                <c:pt idx="31">
                  <c:v>2053</c:v>
                </c:pt>
                <c:pt idx="32">
                  <c:v>2054</c:v>
                </c:pt>
                <c:pt idx="33">
                  <c:v>2055</c:v>
                </c:pt>
                <c:pt idx="34">
                  <c:v>2056</c:v>
                </c:pt>
                <c:pt idx="35">
                  <c:v>2057</c:v>
                </c:pt>
                <c:pt idx="36">
                  <c:v>2058</c:v>
                </c:pt>
                <c:pt idx="37">
                  <c:v>2059</c:v>
                </c:pt>
                <c:pt idx="38">
                  <c:v>2060</c:v>
                </c:pt>
                <c:pt idx="39">
                  <c:v>2061</c:v>
                </c:pt>
                <c:pt idx="40">
                  <c:v>2062</c:v>
                </c:pt>
                <c:pt idx="41">
                  <c:v>2063</c:v>
                </c:pt>
              </c:numCache>
            </c:numRef>
          </c:cat>
          <c:val>
            <c:numRef>
              <c:f>'Difference in benefits TPS'!$B$4:$B$45</c:f>
              <c:numCache>
                <c:formatCode>_("£"* #,##0.00_);_("£"* \(#,##0.00\);_("£"* "-"??_);_(@_)</c:formatCode>
                <c:ptCount val="42"/>
                <c:pt idx="0">
                  <c:v>19287.07856598017</c:v>
                </c:pt>
                <c:pt idx="1">
                  <c:v>39398.877620137304</c:v>
                </c:pt>
                <c:pt idx="2">
                  <c:v>60365.09548832952</c:v>
                </c:pt>
                <c:pt idx="3">
                  <c:v>82216.366993561896</c:v>
                </c:pt>
                <c:pt idx="4">
                  <c:v>104984.29098273729</c:v>
                </c:pt>
                <c:pt idx="5">
                  <c:v>128701.45862890809</c:v>
                </c:pt>
                <c:pt idx="6">
                  <c:v>145480.80571005965</c:v>
                </c:pt>
                <c:pt idx="7">
                  <c:v>169857.73770945382</c:v>
                </c:pt>
                <c:pt idx="8">
                  <c:v>195230.21737385532</c:v>
                </c:pt>
                <c:pt idx="9">
                  <c:v>221633.14835397247</c:v>
                </c:pt>
                <c:pt idx="10">
                  <c:v>249102.52074024774</c:v>
                </c:pt>
                <c:pt idx="11">
                  <c:v>277675.44275846769</c:v>
                </c:pt>
                <c:pt idx="12">
                  <c:v>307390.17335402826</c:v>
                </c:pt>
                <c:pt idx="13">
                  <c:v>338286.15568912111</c:v>
                </c:pt>
                <c:pt idx="14">
                  <c:v>370404.0515777535</c:v>
                </c:pt>
                <c:pt idx="15">
                  <c:v>403785.77688418416</c:v>
                </c:pt>
                <c:pt idx="16">
                  <c:v>438474.53791104013</c:v>
                </c:pt>
                <c:pt idx="17">
                  <c:v>474514.86880408553</c:v>
                </c:pt>
                <c:pt idx="18">
                  <c:v>511952.67000133242</c:v>
                </c:pt>
                <c:pt idx="19">
                  <c:v>550835.24775492586</c:v>
                </c:pt>
                <c:pt idx="20">
                  <c:v>591211.35475499567</c:v>
                </c:pt>
                <c:pt idx="21">
                  <c:v>633131.23188544798</c:v>
                </c:pt>
                <c:pt idx="22">
                  <c:v>676646.65114246984</c:v>
                </c:pt>
                <c:pt idx="23">
                  <c:v>721810.95974734065</c:v>
                </c:pt>
                <c:pt idx="24">
                  <c:v>742102.4883932987</c:v>
                </c:pt>
                <c:pt idx="25">
                  <c:v>789029.0069635699</c:v>
                </c:pt>
                <c:pt idx="26">
                  <c:v>837709.82474679244</c:v>
                </c:pt>
                <c:pt idx="27">
                  <c:v>888202.97605798382</c:v>
                </c:pt>
                <c:pt idx="28">
                  <c:v>940568.24817905424</c:v>
                </c:pt>
                <c:pt idx="29">
                  <c:v>994867.23159167438</c:v>
                </c:pt>
                <c:pt idx="30">
                  <c:v>1051163.3716020964</c:v>
                </c:pt>
                <c:pt idx="31">
                  <c:v>1109522.0213956255</c:v>
                </c:pt>
                <c:pt idx="32">
                  <c:v>1169926.1667699974</c:v>
                </c:pt>
                <c:pt idx="33">
                  <c:v>1232288.1660090438</c:v>
                </c:pt>
                <c:pt idx="34">
                  <c:v>1296674.3634158429</c:v>
                </c:pt>
                <c:pt idx="35">
                  <c:v>1363153.1369223399</c:v>
                </c:pt>
                <c:pt idx="36">
                  <c:v>1431794.9568622764</c:v>
                </c:pt>
                <c:pt idx="37">
                  <c:v>1502672.446381354</c:v>
                </c:pt>
                <c:pt idx="38">
                  <c:v>1575860.4435291314</c:v>
                </c:pt>
                <c:pt idx="39">
                  <c:v>1651436.0650783286</c:v>
                </c:pt>
                <c:pt idx="40">
                  <c:v>1729478.7721184448</c:v>
                </c:pt>
                <c:pt idx="41">
                  <c:v>1810070.4374718342</c:v>
                </c:pt>
              </c:numCache>
            </c:numRef>
          </c:val>
          <c:smooth val="0"/>
          <c:extLst>
            <c:ext xmlns:c16="http://schemas.microsoft.com/office/drawing/2014/chart" uri="{C3380CC4-5D6E-409C-BE32-E72D297353CC}">
              <c16:uniqueId val="{00000000-D1D8-CE4E-9B67-3EA84B5A936C}"/>
            </c:ext>
          </c:extLst>
        </c:ser>
        <c:ser>
          <c:idx val="1"/>
          <c:order val="1"/>
          <c:tx>
            <c:strRef>
              <c:f>'Difference in benefits TPS'!$C$3</c:f>
              <c:strCache>
                <c:ptCount val="1"/>
                <c:pt idx="0">
                  <c:v>Joint - male</c:v>
                </c:pt>
              </c:strCache>
            </c:strRef>
          </c:tx>
          <c:spPr>
            <a:ln w="28575" cap="rnd">
              <a:solidFill>
                <a:schemeClr val="accent2"/>
              </a:solidFill>
              <a:round/>
            </a:ln>
            <a:effectLst/>
          </c:spPr>
          <c:marker>
            <c:symbol val="none"/>
          </c:marker>
          <c:cat>
            <c:numRef>
              <c:f>'Difference in benefits TPS'!$A$4:$A$45</c:f>
              <c:numCache>
                <c:formatCode>General</c:formatCode>
                <c:ptCount val="42"/>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pt idx="29">
                  <c:v>2051</c:v>
                </c:pt>
                <c:pt idx="30">
                  <c:v>2052</c:v>
                </c:pt>
                <c:pt idx="31">
                  <c:v>2053</c:v>
                </c:pt>
                <c:pt idx="32">
                  <c:v>2054</c:v>
                </c:pt>
                <c:pt idx="33">
                  <c:v>2055</c:v>
                </c:pt>
                <c:pt idx="34">
                  <c:v>2056</c:v>
                </c:pt>
                <c:pt idx="35">
                  <c:v>2057</c:v>
                </c:pt>
                <c:pt idx="36">
                  <c:v>2058</c:v>
                </c:pt>
                <c:pt idx="37">
                  <c:v>2059</c:v>
                </c:pt>
                <c:pt idx="38">
                  <c:v>2060</c:v>
                </c:pt>
                <c:pt idx="39">
                  <c:v>2061</c:v>
                </c:pt>
                <c:pt idx="40">
                  <c:v>2062</c:v>
                </c:pt>
                <c:pt idx="41">
                  <c:v>2063</c:v>
                </c:pt>
              </c:numCache>
            </c:numRef>
          </c:cat>
          <c:val>
            <c:numRef>
              <c:f>'Difference in benefits TPS'!$C$4:$C$45</c:f>
              <c:numCache>
                <c:formatCode>_("£"* #,##0.00_);_("£"* \(#,##0.00\);_("£"* "-"??_);_(@_)</c:formatCode>
                <c:ptCount val="42"/>
                <c:pt idx="0">
                  <c:v>23778.092700361678</c:v>
                </c:pt>
                <c:pt idx="1">
                  <c:v>48554.790521626055</c:v>
                </c:pt>
                <c:pt idx="2">
                  <c:v>74365.452600723918</c:v>
                </c:pt>
                <c:pt idx="3">
                  <c:v>101246.54412524289</c:v>
                </c:pt>
                <c:pt idx="4">
                  <c:v>129235.66869779896</c:v>
                </c:pt>
                <c:pt idx="5">
                  <c:v>158371.60160965481</c:v>
                </c:pt>
                <c:pt idx="6">
                  <c:v>180301.15090986408</c:v>
                </c:pt>
                <c:pt idx="7">
                  <c:v>210431.30078724746</c:v>
                </c:pt>
                <c:pt idx="8">
                  <c:v>241770.80022151774</c:v>
                </c:pt>
                <c:pt idx="9">
                  <c:v>274361.3902596549</c:v>
                </c:pt>
                <c:pt idx="10">
                  <c:v>308246.10117701185</c:v>
                </c:pt>
                <c:pt idx="11">
                  <c:v>343469.28992322157</c:v>
                </c:pt>
                <c:pt idx="12">
                  <c:v>380076.67861507693</c:v>
                </c:pt>
                <c:pt idx="13">
                  <c:v>418115.3941049173</c:v>
                </c:pt>
                <c:pt idx="14">
                  <c:v>457634.00865381828</c:v>
                </c:pt>
                <c:pt idx="15">
                  <c:v>498682.58173966676</c:v>
                </c:pt>
                <c:pt idx="16">
                  <c:v>541312.70303100499</c:v>
                </c:pt>
                <c:pt idx="17">
                  <c:v>585577.53655835765</c:v>
                </c:pt>
                <c:pt idx="18">
                  <c:v>631531.86611559684</c:v>
                </c:pt>
                <c:pt idx="19">
                  <c:v>679232.14192477812</c:v>
                </c:pt>
                <c:pt idx="20">
                  <c:v>728736.52859876538</c:v>
                </c:pt>
                <c:pt idx="21">
                  <c:v>780104.95443688473</c:v>
                </c:pt>
                <c:pt idx="22">
                  <c:v>833399.16208978556</c:v>
                </c:pt>
                <c:pt idx="23">
                  <c:v>888682.76063065103</c:v>
                </c:pt>
                <c:pt idx="24">
                  <c:v>909634.43805911811</c:v>
                </c:pt>
                <c:pt idx="25">
                  <c:v>966764.93236290081</c:v>
                </c:pt>
                <c:pt idx="26">
                  <c:v>1025999.0184054847</c:v>
                </c:pt>
                <c:pt idx="27">
                  <c:v>1087405.4733922051</c:v>
                </c:pt>
                <c:pt idx="28">
                  <c:v>1151055.1390198281</c:v>
                </c:pt>
                <c:pt idx="29">
                  <c:v>1217020.9804160981</c:v>
                </c:pt>
                <c:pt idx="30">
                  <c:v>1285378.1467085797</c:v>
                </c:pt>
                <c:pt idx="31">
                  <c:v>1356204.0332668363</c:v>
                </c:pt>
                <c:pt idx="32">
                  <c:v>1429477.1499158421</c:v>
                </c:pt>
                <c:pt idx="33">
                  <c:v>1505091.2241389991</c:v>
                </c:pt>
                <c:pt idx="34">
                  <c:v>1583124.7502897664</c:v>
                </c:pt>
                <c:pt idx="35">
                  <c:v>1663658.614736561</c:v>
                </c:pt>
                <c:pt idx="36">
                  <c:v>1746776.1647572643</c:v>
                </c:pt>
                <c:pt idx="37">
                  <c:v>1832563.2793487599</c:v>
                </c:pt>
                <c:pt idx="38">
                  <c:v>1921108.4420034597</c:v>
                </c:pt>
                <c:pt idx="39">
                  <c:v>2012502.8155061784</c:v>
                </c:pt>
                <c:pt idx="40">
                  <c:v>2106840.318806123</c:v>
                </c:pt>
                <c:pt idx="41">
                  <c:v>2204217.7060202374</c:v>
                </c:pt>
              </c:numCache>
            </c:numRef>
          </c:val>
          <c:smooth val="0"/>
          <c:extLst>
            <c:ext xmlns:c16="http://schemas.microsoft.com/office/drawing/2014/chart" uri="{C3380CC4-5D6E-409C-BE32-E72D297353CC}">
              <c16:uniqueId val="{00000001-D1D8-CE4E-9B67-3EA84B5A936C}"/>
            </c:ext>
          </c:extLst>
        </c:ser>
        <c:ser>
          <c:idx val="2"/>
          <c:order val="2"/>
          <c:tx>
            <c:strRef>
              <c:f>'Difference in benefits TPS'!$D$3</c:f>
              <c:strCache>
                <c:ptCount val="1"/>
                <c:pt idx="0">
                  <c:v>Single - female</c:v>
                </c:pt>
              </c:strCache>
            </c:strRef>
          </c:tx>
          <c:spPr>
            <a:ln w="28575" cap="rnd">
              <a:solidFill>
                <a:schemeClr val="accent3"/>
              </a:solidFill>
              <a:round/>
            </a:ln>
            <a:effectLst/>
          </c:spPr>
          <c:marker>
            <c:symbol val="none"/>
          </c:marker>
          <c:cat>
            <c:numRef>
              <c:f>'Difference in benefits TPS'!$A$4:$A$45</c:f>
              <c:numCache>
                <c:formatCode>General</c:formatCode>
                <c:ptCount val="42"/>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pt idx="29">
                  <c:v>2051</c:v>
                </c:pt>
                <c:pt idx="30">
                  <c:v>2052</c:v>
                </c:pt>
                <c:pt idx="31">
                  <c:v>2053</c:v>
                </c:pt>
                <c:pt idx="32">
                  <c:v>2054</c:v>
                </c:pt>
                <c:pt idx="33">
                  <c:v>2055</c:v>
                </c:pt>
                <c:pt idx="34">
                  <c:v>2056</c:v>
                </c:pt>
                <c:pt idx="35">
                  <c:v>2057</c:v>
                </c:pt>
                <c:pt idx="36">
                  <c:v>2058</c:v>
                </c:pt>
                <c:pt idx="37">
                  <c:v>2059</c:v>
                </c:pt>
                <c:pt idx="38">
                  <c:v>2060</c:v>
                </c:pt>
                <c:pt idx="39">
                  <c:v>2061</c:v>
                </c:pt>
                <c:pt idx="40">
                  <c:v>2062</c:v>
                </c:pt>
                <c:pt idx="41">
                  <c:v>2063</c:v>
                </c:pt>
              </c:numCache>
            </c:numRef>
          </c:cat>
          <c:val>
            <c:numRef>
              <c:f>'Difference in benefits TPS'!$D$4:$D$45</c:f>
              <c:numCache>
                <c:formatCode>_("£"* #,##0.00_);_("£"* \(#,##0.00\);_("£"* "-"??_);_(@_)</c:formatCode>
                <c:ptCount val="42"/>
                <c:pt idx="0">
                  <c:v>20567.07856598017</c:v>
                </c:pt>
                <c:pt idx="1">
                  <c:v>41984.477620137302</c:v>
                </c:pt>
                <c:pt idx="2">
                  <c:v>64282.407488329518</c:v>
                </c:pt>
                <c:pt idx="3">
                  <c:v>87492.025233561901</c:v>
                </c:pt>
                <c:pt idx="4">
                  <c:v>111645.46238753729</c:v>
                </c:pt>
                <c:pt idx="5">
                  <c:v>136775.8534618041</c:v>
                </c:pt>
                <c:pt idx="6">
                  <c:v>154996.68843961356</c:v>
                </c:pt>
                <c:pt idx="7">
                  <c:v>180843.93809359882</c:v>
                </c:pt>
                <c:pt idx="8">
                  <c:v>207716.14176568322</c:v>
                </c:pt>
                <c:pt idx="9">
                  <c:v>235648.79123363693</c:v>
                </c:pt>
                <c:pt idx="10">
                  <c:v>264678.47647750552</c:v>
                </c:pt>
                <c:pt idx="11">
                  <c:v>294842.91761047061</c:v>
                </c:pt>
                <c:pt idx="12">
                  <c:v>326180.99770307122</c:v>
                </c:pt>
                <c:pt idx="13">
                  <c:v>358732.79652514495</c:v>
                </c:pt>
                <c:pt idx="14">
                  <c:v>392539.6252304978</c:v>
                </c:pt>
                <c:pt idx="15">
                  <c:v>427644.06200998335</c:v>
                </c:pt>
                <c:pt idx="16">
                  <c:v>464089.98873935529</c:v>
                </c:pt>
                <c:pt idx="17">
                  <c:v>501922.62864896702</c:v>
                </c:pt>
                <c:pt idx="18">
                  <c:v>541188.58504311147</c:v>
                </c:pt>
                <c:pt idx="19">
                  <c:v>581935.88109754049</c:v>
                </c:pt>
                <c:pt idx="20">
                  <c:v>624214.00076446263</c:v>
                </c:pt>
                <c:pt idx="21">
                  <c:v>668073.93081510428</c:v>
                </c:pt>
                <c:pt idx="22">
                  <c:v>713568.20405071927</c:v>
                </c:pt>
                <c:pt idx="23">
                  <c:v>760750.94371375511</c:v>
                </c:pt>
                <c:pt idx="24">
                  <c:v>783101.27203904139</c:v>
                </c:pt>
                <c:pt idx="25">
                  <c:v>832127.76628222747</c:v>
                </c:pt>
                <c:pt idx="26">
                  <c:v>882950.55925182311</c:v>
                </c:pt>
                <c:pt idx="27">
                  <c:v>935628.52525311522</c:v>
                </c:pt>
                <c:pt idx="28">
                  <c:v>990222.30835808825</c:v>
                </c:pt>
                <c:pt idx="29">
                  <c:v>1046794.372974289</c:v>
                </c:pt>
                <c:pt idx="30">
                  <c:v>1105409.0558123633</c:v>
                </c:pt>
                <c:pt idx="31">
                  <c:v>1166132.6192900978</c:v>
                </c:pt>
                <c:pt idx="32">
                  <c:v>1228932.1106644697</c:v>
                </c:pt>
                <c:pt idx="33">
                  <c:v>1293689.4559035162</c:v>
                </c:pt>
                <c:pt idx="34">
                  <c:v>1360470.9993103151</c:v>
                </c:pt>
                <c:pt idx="35">
                  <c:v>1429345.1188168123</c:v>
                </c:pt>
                <c:pt idx="36">
                  <c:v>1500382.2847567487</c:v>
                </c:pt>
                <c:pt idx="37">
                  <c:v>1573655.1202758262</c:v>
                </c:pt>
                <c:pt idx="38">
                  <c:v>1649238.4634236037</c:v>
                </c:pt>
                <c:pt idx="39">
                  <c:v>1727209.4309728008</c:v>
                </c:pt>
                <c:pt idx="40">
                  <c:v>1807647.4840129171</c:v>
                </c:pt>
                <c:pt idx="41">
                  <c:v>1890634.4953663065</c:v>
                </c:pt>
              </c:numCache>
            </c:numRef>
          </c:val>
          <c:smooth val="0"/>
          <c:extLst>
            <c:ext xmlns:c16="http://schemas.microsoft.com/office/drawing/2014/chart" uri="{C3380CC4-5D6E-409C-BE32-E72D297353CC}">
              <c16:uniqueId val="{00000002-D1D8-CE4E-9B67-3EA84B5A936C}"/>
            </c:ext>
          </c:extLst>
        </c:ser>
        <c:ser>
          <c:idx val="3"/>
          <c:order val="3"/>
          <c:tx>
            <c:strRef>
              <c:f>'Difference in benefits TPS'!$E$3</c:f>
              <c:strCache>
                <c:ptCount val="1"/>
                <c:pt idx="0">
                  <c:v>Joint - female</c:v>
                </c:pt>
              </c:strCache>
            </c:strRef>
          </c:tx>
          <c:spPr>
            <a:ln w="28575" cap="rnd">
              <a:solidFill>
                <a:schemeClr val="accent4"/>
              </a:solidFill>
              <a:round/>
            </a:ln>
            <a:effectLst/>
          </c:spPr>
          <c:marker>
            <c:symbol val="none"/>
          </c:marker>
          <c:cat>
            <c:numRef>
              <c:f>'Difference in benefits TPS'!$A$4:$A$45</c:f>
              <c:numCache>
                <c:formatCode>General</c:formatCode>
                <c:ptCount val="42"/>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pt idx="29">
                  <c:v>2051</c:v>
                </c:pt>
                <c:pt idx="30">
                  <c:v>2052</c:v>
                </c:pt>
                <c:pt idx="31">
                  <c:v>2053</c:v>
                </c:pt>
                <c:pt idx="32">
                  <c:v>2054</c:v>
                </c:pt>
                <c:pt idx="33">
                  <c:v>2055</c:v>
                </c:pt>
                <c:pt idx="34">
                  <c:v>2056</c:v>
                </c:pt>
                <c:pt idx="35">
                  <c:v>2057</c:v>
                </c:pt>
                <c:pt idx="36">
                  <c:v>2058</c:v>
                </c:pt>
                <c:pt idx="37">
                  <c:v>2059</c:v>
                </c:pt>
                <c:pt idx="38">
                  <c:v>2060</c:v>
                </c:pt>
                <c:pt idx="39">
                  <c:v>2061</c:v>
                </c:pt>
                <c:pt idx="40">
                  <c:v>2062</c:v>
                </c:pt>
                <c:pt idx="41">
                  <c:v>2063</c:v>
                </c:pt>
              </c:numCache>
            </c:numRef>
          </c:cat>
          <c:val>
            <c:numRef>
              <c:f>'Difference in benefits TPS'!$E$4:$E$45</c:f>
              <c:numCache>
                <c:formatCode>_("£"* #,##0.00_);_("£"* \(#,##0.00\);_("£"* "-"??_);_(@_)</c:formatCode>
                <c:ptCount val="42"/>
                <c:pt idx="0">
                  <c:v>21679.834881320952</c:v>
                </c:pt>
                <c:pt idx="1">
                  <c:v>44261.377337461301</c:v>
                </c:pt>
                <c:pt idx="2">
                  <c:v>67776.621981671822</c:v>
                </c:pt>
                <c:pt idx="3">
                  <c:v>92258.565373423407</c:v>
                </c:pt>
                <c:pt idx="4">
                  <c:v>117741.2353554321</c:v>
                </c:pt>
                <c:pt idx="5">
                  <c:v>144259.72121521048</c:v>
                </c:pt>
                <c:pt idx="6">
                  <c:v>162808.39277163893</c:v>
                </c:pt>
                <c:pt idx="7">
                  <c:v>189977.81041350716</c:v>
                </c:pt>
                <c:pt idx="8">
                  <c:v>218229.10655589929</c:v>
                </c:pt>
                <c:pt idx="9">
                  <c:v>247599.70217952397</c:v>
                </c:pt>
                <c:pt idx="10">
                  <c:v>278128.17543875834</c:v>
                </c:pt>
                <c:pt idx="11">
                  <c:v>309854.29529504996</c:v>
                </c:pt>
                <c:pt idx="12">
                  <c:v>342819.05609110236</c:v>
                </c:pt>
                <c:pt idx="13">
                  <c:v>377064.71309148945</c:v>
                </c:pt>
                <c:pt idx="14">
                  <c:v>412634.81901603244</c:v>
                </c:pt>
                <c:pt idx="15">
                  <c:v>449574.26159297978</c:v>
                </c:pt>
                <c:pt idx="16">
                  <c:v>487929.30215974676</c:v>
                </c:pt>
                <c:pt idx="17">
                  <c:v>527747.61533972353</c:v>
                </c:pt>
                <c:pt idx="18">
                  <c:v>569078.32982441329</c:v>
                </c:pt>
                <c:pt idx="19">
                  <c:v>611972.07029095094</c:v>
                </c:pt>
                <c:pt idx="20">
                  <c:v>656481.0004858512</c:v>
                </c:pt>
                <c:pt idx="21">
                  <c:v>702658.86750666122</c:v>
                </c:pt>
                <c:pt idx="22">
                  <c:v>750561.0473140385</c:v>
                </c:pt>
                <c:pt idx="23">
                  <c:v>800244.59150763764</c:v>
                </c:pt>
                <c:pt idx="24">
                  <c:v>817222.65689122479</c:v>
                </c:pt>
                <c:pt idx="25">
                  <c:v>868434.50469511969</c:v>
                </c:pt>
                <c:pt idx="26">
                  <c:v>921525.51695516147</c:v>
                </c:pt>
                <c:pt idx="27">
                  <c:v>976557.23842798383</c:v>
                </c:pt>
                <c:pt idx="28">
                  <c:v>1033593.0631134423</c:v>
                </c:pt>
                <c:pt idx="29">
                  <c:v>1092698.2870807447</c:v>
                </c:pt>
                <c:pt idx="30">
                  <c:v>1153940.1627554474</c:v>
                </c:pt>
                <c:pt idx="31">
                  <c:v>1217387.9547068207</c:v>
                </c:pt>
                <c:pt idx="32">
                  <c:v>1283011.8012288117</c:v>
                </c:pt>
                <c:pt idx="33">
                  <c:v>1350696.8107281828</c:v>
                </c:pt>
                <c:pt idx="34">
                  <c:v>1420512.6039339327</c:v>
                </c:pt>
                <c:pt idx="35">
                  <c:v>1492530.9318476</c:v>
                </c:pt>
                <c:pt idx="36">
                  <c:v>1566825.7372456104</c:v>
                </c:pt>
                <c:pt idx="37">
                  <c:v>1643473.2178937746</c:v>
                </c:pt>
                <c:pt idx="38">
                  <c:v>1722551.8915204406</c:v>
                </c:pt>
                <c:pt idx="39">
                  <c:v>1804142.6625960469</c:v>
                </c:pt>
                <c:pt idx="40">
                  <c:v>1888328.8909681085</c:v>
                </c:pt>
                <c:pt idx="41">
                  <c:v>1975196.4624019554</c:v>
                </c:pt>
              </c:numCache>
            </c:numRef>
          </c:val>
          <c:smooth val="0"/>
          <c:extLst>
            <c:ext xmlns:c16="http://schemas.microsoft.com/office/drawing/2014/chart" uri="{C3380CC4-5D6E-409C-BE32-E72D297353CC}">
              <c16:uniqueId val="{00000003-D1D8-CE4E-9B67-3EA84B5A936C}"/>
            </c:ext>
          </c:extLst>
        </c:ser>
        <c:dLbls>
          <c:showLegendKey val="0"/>
          <c:showVal val="0"/>
          <c:showCatName val="0"/>
          <c:showSerName val="0"/>
          <c:showPercent val="0"/>
          <c:showBubbleSize val="0"/>
        </c:dLbls>
        <c:smooth val="0"/>
        <c:axId val="2083467359"/>
        <c:axId val="2083469055"/>
      </c:lineChart>
      <c:catAx>
        <c:axId val="2083467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469055"/>
        <c:crosses val="autoZero"/>
        <c:auto val="1"/>
        <c:lblAlgn val="ctr"/>
        <c:lblOffset val="100"/>
        <c:noMultiLvlLbl val="0"/>
      </c:catAx>
      <c:valAx>
        <c:axId val="208346905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467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Reduction</a:t>
            </a:r>
            <a:r>
              <a:rPr lang="en-US" baseline="0"/>
              <a:t> in annual pension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'Difference in benefits TPS'!$H$3</c:f>
              <c:strCache>
                <c:ptCount val="1"/>
                <c:pt idx="0">
                  <c:v>Single - male</c:v>
                </c:pt>
              </c:strCache>
            </c:strRef>
          </c:tx>
          <c:spPr>
            <a:ln w="28575" cap="rnd">
              <a:solidFill>
                <a:schemeClr val="accent1"/>
              </a:solidFill>
              <a:round/>
            </a:ln>
            <a:effectLst/>
          </c:spPr>
          <c:marker>
            <c:symbol val="none"/>
          </c:marker>
          <c:cat>
            <c:numRef>
              <c:f>'Difference in benefits TPS'!$G$4:$G$45</c:f>
              <c:numCache>
                <c:formatCode>General</c:formatCode>
                <c:ptCount val="4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numCache>
            </c:numRef>
          </c:cat>
          <c:val>
            <c:numRef>
              <c:f>'Difference in benefits TPS'!$H$4:$H$45</c:f>
              <c:numCache>
                <c:formatCode>_("£"* #,##0.00_);_("£"* \(#,##0.00\);_("£"* "-"??_);_(@_)</c:formatCode>
                <c:ptCount val="42"/>
                <c:pt idx="0">
                  <c:v>554.50350877192989</c:v>
                </c:pt>
                <c:pt idx="1">
                  <c:v>1127.0823199790523</c:v>
                </c:pt>
                <c:pt idx="2">
                  <c:v>1718.2708302165531</c:v>
                </c:pt>
                <c:pt idx="3">
                  <c:v>2328.616368236691</c:v>
                </c:pt>
                <c:pt idx="4">
                  <c:v>2958.6794927851561</c:v>
                </c:pt>
                <c:pt idx="5">
                  <c:v>3609.0342969994904</c:v>
                </c:pt>
                <c:pt idx="6">
                  <c:v>4275.2862487191096</c:v>
                </c:pt>
                <c:pt idx="7">
                  <c:v>4966.8240351622098</c:v>
                </c:pt>
                <c:pt idx="8">
                  <c:v>5680.3410879035846</c:v>
                </c:pt>
                <c:pt idx="9">
                  <c:v>6416.4679715200464</c:v>
                </c:pt>
                <c:pt idx="10">
                  <c:v>7175.8503914890052</c:v>
                </c:pt>
                <c:pt idx="11">
                  <c:v>7959.1495407822604</c:v>
                </c:pt>
                <c:pt idx="12">
                  <c:v>8767.0424540697932</c:v>
                </c:pt>
                <c:pt idx="13">
                  <c:v>9600.2223696967285</c:v>
                </c:pt>
                <c:pt idx="14">
                  <c:v>10459.399099600007</c:v>
                </c:pt>
                <c:pt idx="15">
                  <c:v>11345.299407334885</c:v>
                </c:pt>
                <c:pt idx="16">
                  <c:v>12258.667394384913</c:v>
                </c:pt>
                <c:pt idx="17">
                  <c:v>13200.264894932685</c:v>
                </c:pt>
                <c:pt idx="18">
                  <c:v>14170.871879272476</c:v>
                </c:pt>
                <c:pt idx="19">
                  <c:v>15171.286866049551</c:v>
                </c:pt>
                <c:pt idx="20">
                  <c:v>16202.327343514959</c:v>
                </c:pt>
                <c:pt idx="21">
                  <c:v>17264.830199988486</c:v>
                </c:pt>
                <c:pt idx="22">
                  <c:v>18359.652163726583</c:v>
                </c:pt>
                <c:pt idx="23">
                  <c:v>19487.670252396121</c:v>
                </c:pt>
                <c:pt idx="24">
                  <c:v>20619.149539495083</c:v>
                </c:pt>
                <c:pt idx="25">
                  <c:v>21813.922615133753</c:v>
                </c:pt>
                <c:pt idx="26">
                  <c:v>23044.556048783976</c:v>
                </c:pt>
                <c:pt idx="27">
                  <c:v>24312.011876640951</c:v>
                </c:pt>
                <c:pt idx="28">
                  <c:v>25617.27480681803</c:v>
                </c:pt>
                <c:pt idx="29">
                  <c:v>26961.352730697756</c:v>
                </c:pt>
                <c:pt idx="30">
                  <c:v>28345.277245414916</c:v>
                </c:pt>
                <c:pt idx="31">
                  <c:v>29770.104187708832</c:v>
                </c:pt>
                <c:pt idx="32">
                  <c:v>31234.66274454656</c:v>
                </c:pt>
                <c:pt idx="33">
                  <c:v>32735.922399345665</c:v>
                </c:pt>
                <c:pt idx="34">
                  <c:v>34274.976634973566</c:v>
                </c:pt>
                <c:pt idx="35">
                  <c:v>35852.944470726856</c:v>
                </c:pt>
                <c:pt idx="36">
                  <c:v>37470.971044791557</c:v>
                </c:pt>
                <c:pt idx="37">
                  <c:v>39130.228209412147</c:v>
                </c:pt>
                <c:pt idx="38">
                  <c:v>40831.915139040779</c:v>
                </c:pt>
                <c:pt idx="39">
                  <c:v>42577.258951744014</c:v>
                </c:pt>
                <c:pt idx="40">
                  <c:v>44367.51534414979</c:v>
                </c:pt>
                <c:pt idx="41">
                  <c:v>46203.969240223792</c:v>
                </c:pt>
              </c:numCache>
            </c:numRef>
          </c:val>
          <c:smooth val="0"/>
          <c:extLst>
            <c:ext xmlns:c16="http://schemas.microsoft.com/office/drawing/2014/chart" uri="{C3380CC4-5D6E-409C-BE32-E72D297353CC}">
              <c16:uniqueId val="{00000000-13D3-094E-8535-A6EBBE3434F9}"/>
            </c:ext>
          </c:extLst>
        </c:ser>
        <c:ser>
          <c:idx val="1"/>
          <c:order val="1"/>
          <c:tx>
            <c:strRef>
              <c:f>'Difference in benefits TPS'!$I$3</c:f>
              <c:strCache>
                <c:ptCount val="1"/>
                <c:pt idx="0">
                  <c:v>Joint - male</c:v>
                </c:pt>
              </c:strCache>
            </c:strRef>
          </c:tx>
          <c:spPr>
            <a:ln w="28575" cap="rnd">
              <a:solidFill>
                <a:schemeClr val="accent2"/>
              </a:solidFill>
              <a:round/>
            </a:ln>
            <a:effectLst/>
          </c:spPr>
          <c:marker>
            <c:symbol val="none"/>
          </c:marker>
          <c:cat>
            <c:numRef>
              <c:f>'Difference in benefits TPS'!$G$4:$G$45</c:f>
              <c:numCache>
                <c:formatCode>General</c:formatCode>
                <c:ptCount val="4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numCache>
            </c:numRef>
          </c:cat>
          <c:val>
            <c:numRef>
              <c:f>'Difference in benefits TPS'!$I$4:$I$45</c:f>
              <c:numCache>
                <c:formatCode>_("£"* #,##0.00_);_("£"* \(#,##0.00\);_("£"* "-"??_);_(@_)</c:formatCode>
                <c:ptCount val="42"/>
                <c:pt idx="0">
                  <c:v>555.47790877192983</c:v>
                </c:pt>
                <c:pt idx="1">
                  <c:v>1129.3326507253209</c:v>
                </c:pt>
                <c:pt idx="2">
                  <c:v>1722.1005335827074</c:v>
                </c:pt>
                <c:pt idx="3">
                  <c:v>2334.3308432532494</c:v>
                </c:pt>
                <c:pt idx="4">
                  <c:v>2966.5861422506091</c:v>
                </c:pt>
                <c:pt idx="5">
                  <c:v>3619.4425746821653</c:v>
                </c:pt>
                <c:pt idx="6">
                  <c:v>4289.6149228906834</c:v>
                </c:pt>
                <c:pt idx="7">
                  <c:v>4984.5414468013496</c:v>
                </c:pt>
                <c:pt idx="8">
                  <c:v>5701.7895872890012</c:v>
                </c:pt>
                <c:pt idx="9">
                  <c:v>6441.9923428842694</c:v>
                </c:pt>
                <c:pt idx="10">
                  <c:v>7205.7979075304856</c:v>
                </c:pt>
                <c:pt idx="11">
                  <c:v>7993.8700178812251</c:v>
                </c:pt>
                <c:pt idx="12">
                  <c:v>8806.8883082189823</c:v>
                </c:pt>
                <c:pt idx="13">
                  <c:v>9645.5486731582932</c:v>
                </c:pt>
                <c:pt idx="14">
                  <c:v>10510.563638300042</c:v>
                </c:pt>
                <c:pt idx="15">
                  <c:v>11402.662739007203</c:v>
                </c:pt>
                <c:pt idx="16">
                  <c:v>12322.592907475857</c:v>
                </c:pt>
                <c:pt idx="17">
                  <c:v>13271.118868278962</c:v>
                </c:pt>
                <c:pt idx="18">
                  <c:v>14249.023542564113</c:v>
                </c:pt>
                <c:pt idx="19">
                  <c:v>15257.10846109034</c:v>
                </c:pt>
                <c:pt idx="20">
                  <c:v>16296.194186292854</c:v>
                </c:pt>
                <c:pt idx="21">
                  <c:v>17367.120743568659</c:v>
                </c:pt>
                <c:pt idx="22">
                  <c:v>18470.748061979983</c:v>
                </c:pt>
                <c:pt idx="23">
                  <c:v>19607.956424576623</c:v>
                </c:pt>
                <c:pt idx="24">
                  <c:v>20748.830166240867</c:v>
                </c:pt>
                <c:pt idx="25">
                  <c:v>21953.559281433707</c:v>
                </c:pt>
                <c:pt idx="26">
                  <c:v>23194.543306160525</c:v>
                </c:pt>
                <c:pt idx="27">
                  <c:v>24472.747804054812</c:v>
                </c:pt>
                <c:pt idx="28">
                  <c:v>25789.161079593076</c:v>
                </c:pt>
                <c:pt idx="29">
                  <c:v>27144.794690375602</c:v>
                </c:pt>
                <c:pt idx="30">
                  <c:v>28540.683970553666</c:v>
                </c:pt>
                <c:pt idx="31">
                  <c:v>29977.888565640667</c:v>
                </c:pt>
                <c:pt idx="32">
                  <c:v>31455.557410714511</c:v>
                </c:pt>
                <c:pt idx="33">
                  <c:v>32971.244274845361</c:v>
                </c:pt>
                <c:pt idx="34">
                  <c:v>34526.052057244364</c:v>
                </c:pt>
                <c:pt idx="35">
                  <c:v>36121.10940358619</c:v>
                </c:pt>
                <c:pt idx="36">
                  <c:v>37757.571291184657</c:v>
                </c:pt>
                <c:pt idx="37">
                  <c:v>39436.619626919855</c:v>
                </c:pt>
                <c:pt idx="38">
                  <c:v>41159.4638581892</c:v>
                </c:pt>
                <c:pt idx="39">
                  <c:v>42927.341597159932</c:v>
                </c:pt>
                <c:pt idx="40">
                  <c:v>44741.519258606873</c:v>
                </c:pt>
                <c:pt idx="41">
                  <c:v>46603.292711624999</c:v>
                </c:pt>
              </c:numCache>
            </c:numRef>
          </c:val>
          <c:smooth val="0"/>
          <c:extLst>
            <c:ext xmlns:c16="http://schemas.microsoft.com/office/drawing/2014/chart" uri="{C3380CC4-5D6E-409C-BE32-E72D297353CC}">
              <c16:uniqueId val="{00000001-13D3-094E-8535-A6EBBE3434F9}"/>
            </c:ext>
          </c:extLst>
        </c:ser>
        <c:ser>
          <c:idx val="2"/>
          <c:order val="2"/>
          <c:tx>
            <c:strRef>
              <c:f>'Difference in benefits TPS'!$J$3</c:f>
              <c:strCache>
                <c:ptCount val="1"/>
                <c:pt idx="0">
                  <c:v>Single - female</c:v>
                </c:pt>
              </c:strCache>
            </c:strRef>
          </c:tx>
          <c:spPr>
            <a:ln w="28575" cap="rnd">
              <a:solidFill>
                <a:schemeClr val="accent3"/>
              </a:solidFill>
              <a:round/>
            </a:ln>
            <a:effectLst/>
          </c:spPr>
          <c:marker>
            <c:symbol val="none"/>
          </c:marker>
          <c:cat>
            <c:numRef>
              <c:f>'Difference in benefits TPS'!$G$4:$G$45</c:f>
              <c:numCache>
                <c:formatCode>General</c:formatCode>
                <c:ptCount val="4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numCache>
            </c:numRef>
          </c:cat>
          <c:val>
            <c:numRef>
              <c:f>'Difference in benefits TPS'!$J$4:$J$45</c:f>
              <c:numCache>
                <c:formatCode>_("£"* #,##0.00_);_("£"* \(#,##0.00\);_("£"* "-"??_);_(@_)</c:formatCode>
                <c:ptCount val="42"/>
                <c:pt idx="0">
                  <c:v>554.50350877192989</c:v>
                </c:pt>
                <c:pt idx="1">
                  <c:v>1127.0823199790523</c:v>
                </c:pt>
                <c:pt idx="2">
                  <c:v>1718.2708302165531</c:v>
                </c:pt>
                <c:pt idx="3">
                  <c:v>2328.616368236691</c:v>
                </c:pt>
                <c:pt idx="4">
                  <c:v>2958.6794927851561</c:v>
                </c:pt>
                <c:pt idx="5">
                  <c:v>3609.0342969994904</c:v>
                </c:pt>
                <c:pt idx="6">
                  <c:v>4275.2862487191096</c:v>
                </c:pt>
                <c:pt idx="7">
                  <c:v>4966.8240351622098</c:v>
                </c:pt>
                <c:pt idx="8">
                  <c:v>5680.3410879035846</c:v>
                </c:pt>
                <c:pt idx="9">
                  <c:v>6416.4679715200464</c:v>
                </c:pt>
                <c:pt idx="10">
                  <c:v>7175.8503914890052</c:v>
                </c:pt>
                <c:pt idx="11">
                  <c:v>7959.1495407822604</c:v>
                </c:pt>
                <c:pt idx="12">
                  <c:v>8767.0424540697932</c:v>
                </c:pt>
                <c:pt idx="13">
                  <c:v>9600.2223696967285</c:v>
                </c:pt>
                <c:pt idx="14">
                  <c:v>10459.399099600007</c:v>
                </c:pt>
                <c:pt idx="15">
                  <c:v>11345.299407334885</c:v>
                </c:pt>
                <c:pt idx="16">
                  <c:v>12258.667394384913</c:v>
                </c:pt>
                <c:pt idx="17">
                  <c:v>13200.264894932685</c:v>
                </c:pt>
                <c:pt idx="18">
                  <c:v>14170.871879272476</c:v>
                </c:pt>
                <c:pt idx="19">
                  <c:v>15171.286866049551</c:v>
                </c:pt>
                <c:pt idx="20">
                  <c:v>16202.327343514959</c:v>
                </c:pt>
                <c:pt idx="21">
                  <c:v>17264.830199988486</c:v>
                </c:pt>
                <c:pt idx="22">
                  <c:v>18359.652163726583</c:v>
                </c:pt>
                <c:pt idx="23">
                  <c:v>19487.670252396121</c:v>
                </c:pt>
                <c:pt idx="24">
                  <c:v>20619.149539495083</c:v>
                </c:pt>
                <c:pt idx="25">
                  <c:v>21813.922615133753</c:v>
                </c:pt>
                <c:pt idx="26">
                  <c:v>23044.556048783976</c:v>
                </c:pt>
                <c:pt idx="27">
                  <c:v>24312.011876640951</c:v>
                </c:pt>
                <c:pt idx="28">
                  <c:v>25617.27480681803</c:v>
                </c:pt>
                <c:pt idx="29">
                  <c:v>26961.352730697756</c:v>
                </c:pt>
                <c:pt idx="30">
                  <c:v>28345.277245414916</c:v>
                </c:pt>
                <c:pt idx="31">
                  <c:v>29770.104187708832</c:v>
                </c:pt>
                <c:pt idx="32">
                  <c:v>31234.66274454656</c:v>
                </c:pt>
                <c:pt idx="33">
                  <c:v>32735.922399345665</c:v>
                </c:pt>
                <c:pt idx="34">
                  <c:v>34274.976634973566</c:v>
                </c:pt>
                <c:pt idx="35">
                  <c:v>35852.944470726856</c:v>
                </c:pt>
                <c:pt idx="36">
                  <c:v>37470.971044791557</c:v>
                </c:pt>
                <c:pt idx="37">
                  <c:v>39130.228209412147</c:v>
                </c:pt>
                <c:pt idx="38">
                  <c:v>40831.915139040779</c:v>
                </c:pt>
                <c:pt idx="39">
                  <c:v>42577.258951744014</c:v>
                </c:pt>
                <c:pt idx="40">
                  <c:v>44367.51534414979</c:v>
                </c:pt>
                <c:pt idx="41">
                  <c:v>46203.969240223792</c:v>
                </c:pt>
              </c:numCache>
            </c:numRef>
          </c:val>
          <c:smooth val="0"/>
          <c:extLst>
            <c:ext xmlns:c16="http://schemas.microsoft.com/office/drawing/2014/chart" uri="{C3380CC4-5D6E-409C-BE32-E72D297353CC}">
              <c16:uniqueId val="{00000002-13D3-094E-8535-A6EBBE3434F9}"/>
            </c:ext>
          </c:extLst>
        </c:ser>
        <c:ser>
          <c:idx val="3"/>
          <c:order val="3"/>
          <c:tx>
            <c:strRef>
              <c:f>'Difference in benefits TPS'!$K$3</c:f>
              <c:strCache>
                <c:ptCount val="1"/>
                <c:pt idx="0">
                  <c:v>Joint - female</c:v>
                </c:pt>
              </c:strCache>
            </c:strRef>
          </c:tx>
          <c:spPr>
            <a:ln w="28575" cap="rnd">
              <a:solidFill>
                <a:schemeClr val="accent4"/>
              </a:solidFill>
              <a:round/>
            </a:ln>
            <a:effectLst/>
          </c:spPr>
          <c:marker>
            <c:symbol val="none"/>
          </c:marker>
          <c:cat>
            <c:numRef>
              <c:f>'Difference in benefits TPS'!$G$4:$G$45</c:f>
              <c:numCache>
                <c:formatCode>General</c:formatCode>
                <c:ptCount val="4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numCache>
            </c:numRef>
          </c:cat>
          <c:val>
            <c:numRef>
              <c:f>'Difference in benefits TPS'!$K$4:$K$45</c:f>
              <c:numCache>
                <c:formatCode>_("£"* #,##0.00_);_("£"* \(#,##0.00\);_("£"* "-"??_);_(@_)</c:formatCode>
                <c:ptCount val="42"/>
                <c:pt idx="0">
                  <c:v>554.87550877192984</c:v>
                </c:pt>
                <c:pt idx="1">
                  <c:v>1127.9414363969627</c:v>
                </c:pt>
                <c:pt idx="2">
                  <c:v>1719.7329090878682</c:v>
                </c:pt>
                <c:pt idx="3">
                  <c:v>2330.7980027873477</c:v>
                </c:pt>
                <c:pt idx="4">
                  <c:v>2961.6980412264006</c:v>
                </c:pt>
                <c:pt idx="5">
                  <c:v>3613.0079005482949</c:v>
                </c:pt>
                <c:pt idx="6">
                  <c:v>4280.2035891734449</c:v>
                </c:pt>
                <c:pt idx="7">
                  <c:v>4972.9043287020049</c:v>
                </c:pt>
                <c:pt idx="8">
                  <c:v>5687.7018229199439</c:v>
                </c:pt>
                <c:pt idx="9">
                  <c:v>6425.2274716927686</c:v>
                </c:pt>
                <c:pt idx="10">
                  <c:v>7186.1278344941502</c:v>
                </c:pt>
                <c:pt idx="11">
                  <c:v>7971.0649772412235</c:v>
                </c:pt>
                <c:pt idx="12">
                  <c:v>8780.716826743721</c:v>
                </c:pt>
                <c:pt idx="13">
                  <c:v>9615.7775329301294</c:v>
                </c:pt>
                <c:pt idx="14">
                  <c:v>10476.957839017519</c:v>
                </c:pt>
                <c:pt idx="15">
                  <c:v>11364.985459795158</c:v>
                </c:pt>
                <c:pt idx="16">
                  <c:v>12280.605468195668</c:v>
                </c:pt>
                <c:pt idx="17">
                  <c:v>13224.580690331066</c:v>
                </c:pt>
                <c:pt idx="18">
                  <c:v>14197.692109174834</c:v>
                </c:pt>
                <c:pt idx="19">
                  <c:v>15200.739277074912</c:v>
                </c:pt>
                <c:pt idx="20">
                  <c:v>16234.540737286463</c:v>
                </c:pt>
                <c:pt idx="21">
                  <c:v>17299.934454717135</c:v>
                </c:pt>
                <c:pt idx="22">
                  <c:v>18397.778256081729</c:v>
                </c:pt>
                <c:pt idx="23">
                  <c:v>19528.950279667155</c:v>
                </c:pt>
                <c:pt idx="24">
                  <c:v>20658.111880266239</c:v>
                </c:pt>
                <c:pt idx="25">
                  <c:v>21855.876232362887</c:v>
                </c:pt>
                <c:pt idx="26">
                  <c:v>23089.61948485675</c:v>
                </c:pt>
                <c:pt idx="27">
                  <c:v>24360.304733756326</c:v>
                </c:pt>
                <c:pt idx="28">
                  <c:v>25668.917767696632</c:v>
                </c:pt>
                <c:pt idx="29">
                  <c:v>27016.467579569577</c:v>
                </c:pt>
                <c:pt idx="30">
                  <c:v>28403.986889290685</c:v>
                </c:pt>
                <c:pt idx="31">
                  <c:v>29832.532677939475</c:v>
                </c:pt>
                <c:pt idx="32">
                  <c:v>31301.030200301055</c:v>
                </c:pt>
                <c:pt idx="33">
                  <c:v>32806.624487500281</c:v>
                </c:pt>
                <c:pt idx="34">
                  <c:v>34350.411851530262</c:v>
                </c:pt>
                <c:pt idx="35">
                  <c:v>35933.514203917774</c:v>
                </c:pt>
                <c:pt idx="36">
                  <c:v>37557.079638999348</c:v>
                </c:pt>
                <c:pt idx="37">
                  <c:v>39222.283029918952</c:v>
                </c:pt>
                <c:pt idx="38">
                  <c:v>40930.326637619</c:v>
                </c:pt>
                <c:pt idx="39">
                  <c:v>42682.440733102158</c:v>
                </c:pt>
                <c:pt idx="40">
                  <c:v>44479.884233246761</c:v>
                </c:pt>
                <c:pt idx="41">
                  <c:v>46323.945350465408</c:v>
                </c:pt>
              </c:numCache>
            </c:numRef>
          </c:val>
          <c:smooth val="0"/>
          <c:extLst>
            <c:ext xmlns:c16="http://schemas.microsoft.com/office/drawing/2014/chart" uri="{C3380CC4-5D6E-409C-BE32-E72D297353CC}">
              <c16:uniqueId val="{00000003-13D3-094E-8535-A6EBBE3434F9}"/>
            </c:ext>
          </c:extLst>
        </c:ser>
        <c:dLbls>
          <c:showLegendKey val="0"/>
          <c:showVal val="0"/>
          <c:showCatName val="0"/>
          <c:showSerName val="0"/>
          <c:showPercent val="0"/>
          <c:showBubbleSize val="0"/>
        </c:dLbls>
        <c:smooth val="0"/>
        <c:axId val="1651964799"/>
        <c:axId val="1651998575"/>
      </c:lineChart>
      <c:catAx>
        <c:axId val="165196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998575"/>
        <c:crosses val="autoZero"/>
        <c:auto val="1"/>
        <c:lblAlgn val="ctr"/>
        <c:lblOffset val="100"/>
        <c:noMultiLvlLbl val="0"/>
      </c:catAx>
      <c:valAx>
        <c:axId val="165199857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9647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812800</xdr:colOff>
      <xdr:row>37</xdr:row>
      <xdr:rowOff>0</xdr:rowOff>
    </xdr:from>
    <xdr:to>
      <xdr:col>16</xdr:col>
      <xdr:colOff>0</xdr:colOff>
      <xdr:row>77</xdr:row>
      <xdr:rowOff>38100</xdr:rowOff>
    </xdr:to>
    <xdr:graphicFrame macro="">
      <xdr:nvGraphicFramePr>
        <xdr:cNvPr id="2" name="Chart 1">
          <a:extLst>
            <a:ext uri="{FF2B5EF4-FFF2-40B4-BE49-F238E27FC236}">
              <a16:creationId xmlns:a16="http://schemas.microsoft.com/office/drawing/2014/main" id="{F62A287C-5000-434F-B923-CBB7E7A473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453572</xdr:colOff>
      <xdr:row>4</xdr:row>
      <xdr:rowOff>0</xdr:rowOff>
    </xdr:from>
    <xdr:to>
      <xdr:col>18</xdr:col>
      <xdr:colOff>453572</xdr:colOff>
      <xdr:row>36</xdr:row>
      <xdr:rowOff>165100</xdr:rowOff>
    </xdr:to>
    <xdr:graphicFrame macro="">
      <xdr:nvGraphicFramePr>
        <xdr:cNvPr id="3" name="Chart 2">
          <a:extLst>
            <a:ext uri="{FF2B5EF4-FFF2-40B4-BE49-F238E27FC236}">
              <a16:creationId xmlns:a16="http://schemas.microsoft.com/office/drawing/2014/main" id="{19ECC021-245B-4441-ADB1-8D89FD3272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431800</xdr:colOff>
      <xdr:row>2</xdr:row>
      <xdr:rowOff>139700</xdr:rowOff>
    </xdr:from>
    <xdr:to>
      <xdr:col>31</xdr:col>
      <xdr:colOff>778933</xdr:colOff>
      <xdr:row>30</xdr:row>
      <xdr:rowOff>12700</xdr:rowOff>
    </xdr:to>
    <xdr:graphicFrame macro="">
      <xdr:nvGraphicFramePr>
        <xdr:cNvPr id="4" name="Chart 3">
          <a:extLst>
            <a:ext uri="{FF2B5EF4-FFF2-40B4-BE49-F238E27FC236}">
              <a16:creationId xmlns:a16="http://schemas.microsoft.com/office/drawing/2014/main" id="{E0AC5712-115F-7444-9837-DA3D46D55A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245534</xdr:colOff>
      <xdr:row>30</xdr:row>
      <xdr:rowOff>194733</xdr:rowOff>
    </xdr:from>
    <xdr:to>
      <xdr:col>32</xdr:col>
      <xdr:colOff>80434</xdr:colOff>
      <xdr:row>58</xdr:row>
      <xdr:rowOff>194733</xdr:rowOff>
    </xdr:to>
    <xdr:graphicFrame macro="">
      <xdr:nvGraphicFramePr>
        <xdr:cNvPr id="5" name="Chart 4">
          <a:extLst>
            <a:ext uri="{FF2B5EF4-FFF2-40B4-BE49-F238E27FC236}">
              <a16:creationId xmlns:a16="http://schemas.microsoft.com/office/drawing/2014/main" id="{02879706-E2F7-4340-83BB-DC0637E151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482600</xdr:colOff>
      <xdr:row>2</xdr:row>
      <xdr:rowOff>88900</xdr:rowOff>
    </xdr:from>
    <xdr:to>
      <xdr:col>23</xdr:col>
      <xdr:colOff>0</xdr:colOff>
      <xdr:row>29</xdr:row>
      <xdr:rowOff>165100</xdr:rowOff>
    </xdr:to>
    <xdr:graphicFrame macro="">
      <xdr:nvGraphicFramePr>
        <xdr:cNvPr id="2" name="Chart 1">
          <a:extLst>
            <a:ext uri="{FF2B5EF4-FFF2-40B4-BE49-F238E27FC236}">
              <a16:creationId xmlns:a16="http://schemas.microsoft.com/office/drawing/2014/main" id="{52EC3D5B-5C26-ED48-ADA3-3A34B9F12D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330200</xdr:colOff>
      <xdr:row>30</xdr:row>
      <xdr:rowOff>25400</xdr:rowOff>
    </xdr:from>
    <xdr:to>
      <xdr:col>23</xdr:col>
      <xdr:colOff>165100</xdr:colOff>
      <xdr:row>58</xdr:row>
      <xdr:rowOff>25400</xdr:rowOff>
    </xdr:to>
    <xdr:graphicFrame macro="">
      <xdr:nvGraphicFramePr>
        <xdr:cNvPr id="3" name="Chart 2">
          <a:extLst>
            <a:ext uri="{FF2B5EF4-FFF2-40B4-BE49-F238E27FC236}">
              <a16:creationId xmlns:a16="http://schemas.microsoft.com/office/drawing/2014/main" id="{BFB78BA2-1E23-8648-A9D7-7F23885EB3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32</xdr:row>
      <xdr:rowOff>0</xdr:rowOff>
    </xdr:from>
    <xdr:to>
      <xdr:col>1</xdr:col>
      <xdr:colOff>0</xdr:colOff>
      <xdr:row>32</xdr:row>
      <xdr:rowOff>12700</xdr:rowOff>
    </xdr:to>
    <xdr:pic>
      <xdr:nvPicPr>
        <xdr:cNvPr id="2" name="Picture 1" descr="page3image310450288">
          <a:extLst>
            <a:ext uri="{FF2B5EF4-FFF2-40B4-BE49-F238E27FC236}">
              <a16:creationId xmlns:a16="http://schemas.microsoft.com/office/drawing/2014/main" id="{63D7FD2C-A6BD-934A-833C-BE2730E75F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8600" y="5918200"/>
          <a:ext cx="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7"/>
  <sheetViews>
    <sheetView tabSelected="1" topLeftCell="A18" zoomScale="112" zoomScaleNormal="100" workbookViewId="0">
      <selection activeCell="B26" sqref="B26"/>
    </sheetView>
  </sheetViews>
  <sheetFormatPr baseColWidth="10" defaultRowHeight="16"/>
  <cols>
    <col min="1" max="1" width="62.5" customWidth="1"/>
    <col min="2" max="2" width="21.1640625" customWidth="1"/>
    <col min="4" max="4" width="11.33203125" bestFit="1" customWidth="1"/>
  </cols>
  <sheetData>
    <row r="1" spans="1:4">
      <c r="A1" s="3" t="s">
        <v>235</v>
      </c>
    </row>
    <row r="2" spans="1:4">
      <c r="A2" s="16" t="s">
        <v>217</v>
      </c>
    </row>
    <row r="3" spans="1:4">
      <c r="A3" s="36" t="s">
        <v>133</v>
      </c>
    </row>
    <row r="4" spans="1:4">
      <c r="A4" s="35" t="s">
        <v>95</v>
      </c>
    </row>
    <row r="5" spans="1:4" ht="51" customHeight="1">
      <c r="A5" s="90" t="s">
        <v>134</v>
      </c>
      <c r="B5" s="90"/>
    </row>
    <row r="6" spans="1:4">
      <c r="A6" s="35"/>
    </row>
    <row r="7" spans="1:4" ht="17">
      <c r="A7" s="33" t="s">
        <v>129</v>
      </c>
      <c r="B7" s="30"/>
    </row>
    <row r="9" spans="1:4">
      <c r="A9" t="s">
        <v>128</v>
      </c>
      <c r="B9" s="32" t="s">
        <v>33</v>
      </c>
    </row>
    <row r="10" spans="1:4">
      <c r="A10" t="s">
        <v>21</v>
      </c>
      <c r="B10" s="23">
        <v>32000</v>
      </c>
      <c r="C10" s="78"/>
    </row>
    <row r="11" spans="1:4">
      <c r="A11" t="s">
        <v>131</v>
      </c>
      <c r="B11" s="32" t="s">
        <v>102</v>
      </c>
      <c r="C11" s="78"/>
    </row>
    <row r="12" spans="1:4">
      <c r="A12" t="s">
        <v>34</v>
      </c>
      <c r="B12" s="25">
        <v>35186</v>
      </c>
    </row>
    <row r="13" spans="1:4">
      <c r="A13" t="s">
        <v>35</v>
      </c>
      <c r="B13" s="26">
        <f>'State pension age'!G10</f>
        <v>2064</v>
      </c>
    </row>
    <row r="14" spans="1:4">
      <c r="A14" t="s">
        <v>208</v>
      </c>
      <c r="B14" s="60" t="s">
        <v>127</v>
      </c>
    </row>
    <row r="15" spans="1:4">
      <c r="B15" s="61"/>
    </row>
    <row r="16" spans="1:4">
      <c r="A16" s="3" t="s">
        <v>132</v>
      </c>
      <c r="B16" s="34"/>
      <c r="D16" s="84"/>
    </row>
    <row r="17" spans="1:2">
      <c r="A17" t="s">
        <v>130</v>
      </c>
      <c r="B17" s="24">
        <v>0.02</v>
      </c>
    </row>
    <row r="18" spans="1:2">
      <c r="A18" t="s">
        <v>222</v>
      </c>
      <c r="B18" s="27">
        <v>5.0000000000000001E-3</v>
      </c>
    </row>
    <row r="19" spans="1:2">
      <c r="B19" s="27"/>
    </row>
    <row r="20" spans="1:2">
      <c r="A20" s="3" t="s">
        <v>206</v>
      </c>
    </row>
    <row r="21" spans="1:2">
      <c r="A21" t="s">
        <v>228</v>
      </c>
      <c r="B21" s="24">
        <v>0.08</v>
      </c>
    </row>
    <row r="22" spans="1:2">
      <c r="A22" t="s">
        <v>230</v>
      </c>
      <c r="B22" s="59">
        <v>0.12</v>
      </c>
    </row>
    <row r="23" spans="1:2">
      <c r="A23" t="s">
        <v>214</v>
      </c>
      <c r="B23" s="23">
        <v>59883.65</v>
      </c>
    </row>
    <row r="24" spans="1:2">
      <c r="A24" t="s">
        <v>229</v>
      </c>
      <c r="B24" s="85">
        <v>75</v>
      </c>
    </row>
    <row r="25" spans="1:2">
      <c r="B25" s="23"/>
    </row>
    <row r="26" spans="1:2">
      <c r="A26" s="3" t="s">
        <v>205</v>
      </c>
      <c r="B26" s="27" t="s">
        <v>260</v>
      </c>
    </row>
    <row r="27" spans="1:2">
      <c r="A27" t="s">
        <v>228</v>
      </c>
      <c r="B27" s="115">
        <f>LOOKUP(B26,'2020 scenarios'!B2:F2,'2020 scenarios'!B3:F3)</f>
        <v>0.12</v>
      </c>
    </row>
    <row r="28" spans="1:2">
      <c r="A28" t="s">
        <v>230</v>
      </c>
      <c r="B28" s="115">
        <f>LOOKUP(B26,'2020 scenarios'!B2:F2,'2020 scenarios'!B4:F4)</f>
        <v>0</v>
      </c>
    </row>
    <row r="29" spans="1:2">
      <c r="A29" t="s">
        <v>214</v>
      </c>
      <c r="B29" s="23">
        <f>LOOKUP(B26,'2020 scenarios'!B2:F2,'2020 scenarios'!B5:F5)</f>
        <v>30000</v>
      </c>
    </row>
    <row r="30" spans="1:2">
      <c r="A30" t="s">
        <v>229</v>
      </c>
      <c r="B30" s="85">
        <f>LOOKUP(B26,'2020 scenarios'!B2:F2,'2020 scenarios'!B6:F6)</f>
        <v>165</v>
      </c>
    </row>
    <row r="31" spans="1:2">
      <c r="B31" s="23"/>
    </row>
    <row r="32" spans="1:2" ht="15" customHeight="1">
      <c r="A32" t="s">
        <v>172</v>
      </c>
      <c r="B32" s="116" t="str">
        <f>B26</f>
        <v>Scenario 2b</v>
      </c>
    </row>
    <row r="33" spans="1:3">
      <c r="B33" s="89"/>
    </row>
    <row r="34" spans="1:3">
      <c r="B34" s="58"/>
    </row>
    <row r="35" spans="1:3" ht="17" thickBot="1">
      <c r="A35" s="3" t="s">
        <v>221</v>
      </c>
    </row>
    <row r="36" spans="1:3">
      <c r="A36" s="62" t="s">
        <v>220</v>
      </c>
      <c r="B36" s="71"/>
      <c r="C36" s="63"/>
    </row>
    <row r="37" spans="1:3">
      <c r="A37" s="66" t="s">
        <v>135</v>
      </c>
      <c r="B37" s="69">
        <f>'Difference in benefits'!C99+'Difference in benefits'!C103</f>
        <v>28019.758291919487</v>
      </c>
      <c r="C37" s="65"/>
    </row>
    <row r="38" spans="1:3">
      <c r="A38" s="66" t="s">
        <v>99</v>
      </c>
      <c r="B38" s="69">
        <f>'Difference in benefits'!C100+'Difference in benefits'!C104</f>
        <v>1234687.2485939863</v>
      </c>
      <c r="C38" s="65"/>
    </row>
    <row r="39" spans="1:3">
      <c r="A39" s="66"/>
      <c r="B39" s="70"/>
      <c r="C39" s="65"/>
    </row>
    <row r="40" spans="1:3">
      <c r="A40" s="80" t="s">
        <v>241</v>
      </c>
      <c r="B40" s="70"/>
      <c r="C40" s="65"/>
    </row>
    <row r="41" spans="1:3">
      <c r="A41" s="66" t="s">
        <v>135</v>
      </c>
      <c r="B41" s="69">
        <f>'Difference in benefits'!C111+'Difference in benefits'!C107</f>
        <v>10360.369449540318</v>
      </c>
      <c r="C41" s="73"/>
    </row>
    <row r="42" spans="1:3">
      <c r="A42" s="66" t="s">
        <v>213</v>
      </c>
      <c r="B42" s="69">
        <f>'Difference in benefits'!C112+'Difference in benefits'!C108</f>
        <v>508813.39778316597</v>
      </c>
      <c r="C42" s="73"/>
    </row>
    <row r="43" spans="1:3">
      <c r="A43" s="66"/>
      <c r="B43" s="68"/>
      <c r="C43" s="65"/>
    </row>
    <row r="44" spans="1:3">
      <c r="A44" s="64" t="s">
        <v>196</v>
      </c>
      <c r="B44" s="68"/>
      <c r="C44" s="65"/>
    </row>
    <row r="45" spans="1:3">
      <c r="A45" s="66" t="s">
        <v>192</v>
      </c>
      <c r="B45" s="72">
        <f>B41-B37</f>
        <v>-17659.388842379169</v>
      </c>
      <c r="C45" s="73">
        <f>B45/B37</f>
        <v>-0.63024772228216874</v>
      </c>
    </row>
    <row r="46" spans="1:3" ht="17" thickBot="1">
      <c r="A46" s="67" t="s">
        <v>193</v>
      </c>
      <c r="B46" s="76">
        <f>B42-B38</f>
        <v>-725873.85081082024</v>
      </c>
      <c r="C46" s="77">
        <f>B46/B38</f>
        <v>-0.58790098596824181</v>
      </c>
    </row>
    <row r="47" spans="1:3" ht="17" thickBot="1">
      <c r="A47" s="68"/>
      <c r="B47" s="74"/>
      <c r="C47" s="79"/>
    </row>
    <row r="48" spans="1:3">
      <c r="A48" s="62" t="s">
        <v>195</v>
      </c>
      <c r="B48" s="71"/>
      <c r="C48" s="81"/>
    </row>
    <row r="49" spans="1:3">
      <c r="A49" s="66" t="s">
        <v>135</v>
      </c>
      <c r="B49" s="69">
        <f>'Difference in benefits TPS'!C78</f>
        <v>51124.753548288973</v>
      </c>
      <c r="C49" s="73"/>
    </row>
    <row r="50" spans="1:3">
      <c r="A50" s="66" t="s">
        <v>99</v>
      </c>
      <c r="B50" s="69">
        <f>'Difference in benefits TPS'!C79</f>
        <v>2184398.02451046</v>
      </c>
      <c r="C50" s="65"/>
    </row>
    <row r="51" spans="1:3">
      <c r="A51" s="66"/>
      <c r="B51" s="75"/>
      <c r="C51" s="65"/>
    </row>
    <row r="52" spans="1:3">
      <c r="A52" s="64" t="s">
        <v>200</v>
      </c>
      <c r="B52" s="68"/>
      <c r="C52" s="65"/>
    </row>
    <row r="53" spans="1:3">
      <c r="A53" s="66" t="s">
        <v>201</v>
      </c>
      <c r="B53" s="72">
        <f>B41-B49</f>
        <v>-40764.384098748655</v>
      </c>
      <c r="C53" s="73">
        <f>B53/B49</f>
        <v>-0.79735120992310282</v>
      </c>
    </row>
    <row r="54" spans="1:3" ht="17" thickBot="1">
      <c r="A54" s="67" t="s">
        <v>202</v>
      </c>
      <c r="B54" s="76">
        <f>B42-B50</f>
        <v>-1675584.6267272939</v>
      </c>
      <c r="C54" s="77">
        <f>B54/B50</f>
        <v>-0.76706928312792499</v>
      </c>
    </row>
    <row r="57" spans="1:3">
      <c r="A57" s="3" t="s">
        <v>103</v>
      </c>
    </row>
    <row r="58" spans="1:3">
      <c r="A58" t="s">
        <v>105</v>
      </c>
      <c r="B58" s="5" t="s">
        <v>253</v>
      </c>
    </row>
    <row r="59" spans="1:3">
      <c r="A59" t="s">
        <v>123</v>
      </c>
      <c r="B59" s="5"/>
    </row>
    <row r="60" spans="1:3">
      <c r="A60" s="3" t="s">
        <v>224</v>
      </c>
      <c r="B60" s="5"/>
    </row>
    <row r="61" spans="1:3">
      <c r="A61" t="s">
        <v>106</v>
      </c>
    </row>
    <row r="62" spans="1:3">
      <c r="A62" t="s">
        <v>107</v>
      </c>
    </row>
    <row r="63" spans="1:3">
      <c r="A63" t="s">
        <v>190</v>
      </c>
    </row>
    <row r="64" spans="1:3">
      <c r="A64" t="s">
        <v>191</v>
      </c>
    </row>
    <row r="66" spans="1:3" ht="16" customHeight="1">
      <c r="A66" s="88" t="s">
        <v>218</v>
      </c>
      <c r="B66" s="88"/>
      <c r="C66" s="88"/>
    </row>
    <row r="67" spans="1:3">
      <c r="A67" s="88"/>
      <c r="B67" s="88"/>
      <c r="C67" s="88"/>
    </row>
    <row r="68" spans="1:3">
      <c r="A68" s="88"/>
      <c r="B68" s="88"/>
      <c r="C68" s="88"/>
    </row>
    <row r="69" spans="1:3">
      <c r="A69" s="88"/>
      <c r="B69" s="88"/>
      <c r="C69" s="88"/>
    </row>
    <row r="71" spans="1:3">
      <c r="A71" s="3" t="s">
        <v>173</v>
      </c>
    </row>
    <row r="72" spans="1:3">
      <c r="A72" t="s">
        <v>174</v>
      </c>
    </row>
    <row r="74" spans="1:3">
      <c r="A74" t="s">
        <v>175</v>
      </c>
    </row>
    <row r="75" spans="1:3">
      <c r="A75" t="s">
        <v>177</v>
      </c>
    </row>
    <row r="76" spans="1:3">
      <c r="A76" t="s">
        <v>178</v>
      </c>
    </row>
    <row r="77" spans="1:3">
      <c r="A77" t="s">
        <v>179</v>
      </c>
    </row>
    <row r="78" spans="1:3">
      <c r="A78" t="s">
        <v>176</v>
      </c>
    </row>
    <row r="80" spans="1:3">
      <c r="A80" t="s">
        <v>182</v>
      </c>
    </row>
    <row r="81" spans="1:1">
      <c r="A81" t="s">
        <v>180</v>
      </c>
    </row>
    <row r="83" spans="1:1">
      <c r="A83" t="s">
        <v>183</v>
      </c>
    </row>
    <row r="84" spans="1:1">
      <c r="A84" t="s">
        <v>219</v>
      </c>
    </row>
    <row r="86" spans="1:1">
      <c r="A86" t="s">
        <v>188</v>
      </c>
    </row>
    <row r="87" spans="1:1">
      <c r="A87" t="s">
        <v>189</v>
      </c>
    </row>
    <row r="89" spans="1:1">
      <c r="A89" s="3" t="s">
        <v>181</v>
      </c>
    </row>
    <row r="90" spans="1:1">
      <c r="A90" t="s">
        <v>254</v>
      </c>
    </row>
    <row r="91" spans="1:1">
      <c r="A91" t="s">
        <v>255</v>
      </c>
    </row>
    <row r="92" spans="1:1">
      <c r="A92" t="s">
        <v>223</v>
      </c>
    </row>
    <row r="95" spans="1:1">
      <c r="A95" s="3" t="s">
        <v>215</v>
      </c>
    </row>
    <row r="96" spans="1:1">
      <c r="A96" t="s">
        <v>216</v>
      </c>
    </row>
    <row r="97" spans="1:1">
      <c r="A97" t="s">
        <v>225</v>
      </c>
    </row>
  </sheetData>
  <mergeCells count="3">
    <mergeCell ref="A66:C69"/>
    <mergeCell ref="B32:B33"/>
    <mergeCell ref="A5:B5"/>
  </mergeCells>
  <pageMargins left="0.7" right="0.7" top="0.75" bottom="0.75" header="0.3" footer="0.3"/>
  <pageSetup paperSize="9" orientation="landscape" horizontalDpi="0" verticalDpi="0"/>
  <drawing r:id="rId1"/>
  <extLst>
    <ext xmlns:x14="http://schemas.microsoft.com/office/spreadsheetml/2009/9/main" uri="{CCE6A557-97BC-4b89-ADB6-D9C93CAAB3DF}">
      <x14:dataValidations xmlns:xm="http://schemas.microsoft.com/office/excel/2006/main" count="2">
        <x14:dataValidation type="list" allowBlank="1" showInputMessage="1" showErrorMessage="1" xr:uid="{7423129F-E629-124B-8E11-72864CC678E1}">
          <x14:formula1>
            <xm:f>'Investment returns'!$V$23:$V$37</xm:f>
          </x14:formula1>
          <xm:sqref>B32:B33</xm:sqref>
        </x14:dataValidation>
        <x14:dataValidation type="list" allowBlank="1" showInputMessage="1" showErrorMessage="1" xr:uid="{FBA440B9-F6C4-D64A-B2F3-DB7B8FB0D7D3}">
          <x14:formula1>
            <xm:f>'2020 scenarios'!$B$2:$F$2</xm:f>
          </x14:formula1>
          <xm:sqref>B26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71"/>
  <sheetViews>
    <sheetView topLeftCell="A7" workbookViewId="0">
      <selection activeCell="C21" sqref="C21"/>
    </sheetView>
  </sheetViews>
  <sheetFormatPr baseColWidth="10" defaultRowHeight="16"/>
  <sheetData>
    <row r="1" spans="1:9">
      <c r="A1" s="3" t="s">
        <v>19</v>
      </c>
    </row>
    <row r="2" spans="1:9">
      <c r="A2" s="17"/>
      <c r="B2" s="17"/>
      <c r="C2" s="17"/>
      <c r="D2" s="17"/>
      <c r="E2" s="17"/>
      <c r="F2" s="17"/>
      <c r="G2" s="17"/>
      <c r="H2" s="17"/>
      <c r="I2" s="17"/>
    </row>
    <row r="3" spans="1:9">
      <c r="A3" s="94" t="s">
        <v>113</v>
      </c>
      <c r="B3" s="94"/>
      <c r="C3" s="94"/>
      <c r="D3" s="17"/>
      <c r="E3" s="17"/>
      <c r="F3" s="17"/>
      <c r="G3" s="17"/>
      <c r="H3" s="17"/>
      <c r="I3" s="17"/>
    </row>
    <row r="4" spans="1:9" ht="16" customHeight="1">
      <c r="A4" s="95" t="s">
        <v>18</v>
      </c>
      <c r="B4" s="95"/>
      <c r="C4" s="95"/>
      <c r="D4" s="95"/>
      <c r="E4" s="95"/>
      <c r="F4" s="95"/>
      <c r="G4" s="95"/>
      <c r="H4" s="95"/>
      <c r="I4" s="95"/>
    </row>
    <row r="5" spans="1:9">
      <c r="A5" s="95"/>
      <c r="B5" s="95"/>
      <c r="C5" s="95"/>
      <c r="D5" s="95"/>
      <c r="E5" s="95"/>
      <c r="F5" s="95"/>
      <c r="G5" s="95"/>
      <c r="H5" s="95"/>
      <c r="I5" s="95"/>
    </row>
    <row r="6" spans="1:9">
      <c r="A6" s="95"/>
      <c r="B6" s="95"/>
      <c r="C6" s="95"/>
      <c r="D6" s="95"/>
      <c r="E6" s="95"/>
      <c r="F6" s="95"/>
      <c r="G6" s="95"/>
      <c r="H6" s="95"/>
      <c r="I6" s="95"/>
    </row>
    <row r="7" spans="1:9">
      <c r="A7" s="30"/>
      <c r="B7" s="30"/>
      <c r="C7" s="30"/>
      <c r="D7" s="30"/>
      <c r="E7" s="30"/>
      <c r="F7" s="30"/>
      <c r="G7" s="30"/>
      <c r="H7" s="30"/>
      <c r="I7" s="30"/>
    </row>
    <row r="8" spans="1:9" ht="65" customHeight="1">
      <c r="A8" s="88" t="s">
        <v>111</v>
      </c>
      <c r="B8" s="88"/>
      <c r="C8" s="88"/>
      <c r="D8" s="88"/>
      <c r="E8" s="88"/>
      <c r="F8" s="88"/>
      <c r="G8" s="88"/>
      <c r="H8" s="88"/>
      <c r="I8" s="88"/>
    </row>
    <row r="9" spans="1:9" ht="17" customHeight="1">
      <c r="A9" s="94" t="s">
        <v>114</v>
      </c>
      <c r="B9" s="94"/>
      <c r="C9" s="94"/>
      <c r="D9" s="17"/>
      <c r="E9" s="17"/>
      <c r="F9" s="17"/>
      <c r="G9" s="17"/>
      <c r="H9" s="17"/>
      <c r="I9" s="17"/>
    </row>
    <row r="10" spans="1:9" ht="16" customHeight="1">
      <c r="A10" s="88" t="s">
        <v>112</v>
      </c>
      <c r="B10" s="88"/>
      <c r="C10" s="88"/>
      <c r="D10" s="88"/>
      <c r="E10" s="88"/>
      <c r="F10" s="88"/>
      <c r="G10" s="88"/>
      <c r="H10" s="88"/>
      <c r="I10" s="88"/>
    </row>
    <row r="11" spans="1:9">
      <c r="A11" s="88"/>
      <c r="B11" s="88"/>
      <c r="C11" s="88"/>
      <c r="D11" s="88"/>
      <c r="E11" s="88"/>
      <c r="F11" s="88"/>
      <c r="G11" s="88"/>
      <c r="H11" s="88"/>
      <c r="I11" s="88"/>
    </row>
    <row r="12" spans="1:9">
      <c r="A12" s="88"/>
      <c r="B12" s="88"/>
      <c r="C12" s="88"/>
      <c r="D12" s="88"/>
      <c r="E12" s="88"/>
      <c r="F12" s="88"/>
      <c r="G12" s="88"/>
      <c r="H12" s="88"/>
      <c r="I12" s="88"/>
    </row>
    <row r="13" spans="1:9">
      <c r="A13" s="88"/>
      <c r="B13" s="88"/>
      <c r="C13" s="88"/>
      <c r="D13" s="88"/>
      <c r="E13" s="88"/>
      <c r="F13" s="88"/>
      <c r="G13" s="88"/>
      <c r="H13" s="88"/>
      <c r="I13" s="88"/>
    </row>
    <row r="14" spans="1:9">
      <c r="A14" s="88"/>
      <c r="B14" s="88"/>
      <c r="C14" s="88"/>
      <c r="D14" s="88"/>
      <c r="E14" s="88"/>
      <c r="F14" s="88"/>
      <c r="G14" s="88"/>
      <c r="H14" s="88"/>
      <c r="I14" s="88"/>
    </row>
    <row r="15" spans="1:9">
      <c r="A15" s="29"/>
      <c r="B15" s="29"/>
      <c r="C15" s="29"/>
      <c r="D15" s="29"/>
      <c r="E15" s="29"/>
      <c r="F15" s="29"/>
      <c r="G15" s="29"/>
      <c r="H15" s="29"/>
      <c r="I15" s="29"/>
    </row>
    <row r="16" spans="1:9" ht="22" customHeight="1">
      <c r="A16" s="88" t="s">
        <v>115</v>
      </c>
      <c r="B16" s="88"/>
      <c r="C16" s="29"/>
      <c r="D16" s="29"/>
      <c r="E16" s="29"/>
      <c r="F16" s="29"/>
      <c r="G16" s="29"/>
      <c r="H16" s="29"/>
      <c r="I16" s="29"/>
    </row>
    <row r="17" spans="1:24" ht="23" customHeight="1">
      <c r="A17" s="96" t="s">
        <v>104</v>
      </c>
      <c r="B17" s="96"/>
      <c r="C17" s="96"/>
      <c r="D17" s="96"/>
      <c r="E17" s="96"/>
      <c r="F17" s="96"/>
      <c r="G17" s="96"/>
      <c r="H17" s="96"/>
      <c r="I17" s="96"/>
    </row>
    <row r="18" spans="1:24">
      <c r="A18" s="2"/>
      <c r="B18" t="s">
        <v>20</v>
      </c>
      <c r="C18" s="2"/>
      <c r="D18" s="2"/>
      <c r="E18" s="2"/>
      <c r="F18" s="2"/>
      <c r="G18" s="2"/>
      <c r="H18" s="2"/>
      <c r="I18" s="2"/>
      <c r="P18" t="s">
        <v>248</v>
      </c>
    </row>
    <row r="19" spans="1:24" ht="39" customHeight="1">
      <c r="B19" s="4">
        <v>1.22222222222222E-3</v>
      </c>
      <c r="F19" s="91" t="s">
        <v>31</v>
      </c>
      <c r="G19" s="97" t="str">
        <f>'Investment returns (2)'!Z6</f>
        <v>Growth Fund (DC) 50%</v>
      </c>
      <c r="H19" s="97" t="str">
        <f>'Investment returns (2)'!AA6</f>
        <v>Moderate Growth Fund (DC) 50%</v>
      </c>
      <c r="I19" s="97" t="str">
        <f>'Investment returns (2)'!AB6</f>
        <v>Cautious Growth Fund (DC) 50%</v>
      </c>
      <c r="J19" s="97" t="str">
        <f>'Investment returns (2)'!AC6</f>
        <v>Cash fund (DC) 50%</v>
      </c>
      <c r="K19" s="91" t="s">
        <v>90</v>
      </c>
      <c r="L19" s="97" t="str">
        <f>'Investment returns (2)'!AD6</f>
        <v>Growth Fund (DC) 67%</v>
      </c>
      <c r="M19" s="97" t="str">
        <f>'Investment returns (2)'!AE6</f>
        <v>Moderate Growth Fund (DC) 67%</v>
      </c>
      <c r="N19" s="97" t="str">
        <f>'Investment returns (2)'!AF6</f>
        <v>Cautious Growth Fund (DC) 67%</v>
      </c>
      <c r="O19" s="97" t="str">
        <f>'Investment returns (2)'!AG6</f>
        <v>Cash fund (DC) 67%</v>
      </c>
      <c r="P19" t="s">
        <v>249</v>
      </c>
    </row>
    <row r="20" spans="1:24" ht="8" customHeight="1">
      <c r="B20" s="4"/>
      <c r="F20" s="91"/>
      <c r="G20" s="97"/>
      <c r="H20" s="97"/>
      <c r="I20" s="97"/>
      <c r="J20" s="97"/>
      <c r="K20" s="91"/>
      <c r="L20" s="97"/>
      <c r="M20" s="97"/>
      <c r="N20" s="97"/>
      <c r="O20" s="97"/>
      <c r="P20" t="s">
        <v>250</v>
      </c>
    </row>
    <row r="21" spans="1:24">
      <c r="B21" s="57">
        <f>VLOOKUP(Inputs!B32,V23:W37,2,FALSE)</f>
        <v>13</v>
      </c>
      <c r="C21" t="str">
        <f>Inputs!B32</f>
        <v>Scenario 2b</v>
      </c>
      <c r="D21" t="e">
        <f>VLOOKUP(Inputs!B32,V23:W32,2,FALSE)</f>
        <v>#N/A</v>
      </c>
      <c r="F21" s="91"/>
      <c r="G21" s="97"/>
      <c r="H21" s="97"/>
      <c r="I21" s="97"/>
      <c r="J21" s="97"/>
      <c r="K21" s="91"/>
      <c r="L21" s="97"/>
      <c r="M21" s="97"/>
      <c r="N21" s="97"/>
      <c r="O21" s="97"/>
      <c r="P21" t="s">
        <v>252</v>
      </c>
      <c r="Q21" t="s">
        <v>259</v>
      </c>
      <c r="R21" s="109" t="s">
        <v>260</v>
      </c>
      <c r="S21" s="109" t="s">
        <v>261</v>
      </c>
      <c r="T21" s="109" t="s">
        <v>262</v>
      </c>
      <c r="X21" t="s">
        <v>162</v>
      </c>
    </row>
    <row r="22" spans="1:24">
      <c r="A22" t="s">
        <v>159</v>
      </c>
      <c r="B22" s="4"/>
      <c r="F22" s="55">
        <v>1</v>
      </c>
      <c r="G22" s="56">
        <v>2</v>
      </c>
      <c r="H22" s="56">
        <v>3</v>
      </c>
      <c r="I22" s="56">
        <v>4</v>
      </c>
      <c r="J22" s="56">
        <v>5</v>
      </c>
      <c r="K22" s="55">
        <v>6</v>
      </c>
      <c r="L22" s="56">
        <v>7</v>
      </c>
      <c r="M22" s="56">
        <v>8</v>
      </c>
      <c r="N22" s="56">
        <v>9</v>
      </c>
      <c r="O22" s="56">
        <v>10</v>
      </c>
      <c r="P22" s="56">
        <v>11</v>
      </c>
      <c r="Q22" s="56">
        <v>12</v>
      </c>
      <c r="R22" s="56">
        <v>13</v>
      </c>
      <c r="S22" s="56">
        <v>14</v>
      </c>
      <c r="T22" s="56">
        <v>15</v>
      </c>
      <c r="V22" t="s">
        <v>170</v>
      </c>
      <c r="W22" t="s">
        <v>171</v>
      </c>
    </row>
    <row r="23" spans="1:24">
      <c r="A23">
        <v>2022</v>
      </c>
      <c r="B23" s="4">
        <f>LOOKUP(B$21,F$22:T$22,F23:T23)</f>
        <v>1E-3</v>
      </c>
      <c r="C23" s="4"/>
      <c r="F23" s="4">
        <v>9.7000000000000003E-3</v>
      </c>
      <c r="G23" s="54">
        <f>'Investment returns (2)'!Z7</f>
        <v>3.0844229999999997E-2</v>
      </c>
      <c r="H23" s="54">
        <f>'Investment returns (2)'!AA7</f>
        <v>2.0418139999999998E-2</v>
      </c>
      <c r="I23" s="54">
        <f>'Investment returns (2)'!AB7</f>
        <v>9.3503599999999951E-3</v>
      </c>
      <c r="J23" s="54">
        <f>'Investment returns (2)'!AC7</f>
        <v>-6.0999999999999995E-3</v>
      </c>
      <c r="K23" s="4">
        <v>0</v>
      </c>
      <c r="L23" s="54">
        <f>'Investment returns (2)'!AD7</f>
        <v>4.682154594594601E-3</v>
      </c>
      <c r="M23" s="54">
        <f>'Investment returns (2)'!AE7</f>
        <v>0</v>
      </c>
      <c r="N23" s="54">
        <f>'Investment returns (2)'!AF7</f>
        <v>1E-3</v>
      </c>
      <c r="O23" s="54">
        <f>'Investment returns (2)'!AG7</f>
        <v>2E-3</v>
      </c>
      <c r="P23" s="112">
        <v>0</v>
      </c>
      <c r="Q23" s="112">
        <v>1E-3</v>
      </c>
      <c r="R23" s="112">
        <v>1E-3</v>
      </c>
      <c r="S23" s="112">
        <v>2E-3</v>
      </c>
      <c r="T23" s="112">
        <v>2E-3</v>
      </c>
      <c r="V23" t="s">
        <v>31</v>
      </c>
      <c r="W23">
        <v>1</v>
      </c>
      <c r="X23" s="57">
        <f>VLOOKUP(X21,V23:W32,2,FALSE)</f>
        <v>2</v>
      </c>
    </row>
    <row r="24" spans="1:24">
      <c r="A24">
        <f>A23+1</f>
        <v>2023</v>
      </c>
      <c r="B24" s="4">
        <f t="shared" ref="B24:B71" si="0">LOOKUP(B$21,F$22:R$22,F24:R24)</f>
        <v>1E-3</v>
      </c>
      <c r="C24" s="4"/>
      <c r="F24" s="4">
        <v>9.7000000000000003E-3</v>
      </c>
      <c r="G24" s="54">
        <f>'Investment returns (2)'!Z8</f>
        <v>3.0844229999999997E-2</v>
      </c>
      <c r="H24" s="54">
        <f>'Investment returns (2)'!AA8</f>
        <v>2.0418139999999998E-2</v>
      </c>
      <c r="I24" s="54">
        <f>'Investment returns (2)'!AB8</f>
        <v>9.3503599999999951E-3</v>
      </c>
      <c r="J24" s="54">
        <f>'Investment returns (2)'!AC8</f>
        <v>-6.0999999999999995E-3</v>
      </c>
      <c r="K24" s="4">
        <v>0</v>
      </c>
      <c r="L24" s="54">
        <f>'Investment returns (2)'!AD8</f>
        <v>4.682154594594601E-3</v>
      </c>
      <c r="M24" s="54">
        <f>'Investment returns (2)'!AE8</f>
        <v>0</v>
      </c>
      <c r="N24" s="54">
        <f>'Investment returns (2)'!AF8</f>
        <v>1E-3</v>
      </c>
      <c r="O24" s="54">
        <f>'Investment returns (2)'!AG8</f>
        <v>2E-3</v>
      </c>
      <c r="P24" s="112">
        <v>0</v>
      </c>
      <c r="Q24" s="112">
        <f>Q23</f>
        <v>1E-3</v>
      </c>
      <c r="R24" s="112">
        <f>R23</f>
        <v>1E-3</v>
      </c>
      <c r="S24" s="112">
        <f>S23</f>
        <v>2E-3</v>
      </c>
      <c r="T24" s="112">
        <f>T23</f>
        <v>2E-3</v>
      </c>
      <c r="V24" t="s">
        <v>162</v>
      </c>
      <c r="W24">
        <v>2</v>
      </c>
    </row>
    <row r="25" spans="1:24">
      <c r="A25">
        <f t="shared" ref="A25:A49" si="1">A24+1</f>
        <v>2024</v>
      </c>
      <c r="B25" s="4">
        <f t="shared" si="0"/>
        <v>1E-3</v>
      </c>
      <c r="C25" s="4"/>
      <c r="F25" s="4">
        <v>9.7000000000000003E-3</v>
      </c>
      <c r="G25" s="54">
        <f>'Investment returns (2)'!Z9</f>
        <v>3.0844229999999997E-2</v>
      </c>
      <c r="H25" s="54">
        <f>'Investment returns (2)'!AA9</f>
        <v>2.0418139999999998E-2</v>
      </c>
      <c r="I25" s="54">
        <f>'Investment returns (2)'!AB9</f>
        <v>9.3503599999999951E-3</v>
      </c>
      <c r="J25" s="54">
        <f>'Investment returns (2)'!AC9</f>
        <v>-6.0999999999999995E-3</v>
      </c>
      <c r="K25" s="4">
        <v>0</v>
      </c>
      <c r="L25" s="54">
        <f>'Investment returns (2)'!AD9</f>
        <v>4.682154594594601E-3</v>
      </c>
      <c r="M25" s="54">
        <f>'Investment returns (2)'!AE9</f>
        <v>0</v>
      </c>
      <c r="N25" s="54">
        <f>'Investment returns (2)'!AF9</f>
        <v>1E-3</v>
      </c>
      <c r="O25" s="54">
        <f>'Investment returns (2)'!AG9</f>
        <v>2E-3</v>
      </c>
      <c r="P25" s="112">
        <v>0</v>
      </c>
      <c r="Q25" s="112">
        <f t="shared" ref="Q25:R71" si="2">Q24</f>
        <v>1E-3</v>
      </c>
      <c r="R25" s="112">
        <f t="shared" si="2"/>
        <v>1E-3</v>
      </c>
      <c r="S25" s="112">
        <f t="shared" ref="R25:T71" si="3">S24</f>
        <v>2E-3</v>
      </c>
      <c r="T25" s="112">
        <f t="shared" si="3"/>
        <v>2E-3</v>
      </c>
      <c r="V25" t="s">
        <v>163</v>
      </c>
      <c r="W25">
        <v>3</v>
      </c>
    </row>
    <row r="26" spans="1:24">
      <c r="A26">
        <f t="shared" si="1"/>
        <v>2025</v>
      </c>
      <c r="B26" s="4">
        <f t="shared" si="0"/>
        <v>1E-3</v>
      </c>
      <c r="C26" s="4"/>
      <c r="F26" s="4">
        <v>9.7000000000000003E-3</v>
      </c>
      <c r="G26" s="54">
        <f>'Investment returns (2)'!Z10</f>
        <v>3.0844229999999997E-2</v>
      </c>
      <c r="H26" s="54">
        <f>'Investment returns (2)'!AA10</f>
        <v>2.0418139999999998E-2</v>
      </c>
      <c r="I26" s="54">
        <f>'Investment returns (2)'!AB10</f>
        <v>9.3503599999999951E-3</v>
      </c>
      <c r="J26" s="54">
        <f>'Investment returns (2)'!AC10</f>
        <v>-6.0999999999999995E-3</v>
      </c>
      <c r="K26" s="4">
        <v>0</v>
      </c>
      <c r="L26" s="54">
        <f>'Investment returns (2)'!AD10</f>
        <v>4.682154594594601E-3</v>
      </c>
      <c r="M26" s="54">
        <f>'Investment returns (2)'!AE10</f>
        <v>0</v>
      </c>
      <c r="N26" s="54">
        <f>'Investment returns (2)'!AF10</f>
        <v>1E-3</v>
      </c>
      <c r="O26" s="54">
        <f>'Investment returns (2)'!AG10</f>
        <v>2E-3</v>
      </c>
      <c r="P26" s="112">
        <v>0</v>
      </c>
      <c r="Q26" s="112">
        <f t="shared" si="2"/>
        <v>1E-3</v>
      </c>
      <c r="R26" s="112">
        <f t="shared" si="2"/>
        <v>1E-3</v>
      </c>
      <c r="S26" s="112">
        <f t="shared" si="3"/>
        <v>2E-3</v>
      </c>
      <c r="T26" s="112">
        <f t="shared" si="3"/>
        <v>2E-3</v>
      </c>
      <c r="V26" t="s">
        <v>164</v>
      </c>
      <c r="W26">
        <v>4</v>
      </c>
    </row>
    <row r="27" spans="1:24">
      <c r="A27">
        <f t="shared" si="1"/>
        <v>2026</v>
      </c>
      <c r="B27" s="4">
        <f t="shared" si="0"/>
        <v>1E-3</v>
      </c>
      <c r="C27" s="4"/>
      <c r="F27" s="4">
        <v>9.7000000000000003E-3</v>
      </c>
      <c r="G27" s="54">
        <f>'Investment returns (2)'!Z11</f>
        <v>3.0844229999999997E-2</v>
      </c>
      <c r="H27" s="54">
        <f>'Investment returns (2)'!AA11</f>
        <v>2.0418139999999998E-2</v>
      </c>
      <c r="I27" s="54">
        <f>'Investment returns (2)'!AB11</f>
        <v>9.3503599999999951E-3</v>
      </c>
      <c r="J27" s="54">
        <f>'Investment returns (2)'!AC11</f>
        <v>-6.0999999999999995E-3</v>
      </c>
      <c r="K27" s="4">
        <v>0</v>
      </c>
      <c r="L27" s="54">
        <f>'Investment returns (2)'!AD11</f>
        <v>4.682154594594601E-3</v>
      </c>
      <c r="M27" s="54">
        <f>'Investment returns (2)'!AE11</f>
        <v>0</v>
      </c>
      <c r="N27" s="54">
        <f>'Investment returns (2)'!AF11</f>
        <v>1E-3</v>
      </c>
      <c r="O27" s="54">
        <f>'Investment returns (2)'!AG11</f>
        <v>2E-3</v>
      </c>
      <c r="P27" s="112">
        <v>0</v>
      </c>
      <c r="Q27" s="112">
        <f t="shared" si="2"/>
        <v>1E-3</v>
      </c>
      <c r="R27" s="112">
        <f t="shared" si="2"/>
        <v>1E-3</v>
      </c>
      <c r="S27" s="112">
        <f t="shared" si="3"/>
        <v>2E-3</v>
      </c>
      <c r="T27" s="112">
        <f t="shared" si="3"/>
        <v>2E-3</v>
      </c>
      <c r="V27" t="s">
        <v>165</v>
      </c>
      <c r="W27">
        <v>5</v>
      </c>
    </row>
    <row r="28" spans="1:24">
      <c r="A28">
        <f t="shared" si="1"/>
        <v>2027</v>
      </c>
      <c r="B28" s="4">
        <f t="shared" si="0"/>
        <v>1E-3</v>
      </c>
      <c r="C28" s="4"/>
      <c r="F28" s="4">
        <v>9.7000000000000003E-3</v>
      </c>
      <c r="G28" s="54">
        <f>'Investment returns (2)'!Z12</f>
        <v>3.0844229999999997E-2</v>
      </c>
      <c r="H28" s="54">
        <f>'Investment returns (2)'!AA12</f>
        <v>2.0418139999999998E-2</v>
      </c>
      <c r="I28" s="54">
        <f>'Investment returns (2)'!AB12</f>
        <v>9.3503599999999951E-3</v>
      </c>
      <c r="J28" s="54">
        <f>'Investment returns (2)'!AC12</f>
        <v>-6.0999999999999995E-3</v>
      </c>
      <c r="K28" s="4">
        <v>0</v>
      </c>
      <c r="L28" s="54">
        <f>'Investment returns (2)'!AD12</f>
        <v>4.682154594594601E-3</v>
      </c>
      <c r="M28" s="54">
        <f>'Investment returns (2)'!AE12</f>
        <v>0</v>
      </c>
      <c r="N28" s="54">
        <f>'Investment returns (2)'!AF12</f>
        <v>1E-3</v>
      </c>
      <c r="O28" s="54">
        <f>'Investment returns (2)'!AG12</f>
        <v>2E-3</v>
      </c>
      <c r="P28" s="112">
        <v>0</v>
      </c>
      <c r="Q28" s="112">
        <f t="shared" si="2"/>
        <v>1E-3</v>
      </c>
      <c r="R28" s="112">
        <f t="shared" si="2"/>
        <v>1E-3</v>
      </c>
      <c r="S28" s="112">
        <f t="shared" si="3"/>
        <v>2E-3</v>
      </c>
      <c r="T28" s="112">
        <f t="shared" si="3"/>
        <v>2E-3</v>
      </c>
      <c r="V28" t="s">
        <v>90</v>
      </c>
      <c r="W28">
        <v>6</v>
      </c>
    </row>
    <row r="29" spans="1:24">
      <c r="A29">
        <f t="shared" si="1"/>
        <v>2028</v>
      </c>
      <c r="B29" s="4">
        <f t="shared" si="0"/>
        <v>1E-3</v>
      </c>
      <c r="C29" s="4"/>
      <c r="F29" s="4">
        <v>9.7000000000000003E-3</v>
      </c>
      <c r="G29" s="54">
        <f>'Investment returns (2)'!Z13</f>
        <v>3.0844229999999997E-2</v>
      </c>
      <c r="H29" s="54">
        <f>'Investment returns (2)'!AA13</f>
        <v>2.0418139999999998E-2</v>
      </c>
      <c r="I29" s="54">
        <f>'Investment returns (2)'!AB13</f>
        <v>9.3503599999999951E-3</v>
      </c>
      <c r="J29" s="54">
        <f>'Investment returns (2)'!AC13</f>
        <v>-6.0999999999999995E-3</v>
      </c>
      <c r="K29" s="4">
        <v>0</v>
      </c>
      <c r="L29" s="54">
        <f>'Investment returns (2)'!AD13</f>
        <v>4.682154594594601E-3</v>
      </c>
      <c r="M29" s="54">
        <f>'Investment returns (2)'!AE13</f>
        <v>0</v>
      </c>
      <c r="N29" s="54">
        <f>'Investment returns (2)'!AF13</f>
        <v>1E-3</v>
      </c>
      <c r="O29" s="54">
        <f>'Investment returns (2)'!AG13</f>
        <v>2E-3</v>
      </c>
      <c r="P29" s="112">
        <v>0</v>
      </c>
      <c r="Q29" s="112">
        <f t="shared" si="2"/>
        <v>1E-3</v>
      </c>
      <c r="R29" s="112">
        <f t="shared" si="2"/>
        <v>1E-3</v>
      </c>
      <c r="S29" s="112">
        <f t="shared" si="3"/>
        <v>2E-3</v>
      </c>
      <c r="T29" s="112">
        <f t="shared" si="3"/>
        <v>2E-3</v>
      </c>
      <c r="V29" t="s">
        <v>166</v>
      </c>
      <c r="W29">
        <v>7</v>
      </c>
    </row>
    <row r="30" spans="1:24">
      <c r="A30">
        <f t="shared" si="1"/>
        <v>2029</v>
      </c>
      <c r="B30" s="4">
        <f t="shared" si="0"/>
        <v>1E-3</v>
      </c>
      <c r="C30" s="4"/>
      <c r="F30" s="4">
        <v>9.7000000000000003E-3</v>
      </c>
      <c r="G30" s="54">
        <f>'Investment returns (2)'!Z14</f>
        <v>3.0844229999999997E-2</v>
      </c>
      <c r="H30" s="54">
        <f>'Investment returns (2)'!AA14</f>
        <v>2.0418139999999998E-2</v>
      </c>
      <c r="I30" s="54">
        <f>'Investment returns (2)'!AB14</f>
        <v>9.3503599999999951E-3</v>
      </c>
      <c r="J30" s="54">
        <f>'Investment returns (2)'!AC14</f>
        <v>-6.0999999999999995E-3</v>
      </c>
      <c r="K30" s="4">
        <v>0</v>
      </c>
      <c r="L30" s="54">
        <f>'Investment returns (2)'!AD14</f>
        <v>4.682154594594601E-3</v>
      </c>
      <c r="M30" s="54">
        <f>'Investment returns (2)'!AE14</f>
        <v>0</v>
      </c>
      <c r="N30" s="54">
        <f>'Investment returns (2)'!AF14</f>
        <v>1E-3</v>
      </c>
      <c r="O30" s="54">
        <f>'Investment returns (2)'!AG14</f>
        <v>2E-3</v>
      </c>
      <c r="P30" s="112">
        <v>0</v>
      </c>
      <c r="Q30" s="112">
        <f t="shared" si="2"/>
        <v>1E-3</v>
      </c>
      <c r="R30" s="112">
        <f t="shared" si="2"/>
        <v>1E-3</v>
      </c>
      <c r="S30" s="112">
        <f t="shared" si="3"/>
        <v>2E-3</v>
      </c>
      <c r="T30" s="112">
        <f t="shared" si="3"/>
        <v>2E-3</v>
      </c>
      <c r="V30" t="s">
        <v>167</v>
      </c>
      <c r="W30">
        <v>8</v>
      </c>
    </row>
    <row r="31" spans="1:24">
      <c r="A31">
        <f t="shared" si="1"/>
        <v>2030</v>
      </c>
      <c r="B31" s="4">
        <f t="shared" si="0"/>
        <v>1E-3</v>
      </c>
      <c r="C31" s="4"/>
      <c r="F31" s="4">
        <v>9.7000000000000003E-3</v>
      </c>
      <c r="G31" s="54">
        <f>'Investment returns (2)'!Z15</f>
        <v>3.0844229999999997E-2</v>
      </c>
      <c r="H31" s="54">
        <f>'Investment returns (2)'!AA15</f>
        <v>2.0418139999999998E-2</v>
      </c>
      <c r="I31" s="54">
        <f>'Investment returns (2)'!AB15</f>
        <v>9.3503599999999951E-3</v>
      </c>
      <c r="J31" s="54">
        <f>'Investment returns (2)'!AC15</f>
        <v>-6.0999999999999995E-3</v>
      </c>
      <c r="K31" s="4">
        <v>0</v>
      </c>
      <c r="L31" s="54">
        <f>'Investment returns (2)'!AD15</f>
        <v>4.682154594594601E-3</v>
      </c>
      <c r="M31" s="54">
        <f>'Investment returns (2)'!AE15</f>
        <v>0</v>
      </c>
      <c r="N31" s="54">
        <f>'Investment returns (2)'!AF15</f>
        <v>1E-3</v>
      </c>
      <c r="O31" s="54">
        <f>'Investment returns (2)'!AG15</f>
        <v>2E-3</v>
      </c>
      <c r="P31" s="112">
        <v>0</v>
      </c>
      <c r="Q31" s="112">
        <f t="shared" si="2"/>
        <v>1E-3</v>
      </c>
      <c r="R31" s="112">
        <f t="shared" si="2"/>
        <v>1E-3</v>
      </c>
      <c r="S31" s="112">
        <f t="shared" si="3"/>
        <v>2E-3</v>
      </c>
      <c r="T31" s="112">
        <f t="shared" si="3"/>
        <v>2E-3</v>
      </c>
      <c r="V31" t="s">
        <v>168</v>
      </c>
      <c r="W31">
        <v>9</v>
      </c>
    </row>
    <row r="32" spans="1:24">
      <c r="A32">
        <f t="shared" si="1"/>
        <v>2031</v>
      </c>
      <c r="B32" s="4">
        <f t="shared" si="0"/>
        <v>1E-3</v>
      </c>
      <c r="C32" s="4"/>
      <c r="F32" s="4">
        <v>9.7000000000000003E-3</v>
      </c>
      <c r="G32" s="54">
        <f>'Investment returns (2)'!Z16</f>
        <v>3.0844229999999997E-2</v>
      </c>
      <c r="H32" s="54">
        <f>'Investment returns (2)'!AA16</f>
        <v>2.0418139999999998E-2</v>
      </c>
      <c r="I32" s="54">
        <f>'Investment returns (2)'!AB16</f>
        <v>9.3503599999999951E-3</v>
      </c>
      <c r="J32" s="54">
        <f>'Investment returns (2)'!AC16</f>
        <v>-6.0999999999999995E-3</v>
      </c>
      <c r="K32" s="4">
        <v>0</v>
      </c>
      <c r="L32" s="54">
        <f>'Investment returns (2)'!AD16</f>
        <v>4.682154594594601E-3</v>
      </c>
      <c r="M32" s="54">
        <f>'Investment returns (2)'!AE16</f>
        <v>0</v>
      </c>
      <c r="N32" s="54">
        <f>'Investment returns (2)'!AF16</f>
        <v>1E-3</v>
      </c>
      <c r="O32" s="54">
        <f>'Investment returns (2)'!AG16</f>
        <v>2E-3</v>
      </c>
      <c r="P32" s="112">
        <v>0</v>
      </c>
      <c r="Q32" s="112">
        <f t="shared" si="2"/>
        <v>1E-3</v>
      </c>
      <c r="R32" s="112">
        <f t="shared" si="2"/>
        <v>1E-3</v>
      </c>
      <c r="S32" s="112">
        <f t="shared" si="3"/>
        <v>2E-3</v>
      </c>
      <c r="T32" s="112">
        <f t="shared" si="3"/>
        <v>2E-3</v>
      </c>
      <c r="V32" t="s">
        <v>169</v>
      </c>
      <c r="W32">
        <v>10</v>
      </c>
    </row>
    <row r="33" spans="1:23">
      <c r="A33">
        <f t="shared" si="1"/>
        <v>2032</v>
      </c>
      <c r="B33" s="4">
        <f t="shared" si="0"/>
        <v>1E-3</v>
      </c>
      <c r="C33" s="4"/>
      <c r="F33" s="4">
        <v>4.0300000000000002E-2</v>
      </c>
      <c r="G33" s="54">
        <f>'Investment returns (2)'!Z17</f>
        <v>3.4627039999999998E-2</v>
      </c>
      <c r="H33" s="54">
        <f>'Investment returns (2)'!AA17</f>
        <v>2.8323910000000001E-2</v>
      </c>
      <c r="I33" s="54">
        <f>'Investment returns (2)'!AB17</f>
        <v>2.2396409999999999E-2</v>
      </c>
      <c r="J33" s="54">
        <f>'Investment returns (2)'!AC17</f>
        <v>2.5000000000000001E-3</v>
      </c>
      <c r="K33" s="4">
        <v>0</v>
      </c>
      <c r="L33" s="54">
        <f>'Investment returns (2)'!AD17</f>
        <v>2.7765945945946329E-4</v>
      </c>
      <c r="M33" s="54">
        <f>'Investment returns (2)'!AE17</f>
        <v>0</v>
      </c>
      <c r="N33" s="54">
        <f>'Investment returns (2)'!AF17</f>
        <v>1E-3</v>
      </c>
      <c r="O33" s="54">
        <f>'Investment returns (2)'!AG17</f>
        <v>2E-3</v>
      </c>
      <c r="P33" s="112">
        <v>0</v>
      </c>
      <c r="Q33" s="112">
        <f t="shared" si="2"/>
        <v>1E-3</v>
      </c>
      <c r="R33" s="112">
        <f t="shared" si="2"/>
        <v>1E-3</v>
      </c>
      <c r="S33" s="112">
        <f t="shared" si="3"/>
        <v>2E-3</v>
      </c>
      <c r="T33" s="112">
        <f t="shared" si="3"/>
        <v>2E-3</v>
      </c>
      <c r="V33" t="s">
        <v>252</v>
      </c>
      <c r="W33">
        <v>11</v>
      </c>
    </row>
    <row r="34" spans="1:23">
      <c r="A34">
        <f t="shared" si="1"/>
        <v>2033</v>
      </c>
      <c r="B34" s="4">
        <f t="shared" si="0"/>
        <v>1E-3</v>
      </c>
      <c r="C34" s="4"/>
      <c r="F34" s="4">
        <v>4.0300000000000002E-2</v>
      </c>
      <c r="G34" s="54">
        <f>'Investment returns (2)'!Z18</f>
        <v>3.4627039999999998E-2</v>
      </c>
      <c r="H34" s="54">
        <f>'Investment returns (2)'!AA18</f>
        <v>2.8323910000000001E-2</v>
      </c>
      <c r="I34" s="54">
        <f>'Investment returns (2)'!AB18</f>
        <v>2.2396409999999999E-2</v>
      </c>
      <c r="J34" s="54">
        <f>'Investment returns (2)'!AC18</f>
        <v>2.5000000000000001E-3</v>
      </c>
      <c r="K34" s="4">
        <v>0</v>
      </c>
      <c r="L34" s="54">
        <f>'Investment returns (2)'!AD18</f>
        <v>2.7765945945946329E-4</v>
      </c>
      <c r="M34" s="54">
        <f>'Investment returns (2)'!AE18</f>
        <v>0</v>
      </c>
      <c r="N34" s="54">
        <f>'Investment returns (2)'!AF18</f>
        <v>1E-3</v>
      </c>
      <c r="O34" s="54">
        <f>'Investment returns (2)'!AG18</f>
        <v>2E-3</v>
      </c>
      <c r="P34" s="112">
        <v>0</v>
      </c>
      <c r="Q34" s="112">
        <f t="shared" si="2"/>
        <v>1E-3</v>
      </c>
      <c r="R34" s="112">
        <f t="shared" si="2"/>
        <v>1E-3</v>
      </c>
      <c r="S34" s="112">
        <f t="shared" si="3"/>
        <v>2E-3</v>
      </c>
      <c r="T34" s="112">
        <f t="shared" si="3"/>
        <v>2E-3</v>
      </c>
      <c r="V34" t="s">
        <v>259</v>
      </c>
      <c r="W34">
        <v>12</v>
      </c>
    </row>
    <row r="35" spans="1:23">
      <c r="A35">
        <f t="shared" si="1"/>
        <v>2034</v>
      </c>
      <c r="B35" s="4">
        <f t="shared" si="0"/>
        <v>1E-3</v>
      </c>
      <c r="C35" s="4"/>
      <c r="F35" s="4">
        <v>4.0300000000000002E-2</v>
      </c>
      <c r="G35" s="54">
        <f>'Investment returns (2)'!Z19</f>
        <v>3.4627039999999998E-2</v>
      </c>
      <c r="H35" s="54">
        <f>'Investment returns (2)'!AA19</f>
        <v>2.8323910000000001E-2</v>
      </c>
      <c r="I35" s="54">
        <f>'Investment returns (2)'!AB19</f>
        <v>2.2396409999999999E-2</v>
      </c>
      <c r="J35" s="54">
        <f>'Investment returns (2)'!AC19</f>
        <v>2.5000000000000001E-3</v>
      </c>
      <c r="K35" s="4">
        <v>0</v>
      </c>
      <c r="L35" s="54">
        <f>'Investment returns (2)'!AD19</f>
        <v>2.7765945945946329E-4</v>
      </c>
      <c r="M35" s="54">
        <f>'Investment returns (2)'!AE19</f>
        <v>0</v>
      </c>
      <c r="N35" s="54">
        <f>'Investment returns (2)'!AF19</f>
        <v>1E-3</v>
      </c>
      <c r="O35" s="54">
        <f>'Investment returns (2)'!AG19</f>
        <v>2E-3</v>
      </c>
      <c r="P35" s="112">
        <v>0</v>
      </c>
      <c r="Q35" s="112">
        <f t="shared" si="2"/>
        <v>1E-3</v>
      </c>
      <c r="R35" s="112">
        <f t="shared" si="2"/>
        <v>1E-3</v>
      </c>
      <c r="S35" s="112">
        <f t="shared" si="3"/>
        <v>2E-3</v>
      </c>
      <c r="T35" s="112">
        <f t="shared" si="3"/>
        <v>2E-3</v>
      </c>
      <c r="V35" s="109" t="s">
        <v>260</v>
      </c>
      <c r="W35">
        <v>13</v>
      </c>
    </row>
    <row r="36" spans="1:23">
      <c r="A36">
        <f t="shared" si="1"/>
        <v>2035</v>
      </c>
      <c r="B36" s="4">
        <f t="shared" si="0"/>
        <v>1E-3</v>
      </c>
      <c r="C36" s="4"/>
      <c r="F36" s="4">
        <v>4.0300000000000002E-2</v>
      </c>
      <c r="G36" s="54">
        <f>'Investment returns (2)'!Z20</f>
        <v>3.4627039999999998E-2</v>
      </c>
      <c r="H36" s="54">
        <f>'Investment returns (2)'!AA20</f>
        <v>2.8323910000000001E-2</v>
      </c>
      <c r="I36" s="54">
        <f>'Investment returns (2)'!AB20</f>
        <v>2.2396409999999999E-2</v>
      </c>
      <c r="J36" s="54">
        <f>'Investment returns (2)'!AC20</f>
        <v>2.5000000000000001E-3</v>
      </c>
      <c r="K36" s="4">
        <v>0</v>
      </c>
      <c r="L36" s="54">
        <f>'Investment returns (2)'!AD20</f>
        <v>2.7765945945946329E-4</v>
      </c>
      <c r="M36" s="54">
        <f>'Investment returns (2)'!AE20</f>
        <v>0</v>
      </c>
      <c r="N36" s="54">
        <f>'Investment returns (2)'!AF20</f>
        <v>1E-3</v>
      </c>
      <c r="O36" s="54">
        <f>'Investment returns (2)'!AG20</f>
        <v>2E-3</v>
      </c>
      <c r="P36" s="112">
        <v>0</v>
      </c>
      <c r="Q36" s="112">
        <f t="shared" si="2"/>
        <v>1E-3</v>
      </c>
      <c r="R36" s="112">
        <f t="shared" si="2"/>
        <v>1E-3</v>
      </c>
      <c r="S36" s="112">
        <f t="shared" si="3"/>
        <v>2E-3</v>
      </c>
      <c r="T36" s="112">
        <f t="shared" si="3"/>
        <v>2E-3</v>
      </c>
      <c r="V36" s="109" t="s">
        <v>261</v>
      </c>
      <c r="W36">
        <v>14</v>
      </c>
    </row>
    <row r="37" spans="1:23">
      <c r="A37">
        <f t="shared" si="1"/>
        <v>2036</v>
      </c>
      <c r="B37" s="4">
        <f t="shared" si="0"/>
        <v>1E-3</v>
      </c>
      <c r="C37" s="4"/>
      <c r="F37" s="4">
        <v>4.0300000000000002E-2</v>
      </c>
      <c r="G37" s="54">
        <f>'Investment returns (2)'!Z21</f>
        <v>3.4627039999999998E-2</v>
      </c>
      <c r="H37" s="54">
        <f>'Investment returns (2)'!AA21</f>
        <v>2.8323910000000001E-2</v>
      </c>
      <c r="I37" s="54">
        <f>'Investment returns (2)'!AB21</f>
        <v>2.2396409999999999E-2</v>
      </c>
      <c r="J37" s="54">
        <f>'Investment returns (2)'!AC21</f>
        <v>2.5000000000000001E-3</v>
      </c>
      <c r="K37" s="4">
        <v>0</v>
      </c>
      <c r="L37" s="54">
        <f>'Investment returns (2)'!AD21</f>
        <v>2.7765945945946329E-4</v>
      </c>
      <c r="M37" s="54">
        <f>'Investment returns (2)'!AE21</f>
        <v>0</v>
      </c>
      <c r="N37" s="54">
        <f>'Investment returns (2)'!AF21</f>
        <v>1E-3</v>
      </c>
      <c r="O37" s="54">
        <f>'Investment returns (2)'!AG21</f>
        <v>2E-3</v>
      </c>
      <c r="P37" s="112">
        <v>0</v>
      </c>
      <c r="Q37" s="112">
        <f t="shared" si="2"/>
        <v>1E-3</v>
      </c>
      <c r="R37" s="112">
        <f t="shared" si="2"/>
        <v>1E-3</v>
      </c>
      <c r="S37" s="112">
        <f t="shared" si="3"/>
        <v>2E-3</v>
      </c>
      <c r="T37" s="112">
        <f t="shared" si="3"/>
        <v>2E-3</v>
      </c>
      <c r="V37" s="109" t="s">
        <v>262</v>
      </c>
      <c r="W37">
        <v>15</v>
      </c>
    </row>
    <row r="38" spans="1:23">
      <c r="A38">
        <f t="shared" si="1"/>
        <v>2037</v>
      </c>
      <c r="B38" s="4">
        <f t="shared" si="0"/>
        <v>1E-3</v>
      </c>
      <c r="C38" s="4"/>
      <c r="F38" s="4">
        <v>4.0300000000000002E-2</v>
      </c>
      <c r="G38" s="54">
        <f>'Investment returns (2)'!Z22</f>
        <v>3.4627039999999998E-2</v>
      </c>
      <c r="H38" s="54">
        <f>'Investment returns (2)'!AA22</f>
        <v>2.8323910000000001E-2</v>
      </c>
      <c r="I38" s="54">
        <f>'Investment returns (2)'!AB22</f>
        <v>2.2396409999999999E-2</v>
      </c>
      <c r="J38" s="54">
        <f>'Investment returns (2)'!AC22</f>
        <v>2.5000000000000001E-3</v>
      </c>
      <c r="K38" s="4">
        <v>0</v>
      </c>
      <c r="L38" s="54">
        <f>'Investment returns (2)'!AD22</f>
        <v>2.7765945945946329E-4</v>
      </c>
      <c r="M38" s="54">
        <f>'Investment returns (2)'!AE22</f>
        <v>0</v>
      </c>
      <c r="N38" s="54">
        <f>'Investment returns (2)'!AF22</f>
        <v>1E-3</v>
      </c>
      <c r="O38" s="54">
        <f>'Investment returns (2)'!AG22</f>
        <v>2E-3</v>
      </c>
      <c r="P38" s="112">
        <v>0</v>
      </c>
      <c r="Q38" s="112">
        <f t="shared" si="2"/>
        <v>1E-3</v>
      </c>
      <c r="R38" s="112">
        <f t="shared" si="2"/>
        <v>1E-3</v>
      </c>
      <c r="S38" s="112">
        <f t="shared" si="3"/>
        <v>2E-3</v>
      </c>
      <c r="T38" s="112">
        <f t="shared" si="3"/>
        <v>2E-3</v>
      </c>
    </row>
    <row r="39" spans="1:23">
      <c r="A39">
        <f t="shared" si="1"/>
        <v>2038</v>
      </c>
      <c r="B39" s="4">
        <f t="shared" si="0"/>
        <v>1E-3</v>
      </c>
      <c r="C39" s="4"/>
      <c r="F39" s="4">
        <v>4.0300000000000002E-2</v>
      </c>
      <c r="G39" s="54">
        <f>'Investment returns (2)'!Z23</f>
        <v>3.4627039999999998E-2</v>
      </c>
      <c r="H39" s="54">
        <f>'Investment returns (2)'!AA23</f>
        <v>2.8323910000000001E-2</v>
      </c>
      <c r="I39" s="54">
        <f>'Investment returns (2)'!AB23</f>
        <v>2.2396409999999999E-2</v>
      </c>
      <c r="J39" s="54">
        <f>'Investment returns (2)'!AC23</f>
        <v>2.5000000000000001E-3</v>
      </c>
      <c r="K39" s="4">
        <v>0</v>
      </c>
      <c r="L39" s="54">
        <f>'Investment returns (2)'!AD23</f>
        <v>2.7765945945946329E-4</v>
      </c>
      <c r="M39" s="54">
        <f>'Investment returns (2)'!AE23</f>
        <v>0</v>
      </c>
      <c r="N39" s="54">
        <f>'Investment returns (2)'!AF23</f>
        <v>1E-3</v>
      </c>
      <c r="O39" s="54">
        <f>'Investment returns (2)'!AG23</f>
        <v>2E-3</v>
      </c>
      <c r="P39" s="112">
        <v>0</v>
      </c>
      <c r="Q39" s="112">
        <f t="shared" si="2"/>
        <v>1E-3</v>
      </c>
      <c r="R39" s="112">
        <f t="shared" si="2"/>
        <v>1E-3</v>
      </c>
      <c r="S39" s="112">
        <f t="shared" si="3"/>
        <v>2E-3</v>
      </c>
      <c r="T39" s="112">
        <f t="shared" si="3"/>
        <v>2E-3</v>
      </c>
    </row>
    <row r="40" spans="1:23">
      <c r="A40">
        <f t="shared" si="1"/>
        <v>2039</v>
      </c>
      <c r="B40" s="4">
        <f t="shared" si="0"/>
        <v>1E-3</v>
      </c>
      <c r="C40" s="4"/>
      <c r="F40" s="4">
        <v>4.0300000000000002E-2</v>
      </c>
      <c r="G40" s="54">
        <f>'Investment returns (2)'!Z24</f>
        <v>3.4627039999999998E-2</v>
      </c>
      <c r="H40" s="54">
        <f>'Investment returns (2)'!AA24</f>
        <v>2.8323910000000001E-2</v>
      </c>
      <c r="I40" s="54">
        <f>'Investment returns (2)'!AB24</f>
        <v>2.2396409999999999E-2</v>
      </c>
      <c r="J40" s="54">
        <f>'Investment returns (2)'!AC24</f>
        <v>2.5000000000000001E-3</v>
      </c>
      <c r="K40" s="4">
        <v>0</v>
      </c>
      <c r="L40" s="54">
        <f>'Investment returns (2)'!AD24</f>
        <v>2.7765945945946329E-4</v>
      </c>
      <c r="M40" s="54">
        <f>'Investment returns (2)'!AE24</f>
        <v>0</v>
      </c>
      <c r="N40" s="54">
        <f>'Investment returns (2)'!AF24</f>
        <v>1E-3</v>
      </c>
      <c r="O40" s="54">
        <f>'Investment returns (2)'!AG24</f>
        <v>2E-3</v>
      </c>
      <c r="P40" s="112">
        <v>0</v>
      </c>
      <c r="Q40" s="112">
        <f t="shared" si="2"/>
        <v>1E-3</v>
      </c>
      <c r="R40" s="112">
        <f t="shared" si="2"/>
        <v>1E-3</v>
      </c>
      <c r="S40" s="112">
        <f t="shared" si="3"/>
        <v>2E-3</v>
      </c>
      <c r="T40" s="112">
        <f t="shared" si="3"/>
        <v>2E-3</v>
      </c>
    </row>
    <row r="41" spans="1:23">
      <c r="A41">
        <f t="shared" si="1"/>
        <v>2040</v>
      </c>
      <c r="B41" s="4">
        <f t="shared" si="0"/>
        <v>1E-3</v>
      </c>
      <c r="C41" s="4"/>
      <c r="F41" s="4">
        <v>4.0300000000000002E-2</v>
      </c>
      <c r="G41" s="54">
        <f>'Investment returns (2)'!Z25</f>
        <v>3.4627039999999998E-2</v>
      </c>
      <c r="H41" s="54">
        <f>'Investment returns (2)'!AA25</f>
        <v>2.8323910000000001E-2</v>
      </c>
      <c r="I41" s="54">
        <f>'Investment returns (2)'!AB25</f>
        <v>2.2396409999999999E-2</v>
      </c>
      <c r="J41" s="54">
        <f>'Investment returns (2)'!AC25</f>
        <v>2.5000000000000001E-3</v>
      </c>
      <c r="K41" s="4">
        <v>0</v>
      </c>
      <c r="L41" s="54">
        <f>'Investment returns (2)'!AD25</f>
        <v>2.7765945945946329E-4</v>
      </c>
      <c r="M41" s="54">
        <f>'Investment returns (2)'!AE25</f>
        <v>0</v>
      </c>
      <c r="N41" s="54">
        <f>'Investment returns (2)'!AF25</f>
        <v>1E-3</v>
      </c>
      <c r="O41" s="54">
        <f>'Investment returns (2)'!AG25</f>
        <v>2E-3</v>
      </c>
      <c r="P41" s="112">
        <v>0</v>
      </c>
      <c r="Q41" s="112">
        <f t="shared" si="2"/>
        <v>1E-3</v>
      </c>
      <c r="R41" s="112">
        <f t="shared" si="2"/>
        <v>1E-3</v>
      </c>
      <c r="S41" s="112">
        <f t="shared" si="3"/>
        <v>2E-3</v>
      </c>
      <c r="T41" s="112">
        <f t="shared" si="3"/>
        <v>2E-3</v>
      </c>
    </row>
    <row r="42" spans="1:23">
      <c r="A42">
        <f t="shared" si="1"/>
        <v>2041</v>
      </c>
      <c r="B42" s="4">
        <f t="shared" si="0"/>
        <v>1E-3</v>
      </c>
      <c r="C42" s="4"/>
      <c r="F42" s="4">
        <v>4.0300000000000002E-2</v>
      </c>
      <c r="G42" s="54">
        <f>'Investment returns (2)'!Z26</f>
        <v>3.4627039999999998E-2</v>
      </c>
      <c r="H42" s="54">
        <f>'Investment returns (2)'!AA26</f>
        <v>2.8323910000000001E-2</v>
      </c>
      <c r="I42" s="54">
        <f>'Investment returns (2)'!AB26</f>
        <v>2.2396409999999999E-2</v>
      </c>
      <c r="J42" s="54">
        <f>'Investment returns (2)'!AC26</f>
        <v>2.5000000000000001E-3</v>
      </c>
      <c r="K42" s="4">
        <v>0</v>
      </c>
      <c r="L42" s="54">
        <f>'Investment returns (2)'!AD26</f>
        <v>2.7765945945946329E-4</v>
      </c>
      <c r="M42" s="54">
        <f>'Investment returns (2)'!AE26</f>
        <v>0</v>
      </c>
      <c r="N42" s="54">
        <f>'Investment returns (2)'!AF26</f>
        <v>1E-3</v>
      </c>
      <c r="O42" s="54">
        <f>'Investment returns (2)'!AG26</f>
        <v>2E-3</v>
      </c>
      <c r="P42" s="112">
        <v>0</v>
      </c>
      <c r="Q42" s="112">
        <f t="shared" si="2"/>
        <v>1E-3</v>
      </c>
      <c r="R42" s="112">
        <f t="shared" si="2"/>
        <v>1E-3</v>
      </c>
      <c r="S42" s="112">
        <f t="shared" si="3"/>
        <v>2E-3</v>
      </c>
      <c r="T42" s="112">
        <f t="shared" si="3"/>
        <v>2E-3</v>
      </c>
    </row>
    <row r="43" spans="1:23">
      <c r="A43">
        <f t="shared" si="1"/>
        <v>2042</v>
      </c>
      <c r="B43" s="4">
        <f t="shared" si="0"/>
        <v>1E-3</v>
      </c>
      <c r="C43" s="4"/>
      <c r="F43" s="4">
        <v>2.5000000000000001E-2</v>
      </c>
      <c r="G43" s="54">
        <f>'Investment returns (2)'!Z27</f>
        <v>3.4627039999999998E-2</v>
      </c>
      <c r="H43" s="54">
        <f>'Investment returns (2)'!AA27</f>
        <v>2.8323910000000001E-2</v>
      </c>
      <c r="I43" s="54">
        <f>'Investment returns (2)'!AB27</f>
        <v>2.2396409999999999E-2</v>
      </c>
      <c r="J43" s="54">
        <f>'Investment returns (2)'!AC27</f>
        <v>2.5000000000000001E-3</v>
      </c>
      <c r="K43" s="4">
        <v>0</v>
      </c>
      <c r="L43" s="54">
        <f>'Investment returns (2)'!AD27</f>
        <v>2.7765945945946329E-4</v>
      </c>
      <c r="M43" s="54">
        <f>'Investment returns (2)'!AE27</f>
        <v>0</v>
      </c>
      <c r="N43" s="54">
        <f>'Investment returns (2)'!AF27</f>
        <v>1E-3</v>
      </c>
      <c r="O43" s="54">
        <f>'Investment returns (2)'!AG27</f>
        <v>2E-3</v>
      </c>
      <c r="P43" s="112">
        <v>0</v>
      </c>
      <c r="Q43" s="112">
        <f t="shared" si="2"/>
        <v>1E-3</v>
      </c>
      <c r="R43" s="112">
        <f t="shared" si="2"/>
        <v>1E-3</v>
      </c>
      <c r="S43" s="112">
        <f t="shared" si="3"/>
        <v>2E-3</v>
      </c>
      <c r="T43" s="112">
        <f t="shared" si="3"/>
        <v>2E-3</v>
      </c>
    </row>
    <row r="44" spans="1:23">
      <c r="A44">
        <f t="shared" si="1"/>
        <v>2043</v>
      </c>
      <c r="B44" s="4">
        <f t="shared" si="0"/>
        <v>1E-3</v>
      </c>
      <c r="C44" s="4"/>
      <c r="F44" s="4">
        <v>2.5000000000000001E-2</v>
      </c>
      <c r="G44" s="54">
        <f>'Investment returns (2)'!Z28</f>
        <v>3.4627039999999998E-2</v>
      </c>
      <c r="H44" s="54">
        <f>'Investment returns (2)'!AA28</f>
        <v>2.8323910000000001E-2</v>
      </c>
      <c r="I44" s="54">
        <f>'Investment returns (2)'!AB28</f>
        <v>2.2396409999999999E-2</v>
      </c>
      <c r="J44" s="54">
        <f>'Investment returns (2)'!AC28</f>
        <v>2.5000000000000001E-3</v>
      </c>
      <c r="K44" s="4">
        <v>0</v>
      </c>
      <c r="L44" s="54">
        <f>'Investment returns (2)'!AD28</f>
        <v>2.7765945945946329E-4</v>
      </c>
      <c r="M44" s="54">
        <f>'Investment returns (2)'!AE28</f>
        <v>0</v>
      </c>
      <c r="N44" s="54">
        <f>'Investment returns (2)'!AF28</f>
        <v>1E-3</v>
      </c>
      <c r="O44" s="54">
        <f>'Investment returns (2)'!AG28</f>
        <v>2E-3</v>
      </c>
      <c r="P44" s="112">
        <v>0</v>
      </c>
      <c r="Q44" s="112">
        <f t="shared" si="2"/>
        <v>1E-3</v>
      </c>
      <c r="R44" s="112">
        <f t="shared" si="2"/>
        <v>1E-3</v>
      </c>
      <c r="S44" s="112">
        <f t="shared" si="3"/>
        <v>2E-3</v>
      </c>
      <c r="T44" s="112">
        <f t="shared" si="3"/>
        <v>2E-3</v>
      </c>
    </row>
    <row r="45" spans="1:23">
      <c r="A45">
        <f t="shared" si="1"/>
        <v>2044</v>
      </c>
      <c r="B45" s="4">
        <f t="shared" si="0"/>
        <v>1E-3</v>
      </c>
      <c r="C45" s="4"/>
      <c r="F45" s="4">
        <v>2.5000000000000001E-2</v>
      </c>
      <c r="G45" s="54">
        <f>'Investment returns (2)'!Z29</f>
        <v>3.4627039999999998E-2</v>
      </c>
      <c r="H45" s="54">
        <f>'Investment returns (2)'!AA29</f>
        <v>2.8323910000000001E-2</v>
      </c>
      <c r="I45" s="54">
        <f>'Investment returns (2)'!AB29</f>
        <v>2.2396409999999999E-2</v>
      </c>
      <c r="J45" s="54">
        <f>'Investment returns (2)'!AC29</f>
        <v>2.5000000000000001E-3</v>
      </c>
      <c r="K45" s="4">
        <v>0</v>
      </c>
      <c r="L45" s="54">
        <f>'Investment returns (2)'!AD29</f>
        <v>2.7765945945946329E-4</v>
      </c>
      <c r="M45" s="54">
        <f>'Investment returns (2)'!AE29</f>
        <v>0</v>
      </c>
      <c r="N45" s="54">
        <f>'Investment returns (2)'!AF29</f>
        <v>1E-3</v>
      </c>
      <c r="O45" s="54">
        <f>'Investment returns (2)'!AG29</f>
        <v>2E-3</v>
      </c>
      <c r="P45" s="112">
        <v>0</v>
      </c>
      <c r="Q45" s="112">
        <f t="shared" si="2"/>
        <v>1E-3</v>
      </c>
      <c r="R45" s="112">
        <f t="shared" si="2"/>
        <v>1E-3</v>
      </c>
      <c r="S45" s="112">
        <f t="shared" si="3"/>
        <v>2E-3</v>
      </c>
      <c r="T45" s="112">
        <f t="shared" si="3"/>
        <v>2E-3</v>
      </c>
    </row>
    <row r="46" spans="1:23">
      <c r="A46">
        <f t="shared" si="1"/>
        <v>2045</v>
      </c>
      <c r="B46" s="4">
        <f t="shared" si="0"/>
        <v>1E-3</v>
      </c>
      <c r="C46" s="4"/>
      <c r="F46" s="4">
        <v>2.5000000000000001E-2</v>
      </c>
      <c r="G46" s="54">
        <f>'Investment returns (2)'!Z30</f>
        <v>3.4627039999999998E-2</v>
      </c>
      <c r="H46" s="54">
        <f>'Investment returns (2)'!AA30</f>
        <v>2.8323910000000001E-2</v>
      </c>
      <c r="I46" s="54">
        <f>'Investment returns (2)'!AB30</f>
        <v>2.2396409999999999E-2</v>
      </c>
      <c r="J46" s="54">
        <f>'Investment returns (2)'!AC30</f>
        <v>2.5000000000000001E-3</v>
      </c>
      <c r="K46" s="4">
        <v>0</v>
      </c>
      <c r="L46" s="54">
        <f>'Investment returns (2)'!AD30</f>
        <v>2.7765945945946329E-4</v>
      </c>
      <c r="M46" s="54">
        <f>'Investment returns (2)'!AE30</f>
        <v>0</v>
      </c>
      <c r="N46" s="54">
        <f>'Investment returns (2)'!AF30</f>
        <v>1E-3</v>
      </c>
      <c r="O46" s="54">
        <f>'Investment returns (2)'!AG30</f>
        <v>2E-3</v>
      </c>
      <c r="P46" s="112">
        <v>0</v>
      </c>
      <c r="Q46" s="112">
        <f t="shared" si="2"/>
        <v>1E-3</v>
      </c>
      <c r="R46" s="112">
        <f t="shared" si="2"/>
        <v>1E-3</v>
      </c>
      <c r="S46" s="112">
        <f t="shared" si="3"/>
        <v>2E-3</v>
      </c>
      <c r="T46" s="112">
        <f t="shared" si="3"/>
        <v>2E-3</v>
      </c>
    </row>
    <row r="47" spans="1:23">
      <c r="A47">
        <f t="shared" si="1"/>
        <v>2046</v>
      </c>
      <c r="B47" s="4">
        <f t="shared" si="0"/>
        <v>1E-3</v>
      </c>
      <c r="C47" s="4"/>
      <c r="F47" s="4">
        <v>2.5000000000000001E-2</v>
      </c>
      <c r="G47" s="54">
        <f>'Investment returns (2)'!Z31</f>
        <v>3.4627039999999998E-2</v>
      </c>
      <c r="H47" s="54">
        <f>'Investment returns (2)'!AA31</f>
        <v>2.8323910000000001E-2</v>
      </c>
      <c r="I47" s="54">
        <f>'Investment returns (2)'!AB31</f>
        <v>2.2396409999999999E-2</v>
      </c>
      <c r="J47" s="54">
        <f>'Investment returns (2)'!AC31</f>
        <v>2.5000000000000001E-3</v>
      </c>
      <c r="K47" s="4">
        <v>0</v>
      </c>
      <c r="L47" s="54">
        <f>'Investment returns (2)'!AD31</f>
        <v>2.7765945945946329E-4</v>
      </c>
      <c r="M47" s="54">
        <f>'Investment returns (2)'!AE31</f>
        <v>0</v>
      </c>
      <c r="N47" s="54">
        <f>'Investment returns (2)'!AF31</f>
        <v>1E-3</v>
      </c>
      <c r="O47" s="54">
        <f>'Investment returns (2)'!AG31</f>
        <v>2E-3</v>
      </c>
      <c r="P47" s="112">
        <v>0</v>
      </c>
      <c r="Q47" s="112">
        <f t="shared" si="2"/>
        <v>1E-3</v>
      </c>
      <c r="R47" s="112">
        <f t="shared" si="2"/>
        <v>1E-3</v>
      </c>
      <c r="S47" s="112">
        <f t="shared" si="3"/>
        <v>2E-3</v>
      </c>
      <c r="T47" s="112">
        <f t="shared" si="3"/>
        <v>2E-3</v>
      </c>
    </row>
    <row r="48" spans="1:23">
      <c r="A48">
        <f t="shared" si="1"/>
        <v>2047</v>
      </c>
      <c r="B48" s="4">
        <f t="shared" si="0"/>
        <v>1E-3</v>
      </c>
      <c r="C48" s="4"/>
      <c r="F48" s="4">
        <v>2.5000000000000001E-2</v>
      </c>
      <c r="G48" s="54">
        <f>'Investment returns (2)'!Z32</f>
        <v>3.4627039999999998E-2</v>
      </c>
      <c r="H48" s="54">
        <f>'Investment returns (2)'!AA32</f>
        <v>2.8323910000000001E-2</v>
      </c>
      <c r="I48" s="54">
        <f>'Investment returns (2)'!AB32</f>
        <v>2.2396409999999999E-2</v>
      </c>
      <c r="J48" s="54">
        <f>'Investment returns (2)'!AC32</f>
        <v>2.5000000000000001E-3</v>
      </c>
      <c r="K48" s="4">
        <v>0</v>
      </c>
      <c r="L48" s="54">
        <f>'Investment returns (2)'!AD32</f>
        <v>2.7765945945946329E-4</v>
      </c>
      <c r="M48" s="54">
        <f>'Investment returns (2)'!AE32</f>
        <v>0</v>
      </c>
      <c r="N48" s="54">
        <f>'Investment returns (2)'!AF32</f>
        <v>1E-3</v>
      </c>
      <c r="O48" s="54">
        <f>'Investment returns (2)'!AG32</f>
        <v>2E-3</v>
      </c>
      <c r="P48" s="112">
        <v>0</v>
      </c>
      <c r="Q48" s="112">
        <f t="shared" si="2"/>
        <v>1E-3</v>
      </c>
      <c r="R48" s="112">
        <f t="shared" si="2"/>
        <v>1E-3</v>
      </c>
      <c r="S48" s="112">
        <f t="shared" si="3"/>
        <v>2E-3</v>
      </c>
      <c r="T48" s="112">
        <f t="shared" si="3"/>
        <v>2E-3</v>
      </c>
    </row>
    <row r="49" spans="1:20">
      <c r="A49">
        <f t="shared" si="1"/>
        <v>2048</v>
      </c>
      <c r="B49" s="4">
        <f t="shared" si="0"/>
        <v>1E-3</v>
      </c>
      <c r="C49" s="4"/>
      <c r="F49" s="4">
        <v>2.5000000000000001E-2</v>
      </c>
      <c r="G49" s="54">
        <f>'Investment returns (2)'!Z33</f>
        <v>3.4627039999999998E-2</v>
      </c>
      <c r="H49" s="54">
        <f>'Investment returns (2)'!AA33</f>
        <v>2.8323910000000001E-2</v>
      </c>
      <c r="I49" s="54">
        <f>'Investment returns (2)'!AB33</f>
        <v>2.2396409999999999E-2</v>
      </c>
      <c r="J49" s="54">
        <f>'Investment returns (2)'!AC33</f>
        <v>2.5000000000000001E-3</v>
      </c>
      <c r="K49" s="4">
        <v>0</v>
      </c>
      <c r="L49" s="54">
        <f>'Investment returns (2)'!AD33</f>
        <v>2.7765945945946329E-4</v>
      </c>
      <c r="M49" s="54">
        <f>'Investment returns (2)'!AE33</f>
        <v>0</v>
      </c>
      <c r="N49" s="54">
        <f>'Investment returns (2)'!AF33</f>
        <v>1E-3</v>
      </c>
      <c r="O49" s="54">
        <f>'Investment returns (2)'!AG33</f>
        <v>2E-3</v>
      </c>
      <c r="P49" s="112">
        <v>0</v>
      </c>
      <c r="Q49" s="112">
        <f t="shared" si="2"/>
        <v>1E-3</v>
      </c>
      <c r="R49" s="112">
        <f t="shared" si="2"/>
        <v>1E-3</v>
      </c>
      <c r="S49" s="112">
        <f t="shared" si="3"/>
        <v>2E-3</v>
      </c>
      <c r="T49" s="112">
        <f t="shared" si="3"/>
        <v>2E-3</v>
      </c>
    </row>
    <row r="50" spans="1:20">
      <c r="A50">
        <f t="shared" ref="A50:A61" si="4">A49+1</f>
        <v>2049</v>
      </c>
      <c r="B50" s="4">
        <f t="shared" si="0"/>
        <v>1E-3</v>
      </c>
      <c r="C50" s="4"/>
      <c r="F50" s="4">
        <v>2.5000000000000001E-2</v>
      </c>
      <c r="G50" s="54">
        <f>'Investment returns (2)'!Z34</f>
        <v>3.4627039999999998E-2</v>
      </c>
      <c r="H50" s="54">
        <f>'Investment returns (2)'!AA34</f>
        <v>2.8323910000000001E-2</v>
      </c>
      <c r="I50" s="54">
        <f>'Investment returns (2)'!AB34</f>
        <v>2.2396409999999999E-2</v>
      </c>
      <c r="J50" s="54">
        <f>'Investment returns (2)'!AC34</f>
        <v>2.5000000000000001E-3</v>
      </c>
      <c r="K50" s="4">
        <v>0</v>
      </c>
      <c r="L50" s="54">
        <f>'Investment returns (2)'!AD34</f>
        <v>2.7765945945946329E-4</v>
      </c>
      <c r="M50" s="54">
        <f>'Investment returns (2)'!AE34</f>
        <v>0</v>
      </c>
      <c r="N50" s="54">
        <f>'Investment returns (2)'!AF34</f>
        <v>1E-3</v>
      </c>
      <c r="O50" s="54">
        <f>'Investment returns (2)'!AG34</f>
        <v>2E-3</v>
      </c>
      <c r="P50" s="112">
        <v>0</v>
      </c>
      <c r="Q50" s="112">
        <f t="shared" si="2"/>
        <v>1E-3</v>
      </c>
      <c r="R50" s="112">
        <f t="shared" si="2"/>
        <v>1E-3</v>
      </c>
      <c r="S50" s="112">
        <f t="shared" si="3"/>
        <v>2E-3</v>
      </c>
      <c r="T50" s="112">
        <f t="shared" si="3"/>
        <v>2E-3</v>
      </c>
    </row>
    <row r="51" spans="1:20">
      <c r="A51">
        <f t="shared" si="4"/>
        <v>2050</v>
      </c>
      <c r="B51" s="4">
        <f t="shared" si="0"/>
        <v>1E-3</v>
      </c>
      <c r="C51" s="4"/>
      <c r="F51" s="4">
        <v>2.5000000000000001E-2</v>
      </c>
      <c r="G51" s="54">
        <f>'Investment returns (2)'!Z35</f>
        <v>3.4627039999999998E-2</v>
      </c>
      <c r="H51" s="54">
        <f>'Investment returns (2)'!AA35</f>
        <v>2.8323910000000001E-2</v>
      </c>
      <c r="I51" s="54">
        <f>'Investment returns (2)'!AB35</f>
        <v>2.2396409999999999E-2</v>
      </c>
      <c r="J51" s="54">
        <f>'Investment returns (2)'!AC35</f>
        <v>2.5000000000000001E-3</v>
      </c>
      <c r="K51" s="4">
        <v>0</v>
      </c>
      <c r="L51" s="54">
        <f>'Investment returns (2)'!AD35</f>
        <v>2.7765945945946329E-4</v>
      </c>
      <c r="M51" s="54">
        <f>'Investment returns (2)'!AE35</f>
        <v>0</v>
      </c>
      <c r="N51" s="54">
        <f>'Investment returns (2)'!AF35</f>
        <v>1E-3</v>
      </c>
      <c r="O51" s="54">
        <f>'Investment returns (2)'!AG35</f>
        <v>2E-3</v>
      </c>
      <c r="P51" s="112">
        <v>0</v>
      </c>
      <c r="Q51" s="112">
        <f t="shared" si="2"/>
        <v>1E-3</v>
      </c>
      <c r="R51" s="112">
        <f t="shared" si="2"/>
        <v>1E-3</v>
      </c>
      <c r="S51" s="112">
        <f t="shared" si="3"/>
        <v>2E-3</v>
      </c>
      <c r="T51" s="112">
        <f t="shared" si="3"/>
        <v>2E-3</v>
      </c>
    </row>
    <row r="52" spans="1:20">
      <c r="A52">
        <f t="shared" si="4"/>
        <v>2051</v>
      </c>
      <c r="B52" s="4">
        <f t="shared" si="0"/>
        <v>1E-3</v>
      </c>
      <c r="C52" s="4"/>
      <c r="F52" s="4">
        <v>2.5000000000000001E-2</v>
      </c>
      <c r="G52" s="54">
        <f>'Investment returns (2)'!Z36</f>
        <v>3.4627039999999998E-2</v>
      </c>
      <c r="H52" s="54">
        <f>'Investment returns (2)'!AA36</f>
        <v>2.8323910000000001E-2</v>
      </c>
      <c r="I52" s="54">
        <f>'Investment returns (2)'!AB36</f>
        <v>2.2396409999999999E-2</v>
      </c>
      <c r="J52" s="54">
        <f>'Investment returns (2)'!AC36</f>
        <v>2.5000000000000001E-3</v>
      </c>
      <c r="K52" s="4">
        <v>0</v>
      </c>
      <c r="L52" s="54">
        <f>'Investment returns (2)'!AD36</f>
        <v>2.7765945945946329E-4</v>
      </c>
      <c r="M52" s="54">
        <f>'Investment returns (2)'!AE36</f>
        <v>0</v>
      </c>
      <c r="N52" s="54">
        <f>'Investment returns (2)'!AF36</f>
        <v>1E-3</v>
      </c>
      <c r="O52" s="54">
        <f>'Investment returns (2)'!AG36</f>
        <v>2E-3</v>
      </c>
      <c r="P52" s="112">
        <v>0</v>
      </c>
      <c r="Q52" s="112">
        <f t="shared" si="2"/>
        <v>1E-3</v>
      </c>
      <c r="R52" s="112">
        <f t="shared" si="2"/>
        <v>1E-3</v>
      </c>
      <c r="S52" s="112">
        <f t="shared" si="3"/>
        <v>2E-3</v>
      </c>
      <c r="T52" s="112">
        <f t="shared" si="3"/>
        <v>2E-3</v>
      </c>
    </row>
    <row r="53" spans="1:20">
      <c r="A53">
        <f t="shared" si="4"/>
        <v>2052</v>
      </c>
      <c r="B53" s="4">
        <f t="shared" si="0"/>
        <v>1E-3</v>
      </c>
      <c r="C53" s="4"/>
      <c r="F53" s="4">
        <v>0.03</v>
      </c>
      <c r="G53" s="54">
        <f>'Investment returns (2)'!Z37</f>
        <v>3.4627039999999998E-2</v>
      </c>
      <c r="H53" s="54">
        <f>'Investment returns (2)'!AA37</f>
        <v>2.8323910000000001E-2</v>
      </c>
      <c r="I53" s="54">
        <f>'Investment returns (2)'!AB37</f>
        <v>2.2396409999999999E-2</v>
      </c>
      <c r="J53" s="54">
        <f>'Investment returns (2)'!AC37</f>
        <v>2.5000000000000001E-3</v>
      </c>
      <c r="K53" s="4">
        <v>0</v>
      </c>
      <c r="L53" s="54">
        <f>'Investment returns (2)'!AD37</f>
        <v>2.7765945945946329E-4</v>
      </c>
      <c r="M53" s="54">
        <f>'Investment returns (2)'!AE37</f>
        <v>0</v>
      </c>
      <c r="N53" s="54">
        <f>'Investment returns (2)'!AF37</f>
        <v>1E-3</v>
      </c>
      <c r="O53" s="54">
        <f>'Investment returns (2)'!AG37</f>
        <v>2E-3</v>
      </c>
      <c r="P53" s="112">
        <v>0</v>
      </c>
      <c r="Q53" s="112">
        <f t="shared" si="2"/>
        <v>1E-3</v>
      </c>
      <c r="R53" s="112">
        <f t="shared" si="2"/>
        <v>1E-3</v>
      </c>
      <c r="S53" s="112">
        <f t="shared" si="3"/>
        <v>2E-3</v>
      </c>
      <c r="T53" s="112">
        <f t="shared" si="3"/>
        <v>2E-3</v>
      </c>
    </row>
    <row r="54" spans="1:20">
      <c r="A54">
        <f t="shared" si="4"/>
        <v>2053</v>
      </c>
      <c r="B54" s="4">
        <f t="shared" si="0"/>
        <v>1E-3</v>
      </c>
      <c r="C54" s="4"/>
      <c r="F54" s="4">
        <v>0.03</v>
      </c>
      <c r="G54" s="54">
        <f>'Investment returns (2)'!Z38</f>
        <v>3.4627039999999998E-2</v>
      </c>
      <c r="H54" s="54">
        <f>'Investment returns (2)'!AA38</f>
        <v>2.8323910000000001E-2</v>
      </c>
      <c r="I54" s="54">
        <f>'Investment returns (2)'!AB38</f>
        <v>2.2396409999999999E-2</v>
      </c>
      <c r="J54" s="54">
        <f>'Investment returns (2)'!AC38</f>
        <v>2.5000000000000001E-3</v>
      </c>
      <c r="K54" s="4">
        <v>0</v>
      </c>
      <c r="L54" s="54">
        <f>'Investment returns (2)'!AD38</f>
        <v>2.7765945945946329E-4</v>
      </c>
      <c r="M54" s="54">
        <f>'Investment returns (2)'!AE38</f>
        <v>0</v>
      </c>
      <c r="N54" s="54">
        <f>'Investment returns (2)'!AF38</f>
        <v>1E-3</v>
      </c>
      <c r="O54" s="54">
        <f>'Investment returns (2)'!AG38</f>
        <v>2E-3</v>
      </c>
      <c r="P54" s="112">
        <v>0</v>
      </c>
      <c r="Q54" s="112">
        <f t="shared" si="2"/>
        <v>1E-3</v>
      </c>
      <c r="R54" s="112">
        <f t="shared" si="2"/>
        <v>1E-3</v>
      </c>
      <c r="S54" s="112">
        <f t="shared" si="3"/>
        <v>2E-3</v>
      </c>
      <c r="T54" s="112">
        <f t="shared" si="3"/>
        <v>2E-3</v>
      </c>
    </row>
    <row r="55" spans="1:20">
      <c r="A55">
        <f t="shared" si="4"/>
        <v>2054</v>
      </c>
      <c r="B55" s="4">
        <f t="shared" si="0"/>
        <v>1E-3</v>
      </c>
      <c r="C55" s="4"/>
      <c r="F55" s="4">
        <v>0.03</v>
      </c>
      <c r="G55" s="54">
        <f>'Investment returns (2)'!Z39</f>
        <v>3.4627039999999998E-2</v>
      </c>
      <c r="H55" s="54">
        <f>'Investment returns (2)'!AA39</f>
        <v>2.8323910000000001E-2</v>
      </c>
      <c r="I55" s="54">
        <f>'Investment returns (2)'!AB39</f>
        <v>2.2396409999999999E-2</v>
      </c>
      <c r="J55" s="54">
        <f>'Investment returns (2)'!AC39</f>
        <v>2.5000000000000001E-3</v>
      </c>
      <c r="K55" s="4">
        <v>0</v>
      </c>
      <c r="L55" s="54">
        <f>'Investment returns (2)'!AD39</f>
        <v>2.7765945945946329E-4</v>
      </c>
      <c r="M55" s="54">
        <f>'Investment returns (2)'!AE39</f>
        <v>0</v>
      </c>
      <c r="N55" s="54">
        <f>'Investment returns (2)'!AF39</f>
        <v>1E-3</v>
      </c>
      <c r="O55" s="54">
        <f>'Investment returns (2)'!AG39</f>
        <v>2E-3</v>
      </c>
      <c r="P55" s="112">
        <v>0</v>
      </c>
      <c r="Q55" s="112">
        <f t="shared" si="2"/>
        <v>1E-3</v>
      </c>
      <c r="R55" s="112">
        <f t="shared" si="2"/>
        <v>1E-3</v>
      </c>
      <c r="S55" s="112">
        <f t="shared" si="3"/>
        <v>2E-3</v>
      </c>
      <c r="T55" s="112">
        <f t="shared" si="3"/>
        <v>2E-3</v>
      </c>
    </row>
    <row r="56" spans="1:20">
      <c r="A56">
        <f t="shared" si="4"/>
        <v>2055</v>
      </c>
      <c r="B56" s="4">
        <f t="shared" si="0"/>
        <v>1E-3</v>
      </c>
      <c r="C56" s="4"/>
      <c r="F56" s="4">
        <v>0.03</v>
      </c>
      <c r="G56" s="54">
        <f>'Investment returns (2)'!Z40</f>
        <v>3.4627039999999998E-2</v>
      </c>
      <c r="H56" s="54">
        <f>'Investment returns (2)'!AA40</f>
        <v>2.8323910000000001E-2</v>
      </c>
      <c r="I56" s="54">
        <f>'Investment returns (2)'!AB40</f>
        <v>2.2396409999999999E-2</v>
      </c>
      <c r="J56" s="54">
        <f>'Investment returns (2)'!AC40</f>
        <v>2.5000000000000001E-3</v>
      </c>
      <c r="K56" s="4">
        <v>0</v>
      </c>
      <c r="L56" s="54">
        <f>'Investment returns (2)'!AD40</f>
        <v>2.7765945945946329E-4</v>
      </c>
      <c r="M56" s="54">
        <f>'Investment returns (2)'!AE40</f>
        <v>0</v>
      </c>
      <c r="N56" s="54">
        <f>'Investment returns (2)'!AF40</f>
        <v>1E-3</v>
      </c>
      <c r="O56" s="54">
        <f>'Investment returns (2)'!AG40</f>
        <v>2E-3</v>
      </c>
      <c r="P56" s="112">
        <v>0</v>
      </c>
      <c r="Q56" s="112">
        <f t="shared" si="2"/>
        <v>1E-3</v>
      </c>
      <c r="R56" s="112">
        <f t="shared" si="2"/>
        <v>1E-3</v>
      </c>
      <c r="S56" s="112">
        <f t="shared" si="3"/>
        <v>2E-3</v>
      </c>
      <c r="T56" s="112">
        <f t="shared" si="3"/>
        <v>2E-3</v>
      </c>
    </row>
    <row r="57" spans="1:20">
      <c r="A57">
        <f t="shared" si="4"/>
        <v>2056</v>
      </c>
      <c r="B57" s="4">
        <f t="shared" si="0"/>
        <v>1E-3</v>
      </c>
      <c r="C57" s="4"/>
      <c r="F57" s="4">
        <v>0.03</v>
      </c>
      <c r="G57" s="54">
        <f>'Investment returns (2)'!Z41</f>
        <v>3.4627039999999998E-2</v>
      </c>
      <c r="H57" s="54">
        <f>'Investment returns (2)'!AA41</f>
        <v>2.8323910000000001E-2</v>
      </c>
      <c r="I57" s="54">
        <f>'Investment returns (2)'!AB41</f>
        <v>2.2396409999999999E-2</v>
      </c>
      <c r="J57" s="54">
        <f>'Investment returns (2)'!AC41</f>
        <v>2.5000000000000001E-3</v>
      </c>
      <c r="K57" s="4">
        <v>0</v>
      </c>
      <c r="L57" s="54">
        <f>'Investment returns (2)'!AD41</f>
        <v>2.7765945945946329E-4</v>
      </c>
      <c r="M57" s="54">
        <f>'Investment returns (2)'!AE41</f>
        <v>0</v>
      </c>
      <c r="N57" s="54">
        <f>'Investment returns (2)'!AF41</f>
        <v>1E-3</v>
      </c>
      <c r="O57" s="54">
        <f>'Investment returns (2)'!AG41</f>
        <v>2E-3</v>
      </c>
      <c r="P57" s="112">
        <v>0</v>
      </c>
      <c r="Q57" s="112">
        <f t="shared" si="2"/>
        <v>1E-3</v>
      </c>
      <c r="R57" s="112">
        <f t="shared" si="2"/>
        <v>1E-3</v>
      </c>
      <c r="S57" s="112">
        <f t="shared" si="3"/>
        <v>2E-3</v>
      </c>
      <c r="T57" s="112">
        <f t="shared" si="3"/>
        <v>2E-3</v>
      </c>
    </row>
    <row r="58" spans="1:20">
      <c r="A58">
        <f t="shared" si="4"/>
        <v>2057</v>
      </c>
      <c r="B58" s="4">
        <f t="shared" si="0"/>
        <v>1E-3</v>
      </c>
      <c r="C58" s="4"/>
      <c r="F58" s="4">
        <v>0.03</v>
      </c>
      <c r="G58" s="54">
        <f>'Investment returns (2)'!Z42</f>
        <v>3.4627039999999998E-2</v>
      </c>
      <c r="H58" s="54">
        <f>'Investment returns (2)'!AA42</f>
        <v>2.8323910000000001E-2</v>
      </c>
      <c r="I58" s="54">
        <f>'Investment returns (2)'!AB42</f>
        <v>2.2396409999999999E-2</v>
      </c>
      <c r="J58" s="54">
        <f>'Investment returns (2)'!AC42</f>
        <v>2.5000000000000001E-3</v>
      </c>
      <c r="K58" s="4">
        <v>0</v>
      </c>
      <c r="L58" s="54">
        <f>'Investment returns (2)'!AD42</f>
        <v>2.7765945945946329E-4</v>
      </c>
      <c r="M58" s="54">
        <f>'Investment returns (2)'!AE42</f>
        <v>0</v>
      </c>
      <c r="N58" s="54">
        <f>'Investment returns (2)'!AF42</f>
        <v>1E-3</v>
      </c>
      <c r="O58" s="54">
        <f>'Investment returns (2)'!AG42</f>
        <v>2E-3</v>
      </c>
      <c r="P58" s="112">
        <v>0</v>
      </c>
      <c r="Q58" s="112">
        <f t="shared" si="2"/>
        <v>1E-3</v>
      </c>
      <c r="R58" s="112">
        <f t="shared" si="2"/>
        <v>1E-3</v>
      </c>
      <c r="S58" s="112">
        <f t="shared" si="3"/>
        <v>2E-3</v>
      </c>
      <c r="T58" s="112">
        <f t="shared" si="3"/>
        <v>2E-3</v>
      </c>
    </row>
    <row r="59" spans="1:20">
      <c r="A59">
        <f t="shared" si="4"/>
        <v>2058</v>
      </c>
      <c r="B59" s="4">
        <f t="shared" si="0"/>
        <v>1E-3</v>
      </c>
      <c r="C59" s="4"/>
      <c r="F59" s="4">
        <v>0.03</v>
      </c>
      <c r="G59" s="54">
        <f>'Investment returns (2)'!Z43</f>
        <v>3.4627039999999998E-2</v>
      </c>
      <c r="H59" s="54">
        <f>'Investment returns (2)'!AA43</f>
        <v>2.8323910000000001E-2</v>
      </c>
      <c r="I59" s="54">
        <f>'Investment returns (2)'!AB43</f>
        <v>2.2396409999999999E-2</v>
      </c>
      <c r="J59" s="54">
        <f>'Investment returns (2)'!AC43</f>
        <v>2.5000000000000001E-3</v>
      </c>
      <c r="K59" s="4">
        <v>0</v>
      </c>
      <c r="L59" s="54">
        <f>'Investment returns (2)'!AD43</f>
        <v>2.7765945945946329E-4</v>
      </c>
      <c r="M59" s="54">
        <f>'Investment returns (2)'!AE43</f>
        <v>0</v>
      </c>
      <c r="N59" s="54">
        <f>'Investment returns (2)'!AF43</f>
        <v>1E-3</v>
      </c>
      <c r="O59" s="54">
        <f>'Investment returns (2)'!AG43</f>
        <v>2E-3</v>
      </c>
      <c r="P59" s="112">
        <v>0</v>
      </c>
      <c r="Q59" s="112">
        <f t="shared" si="2"/>
        <v>1E-3</v>
      </c>
      <c r="R59" s="112">
        <f t="shared" si="2"/>
        <v>1E-3</v>
      </c>
      <c r="S59" s="112">
        <f t="shared" si="3"/>
        <v>2E-3</v>
      </c>
      <c r="T59" s="112">
        <f t="shared" si="3"/>
        <v>2E-3</v>
      </c>
    </row>
    <row r="60" spans="1:20">
      <c r="A60">
        <f t="shared" si="4"/>
        <v>2059</v>
      </c>
      <c r="B60" s="4">
        <f t="shared" si="0"/>
        <v>1E-3</v>
      </c>
      <c r="C60" s="4"/>
      <c r="F60" s="4">
        <v>0.03</v>
      </c>
      <c r="G60" s="54">
        <f>'Investment returns (2)'!Z44</f>
        <v>3.4627039999999998E-2</v>
      </c>
      <c r="H60" s="54">
        <f>'Investment returns (2)'!AA44</f>
        <v>2.8323910000000001E-2</v>
      </c>
      <c r="I60" s="54">
        <f>'Investment returns (2)'!AB44</f>
        <v>2.2396409999999999E-2</v>
      </c>
      <c r="J60" s="54">
        <f>'Investment returns (2)'!AC44</f>
        <v>2.5000000000000001E-3</v>
      </c>
      <c r="K60" s="4">
        <v>0</v>
      </c>
      <c r="L60" s="54">
        <f>'Investment returns (2)'!AD44</f>
        <v>2.7765945945946329E-4</v>
      </c>
      <c r="M60" s="54">
        <f>'Investment returns (2)'!AE44</f>
        <v>0</v>
      </c>
      <c r="N60" s="54">
        <f>'Investment returns (2)'!AF44</f>
        <v>1E-3</v>
      </c>
      <c r="O60" s="54">
        <f>'Investment returns (2)'!AG44</f>
        <v>2E-3</v>
      </c>
      <c r="P60" s="112">
        <v>0</v>
      </c>
      <c r="Q60" s="112">
        <f t="shared" si="2"/>
        <v>1E-3</v>
      </c>
      <c r="R60" s="112">
        <f t="shared" si="2"/>
        <v>1E-3</v>
      </c>
      <c r="S60" s="112">
        <f t="shared" si="3"/>
        <v>2E-3</v>
      </c>
      <c r="T60" s="112">
        <f t="shared" si="3"/>
        <v>2E-3</v>
      </c>
    </row>
    <row r="61" spans="1:20">
      <c r="A61">
        <f t="shared" si="4"/>
        <v>2060</v>
      </c>
      <c r="B61" s="4">
        <f t="shared" si="0"/>
        <v>1E-3</v>
      </c>
      <c r="C61" s="4"/>
      <c r="F61" s="4">
        <v>0.03</v>
      </c>
      <c r="G61" s="54">
        <f>'Investment returns (2)'!Z45</f>
        <v>3.4627039999999998E-2</v>
      </c>
      <c r="H61" s="54">
        <f>'Investment returns (2)'!AA45</f>
        <v>2.8323910000000001E-2</v>
      </c>
      <c r="I61" s="54">
        <f>'Investment returns (2)'!AB45</f>
        <v>2.2396409999999999E-2</v>
      </c>
      <c r="J61" s="54">
        <f>'Investment returns (2)'!AC45</f>
        <v>2.5000000000000001E-3</v>
      </c>
      <c r="K61" s="4">
        <v>0</v>
      </c>
      <c r="L61" s="54">
        <f>'Investment returns (2)'!AD45</f>
        <v>2.7765945945946329E-4</v>
      </c>
      <c r="M61" s="54">
        <f>'Investment returns (2)'!AE45</f>
        <v>0</v>
      </c>
      <c r="N61" s="54">
        <f>'Investment returns (2)'!AF45</f>
        <v>1E-3</v>
      </c>
      <c r="O61" s="54">
        <f>'Investment returns (2)'!AG45</f>
        <v>2E-3</v>
      </c>
      <c r="P61" s="112">
        <v>0</v>
      </c>
      <c r="Q61" s="112">
        <f t="shared" si="2"/>
        <v>1E-3</v>
      </c>
      <c r="R61" s="112">
        <f t="shared" si="2"/>
        <v>1E-3</v>
      </c>
      <c r="S61" s="112">
        <f t="shared" si="3"/>
        <v>2E-3</v>
      </c>
      <c r="T61" s="112">
        <f t="shared" si="3"/>
        <v>2E-3</v>
      </c>
    </row>
    <row r="62" spans="1:20">
      <c r="A62">
        <f t="shared" ref="A62:A71" si="5">A61+1</f>
        <v>2061</v>
      </c>
      <c r="B62" s="4">
        <f t="shared" si="0"/>
        <v>1E-3</v>
      </c>
      <c r="C62" s="4"/>
      <c r="F62" s="4">
        <v>0.03</v>
      </c>
      <c r="G62" s="54">
        <f>'Investment returns (2)'!Z46</f>
        <v>3.4627039999999998E-2</v>
      </c>
      <c r="H62" s="54">
        <f>'Investment returns (2)'!AA46</f>
        <v>2.8323910000000001E-2</v>
      </c>
      <c r="I62" s="54">
        <f>'Investment returns (2)'!AB46</f>
        <v>2.2396409999999999E-2</v>
      </c>
      <c r="J62" s="54">
        <f>'Investment returns (2)'!AC46</f>
        <v>2.5000000000000001E-3</v>
      </c>
      <c r="K62" s="4">
        <v>0</v>
      </c>
      <c r="L62" s="54">
        <f>'Investment returns (2)'!AD46</f>
        <v>2.7765945945946329E-4</v>
      </c>
      <c r="M62" s="54">
        <f>'Investment returns (2)'!AE46</f>
        <v>0</v>
      </c>
      <c r="N62" s="54">
        <f>'Investment returns (2)'!AF46</f>
        <v>1E-3</v>
      </c>
      <c r="O62" s="54">
        <f>'Investment returns (2)'!AG46</f>
        <v>2E-3</v>
      </c>
      <c r="P62" s="112">
        <v>0</v>
      </c>
      <c r="Q62" s="112">
        <f t="shared" si="2"/>
        <v>1E-3</v>
      </c>
      <c r="R62" s="112">
        <f t="shared" si="2"/>
        <v>1E-3</v>
      </c>
      <c r="S62" s="112">
        <f t="shared" si="3"/>
        <v>2E-3</v>
      </c>
      <c r="T62" s="112">
        <f t="shared" si="3"/>
        <v>2E-3</v>
      </c>
    </row>
    <row r="63" spans="1:20">
      <c r="A63">
        <f t="shared" si="5"/>
        <v>2062</v>
      </c>
      <c r="B63" s="4">
        <f t="shared" si="0"/>
        <v>1E-3</v>
      </c>
      <c r="C63" s="4"/>
      <c r="F63" s="4">
        <v>0.03</v>
      </c>
      <c r="G63" s="54">
        <f>'Investment returns (2)'!Z47</f>
        <v>3.4627039999999998E-2</v>
      </c>
      <c r="H63" s="54">
        <f>'Investment returns (2)'!AA47</f>
        <v>2.8323910000000001E-2</v>
      </c>
      <c r="I63" s="54">
        <f>'Investment returns (2)'!AB47</f>
        <v>2.2396409999999999E-2</v>
      </c>
      <c r="J63" s="54">
        <f>'Investment returns (2)'!AC47</f>
        <v>2.5000000000000001E-3</v>
      </c>
      <c r="K63" s="4">
        <v>0</v>
      </c>
      <c r="L63" s="54">
        <f>'Investment returns (2)'!AD47</f>
        <v>2.7765945945946329E-4</v>
      </c>
      <c r="M63" s="54">
        <f>'Investment returns (2)'!AE47</f>
        <v>0</v>
      </c>
      <c r="N63" s="54">
        <f>'Investment returns (2)'!AF47</f>
        <v>1E-3</v>
      </c>
      <c r="O63" s="54">
        <f>'Investment returns (2)'!AG47</f>
        <v>2E-3</v>
      </c>
      <c r="P63" s="112">
        <v>0</v>
      </c>
      <c r="Q63" s="112">
        <f t="shared" si="2"/>
        <v>1E-3</v>
      </c>
      <c r="R63" s="112">
        <f t="shared" si="2"/>
        <v>1E-3</v>
      </c>
      <c r="S63" s="112">
        <f t="shared" si="3"/>
        <v>2E-3</v>
      </c>
      <c r="T63" s="112">
        <f t="shared" si="3"/>
        <v>2E-3</v>
      </c>
    </row>
    <row r="64" spans="1:20">
      <c r="A64">
        <f t="shared" si="5"/>
        <v>2063</v>
      </c>
      <c r="B64" s="4">
        <f t="shared" si="0"/>
        <v>1E-3</v>
      </c>
      <c r="C64" s="4"/>
      <c r="F64" s="4">
        <v>0.03</v>
      </c>
      <c r="G64" s="54">
        <f>'Investment returns (2)'!Z48</f>
        <v>3.4627039999999998E-2</v>
      </c>
      <c r="H64" s="54">
        <f>'Investment returns (2)'!AA48</f>
        <v>2.8323910000000001E-2</v>
      </c>
      <c r="I64" s="54">
        <f>'Investment returns (2)'!AB48</f>
        <v>2.2396409999999999E-2</v>
      </c>
      <c r="J64" s="54">
        <f>'Investment returns (2)'!AC48</f>
        <v>2.5000000000000001E-3</v>
      </c>
      <c r="K64" s="4">
        <v>0</v>
      </c>
      <c r="L64" s="54">
        <f>'Investment returns (2)'!AD48</f>
        <v>2.7765945945946329E-4</v>
      </c>
      <c r="M64" s="54">
        <f>'Investment returns (2)'!AE48</f>
        <v>0</v>
      </c>
      <c r="N64" s="54">
        <f>'Investment returns (2)'!AF48</f>
        <v>1E-3</v>
      </c>
      <c r="O64" s="54">
        <f>'Investment returns (2)'!AG48</f>
        <v>2E-3</v>
      </c>
      <c r="P64" s="112">
        <v>0</v>
      </c>
      <c r="Q64" s="112">
        <f t="shared" si="2"/>
        <v>1E-3</v>
      </c>
      <c r="R64" s="112">
        <f t="shared" si="2"/>
        <v>1E-3</v>
      </c>
      <c r="S64" s="112">
        <f t="shared" si="3"/>
        <v>2E-3</v>
      </c>
      <c r="T64" s="112">
        <f t="shared" si="3"/>
        <v>2E-3</v>
      </c>
    </row>
    <row r="65" spans="1:20">
      <c r="A65">
        <f t="shared" si="5"/>
        <v>2064</v>
      </c>
      <c r="B65" s="4">
        <f t="shared" si="0"/>
        <v>1E-3</v>
      </c>
      <c r="C65" s="4"/>
      <c r="F65" s="4">
        <v>0.03</v>
      </c>
      <c r="G65" s="54">
        <f>'Investment returns (2)'!Z49</f>
        <v>3.4627039999999998E-2</v>
      </c>
      <c r="H65" s="54">
        <f>'Investment returns (2)'!AA49</f>
        <v>2.8323910000000001E-2</v>
      </c>
      <c r="I65" s="54">
        <f>'Investment returns (2)'!AB49</f>
        <v>2.2396409999999999E-2</v>
      </c>
      <c r="J65" s="54">
        <f>'Investment returns (2)'!AC49</f>
        <v>2.5000000000000001E-3</v>
      </c>
      <c r="K65" s="4">
        <v>0</v>
      </c>
      <c r="L65" s="54">
        <f>'Investment returns (2)'!AD49</f>
        <v>2.7765945945946329E-4</v>
      </c>
      <c r="M65" s="54">
        <f>'Investment returns (2)'!AE49</f>
        <v>0</v>
      </c>
      <c r="N65" s="54">
        <f>'Investment returns (2)'!AF49</f>
        <v>1E-3</v>
      </c>
      <c r="O65" s="54">
        <f>'Investment returns (2)'!AG49</f>
        <v>2E-3</v>
      </c>
      <c r="P65" s="112">
        <v>0</v>
      </c>
      <c r="Q65" s="112">
        <f t="shared" si="2"/>
        <v>1E-3</v>
      </c>
      <c r="R65" s="112">
        <f t="shared" si="2"/>
        <v>1E-3</v>
      </c>
      <c r="S65" s="112">
        <f t="shared" si="3"/>
        <v>2E-3</v>
      </c>
      <c r="T65" s="112">
        <f t="shared" si="3"/>
        <v>2E-3</v>
      </c>
    </row>
    <row r="66" spans="1:20">
      <c r="A66">
        <f t="shared" si="5"/>
        <v>2065</v>
      </c>
      <c r="B66" s="4">
        <f t="shared" si="0"/>
        <v>1E-3</v>
      </c>
      <c r="C66" s="4"/>
      <c r="F66" s="4">
        <v>0.03</v>
      </c>
      <c r="G66" s="54">
        <f>'Investment returns (2)'!Z50</f>
        <v>3.4627039999999998E-2</v>
      </c>
      <c r="H66" s="54">
        <f>'Investment returns (2)'!AA50</f>
        <v>2.8323910000000001E-2</v>
      </c>
      <c r="I66" s="54">
        <f>'Investment returns (2)'!AB50</f>
        <v>2.2396409999999999E-2</v>
      </c>
      <c r="J66" s="54">
        <f>'Investment returns (2)'!AC50</f>
        <v>2.5000000000000001E-3</v>
      </c>
      <c r="K66" s="4">
        <v>0</v>
      </c>
      <c r="L66" s="54">
        <f>'Investment returns (2)'!AD50</f>
        <v>2.7765945945946329E-4</v>
      </c>
      <c r="M66" s="54">
        <f>'Investment returns (2)'!AE50</f>
        <v>0</v>
      </c>
      <c r="N66" s="54">
        <f>'Investment returns (2)'!AF50</f>
        <v>1E-3</v>
      </c>
      <c r="O66" s="54">
        <f>'Investment returns (2)'!AG50</f>
        <v>2E-3</v>
      </c>
      <c r="P66" s="112">
        <v>0</v>
      </c>
      <c r="Q66" s="112">
        <f t="shared" si="2"/>
        <v>1E-3</v>
      </c>
      <c r="R66" s="112">
        <f t="shared" si="2"/>
        <v>1E-3</v>
      </c>
      <c r="S66" s="112">
        <f t="shared" si="3"/>
        <v>2E-3</v>
      </c>
      <c r="T66" s="112">
        <f t="shared" si="3"/>
        <v>2E-3</v>
      </c>
    </row>
    <row r="67" spans="1:20">
      <c r="A67">
        <f t="shared" si="5"/>
        <v>2066</v>
      </c>
      <c r="B67" s="4">
        <f t="shared" si="0"/>
        <v>1E-3</v>
      </c>
      <c r="C67" s="4"/>
      <c r="F67" s="4">
        <v>0.03</v>
      </c>
      <c r="G67" s="54">
        <f>'Investment returns (2)'!Z51</f>
        <v>3.4627039999999998E-2</v>
      </c>
      <c r="H67" s="54">
        <f>'Investment returns (2)'!AA51</f>
        <v>2.8323910000000001E-2</v>
      </c>
      <c r="I67" s="54">
        <f>'Investment returns (2)'!AB51</f>
        <v>2.2396409999999999E-2</v>
      </c>
      <c r="J67" s="54">
        <f>'Investment returns (2)'!AC51</f>
        <v>2.5000000000000001E-3</v>
      </c>
      <c r="K67" s="4">
        <v>0</v>
      </c>
      <c r="L67" s="54">
        <f>'Investment returns (2)'!AD51</f>
        <v>2.7765945945946329E-4</v>
      </c>
      <c r="M67" s="54">
        <f>'Investment returns (2)'!AE51</f>
        <v>0</v>
      </c>
      <c r="N67" s="54">
        <f>'Investment returns (2)'!AF51</f>
        <v>1E-3</v>
      </c>
      <c r="O67" s="54">
        <f>'Investment returns (2)'!AG51</f>
        <v>2E-3</v>
      </c>
      <c r="P67" s="112">
        <v>0</v>
      </c>
      <c r="Q67" s="112">
        <f t="shared" si="2"/>
        <v>1E-3</v>
      </c>
      <c r="R67" s="112">
        <f t="shared" si="2"/>
        <v>1E-3</v>
      </c>
      <c r="S67" s="112">
        <f t="shared" si="3"/>
        <v>2E-3</v>
      </c>
      <c r="T67" s="112">
        <f t="shared" si="3"/>
        <v>2E-3</v>
      </c>
    </row>
    <row r="68" spans="1:20">
      <c r="A68">
        <f t="shared" si="5"/>
        <v>2067</v>
      </c>
      <c r="B68" s="4">
        <f t="shared" si="0"/>
        <v>1E-3</v>
      </c>
      <c r="C68" s="4"/>
      <c r="F68" s="4">
        <v>0.03</v>
      </c>
      <c r="G68" s="54">
        <f>'Investment returns (2)'!Z52</f>
        <v>3.4627039999999998E-2</v>
      </c>
      <c r="H68" s="54">
        <f>'Investment returns (2)'!AA52</f>
        <v>2.8323910000000001E-2</v>
      </c>
      <c r="I68" s="54">
        <f>'Investment returns (2)'!AB52</f>
        <v>2.2396409999999999E-2</v>
      </c>
      <c r="J68" s="54">
        <f>'Investment returns (2)'!AC52</f>
        <v>2.5000000000000001E-3</v>
      </c>
      <c r="K68" s="4">
        <v>0</v>
      </c>
      <c r="L68" s="54">
        <f>'Investment returns (2)'!AD52</f>
        <v>2.7765945945946329E-4</v>
      </c>
      <c r="M68" s="54">
        <f>'Investment returns (2)'!AE52</f>
        <v>0</v>
      </c>
      <c r="N68" s="54">
        <f>'Investment returns (2)'!AF52</f>
        <v>1E-3</v>
      </c>
      <c r="O68" s="54">
        <f>'Investment returns (2)'!AG52</f>
        <v>2E-3</v>
      </c>
      <c r="P68" s="112">
        <v>0</v>
      </c>
      <c r="Q68" s="112">
        <f t="shared" si="2"/>
        <v>1E-3</v>
      </c>
      <c r="R68" s="112">
        <f t="shared" si="2"/>
        <v>1E-3</v>
      </c>
      <c r="S68" s="112">
        <f t="shared" si="3"/>
        <v>2E-3</v>
      </c>
      <c r="T68" s="112">
        <f t="shared" si="3"/>
        <v>2E-3</v>
      </c>
    </row>
    <row r="69" spans="1:20">
      <c r="A69">
        <f t="shared" si="5"/>
        <v>2068</v>
      </c>
      <c r="B69" s="4">
        <f t="shared" si="0"/>
        <v>1E-3</v>
      </c>
      <c r="C69" s="4"/>
      <c r="F69" s="4">
        <v>0.03</v>
      </c>
      <c r="G69" s="54">
        <f>'Investment returns (2)'!Z53</f>
        <v>3.4627039999999998E-2</v>
      </c>
      <c r="H69" s="54">
        <f>'Investment returns (2)'!AA53</f>
        <v>2.8323910000000001E-2</v>
      </c>
      <c r="I69" s="54">
        <f>'Investment returns (2)'!AB53</f>
        <v>2.2396409999999999E-2</v>
      </c>
      <c r="J69" s="54">
        <f>'Investment returns (2)'!AC53</f>
        <v>2.5000000000000001E-3</v>
      </c>
      <c r="K69" s="4">
        <v>0</v>
      </c>
      <c r="L69" s="54">
        <f>'Investment returns (2)'!AD53</f>
        <v>2.7765945945946329E-4</v>
      </c>
      <c r="M69" s="54">
        <f>'Investment returns (2)'!AE53</f>
        <v>0</v>
      </c>
      <c r="N69" s="54">
        <f>'Investment returns (2)'!AF53</f>
        <v>1E-3</v>
      </c>
      <c r="O69" s="54">
        <f>'Investment returns (2)'!AG53</f>
        <v>2E-3</v>
      </c>
      <c r="P69" s="112">
        <v>0</v>
      </c>
      <c r="Q69" s="112">
        <f t="shared" si="2"/>
        <v>1E-3</v>
      </c>
      <c r="R69" s="112">
        <f t="shared" si="2"/>
        <v>1E-3</v>
      </c>
      <c r="S69" s="112">
        <f t="shared" si="3"/>
        <v>2E-3</v>
      </c>
      <c r="T69" s="112">
        <f t="shared" si="3"/>
        <v>2E-3</v>
      </c>
    </row>
    <row r="70" spans="1:20">
      <c r="A70">
        <f t="shared" si="5"/>
        <v>2069</v>
      </c>
      <c r="B70" s="4">
        <f t="shared" si="0"/>
        <v>1E-3</v>
      </c>
      <c r="C70" s="4"/>
      <c r="F70" s="4">
        <v>0.03</v>
      </c>
      <c r="G70" s="54">
        <f>'Investment returns (2)'!Z54</f>
        <v>3.4627039999999998E-2</v>
      </c>
      <c r="H70" s="54">
        <f>'Investment returns (2)'!AA54</f>
        <v>2.8323910000000001E-2</v>
      </c>
      <c r="I70" s="54">
        <f>'Investment returns (2)'!AB54</f>
        <v>2.2396409999999999E-2</v>
      </c>
      <c r="J70" s="54">
        <f>'Investment returns (2)'!AC54</f>
        <v>2.5000000000000001E-3</v>
      </c>
      <c r="K70" s="4">
        <v>0</v>
      </c>
      <c r="L70" s="54">
        <f>'Investment returns (2)'!AD54</f>
        <v>2.7765945945946329E-4</v>
      </c>
      <c r="M70" s="54">
        <f>'Investment returns (2)'!AE54</f>
        <v>0</v>
      </c>
      <c r="N70" s="54">
        <f>'Investment returns (2)'!AF54</f>
        <v>1E-3</v>
      </c>
      <c r="O70" s="54">
        <f>'Investment returns (2)'!AG54</f>
        <v>2E-3</v>
      </c>
      <c r="P70" s="112">
        <v>0</v>
      </c>
      <c r="Q70" s="112">
        <f t="shared" si="2"/>
        <v>1E-3</v>
      </c>
      <c r="R70" s="112">
        <f t="shared" si="2"/>
        <v>1E-3</v>
      </c>
      <c r="S70" s="112">
        <f t="shared" si="3"/>
        <v>2E-3</v>
      </c>
      <c r="T70" s="112">
        <f t="shared" si="3"/>
        <v>2E-3</v>
      </c>
    </row>
    <row r="71" spans="1:20">
      <c r="A71">
        <f t="shared" si="5"/>
        <v>2070</v>
      </c>
      <c r="B71" s="4">
        <f t="shared" si="0"/>
        <v>1E-3</v>
      </c>
      <c r="C71" s="4"/>
      <c r="F71" s="4">
        <v>0.03</v>
      </c>
      <c r="G71" s="54">
        <f>'Investment returns (2)'!Z55</f>
        <v>3.4627039999999998E-2</v>
      </c>
      <c r="H71" s="54">
        <f>'Investment returns (2)'!AA55</f>
        <v>2.8323910000000001E-2</v>
      </c>
      <c r="I71" s="54">
        <f>'Investment returns (2)'!AB55</f>
        <v>2.2396409999999999E-2</v>
      </c>
      <c r="J71" s="54">
        <f>'Investment returns (2)'!AC55</f>
        <v>2.5000000000000001E-3</v>
      </c>
      <c r="K71" s="4">
        <v>0</v>
      </c>
      <c r="L71" s="54">
        <f>'Investment returns (2)'!AD55</f>
        <v>2.7765945945946329E-4</v>
      </c>
      <c r="M71" s="54">
        <f>'Investment returns (2)'!AE55</f>
        <v>0</v>
      </c>
      <c r="N71" s="54">
        <f>'Investment returns (2)'!AF55</f>
        <v>1E-3</v>
      </c>
      <c r="O71" s="54">
        <f>'Investment returns (2)'!AG55</f>
        <v>2E-3</v>
      </c>
      <c r="P71" s="112">
        <v>0</v>
      </c>
      <c r="Q71" s="112">
        <f t="shared" si="2"/>
        <v>1E-3</v>
      </c>
      <c r="R71" s="112">
        <f t="shared" si="2"/>
        <v>1E-3</v>
      </c>
      <c r="S71" s="112">
        <f t="shared" si="3"/>
        <v>2E-3</v>
      </c>
      <c r="T71" s="112">
        <f t="shared" si="3"/>
        <v>2E-3</v>
      </c>
    </row>
  </sheetData>
  <mergeCells count="17">
    <mergeCell ref="K19:K21"/>
    <mergeCell ref="L19:L21"/>
    <mergeCell ref="M19:M21"/>
    <mergeCell ref="N19:N21"/>
    <mergeCell ref="O19:O21"/>
    <mergeCell ref="F19:F21"/>
    <mergeCell ref="G19:G21"/>
    <mergeCell ref="H19:H21"/>
    <mergeCell ref="I19:I21"/>
    <mergeCell ref="J19:J21"/>
    <mergeCell ref="A3:C3"/>
    <mergeCell ref="A4:I6"/>
    <mergeCell ref="A17:I17"/>
    <mergeCell ref="A16:B16"/>
    <mergeCell ref="A8:I8"/>
    <mergeCell ref="A10:I14"/>
    <mergeCell ref="A9:C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AL55"/>
  <sheetViews>
    <sheetView topLeftCell="S1" workbookViewId="0">
      <selection activeCell="AL7" sqref="AL7"/>
    </sheetView>
  </sheetViews>
  <sheetFormatPr baseColWidth="10" defaultRowHeight="16"/>
  <cols>
    <col min="17" max="17" width="24.6640625" bestFit="1" customWidth="1"/>
    <col min="18" max="18" width="23.1640625" bestFit="1" customWidth="1"/>
    <col min="19" max="20" width="12.1640625" bestFit="1" customWidth="1"/>
  </cols>
  <sheetData>
    <row r="2" spans="1:38">
      <c r="A2" s="3" t="s">
        <v>148</v>
      </c>
    </row>
    <row r="3" spans="1:38" ht="17" thickBot="1"/>
    <row r="4" spans="1:38" ht="17" thickBot="1">
      <c r="C4" s="101" t="s">
        <v>186</v>
      </c>
      <c r="D4" s="102"/>
      <c r="E4" s="102"/>
      <c r="F4" s="103"/>
      <c r="L4" s="101" t="s">
        <v>152</v>
      </c>
      <c r="M4" s="102"/>
      <c r="N4" s="102"/>
      <c r="O4" s="103"/>
    </row>
    <row r="5" spans="1:38" ht="52">
      <c r="A5" s="30"/>
      <c r="B5" s="46" t="s">
        <v>140</v>
      </c>
      <c r="C5" s="37" t="s">
        <v>136</v>
      </c>
      <c r="D5" s="38" t="s">
        <v>137</v>
      </c>
      <c r="E5" s="38" t="s">
        <v>138</v>
      </c>
      <c r="F5" s="39" t="s">
        <v>139</v>
      </c>
      <c r="G5" s="110" t="s">
        <v>244</v>
      </c>
      <c r="J5" s="46"/>
      <c r="K5" s="46"/>
      <c r="L5" s="49" t="s">
        <v>153</v>
      </c>
      <c r="M5" s="50" t="s">
        <v>154</v>
      </c>
      <c r="N5" s="50" t="s">
        <v>155</v>
      </c>
      <c r="O5" s="51" t="s">
        <v>156</v>
      </c>
      <c r="R5" s="98" t="s">
        <v>187</v>
      </c>
      <c r="S5" s="99"/>
      <c r="T5" s="99"/>
      <c r="U5" s="100"/>
      <c r="Z5" s="91" t="s">
        <v>161</v>
      </c>
      <c r="AA5" s="91"/>
      <c r="AB5" s="91"/>
      <c r="AC5" s="91"/>
      <c r="AD5" s="91" t="s">
        <v>160</v>
      </c>
      <c r="AE5" s="91"/>
      <c r="AF5" s="91"/>
      <c r="AG5" s="91"/>
      <c r="AH5" t="s">
        <v>251</v>
      </c>
    </row>
    <row r="6" spans="1:38" ht="26">
      <c r="A6" s="47" t="s">
        <v>141</v>
      </c>
      <c r="B6" s="4">
        <v>0.55000000000000004</v>
      </c>
      <c r="C6" s="40">
        <v>4.5199999999999997E-2</v>
      </c>
      <c r="D6" s="41">
        <v>4.3299999999999998E-2</v>
      </c>
      <c r="E6" s="41">
        <f>D6</f>
        <v>4.3299999999999998E-2</v>
      </c>
      <c r="F6" s="42">
        <f>E6</f>
        <v>4.3299999999999998E-2</v>
      </c>
      <c r="G6" s="54">
        <f>(4.52+4.33*2)/3*0.01</f>
        <v>4.3933333333333338E-2</v>
      </c>
      <c r="H6" s="4"/>
      <c r="K6" s="47" t="s">
        <v>141</v>
      </c>
      <c r="L6" s="40">
        <f>16.78%+36.62%+10.38%</f>
        <v>0.63780000000000003</v>
      </c>
      <c r="M6" s="41">
        <f>11.73%+25.77%+7.34%</f>
        <v>0.44840000000000002</v>
      </c>
      <c r="N6" s="41">
        <f>7.93%+16.62%+5%</f>
        <v>0.29549999999999998</v>
      </c>
      <c r="O6" s="42">
        <v>0</v>
      </c>
      <c r="R6" s="37" t="s">
        <v>136</v>
      </c>
      <c r="S6" s="38" t="s">
        <v>137</v>
      </c>
      <c r="T6" s="38" t="s">
        <v>138</v>
      </c>
      <c r="U6" s="39" t="s">
        <v>139</v>
      </c>
      <c r="Y6" t="s">
        <v>159</v>
      </c>
      <c r="Z6" s="3" t="s">
        <v>162</v>
      </c>
      <c r="AA6" s="3" t="s">
        <v>163</v>
      </c>
      <c r="AB6" s="3" t="s">
        <v>164</v>
      </c>
      <c r="AC6" s="3" t="s">
        <v>165</v>
      </c>
      <c r="AD6" s="3" t="s">
        <v>166</v>
      </c>
      <c r="AE6" s="3" t="s">
        <v>167</v>
      </c>
      <c r="AF6" s="3" t="s">
        <v>168</v>
      </c>
      <c r="AG6" s="3" t="s">
        <v>169</v>
      </c>
      <c r="AH6" s="3" t="s">
        <v>252</v>
      </c>
      <c r="AI6" s="3" t="s">
        <v>259</v>
      </c>
      <c r="AJ6" s="3" t="s">
        <v>260</v>
      </c>
      <c r="AK6" s="3" t="s">
        <v>261</v>
      </c>
      <c r="AL6" s="3" t="s">
        <v>262</v>
      </c>
    </row>
    <row r="7" spans="1:38">
      <c r="A7" s="47" t="s">
        <v>142</v>
      </c>
      <c r="B7" s="4">
        <v>7.4999999999999997E-2</v>
      </c>
      <c r="C7" s="40">
        <v>7.9000000000000008E-3</v>
      </c>
      <c r="D7" s="41">
        <v>2.3E-2</v>
      </c>
      <c r="E7" s="41">
        <f t="shared" ref="E7:E10" si="0">D7</f>
        <v>2.3E-2</v>
      </c>
      <c r="F7" s="42">
        <f>E7</f>
        <v>2.3E-2</v>
      </c>
      <c r="G7" s="54">
        <f>(0.79+2.3*2)/3*0.01</f>
        <v>1.7966666666666666E-2</v>
      </c>
      <c r="H7" s="4"/>
      <c r="K7" s="47" t="s">
        <v>142</v>
      </c>
      <c r="L7" s="40">
        <v>8.9300000000000004E-2</v>
      </c>
      <c r="M7" s="41">
        <v>6.7000000000000004E-2</v>
      </c>
      <c r="N7" s="41">
        <v>4.4900000000000002E-2</v>
      </c>
      <c r="O7" s="42">
        <v>0</v>
      </c>
      <c r="Q7" s="3" t="s">
        <v>153</v>
      </c>
      <c r="R7" s="40">
        <f>$L6*C6+$L7*C7+$L8*C8+$L9*C9+$L10*C10</f>
        <v>3.0844229999999997E-2</v>
      </c>
      <c r="S7" s="41">
        <f>$L6*D6+$L7*D7+$L8*D8+$L9*D9+$L10*D10</f>
        <v>3.4627039999999998E-2</v>
      </c>
      <c r="T7" s="41">
        <f>$L6*E6+$L7*E7+$L8*E8+$L9*E9+$L10*E10</f>
        <v>3.4627039999999998E-2</v>
      </c>
      <c r="U7" s="42">
        <f>$L6*F6+$L7*F7+$L8*F8+$L9*F9+$L10*F10</f>
        <v>3.4627039999999998E-2</v>
      </c>
      <c r="Y7">
        <v>2019</v>
      </c>
      <c r="Z7" s="4">
        <f>R7</f>
        <v>3.0844229999999997E-2</v>
      </c>
      <c r="AA7" s="4">
        <f>R8</f>
        <v>2.0418139999999998E-2</v>
      </c>
      <c r="AB7" s="4">
        <f>R9</f>
        <v>9.3503599999999951E-3</v>
      </c>
      <c r="AC7" s="4">
        <f>R10</f>
        <v>-6.0999999999999995E-3</v>
      </c>
      <c r="AD7" s="4">
        <f>R18</f>
        <v>4.682154594594601E-3</v>
      </c>
      <c r="AE7" s="112">
        <v>0</v>
      </c>
      <c r="AF7" s="112">
        <v>1E-3</v>
      </c>
      <c r="AG7" s="112">
        <v>2E-3</v>
      </c>
      <c r="AH7" s="111">
        <v>0</v>
      </c>
      <c r="AI7" s="112">
        <v>1E-3</v>
      </c>
      <c r="AJ7" s="112">
        <v>2E-3</v>
      </c>
      <c r="AK7" s="112">
        <v>2E-3</v>
      </c>
      <c r="AL7" s="112">
        <v>2E-3</v>
      </c>
    </row>
    <row r="8" spans="1:38">
      <c r="A8" s="47" t="s">
        <v>143</v>
      </c>
      <c r="B8" s="4">
        <v>0.1</v>
      </c>
      <c r="C8" s="40">
        <v>4.8999999999999998E-3</v>
      </c>
      <c r="D8" s="41">
        <v>1.83E-2</v>
      </c>
      <c r="E8" s="41">
        <f t="shared" si="0"/>
        <v>1.83E-2</v>
      </c>
      <c r="F8" s="42">
        <f>E8</f>
        <v>1.83E-2</v>
      </c>
      <c r="G8" s="54">
        <f>(0.49+1.83*2)/3*0.01</f>
        <v>1.3833333333333336E-2</v>
      </c>
      <c r="H8" s="4"/>
      <c r="K8" s="47" t="s">
        <v>143</v>
      </c>
      <c r="L8" s="40">
        <f>5.68%+5.48%+7.92%+7.97%</f>
        <v>0.27049999999999996</v>
      </c>
      <c r="M8" s="41">
        <f>8.05%+8.45%+11.49%+12.24%</f>
        <v>0.40229999999999999</v>
      </c>
      <c r="N8" s="41">
        <f>9.53%+9.97%+13.62%+14.5%</f>
        <v>0.47619999999999996</v>
      </c>
      <c r="O8" s="42">
        <v>0</v>
      </c>
      <c r="Q8" s="3" t="s">
        <v>154</v>
      </c>
      <c r="R8" s="40">
        <f>$M6*C6+$M7*C7+$M8*C8+$M9*C9+$M10*C10</f>
        <v>2.0418139999999998E-2</v>
      </c>
      <c r="S8" s="41">
        <f>$M6*D6+$M7*D7+$M8*D8+$M9*D9+$M10*D10</f>
        <v>2.8323910000000001E-2</v>
      </c>
      <c r="T8" s="41">
        <f>$M6*E6+$M7*E7+$M8*E8+$M9*E9+$M10*E10</f>
        <v>2.8323910000000001E-2</v>
      </c>
      <c r="U8" s="42">
        <f>$M6*F6+$M7*F7+$M8*F8+$M9*F9+$M10*F10</f>
        <v>2.8323910000000001E-2</v>
      </c>
      <c r="Y8">
        <f>Y7+1</f>
        <v>2020</v>
      </c>
      <c r="Z8" s="4">
        <f>Z7</f>
        <v>3.0844229999999997E-2</v>
      </c>
      <c r="AA8" s="4">
        <f t="shared" ref="AA8:AG16" si="1">AA7</f>
        <v>2.0418139999999998E-2</v>
      </c>
      <c r="AB8" s="4">
        <f t="shared" si="1"/>
        <v>9.3503599999999951E-3</v>
      </c>
      <c r="AC8" s="4">
        <f t="shared" si="1"/>
        <v>-6.0999999999999995E-3</v>
      </c>
      <c r="AD8" s="4">
        <f t="shared" si="1"/>
        <v>4.682154594594601E-3</v>
      </c>
      <c r="AE8" s="112">
        <v>0</v>
      </c>
      <c r="AF8" s="112">
        <f>AF7</f>
        <v>1E-3</v>
      </c>
      <c r="AG8" s="112">
        <v>2E-3</v>
      </c>
      <c r="AH8" s="111">
        <v>0</v>
      </c>
      <c r="AI8" s="112">
        <v>1E-3</v>
      </c>
      <c r="AJ8" s="112">
        <v>2E-3</v>
      </c>
      <c r="AK8" s="112">
        <v>2E-3</v>
      </c>
      <c r="AL8" s="112">
        <v>2E-3</v>
      </c>
    </row>
    <row r="9" spans="1:38">
      <c r="A9" s="47" t="s">
        <v>144</v>
      </c>
      <c r="B9" s="4">
        <v>0.25</v>
      </c>
      <c r="C9" s="40">
        <v>-4.2999999999999997E-2</v>
      </c>
      <c r="D9" s="41">
        <v>-1.5E-3</v>
      </c>
      <c r="E9" s="41">
        <f t="shared" si="0"/>
        <v>-1.5E-3</v>
      </c>
      <c r="F9" s="42">
        <f>E9</f>
        <v>-1.5E-3</v>
      </c>
      <c r="G9" s="54">
        <f>(-4.3-0.15*2)/3*0.01</f>
        <v>-1.5333333333333332E-2</v>
      </c>
      <c r="H9" s="4"/>
      <c r="K9" s="47" t="s">
        <v>144</v>
      </c>
      <c r="L9" s="40">
        <v>0</v>
      </c>
      <c r="M9" s="41">
        <f>2.01%+3%</f>
        <v>5.0099999999999992E-2</v>
      </c>
      <c r="N9" s="41">
        <f>7.08%+8.03%</f>
        <v>0.15110000000000001</v>
      </c>
      <c r="O9" s="42">
        <v>0</v>
      </c>
      <c r="Q9" s="3" t="s">
        <v>155</v>
      </c>
      <c r="R9" s="40">
        <f>$N6*C6+$N7*C7+$N8*C8+$N9*C9+$N10*C10</f>
        <v>9.3503599999999951E-3</v>
      </c>
      <c r="S9" s="41">
        <f>$N6*D6+$N7*D7+$N8*D8+$N9*D9+$N10*D10</f>
        <v>2.2396409999999999E-2</v>
      </c>
      <c r="T9" s="41">
        <f>$N6*E6+$N7*E7+$N8*E8+$N9*E9+$N10*E10</f>
        <v>2.2396409999999999E-2</v>
      </c>
      <c r="U9" s="42">
        <f>$N6*F6+$N7*F7+$N8*F8+$N9*F9+$N10*F10</f>
        <v>2.2396409999999999E-2</v>
      </c>
      <c r="Y9">
        <f t="shared" ref="Y9:Y55" si="2">Y8+1</f>
        <v>2021</v>
      </c>
      <c r="Z9" s="4">
        <f t="shared" ref="Z9:Z16" si="3">Z8</f>
        <v>3.0844229999999997E-2</v>
      </c>
      <c r="AA9" s="4">
        <f t="shared" si="1"/>
        <v>2.0418139999999998E-2</v>
      </c>
      <c r="AB9" s="4">
        <f t="shared" si="1"/>
        <v>9.3503599999999951E-3</v>
      </c>
      <c r="AC9" s="4">
        <f t="shared" si="1"/>
        <v>-6.0999999999999995E-3</v>
      </c>
      <c r="AD9" s="4">
        <f t="shared" si="1"/>
        <v>4.682154594594601E-3</v>
      </c>
      <c r="AE9" s="112">
        <v>0</v>
      </c>
      <c r="AF9" s="112">
        <f t="shared" ref="AF9:AF55" si="4">AF8</f>
        <v>1E-3</v>
      </c>
      <c r="AG9" s="112">
        <v>2E-3</v>
      </c>
      <c r="AH9" s="111">
        <v>0</v>
      </c>
      <c r="AI9" s="112">
        <v>1E-3</v>
      </c>
      <c r="AJ9" s="112">
        <v>2E-3</v>
      </c>
      <c r="AK9" s="112">
        <v>2E-3</v>
      </c>
      <c r="AL9" s="112">
        <v>2E-3</v>
      </c>
    </row>
    <row r="10" spans="1:38" ht="17" thickBot="1">
      <c r="A10" s="47" t="s">
        <v>145</v>
      </c>
      <c r="B10" s="4">
        <v>-0.05</v>
      </c>
      <c r="C10" s="43">
        <f>-0.61%</f>
        <v>-6.0999999999999995E-3</v>
      </c>
      <c r="D10" s="44">
        <v>2.5000000000000001E-3</v>
      </c>
      <c r="E10" s="44">
        <f t="shared" si="0"/>
        <v>2.5000000000000001E-3</v>
      </c>
      <c r="F10" s="45">
        <f>E10</f>
        <v>2.5000000000000001E-3</v>
      </c>
      <c r="G10" s="54">
        <f>(-0.61+0.25*2)/3*0.01</f>
        <v>-3.6666666666666662E-4</v>
      </c>
      <c r="H10" s="4"/>
      <c r="K10" s="47" t="s">
        <v>145</v>
      </c>
      <c r="L10" s="43">
        <v>2.5000000000000001E-3</v>
      </c>
      <c r="M10" s="44">
        <f>3.21%</f>
        <v>3.2099999999999997E-2</v>
      </c>
      <c r="N10" s="44">
        <f>3.23%</f>
        <v>3.2300000000000002E-2</v>
      </c>
      <c r="O10" s="45">
        <v>1</v>
      </c>
      <c r="Q10" s="3" t="s">
        <v>157</v>
      </c>
      <c r="R10" s="43">
        <f>$O6*C6+$O7*C7+$O8*C8+$O9*C9+$O10*C10</f>
        <v>-6.0999999999999995E-3</v>
      </c>
      <c r="S10" s="44">
        <f>$O6*D6+$O7*D7+$O8*D8+$O9*D9+$O10*D10</f>
        <v>2.5000000000000001E-3</v>
      </c>
      <c r="T10" s="44">
        <f>$O6*E6+$O7*E7+$O8*E8+$O9*E9+$O10*E10</f>
        <v>2.5000000000000001E-3</v>
      </c>
      <c r="U10" s="45">
        <f>$O6*F6+$O7*F7+$O8*F8+$O9*F9+$O10*F10</f>
        <v>2.5000000000000001E-3</v>
      </c>
      <c r="Y10">
        <f t="shared" si="2"/>
        <v>2022</v>
      </c>
      <c r="Z10" s="4">
        <f t="shared" si="3"/>
        <v>3.0844229999999997E-2</v>
      </c>
      <c r="AA10" s="4">
        <f t="shared" si="1"/>
        <v>2.0418139999999998E-2</v>
      </c>
      <c r="AB10" s="4">
        <f t="shared" si="1"/>
        <v>9.3503599999999951E-3</v>
      </c>
      <c r="AC10" s="4">
        <f t="shared" si="1"/>
        <v>-6.0999999999999995E-3</v>
      </c>
      <c r="AD10" s="4">
        <f t="shared" si="1"/>
        <v>4.682154594594601E-3</v>
      </c>
      <c r="AE10" s="112">
        <v>0</v>
      </c>
      <c r="AF10" s="112">
        <f t="shared" si="4"/>
        <v>1E-3</v>
      </c>
      <c r="AG10" s="112">
        <v>2E-3</v>
      </c>
      <c r="AH10" s="111">
        <v>0</v>
      </c>
      <c r="AI10" s="112">
        <v>1E-3</v>
      </c>
      <c r="AJ10" s="112">
        <v>2E-3</v>
      </c>
      <c r="AK10" s="112">
        <v>2E-3</v>
      </c>
      <c r="AL10" s="112">
        <v>2E-3</v>
      </c>
    </row>
    <row r="11" spans="1:38">
      <c r="A11" s="47" t="s">
        <v>146</v>
      </c>
      <c r="B11" s="4"/>
      <c r="C11" s="4">
        <v>8.6999999999999994E-3</v>
      </c>
      <c r="D11" s="4">
        <v>4.8999999999999998E-3</v>
      </c>
      <c r="E11" s="4">
        <f>D11</f>
        <v>4.8999999999999998E-3</v>
      </c>
      <c r="F11" s="4">
        <f>E11</f>
        <v>4.8999999999999998E-3</v>
      </c>
      <c r="J11" s="48"/>
      <c r="L11" s="4"/>
      <c r="M11" s="4"/>
      <c r="N11" s="4"/>
      <c r="O11" s="4"/>
      <c r="Y11">
        <f t="shared" si="2"/>
        <v>2023</v>
      </c>
      <c r="Z11" s="4">
        <f t="shared" si="3"/>
        <v>3.0844229999999997E-2</v>
      </c>
      <c r="AA11" s="4">
        <f t="shared" si="1"/>
        <v>2.0418139999999998E-2</v>
      </c>
      <c r="AB11" s="4">
        <f t="shared" si="1"/>
        <v>9.3503599999999951E-3</v>
      </c>
      <c r="AC11" s="4">
        <f t="shared" si="1"/>
        <v>-6.0999999999999995E-3</v>
      </c>
      <c r="AD11" s="4">
        <f t="shared" si="1"/>
        <v>4.682154594594601E-3</v>
      </c>
      <c r="AE11" s="112">
        <v>0</v>
      </c>
      <c r="AF11" s="112">
        <f t="shared" si="4"/>
        <v>1E-3</v>
      </c>
      <c r="AG11" s="112">
        <v>2E-3</v>
      </c>
      <c r="AH11" s="111">
        <v>0</v>
      </c>
      <c r="AI11" s="112">
        <v>1E-3</v>
      </c>
      <c r="AJ11" s="112">
        <v>2E-3</v>
      </c>
      <c r="AK11" s="112">
        <v>2E-3</v>
      </c>
      <c r="AL11" s="112">
        <v>2E-3</v>
      </c>
    </row>
    <row r="12" spans="1:38">
      <c r="A12" s="48" t="s">
        <v>147</v>
      </c>
      <c r="C12" s="4">
        <f>(SUM((B6*C6),(B7*C7),(B8*C8),(B9*C9),(B10*C10)))+C11</f>
        <v>2.41975E-2</v>
      </c>
      <c r="D12" s="4">
        <f>(SUM((B6*D6),(B7*D7),(B8*D8),(B9*D9),(B10*D10)))+D11</f>
        <v>3.177E-2</v>
      </c>
      <c r="E12" s="4">
        <f>(SUM((B6*E6),(B7*E7),(B8*E8),(B9*E9),(B10*E10)))+E11</f>
        <v>3.177E-2</v>
      </c>
      <c r="F12" s="4">
        <f>(SUM((B6*F6),(B7*F7),(B8*F8),(B9*F9),(B10*F10)))+F11</f>
        <v>3.177E-2</v>
      </c>
      <c r="Y12">
        <f t="shared" si="2"/>
        <v>2024</v>
      </c>
      <c r="Z12" s="4">
        <f t="shared" si="3"/>
        <v>3.0844229999999997E-2</v>
      </c>
      <c r="AA12" s="4">
        <f t="shared" si="1"/>
        <v>2.0418139999999998E-2</v>
      </c>
      <c r="AB12" s="4">
        <f t="shared" si="1"/>
        <v>9.3503599999999951E-3</v>
      </c>
      <c r="AC12" s="4">
        <f t="shared" si="1"/>
        <v>-6.0999999999999995E-3</v>
      </c>
      <c r="AD12" s="4">
        <f t="shared" si="1"/>
        <v>4.682154594594601E-3</v>
      </c>
      <c r="AE12" s="112">
        <v>0</v>
      </c>
      <c r="AF12" s="112">
        <f t="shared" si="4"/>
        <v>1E-3</v>
      </c>
      <c r="AG12" s="112">
        <v>2E-3</v>
      </c>
      <c r="AH12" s="111">
        <v>0</v>
      </c>
      <c r="AI12" s="112">
        <v>1E-3</v>
      </c>
      <c r="AJ12" s="112">
        <v>2E-3</v>
      </c>
      <c r="AK12" s="112">
        <v>2E-3</v>
      </c>
      <c r="AL12" s="112">
        <v>2E-3</v>
      </c>
    </row>
    <row r="13" spans="1:38">
      <c r="L13" s="52"/>
      <c r="M13" s="52"/>
      <c r="N13" s="52"/>
      <c r="O13" s="52"/>
      <c r="Y13">
        <f t="shared" si="2"/>
        <v>2025</v>
      </c>
      <c r="Z13" s="4">
        <f t="shared" si="3"/>
        <v>3.0844229999999997E-2</v>
      </c>
      <c r="AA13" s="4">
        <f t="shared" si="1"/>
        <v>2.0418139999999998E-2</v>
      </c>
      <c r="AB13" s="4">
        <f t="shared" si="1"/>
        <v>9.3503599999999951E-3</v>
      </c>
      <c r="AC13" s="4">
        <f t="shared" si="1"/>
        <v>-6.0999999999999995E-3</v>
      </c>
      <c r="AD13" s="4">
        <f t="shared" si="1"/>
        <v>4.682154594594601E-3</v>
      </c>
      <c r="AE13" s="112">
        <v>0</v>
      </c>
      <c r="AF13" s="112">
        <f t="shared" si="4"/>
        <v>1E-3</v>
      </c>
      <c r="AG13" s="112">
        <v>2E-3</v>
      </c>
      <c r="AH13" s="111">
        <v>0</v>
      </c>
      <c r="AI13" s="112">
        <v>1E-3</v>
      </c>
      <c r="AJ13" s="112">
        <v>2E-3</v>
      </c>
      <c r="AK13" s="112">
        <v>2E-3</v>
      </c>
      <c r="AL13" s="112">
        <v>2E-3</v>
      </c>
    </row>
    <row r="14" spans="1:38" ht="17" thickBot="1">
      <c r="Y14">
        <f t="shared" si="2"/>
        <v>2026</v>
      </c>
      <c r="Z14" s="4">
        <f t="shared" si="3"/>
        <v>3.0844229999999997E-2</v>
      </c>
      <c r="AA14" s="4">
        <f t="shared" si="1"/>
        <v>2.0418139999999998E-2</v>
      </c>
      <c r="AB14" s="4">
        <f t="shared" si="1"/>
        <v>9.3503599999999951E-3</v>
      </c>
      <c r="AC14" s="4">
        <f t="shared" si="1"/>
        <v>-6.0999999999999995E-3</v>
      </c>
      <c r="AD14" s="4">
        <f t="shared" si="1"/>
        <v>4.682154594594601E-3</v>
      </c>
      <c r="AE14" s="112">
        <v>0</v>
      </c>
      <c r="AF14" s="112">
        <f t="shared" si="4"/>
        <v>1E-3</v>
      </c>
      <c r="AG14" s="112">
        <v>2E-3</v>
      </c>
      <c r="AH14" s="111">
        <v>0</v>
      </c>
      <c r="AI14" s="112">
        <v>1E-3</v>
      </c>
      <c r="AJ14" s="112">
        <v>2E-3</v>
      </c>
      <c r="AK14" s="112">
        <v>2E-3</v>
      </c>
      <c r="AL14" s="112">
        <v>2E-3</v>
      </c>
    </row>
    <row r="15" spans="1:38" ht="17" thickBot="1">
      <c r="C15" s="101" t="s">
        <v>151</v>
      </c>
      <c r="D15" s="102"/>
      <c r="E15" s="102"/>
      <c r="F15" s="103"/>
      <c r="J15" s="52"/>
      <c r="K15" s="53"/>
      <c r="Y15">
        <f t="shared" si="2"/>
        <v>2027</v>
      </c>
      <c r="Z15" s="4">
        <f t="shared" si="3"/>
        <v>3.0844229999999997E-2</v>
      </c>
      <c r="AA15" s="4">
        <f t="shared" si="1"/>
        <v>2.0418139999999998E-2</v>
      </c>
      <c r="AB15" s="4">
        <f t="shared" si="1"/>
        <v>9.3503599999999951E-3</v>
      </c>
      <c r="AC15" s="4">
        <f t="shared" si="1"/>
        <v>-6.0999999999999995E-3</v>
      </c>
      <c r="AD15" s="4">
        <f t="shared" si="1"/>
        <v>4.682154594594601E-3</v>
      </c>
      <c r="AE15" s="112">
        <v>0</v>
      </c>
      <c r="AF15" s="112">
        <f t="shared" si="4"/>
        <v>1E-3</v>
      </c>
      <c r="AG15" s="112">
        <v>2E-3</v>
      </c>
      <c r="AH15" s="111">
        <v>0</v>
      </c>
      <c r="AI15" s="112">
        <v>1E-3</v>
      </c>
      <c r="AJ15" s="112">
        <v>2E-3</v>
      </c>
      <c r="AK15" s="112">
        <v>2E-3</v>
      </c>
      <c r="AL15" s="112">
        <v>2E-3</v>
      </c>
    </row>
    <row r="16" spans="1:38" ht="52">
      <c r="A16" s="30"/>
      <c r="B16" s="46" t="s">
        <v>140</v>
      </c>
      <c r="C16" s="37" t="s">
        <v>136</v>
      </c>
      <c r="D16" s="38" t="s">
        <v>137</v>
      </c>
      <c r="E16" s="38" t="s">
        <v>138</v>
      </c>
      <c r="F16" s="39" t="s">
        <v>139</v>
      </c>
      <c r="K16" s="4"/>
      <c r="N16" s="4"/>
      <c r="R16" s="98" t="s">
        <v>158</v>
      </c>
      <c r="S16" s="99"/>
      <c r="T16" s="99"/>
      <c r="U16" s="100"/>
      <c r="Y16">
        <f t="shared" si="2"/>
        <v>2028</v>
      </c>
      <c r="Z16" s="4">
        <f t="shared" si="3"/>
        <v>3.0844229999999997E-2</v>
      </c>
      <c r="AA16" s="4">
        <f t="shared" si="1"/>
        <v>2.0418139999999998E-2</v>
      </c>
      <c r="AB16" s="4">
        <f t="shared" si="1"/>
        <v>9.3503599999999951E-3</v>
      </c>
      <c r="AC16" s="4">
        <f t="shared" si="1"/>
        <v>-6.0999999999999995E-3</v>
      </c>
      <c r="AD16" s="4">
        <f t="shared" si="1"/>
        <v>4.682154594594601E-3</v>
      </c>
      <c r="AE16" s="112">
        <v>0</v>
      </c>
      <c r="AF16" s="112">
        <f t="shared" si="4"/>
        <v>1E-3</v>
      </c>
      <c r="AG16" s="112">
        <v>2E-3</v>
      </c>
      <c r="AH16" s="111">
        <v>0</v>
      </c>
      <c r="AI16" s="112">
        <v>1E-3</v>
      </c>
      <c r="AJ16" s="112">
        <v>2E-3</v>
      </c>
      <c r="AK16" s="112">
        <v>2E-3</v>
      </c>
      <c r="AL16" s="112">
        <v>2E-3</v>
      </c>
    </row>
    <row r="17" spans="1:38" ht="26">
      <c r="A17" s="47" t="s">
        <v>141</v>
      </c>
      <c r="B17" s="4">
        <v>0.55000000000000004</v>
      </c>
      <c r="C17" s="40">
        <f>C6-C$29</f>
        <v>1.9040540540540545E-2</v>
      </c>
      <c r="D17" s="41">
        <f>D6-D$29</f>
        <v>8.9540540540540559E-3</v>
      </c>
      <c r="E17" s="41">
        <f t="shared" ref="D17:F21" si="5">E6-E$29</f>
        <v>8.9540540540540559E-3</v>
      </c>
      <c r="F17" s="42">
        <f t="shared" si="5"/>
        <v>8.9540540540540559E-3</v>
      </c>
      <c r="K17" s="4"/>
      <c r="R17" s="37" t="s">
        <v>136</v>
      </c>
      <c r="S17" s="38" t="s">
        <v>137</v>
      </c>
      <c r="T17" s="38" t="s">
        <v>138</v>
      </c>
      <c r="U17" s="39" t="s">
        <v>139</v>
      </c>
      <c r="Y17">
        <f t="shared" si="2"/>
        <v>2029</v>
      </c>
      <c r="Z17" s="4">
        <f>S7</f>
        <v>3.4627039999999998E-2</v>
      </c>
      <c r="AA17" s="4">
        <f>S8</f>
        <v>2.8323910000000001E-2</v>
      </c>
      <c r="AB17" s="4">
        <f>S9</f>
        <v>2.2396409999999999E-2</v>
      </c>
      <c r="AC17" s="4">
        <f>S10</f>
        <v>2.5000000000000001E-3</v>
      </c>
      <c r="AD17" s="4">
        <f>S18</f>
        <v>2.7765945945946329E-4</v>
      </c>
      <c r="AE17" s="112">
        <v>0</v>
      </c>
      <c r="AF17" s="112">
        <f t="shared" si="4"/>
        <v>1E-3</v>
      </c>
      <c r="AG17" s="112">
        <v>2E-3</v>
      </c>
      <c r="AH17" s="111">
        <v>0</v>
      </c>
      <c r="AI17" s="112">
        <v>1E-3</v>
      </c>
      <c r="AJ17" s="112">
        <v>2E-3</v>
      </c>
      <c r="AK17" s="112">
        <v>2E-3</v>
      </c>
      <c r="AL17" s="112">
        <v>2E-3</v>
      </c>
    </row>
    <row r="18" spans="1:38">
      <c r="A18" s="47" t="s">
        <v>142</v>
      </c>
      <c r="B18" s="4">
        <v>7.4999999999999997E-2</v>
      </c>
      <c r="C18" s="40">
        <f>C7-C$29</f>
        <v>-1.8259459459459452E-2</v>
      </c>
      <c r="D18" s="41">
        <f>D7-D$29</f>
        <v>-1.1345945945945943E-2</v>
      </c>
      <c r="E18" s="41">
        <f t="shared" si="5"/>
        <v>-1.1345945945945943E-2</v>
      </c>
      <c r="F18" s="42">
        <f t="shared" si="5"/>
        <v>-1.1345945945945943E-2</v>
      </c>
      <c r="K18" s="4"/>
      <c r="Q18" s="3" t="s">
        <v>153</v>
      </c>
      <c r="R18" s="40">
        <f>$L6*C17+$L7*C18+$L8*C19+$L9*C20+$L10*C21</f>
        <v>4.682154594594601E-3</v>
      </c>
      <c r="S18" s="41">
        <f>$L6*D17+$L7*D18+$L8*D19+$L9*D20+$L10*D21</f>
        <v>2.7765945945946329E-4</v>
      </c>
      <c r="T18" s="41">
        <f>$L6*E17+$L7*E18+$L8*E19+$L9*E20+$L10*E21</f>
        <v>2.7765945945946329E-4</v>
      </c>
      <c r="U18" s="42">
        <f>$L6*F17+$L7*F18+$L8*F19+$L9*F20+$L10*F21</f>
        <v>2.7765945945946329E-4</v>
      </c>
      <c r="Y18">
        <f t="shared" si="2"/>
        <v>2030</v>
      </c>
      <c r="Z18" s="4">
        <f>Z17</f>
        <v>3.4627039999999998E-2</v>
      </c>
      <c r="AA18" s="4">
        <f t="shared" ref="AA18:AG18" si="6">AA17</f>
        <v>2.8323910000000001E-2</v>
      </c>
      <c r="AB18" s="4">
        <f t="shared" si="6"/>
        <v>2.2396409999999999E-2</v>
      </c>
      <c r="AC18" s="4">
        <f t="shared" si="6"/>
        <v>2.5000000000000001E-3</v>
      </c>
      <c r="AD18" s="4">
        <f t="shared" si="6"/>
        <v>2.7765945945946329E-4</v>
      </c>
      <c r="AE18" s="112">
        <v>0</v>
      </c>
      <c r="AF18" s="112">
        <f t="shared" si="4"/>
        <v>1E-3</v>
      </c>
      <c r="AG18" s="112">
        <v>2E-3</v>
      </c>
      <c r="AH18" s="111">
        <v>0</v>
      </c>
      <c r="AI18" s="112">
        <v>1E-3</v>
      </c>
      <c r="AJ18" s="112">
        <v>2E-3</v>
      </c>
      <c r="AK18" s="112">
        <v>2E-3</v>
      </c>
      <c r="AL18" s="112">
        <v>2E-3</v>
      </c>
    </row>
    <row r="19" spans="1:38">
      <c r="A19" s="47" t="s">
        <v>143</v>
      </c>
      <c r="B19" s="4">
        <v>0.1</v>
      </c>
      <c r="C19" s="40">
        <f>C8-C$29</f>
        <v>-2.1259459459459451E-2</v>
      </c>
      <c r="D19" s="41">
        <f t="shared" si="5"/>
        <v>-1.6045945945945942E-2</v>
      </c>
      <c r="E19" s="41">
        <f t="shared" si="5"/>
        <v>-1.6045945945945942E-2</v>
      </c>
      <c r="F19" s="42">
        <f t="shared" si="5"/>
        <v>-1.6045945945945942E-2</v>
      </c>
      <c r="K19" s="4"/>
      <c r="Q19" s="3" t="s">
        <v>154</v>
      </c>
      <c r="R19" s="40">
        <f>$M6*C17+$M7*C18+$M8*C19+$M9*C20+$M10*C21</f>
        <v>-5.7387035135135073E-3</v>
      </c>
      <c r="S19" s="41">
        <f>$M6*D17+$M7*D18+$M8*D19+$M9*D20+$M10*D21</f>
        <v>-6.0186013513513483E-3</v>
      </c>
      <c r="T19" s="41">
        <f>$M6*E17+$M7*E18+$M8*E19+$M9*E20+$M10*E21</f>
        <v>-6.0186013513513483E-3</v>
      </c>
      <c r="U19" s="42">
        <f>$M6*F17+$M7*F18+$M8*F19+$M9*F20+$M10*F21</f>
        <v>-6.0186013513513483E-3</v>
      </c>
      <c r="Y19">
        <f t="shared" si="2"/>
        <v>2031</v>
      </c>
      <c r="Z19" s="4">
        <f t="shared" ref="Z19:Z26" si="7">Z18</f>
        <v>3.4627039999999998E-2</v>
      </c>
      <c r="AA19" s="4">
        <f t="shared" ref="AA19:AA26" si="8">AA18</f>
        <v>2.8323910000000001E-2</v>
      </c>
      <c r="AB19" s="4">
        <f t="shared" ref="AB19:AB26" si="9">AB18</f>
        <v>2.2396409999999999E-2</v>
      </c>
      <c r="AC19" s="4">
        <f t="shared" ref="AC19:AC26" si="10">AC18</f>
        <v>2.5000000000000001E-3</v>
      </c>
      <c r="AD19" s="4">
        <f t="shared" ref="AD19:AD26" si="11">AD18</f>
        <v>2.7765945945946329E-4</v>
      </c>
      <c r="AE19" s="112">
        <v>0</v>
      </c>
      <c r="AF19" s="112">
        <f t="shared" si="4"/>
        <v>1E-3</v>
      </c>
      <c r="AG19" s="112">
        <v>2E-3</v>
      </c>
      <c r="AH19" s="111">
        <v>0</v>
      </c>
      <c r="AI19" s="112">
        <v>1E-3</v>
      </c>
      <c r="AJ19" s="112">
        <v>2E-3</v>
      </c>
      <c r="AK19" s="112">
        <v>2E-3</v>
      </c>
      <c r="AL19" s="112">
        <v>2E-3</v>
      </c>
    </row>
    <row r="20" spans="1:38">
      <c r="A20" s="47" t="s">
        <v>144</v>
      </c>
      <c r="B20" s="4">
        <v>0.25</v>
      </c>
      <c r="C20" s="40">
        <f>C9-C$29</f>
        <v>-6.9159459459459449E-2</v>
      </c>
      <c r="D20" s="41">
        <f t="shared" si="5"/>
        <v>-3.5845945945945944E-2</v>
      </c>
      <c r="E20" s="41">
        <f t="shared" si="5"/>
        <v>-3.5845945945945944E-2</v>
      </c>
      <c r="F20" s="42">
        <f t="shared" si="5"/>
        <v>-3.5845945945945944E-2</v>
      </c>
      <c r="K20" s="4"/>
      <c r="Q20" s="3" t="s">
        <v>155</v>
      </c>
      <c r="R20" s="40">
        <f>$N6*C17+$N7*C18+$N8*C19+$N9*C20+$N10*C21</f>
        <v>-1.6809099459459451E-2</v>
      </c>
      <c r="S20" s="41">
        <f>$N6*D17+$N7*D18+$N8*D19+$N9*D20+$N10*D21</f>
        <v>-1.1949535945945942E-2</v>
      </c>
      <c r="T20" s="41">
        <f>$N6*E17+$N7*E18+$N8*E19+$N9*E20+$N10*E21</f>
        <v>-1.1949535945945942E-2</v>
      </c>
      <c r="U20" s="42">
        <f>$N6*F17+$N7*F18+$N8*F19+$N9*F20+$N10*F21</f>
        <v>-1.1949535945945942E-2</v>
      </c>
      <c r="Y20">
        <f t="shared" si="2"/>
        <v>2032</v>
      </c>
      <c r="Z20" s="4">
        <f t="shared" si="7"/>
        <v>3.4627039999999998E-2</v>
      </c>
      <c r="AA20" s="4">
        <f t="shared" si="8"/>
        <v>2.8323910000000001E-2</v>
      </c>
      <c r="AB20" s="4">
        <f t="shared" si="9"/>
        <v>2.2396409999999999E-2</v>
      </c>
      <c r="AC20" s="4">
        <f t="shared" si="10"/>
        <v>2.5000000000000001E-3</v>
      </c>
      <c r="AD20" s="4">
        <f t="shared" si="11"/>
        <v>2.7765945945946329E-4</v>
      </c>
      <c r="AE20" s="112">
        <v>0</v>
      </c>
      <c r="AF20" s="112">
        <f t="shared" si="4"/>
        <v>1E-3</v>
      </c>
      <c r="AG20" s="112">
        <v>2E-3</v>
      </c>
      <c r="AH20" s="111">
        <v>0</v>
      </c>
      <c r="AI20" s="112">
        <v>1E-3</v>
      </c>
      <c r="AJ20" s="112">
        <v>2E-3</v>
      </c>
      <c r="AK20" s="112">
        <v>2E-3</v>
      </c>
      <c r="AL20" s="112">
        <v>2E-3</v>
      </c>
    </row>
    <row r="21" spans="1:38" ht="17" thickBot="1">
      <c r="A21" s="47" t="s">
        <v>145</v>
      </c>
      <c r="B21" s="4">
        <v>-0.05</v>
      </c>
      <c r="C21" s="43">
        <f>C10-C$29</f>
        <v>-3.2259459459459454E-2</v>
      </c>
      <c r="D21" s="44">
        <f t="shared" si="5"/>
        <v>-3.184594594594594E-2</v>
      </c>
      <c r="E21" s="44">
        <f t="shared" si="5"/>
        <v>-3.184594594594594E-2</v>
      </c>
      <c r="F21" s="45">
        <f t="shared" si="5"/>
        <v>-3.184594594594594E-2</v>
      </c>
      <c r="K21" s="4"/>
      <c r="Q21" s="3" t="s">
        <v>157</v>
      </c>
      <c r="R21" s="43">
        <f>$O6*C17+$O7*C18+$O8*C19+$O9*C20+$O10*C21</f>
        <v>-3.2259459459459454E-2</v>
      </c>
      <c r="S21" s="44">
        <f>$O6*D17+$O7*D18+$O8*D19+$O9*D20+$O10*D21</f>
        <v>-3.184594594594594E-2</v>
      </c>
      <c r="T21" s="44">
        <f>$O6*E17+$O7*E18+$O8*E19+$O9*E20+$O10*E21</f>
        <v>-3.184594594594594E-2</v>
      </c>
      <c r="U21" s="45">
        <f>$O6*F17+$O7*F18+$O8*F19+$O9*F20+$O10*F21</f>
        <v>-3.184594594594594E-2</v>
      </c>
      <c r="Y21">
        <f t="shared" si="2"/>
        <v>2033</v>
      </c>
      <c r="Z21" s="4">
        <f t="shared" si="7"/>
        <v>3.4627039999999998E-2</v>
      </c>
      <c r="AA21" s="4">
        <f t="shared" si="8"/>
        <v>2.8323910000000001E-2</v>
      </c>
      <c r="AB21" s="4">
        <f t="shared" si="9"/>
        <v>2.2396409999999999E-2</v>
      </c>
      <c r="AC21" s="4">
        <f t="shared" si="10"/>
        <v>2.5000000000000001E-3</v>
      </c>
      <c r="AD21" s="4">
        <f t="shared" si="11"/>
        <v>2.7765945945946329E-4</v>
      </c>
      <c r="AE21" s="112">
        <v>0</v>
      </c>
      <c r="AF21" s="112">
        <f t="shared" si="4"/>
        <v>1E-3</v>
      </c>
      <c r="AG21" s="112">
        <v>2E-3</v>
      </c>
      <c r="AH21" s="111">
        <v>0</v>
      </c>
      <c r="AI21" s="112">
        <v>1E-3</v>
      </c>
      <c r="AJ21" s="112">
        <v>2E-3</v>
      </c>
      <c r="AK21" s="112">
        <v>2E-3</v>
      </c>
      <c r="AL21" s="112">
        <v>2E-3</v>
      </c>
    </row>
    <row r="22" spans="1:38">
      <c r="A22" s="47" t="s">
        <v>146</v>
      </c>
      <c r="B22" s="4"/>
      <c r="C22" s="4">
        <f>C11</f>
        <v>8.6999999999999994E-3</v>
      </c>
      <c r="D22" s="4">
        <f>D11</f>
        <v>4.8999999999999998E-3</v>
      </c>
      <c r="E22" s="4">
        <f>D22</f>
        <v>4.8999999999999998E-3</v>
      </c>
      <c r="F22" s="4">
        <f>E22</f>
        <v>4.8999999999999998E-3</v>
      </c>
      <c r="K22" s="4"/>
      <c r="Y22">
        <f t="shared" si="2"/>
        <v>2034</v>
      </c>
      <c r="Z22" s="4">
        <f t="shared" si="7"/>
        <v>3.4627039999999998E-2</v>
      </c>
      <c r="AA22" s="4">
        <f t="shared" si="8"/>
        <v>2.8323910000000001E-2</v>
      </c>
      <c r="AB22" s="4">
        <f t="shared" si="9"/>
        <v>2.2396409999999999E-2</v>
      </c>
      <c r="AC22" s="4">
        <f t="shared" si="10"/>
        <v>2.5000000000000001E-3</v>
      </c>
      <c r="AD22" s="4">
        <f t="shared" si="11"/>
        <v>2.7765945945946329E-4</v>
      </c>
      <c r="AE22" s="112">
        <v>0</v>
      </c>
      <c r="AF22" s="112">
        <f t="shared" si="4"/>
        <v>1E-3</v>
      </c>
      <c r="AG22" s="112">
        <v>2E-3</v>
      </c>
      <c r="AH22" s="111">
        <v>0</v>
      </c>
      <c r="AI22" s="112">
        <v>1E-3</v>
      </c>
      <c r="AJ22" s="112">
        <v>2E-3</v>
      </c>
      <c r="AK22" s="112">
        <v>2E-3</v>
      </c>
      <c r="AL22" s="112">
        <v>2E-3</v>
      </c>
    </row>
    <row r="23" spans="1:38">
      <c r="A23" s="48" t="s">
        <v>247</v>
      </c>
      <c r="C23" s="4">
        <f>(SUM((B17*C17),(B18*C18),(B19*C19),(B20*C20),(B21*C21)))+C22</f>
        <v>0</v>
      </c>
      <c r="D23" s="4">
        <f>(SUM((B17*D17),(B18*D18),(B19*D19),(B20*D20),(B21*D21)))+D22</f>
        <v>0</v>
      </c>
      <c r="E23" s="4">
        <f>(SUM((B17*E17),(B18*E18),(B19*E19),(B20*E20),(B21*E21)))+E22</f>
        <v>0</v>
      </c>
      <c r="F23" s="4">
        <f>(SUM((B17*F17),(B18*F18),(B19*F19),(B20*F20),(B21*F21)))+F22</f>
        <v>0</v>
      </c>
      <c r="K23" s="4"/>
      <c r="Y23">
        <f t="shared" si="2"/>
        <v>2035</v>
      </c>
      <c r="Z23" s="4">
        <f t="shared" si="7"/>
        <v>3.4627039999999998E-2</v>
      </c>
      <c r="AA23" s="4">
        <f t="shared" si="8"/>
        <v>2.8323910000000001E-2</v>
      </c>
      <c r="AB23" s="4">
        <f t="shared" si="9"/>
        <v>2.2396409999999999E-2</v>
      </c>
      <c r="AC23" s="4">
        <f t="shared" si="10"/>
        <v>2.5000000000000001E-3</v>
      </c>
      <c r="AD23" s="4">
        <f t="shared" si="11"/>
        <v>2.7765945945946329E-4</v>
      </c>
      <c r="AE23" s="112">
        <v>0</v>
      </c>
      <c r="AF23" s="112">
        <f t="shared" si="4"/>
        <v>1E-3</v>
      </c>
      <c r="AG23" s="112">
        <v>2E-3</v>
      </c>
      <c r="AH23" s="111">
        <v>0</v>
      </c>
      <c r="AI23" s="112">
        <v>1E-3</v>
      </c>
      <c r="AJ23" s="112">
        <v>2E-3</v>
      </c>
      <c r="AK23" s="112">
        <v>2E-3</v>
      </c>
      <c r="AL23" s="112">
        <v>2E-3</v>
      </c>
    </row>
    <row r="24" spans="1:38">
      <c r="K24" s="4"/>
      <c r="Y24">
        <f t="shared" si="2"/>
        <v>2036</v>
      </c>
      <c r="Z24" s="4">
        <f t="shared" si="7"/>
        <v>3.4627039999999998E-2</v>
      </c>
      <c r="AA24" s="4">
        <f t="shared" si="8"/>
        <v>2.8323910000000001E-2</v>
      </c>
      <c r="AB24" s="4">
        <f t="shared" si="9"/>
        <v>2.2396409999999999E-2</v>
      </c>
      <c r="AC24" s="4">
        <f t="shared" si="10"/>
        <v>2.5000000000000001E-3</v>
      </c>
      <c r="AD24" s="4">
        <f t="shared" si="11"/>
        <v>2.7765945945946329E-4</v>
      </c>
      <c r="AE24" s="112">
        <v>0</v>
      </c>
      <c r="AF24" s="112">
        <f t="shared" si="4"/>
        <v>1E-3</v>
      </c>
      <c r="AG24" s="112">
        <v>2E-3</v>
      </c>
      <c r="AH24" s="111">
        <v>0</v>
      </c>
      <c r="AI24" s="112">
        <v>1E-3</v>
      </c>
      <c r="AJ24" s="112">
        <v>2E-3</v>
      </c>
      <c r="AK24" s="112">
        <v>2E-3</v>
      </c>
      <c r="AL24" s="112">
        <v>2E-3</v>
      </c>
    </row>
    <row r="25" spans="1:38">
      <c r="A25" s="47" t="s">
        <v>246</v>
      </c>
      <c r="C25" s="4">
        <v>8.8999999999999999E-3</v>
      </c>
      <c r="D25" s="4">
        <v>2.29E-2</v>
      </c>
      <c r="E25" s="4">
        <f>D25</f>
        <v>2.29E-2</v>
      </c>
      <c r="F25" s="4">
        <f>E25</f>
        <v>2.29E-2</v>
      </c>
      <c r="K25" s="4"/>
      <c r="Y25">
        <f t="shared" si="2"/>
        <v>2037</v>
      </c>
      <c r="Z25" s="4">
        <f t="shared" si="7"/>
        <v>3.4627039999999998E-2</v>
      </c>
      <c r="AA25" s="4">
        <f t="shared" si="8"/>
        <v>2.8323910000000001E-2</v>
      </c>
      <c r="AB25" s="4">
        <f t="shared" si="9"/>
        <v>2.2396409999999999E-2</v>
      </c>
      <c r="AC25" s="4">
        <f t="shared" si="10"/>
        <v>2.5000000000000001E-3</v>
      </c>
      <c r="AD25" s="4">
        <f t="shared" si="11"/>
        <v>2.7765945945946329E-4</v>
      </c>
      <c r="AE25" s="112">
        <v>0</v>
      </c>
      <c r="AF25" s="112">
        <f t="shared" si="4"/>
        <v>1E-3</v>
      </c>
      <c r="AG25" s="112">
        <v>2E-3</v>
      </c>
      <c r="AH25" s="111">
        <v>0</v>
      </c>
      <c r="AI25" s="112">
        <v>1E-3</v>
      </c>
      <c r="AJ25" s="112">
        <v>2E-3</v>
      </c>
      <c r="AK25" s="112">
        <v>2E-3</v>
      </c>
      <c r="AL25" s="112">
        <v>2E-3</v>
      </c>
    </row>
    <row r="26" spans="1:38">
      <c r="K26" s="4"/>
      <c r="Y26">
        <f t="shared" si="2"/>
        <v>2038</v>
      </c>
      <c r="Z26" s="4">
        <f t="shared" si="7"/>
        <v>3.4627039999999998E-2</v>
      </c>
      <c r="AA26" s="4">
        <f t="shared" si="8"/>
        <v>2.8323910000000001E-2</v>
      </c>
      <c r="AB26" s="4">
        <f t="shared" si="9"/>
        <v>2.2396409999999999E-2</v>
      </c>
      <c r="AC26" s="4">
        <f t="shared" si="10"/>
        <v>2.5000000000000001E-3</v>
      </c>
      <c r="AD26" s="4">
        <f t="shared" si="11"/>
        <v>2.7765945945946329E-4</v>
      </c>
      <c r="AE26" s="112">
        <v>0</v>
      </c>
      <c r="AF26" s="112">
        <f t="shared" si="4"/>
        <v>1E-3</v>
      </c>
      <c r="AG26" s="112">
        <v>2E-3</v>
      </c>
      <c r="AH26" s="111">
        <v>0</v>
      </c>
      <c r="AI26" s="112">
        <v>1E-3</v>
      </c>
      <c r="AJ26" s="112">
        <v>2E-3</v>
      </c>
      <c r="AK26" s="112">
        <v>2E-3</v>
      </c>
      <c r="AL26" s="112">
        <v>2E-3</v>
      </c>
    </row>
    <row r="27" spans="1:38">
      <c r="K27" s="4"/>
      <c r="Y27">
        <f t="shared" si="2"/>
        <v>2039</v>
      </c>
      <c r="Z27" s="4">
        <f>T7</f>
        <v>3.4627039999999998E-2</v>
      </c>
      <c r="AA27" s="4">
        <f>T8</f>
        <v>2.8323910000000001E-2</v>
      </c>
      <c r="AB27" s="4">
        <f>T9</f>
        <v>2.2396409999999999E-2</v>
      </c>
      <c r="AC27" s="4">
        <f>T10</f>
        <v>2.5000000000000001E-3</v>
      </c>
      <c r="AD27" s="4">
        <f>T18</f>
        <v>2.7765945945946329E-4</v>
      </c>
      <c r="AE27" s="112">
        <v>0</v>
      </c>
      <c r="AF27" s="112">
        <f t="shared" si="4"/>
        <v>1E-3</v>
      </c>
      <c r="AG27" s="112">
        <v>2E-3</v>
      </c>
      <c r="AH27" s="111">
        <v>0</v>
      </c>
      <c r="AI27" s="112">
        <v>1E-3</v>
      </c>
      <c r="AJ27" s="112">
        <v>2E-3</v>
      </c>
      <c r="AK27" s="112">
        <v>2E-3</v>
      </c>
      <c r="AL27" s="112">
        <v>2E-3</v>
      </c>
    </row>
    <row r="28" spans="1:38">
      <c r="B28" t="s">
        <v>149</v>
      </c>
      <c r="Y28">
        <f t="shared" si="2"/>
        <v>2040</v>
      </c>
      <c r="Z28" s="4">
        <f>Z27</f>
        <v>3.4627039999999998E-2</v>
      </c>
      <c r="AA28" s="4">
        <f t="shared" ref="AA28:AG28" si="12">AA27</f>
        <v>2.8323910000000001E-2</v>
      </c>
      <c r="AB28" s="4">
        <f t="shared" si="12"/>
        <v>2.2396409999999999E-2</v>
      </c>
      <c r="AC28" s="4">
        <f t="shared" si="12"/>
        <v>2.5000000000000001E-3</v>
      </c>
      <c r="AD28" s="4">
        <f t="shared" si="12"/>
        <v>2.7765945945946329E-4</v>
      </c>
      <c r="AE28" s="112">
        <v>0</v>
      </c>
      <c r="AF28" s="112">
        <f t="shared" si="4"/>
        <v>1E-3</v>
      </c>
      <c r="AG28" s="112">
        <v>2E-3</v>
      </c>
      <c r="AH28" s="111">
        <v>0</v>
      </c>
      <c r="AI28" s="112">
        <v>1E-3</v>
      </c>
      <c r="AJ28" s="112">
        <v>2E-3</v>
      </c>
      <c r="AK28" s="112">
        <v>2E-3</v>
      </c>
      <c r="AL28" s="112">
        <v>2E-3</v>
      </c>
    </row>
    <row r="29" spans="1:38">
      <c r="B29" t="s">
        <v>150</v>
      </c>
      <c r="C29" s="4">
        <f>C30</f>
        <v>2.6159459459459453E-2</v>
      </c>
      <c r="D29" s="4">
        <f>D30</f>
        <v>3.4345945945945942E-2</v>
      </c>
      <c r="E29" s="4">
        <f>D29</f>
        <v>3.4345945945945942E-2</v>
      </c>
      <c r="F29" s="4">
        <f>E29</f>
        <v>3.4345945945945942E-2</v>
      </c>
      <c r="Y29">
        <f t="shared" si="2"/>
        <v>2041</v>
      </c>
      <c r="Z29" s="4">
        <f t="shared" ref="Z29:Z36" si="13">Z28</f>
        <v>3.4627039999999998E-2</v>
      </c>
      <c r="AA29" s="4">
        <f t="shared" ref="AA29:AA36" si="14">AA28</f>
        <v>2.8323910000000001E-2</v>
      </c>
      <c r="AB29" s="4">
        <f t="shared" ref="AB29:AB36" si="15">AB28</f>
        <v>2.2396409999999999E-2</v>
      </c>
      <c r="AC29" s="4">
        <f t="shared" ref="AC29:AC36" si="16">AC28</f>
        <v>2.5000000000000001E-3</v>
      </c>
      <c r="AD29" s="4">
        <f t="shared" ref="AD29:AD36" si="17">AD28</f>
        <v>2.7765945945946329E-4</v>
      </c>
      <c r="AE29" s="112">
        <v>0</v>
      </c>
      <c r="AF29" s="112">
        <f t="shared" si="4"/>
        <v>1E-3</v>
      </c>
      <c r="AG29" s="112">
        <v>2E-3</v>
      </c>
      <c r="AH29" s="111">
        <v>0</v>
      </c>
      <c r="AI29" s="112">
        <v>1E-3</v>
      </c>
      <c r="AJ29" s="112">
        <v>2E-3</v>
      </c>
      <c r="AK29" s="112">
        <v>2E-3</v>
      </c>
      <c r="AL29" s="112">
        <v>2E-3</v>
      </c>
    </row>
    <row r="30" spans="1:38">
      <c r="B30" t="s">
        <v>240</v>
      </c>
      <c r="C30" s="4">
        <v>2.6159459459459453E-2</v>
      </c>
      <c r="D30" s="4">
        <v>3.4345945945945942E-2</v>
      </c>
      <c r="E30" s="4">
        <f>D30</f>
        <v>3.4345945945945942E-2</v>
      </c>
      <c r="F30" s="4">
        <f>E30</f>
        <v>3.4345945945945942E-2</v>
      </c>
      <c r="Y30">
        <f t="shared" si="2"/>
        <v>2042</v>
      </c>
      <c r="Z30" s="4">
        <f t="shared" si="13"/>
        <v>3.4627039999999998E-2</v>
      </c>
      <c r="AA30" s="4">
        <f t="shared" si="14"/>
        <v>2.8323910000000001E-2</v>
      </c>
      <c r="AB30" s="4">
        <f t="shared" si="15"/>
        <v>2.2396409999999999E-2</v>
      </c>
      <c r="AC30" s="4">
        <f t="shared" si="16"/>
        <v>2.5000000000000001E-3</v>
      </c>
      <c r="AD30" s="4">
        <f t="shared" si="17"/>
        <v>2.7765945945946329E-4</v>
      </c>
      <c r="AE30" s="112">
        <v>0</v>
      </c>
      <c r="AF30" s="112">
        <f t="shared" si="4"/>
        <v>1E-3</v>
      </c>
      <c r="AG30" s="112">
        <v>2E-3</v>
      </c>
      <c r="AH30" s="111">
        <v>0</v>
      </c>
      <c r="AI30" s="112">
        <v>1E-3</v>
      </c>
      <c r="AJ30" s="112">
        <v>2E-3</v>
      </c>
      <c r="AK30" s="112">
        <v>2E-3</v>
      </c>
      <c r="AL30" s="112">
        <v>2E-3</v>
      </c>
    </row>
    <row r="31" spans="1:38">
      <c r="Y31">
        <f t="shared" si="2"/>
        <v>2043</v>
      </c>
      <c r="Z31" s="4">
        <f t="shared" si="13"/>
        <v>3.4627039999999998E-2</v>
      </c>
      <c r="AA31" s="4">
        <f t="shared" si="14"/>
        <v>2.8323910000000001E-2</v>
      </c>
      <c r="AB31" s="4">
        <f t="shared" si="15"/>
        <v>2.2396409999999999E-2</v>
      </c>
      <c r="AC31" s="4">
        <f t="shared" si="16"/>
        <v>2.5000000000000001E-3</v>
      </c>
      <c r="AD31" s="4">
        <f t="shared" si="17"/>
        <v>2.7765945945946329E-4</v>
      </c>
      <c r="AE31" s="112">
        <v>0</v>
      </c>
      <c r="AF31" s="112">
        <f t="shared" si="4"/>
        <v>1E-3</v>
      </c>
      <c r="AG31" s="112">
        <v>2E-3</v>
      </c>
      <c r="AH31" s="111">
        <v>0</v>
      </c>
      <c r="AI31" s="112">
        <v>1E-3</v>
      </c>
      <c r="AJ31" s="112">
        <v>2E-3</v>
      </c>
      <c r="AK31" s="112">
        <v>2E-3</v>
      </c>
      <c r="AL31" s="112">
        <v>2E-3</v>
      </c>
    </row>
    <row r="32" spans="1:38">
      <c r="A32" t="s">
        <v>242</v>
      </c>
      <c r="Y32">
        <f t="shared" si="2"/>
        <v>2044</v>
      </c>
      <c r="Z32" s="4">
        <f t="shared" si="13"/>
        <v>3.4627039999999998E-2</v>
      </c>
      <c r="AA32" s="4">
        <f t="shared" si="14"/>
        <v>2.8323910000000001E-2</v>
      </c>
      <c r="AB32" s="4">
        <f t="shared" si="15"/>
        <v>2.2396409999999999E-2</v>
      </c>
      <c r="AC32" s="4">
        <f t="shared" si="16"/>
        <v>2.5000000000000001E-3</v>
      </c>
      <c r="AD32" s="4">
        <f t="shared" si="17"/>
        <v>2.7765945945946329E-4</v>
      </c>
      <c r="AE32" s="112">
        <v>0</v>
      </c>
      <c r="AF32" s="112">
        <f t="shared" si="4"/>
        <v>1E-3</v>
      </c>
      <c r="AG32" s="112">
        <v>2E-3</v>
      </c>
      <c r="AH32" s="111">
        <v>0</v>
      </c>
      <c r="AI32" s="112">
        <v>1E-3</v>
      </c>
      <c r="AJ32" s="112">
        <v>2E-3</v>
      </c>
      <c r="AK32" s="112">
        <v>2E-3</v>
      </c>
      <c r="AL32" s="112">
        <v>2E-3</v>
      </c>
    </row>
    <row r="33" spans="1:38" ht="17" thickBot="1">
      <c r="Y33">
        <f t="shared" si="2"/>
        <v>2045</v>
      </c>
      <c r="Z33" s="4">
        <f t="shared" si="13"/>
        <v>3.4627039999999998E-2</v>
      </c>
      <c r="AA33" s="4">
        <f t="shared" si="14"/>
        <v>2.8323910000000001E-2</v>
      </c>
      <c r="AB33" s="4">
        <f t="shared" si="15"/>
        <v>2.2396409999999999E-2</v>
      </c>
      <c r="AC33" s="4">
        <f t="shared" si="16"/>
        <v>2.5000000000000001E-3</v>
      </c>
      <c r="AD33" s="4">
        <f t="shared" si="17"/>
        <v>2.7765945945946329E-4</v>
      </c>
      <c r="AE33" s="112">
        <v>0</v>
      </c>
      <c r="AF33" s="112">
        <f t="shared" si="4"/>
        <v>1E-3</v>
      </c>
      <c r="AG33" s="112">
        <v>2E-3</v>
      </c>
      <c r="AH33" s="111">
        <v>0</v>
      </c>
      <c r="AI33" s="112">
        <v>1E-3</v>
      </c>
      <c r="AJ33" s="112">
        <v>2E-3</v>
      </c>
      <c r="AK33" s="112">
        <v>2E-3</v>
      </c>
      <c r="AL33" s="112">
        <v>2E-3</v>
      </c>
    </row>
    <row r="34" spans="1:38" ht="52">
      <c r="A34" s="30"/>
      <c r="B34" s="113" t="s">
        <v>140</v>
      </c>
      <c r="C34" s="114" t="s">
        <v>245</v>
      </c>
      <c r="Y34">
        <f t="shared" si="2"/>
        <v>2046</v>
      </c>
      <c r="Z34" s="4">
        <f t="shared" si="13"/>
        <v>3.4627039999999998E-2</v>
      </c>
      <c r="AA34" s="4">
        <f t="shared" si="14"/>
        <v>2.8323910000000001E-2</v>
      </c>
      <c r="AB34" s="4">
        <f t="shared" si="15"/>
        <v>2.2396409999999999E-2</v>
      </c>
      <c r="AC34" s="4">
        <f t="shared" si="16"/>
        <v>2.5000000000000001E-3</v>
      </c>
      <c r="AD34" s="4">
        <f t="shared" si="17"/>
        <v>2.7765945945946329E-4</v>
      </c>
      <c r="AE34" s="112">
        <v>0</v>
      </c>
      <c r="AF34" s="112">
        <f t="shared" si="4"/>
        <v>1E-3</v>
      </c>
      <c r="AG34" s="112">
        <v>2E-3</v>
      </c>
      <c r="AH34" s="111">
        <v>0</v>
      </c>
      <c r="AI34" s="112">
        <v>1E-3</v>
      </c>
      <c r="AJ34" s="112">
        <v>2E-3</v>
      </c>
      <c r="AK34" s="112">
        <v>2E-3</v>
      </c>
      <c r="AL34" s="112">
        <v>2E-3</v>
      </c>
    </row>
    <row r="35" spans="1:38">
      <c r="A35" s="47" t="s">
        <v>141</v>
      </c>
      <c r="B35" s="40">
        <v>0.55000000000000004</v>
      </c>
      <c r="C35" s="42">
        <v>4.3900000000000002E-2</v>
      </c>
      <c r="Y35">
        <f t="shared" si="2"/>
        <v>2047</v>
      </c>
      <c r="Z35" s="4">
        <f t="shared" si="13"/>
        <v>3.4627039999999998E-2</v>
      </c>
      <c r="AA35" s="4">
        <f t="shared" si="14"/>
        <v>2.8323910000000001E-2</v>
      </c>
      <c r="AB35" s="4">
        <f t="shared" si="15"/>
        <v>2.2396409999999999E-2</v>
      </c>
      <c r="AC35" s="4">
        <f t="shared" si="16"/>
        <v>2.5000000000000001E-3</v>
      </c>
      <c r="AD35" s="4">
        <f t="shared" si="17"/>
        <v>2.7765945945946329E-4</v>
      </c>
      <c r="AE35" s="112">
        <v>0</v>
      </c>
      <c r="AF35" s="112">
        <f t="shared" si="4"/>
        <v>1E-3</v>
      </c>
      <c r="AG35" s="112">
        <v>2E-3</v>
      </c>
      <c r="AH35" s="111">
        <v>0</v>
      </c>
      <c r="AI35" s="112">
        <v>1E-3</v>
      </c>
      <c r="AJ35" s="112">
        <v>2E-3</v>
      </c>
      <c r="AK35" s="112">
        <v>2E-3</v>
      </c>
      <c r="AL35" s="112">
        <v>2E-3</v>
      </c>
    </row>
    <row r="36" spans="1:38">
      <c r="A36" s="47" t="s">
        <v>142</v>
      </c>
      <c r="B36" s="40">
        <v>7.4999999999999997E-2</v>
      </c>
      <c r="C36" s="42">
        <v>1.7999999999999999E-2</v>
      </c>
      <c r="Y36">
        <f t="shared" si="2"/>
        <v>2048</v>
      </c>
      <c r="Z36" s="4">
        <f t="shared" si="13"/>
        <v>3.4627039999999998E-2</v>
      </c>
      <c r="AA36" s="4">
        <f t="shared" si="14"/>
        <v>2.8323910000000001E-2</v>
      </c>
      <c r="AB36" s="4">
        <f t="shared" si="15"/>
        <v>2.2396409999999999E-2</v>
      </c>
      <c r="AC36" s="4">
        <f t="shared" si="16"/>
        <v>2.5000000000000001E-3</v>
      </c>
      <c r="AD36" s="4">
        <f t="shared" si="17"/>
        <v>2.7765945945946329E-4</v>
      </c>
      <c r="AE36" s="112">
        <v>0</v>
      </c>
      <c r="AF36" s="112">
        <f t="shared" si="4"/>
        <v>1E-3</v>
      </c>
      <c r="AG36" s="112">
        <v>2E-3</v>
      </c>
      <c r="AH36" s="111">
        <v>0</v>
      </c>
      <c r="AI36" s="112">
        <v>1E-3</v>
      </c>
      <c r="AJ36" s="112">
        <v>2E-3</v>
      </c>
      <c r="AK36" s="112">
        <v>2E-3</v>
      </c>
      <c r="AL36" s="112">
        <v>2E-3</v>
      </c>
    </row>
    <row r="37" spans="1:38">
      <c r="A37" s="47" t="s">
        <v>143</v>
      </c>
      <c r="B37" s="40">
        <v>0.1</v>
      </c>
      <c r="C37" s="42">
        <v>1.6799999999999999E-2</v>
      </c>
      <c r="Y37">
        <f t="shared" si="2"/>
        <v>2049</v>
      </c>
      <c r="Z37" s="4">
        <f>U7</f>
        <v>3.4627039999999998E-2</v>
      </c>
      <c r="AA37" s="4">
        <f>U8</f>
        <v>2.8323910000000001E-2</v>
      </c>
      <c r="AB37" s="4">
        <f>U9</f>
        <v>2.2396409999999999E-2</v>
      </c>
      <c r="AC37" s="4">
        <f>U10</f>
        <v>2.5000000000000001E-3</v>
      </c>
      <c r="AD37" s="4">
        <f>U18</f>
        <v>2.7765945945946329E-4</v>
      </c>
      <c r="AE37" s="112">
        <v>0</v>
      </c>
      <c r="AF37" s="112">
        <f t="shared" si="4"/>
        <v>1E-3</v>
      </c>
      <c r="AG37" s="112">
        <v>2E-3</v>
      </c>
      <c r="AH37" s="111">
        <v>0</v>
      </c>
      <c r="AI37" s="112">
        <v>1E-3</v>
      </c>
      <c r="AJ37" s="112">
        <v>2E-3</v>
      </c>
      <c r="AK37" s="112">
        <v>2E-3</v>
      </c>
      <c r="AL37" s="112">
        <v>2E-3</v>
      </c>
    </row>
    <row r="38" spans="1:38">
      <c r="A38" s="47" t="s">
        <v>144</v>
      </c>
      <c r="B38" s="40">
        <v>0.25</v>
      </c>
      <c r="C38" s="42">
        <v>-1.5699999999999999E-2</v>
      </c>
      <c r="Y38">
        <f t="shared" si="2"/>
        <v>2050</v>
      </c>
      <c r="Z38" s="4">
        <f>Z37</f>
        <v>3.4627039999999998E-2</v>
      </c>
      <c r="AA38" s="4">
        <f t="shared" ref="AA38:AG38" si="18">AA37</f>
        <v>2.8323910000000001E-2</v>
      </c>
      <c r="AB38" s="4">
        <f t="shared" si="18"/>
        <v>2.2396409999999999E-2</v>
      </c>
      <c r="AC38" s="4">
        <f t="shared" si="18"/>
        <v>2.5000000000000001E-3</v>
      </c>
      <c r="AD38" s="4">
        <f t="shared" si="18"/>
        <v>2.7765945945946329E-4</v>
      </c>
      <c r="AE38" s="112">
        <v>0</v>
      </c>
      <c r="AF38" s="112">
        <f t="shared" si="4"/>
        <v>1E-3</v>
      </c>
      <c r="AG38" s="112">
        <v>2E-3</v>
      </c>
      <c r="AH38" s="111">
        <v>0</v>
      </c>
      <c r="AI38" s="112">
        <v>1E-3</v>
      </c>
      <c r="AJ38" s="112">
        <v>2E-3</v>
      </c>
      <c r="AK38" s="112">
        <v>2E-3</v>
      </c>
      <c r="AL38" s="112">
        <v>2E-3</v>
      </c>
    </row>
    <row r="39" spans="1:38" ht="17" thickBot="1">
      <c r="A39" s="47" t="s">
        <v>145</v>
      </c>
      <c r="B39" s="43">
        <v>-0.05</v>
      </c>
      <c r="C39" s="45">
        <v>-4.0000000000000002E-4</v>
      </c>
      <c r="Y39">
        <f t="shared" si="2"/>
        <v>2051</v>
      </c>
      <c r="Z39" s="4">
        <f t="shared" ref="Z39:Z55" si="19">Z38</f>
        <v>3.4627039999999998E-2</v>
      </c>
      <c r="AA39" s="4">
        <f t="shared" ref="AA39:AA55" si="20">AA38</f>
        <v>2.8323910000000001E-2</v>
      </c>
      <c r="AB39" s="4">
        <f t="shared" ref="AB39:AB55" si="21">AB38</f>
        <v>2.2396409999999999E-2</v>
      </c>
      <c r="AC39" s="4">
        <f t="shared" ref="AC39:AC55" si="22">AC38</f>
        <v>2.5000000000000001E-3</v>
      </c>
      <c r="AD39" s="4">
        <f t="shared" ref="AD39:AD55" si="23">AD38</f>
        <v>2.7765945945946329E-4</v>
      </c>
      <c r="AE39" s="112">
        <v>0</v>
      </c>
      <c r="AF39" s="112">
        <f t="shared" si="4"/>
        <v>1E-3</v>
      </c>
      <c r="AG39" s="112">
        <v>2E-3</v>
      </c>
      <c r="AH39" s="111">
        <v>0</v>
      </c>
      <c r="AI39" s="112">
        <v>1E-3</v>
      </c>
      <c r="AJ39" s="112">
        <v>2E-3</v>
      </c>
      <c r="AK39" s="112">
        <v>2E-3</v>
      </c>
      <c r="AL39" s="112">
        <v>2E-3</v>
      </c>
    </row>
    <row r="40" spans="1:38">
      <c r="Y40">
        <f t="shared" si="2"/>
        <v>2052</v>
      </c>
      <c r="Z40" s="4">
        <f t="shared" si="19"/>
        <v>3.4627039999999998E-2</v>
      </c>
      <c r="AA40" s="4">
        <f t="shared" si="20"/>
        <v>2.8323910000000001E-2</v>
      </c>
      <c r="AB40" s="4">
        <f t="shared" si="21"/>
        <v>2.2396409999999999E-2</v>
      </c>
      <c r="AC40" s="4">
        <f t="shared" si="22"/>
        <v>2.5000000000000001E-3</v>
      </c>
      <c r="AD40" s="4">
        <f t="shared" si="23"/>
        <v>2.7765945945946329E-4</v>
      </c>
      <c r="AE40" s="112">
        <v>0</v>
      </c>
      <c r="AF40" s="112">
        <f t="shared" si="4"/>
        <v>1E-3</v>
      </c>
      <c r="AG40" s="112">
        <v>2E-3</v>
      </c>
      <c r="AH40" s="111">
        <v>0</v>
      </c>
      <c r="AI40" s="112">
        <v>1E-3</v>
      </c>
      <c r="AJ40" s="112">
        <v>2E-3</v>
      </c>
      <c r="AK40" s="112">
        <v>2E-3</v>
      </c>
      <c r="AL40" s="112">
        <v>2E-3</v>
      </c>
    </row>
    <row r="41" spans="1:38">
      <c r="A41" t="s">
        <v>243</v>
      </c>
      <c r="Y41">
        <f t="shared" si="2"/>
        <v>2053</v>
      </c>
      <c r="Z41" s="4">
        <f t="shared" si="19"/>
        <v>3.4627039999999998E-2</v>
      </c>
      <c r="AA41" s="4">
        <f t="shared" si="20"/>
        <v>2.8323910000000001E-2</v>
      </c>
      <c r="AB41" s="4">
        <f t="shared" si="21"/>
        <v>2.2396409999999999E-2</v>
      </c>
      <c r="AC41" s="4">
        <f t="shared" si="22"/>
        <v>2.5000000000000001E-3</v>
      </c>
      <c r="AD41" s="4">
        <f t="shared" si="23"/>
        <v>2.7765945945946329E-4</v>
      </c>
      <c r="AE41" s="112">
        <v>0</v>
      </c>
      <c r="AF41" s="112">
        <f t="shared" si="4"/>
        <v>1E-3</v>
      </c>
      <c r="AG41" s="112">
        <v>2E-3</v>
      </c>
      <c r="AH41" s="111">
        <v>0</v>
      </c>
      <c r="AI41" s="112">
        <v>1E-3</v>
      </c>
      <c r="AJ41" s="112">
        <v>2E-3</v>
      </c>
      <c r="AK41" s="112">
        <v>2E-3</v>
      </c>
      <c r="AL41" s="112">
        <v>2E-3</v>
      </c>
    </row>
    <row r="42" spans="1:38">
      <c r="Y42">
        <f t="shared" si="2"/>
        <v>2054</v>
      </c>
      <c r="Z42" s="4">
        <f t="shared" si="19"/>
        <v>3.4627039999999998E-2</v>
      </c>
      <c r="AA42" s="4">
        <f t="shared" si="20"/>
        <v>2.8323910000000001E-2</v>
      </c>
      <c r="AB42" s="4">
        <f t="shared" si="21"/>
        <v>2.2396409999999999E-2</v>
      </c>
      <c r="AC42" s="4">
        <f t="shared" si="22"/>
        <v>2.5000000000000001E-3</v>
      </c>
      <c r="AD42" s="4">
        <f t="shared" si="23"/>
        <v>2.7765945945946329E-4</v>
      </c>
      <c r="AE42" s="112">
        <v>0</v>
      </c>
      <c r="AF42" s="112">
        <f t="shared" si="4"/>
        <v>1E-3</v>
      </c>
      <c r="AG42" s="112">
        <v>2E-3</v>
      </c>
      <c r="AH42" s="111">
        <v>0</v>
      </c>
      <c r="AI42" s="112">
        <v>1E-3</v>
      </c>
      <c r="AJ42" s="112">
        <v>2E-3</v>
      </c>
      <c r="AK42" s="112">
        <v>2E-3</v>
      </c>
      <c r="AL42" s="112">
        <v>2E-3</v>
      </c>
    </row>
    <row r="43" spans="1:38">
      <c r="A43" t="s">
        <v>185</v>
      </c>
      <c r="Y43">
        <f t="shared" si="2"/>
        <v>2055</v>
      </c>
      <c r="Z43" s="4">
        <f t="shared" si="19"/>
        <v>3.4627039999999998E-2</v>
      </c>
      <c r="AA43" s="4">
        <f t="shared" si="20"/>
        <v>2.8323910000000001E-2</v>
      </c>
      <c r="AB43" s="4">
        <f t="shared" si="21"/>
        <v>2.2396409999999999E-2</v>
      </c>
      <c r="AC43" s="4">
        <f t="shared" si="22"/>
        <v>2.5000000000000001E-3</v>
      </c>
      <c r="AD43" s="4">
        <f t="shared" si="23"/>
        <v>2.7765945945946329E-4</v>
      </c>
      <c r="AE43" s="112">
        <v>0</v>
      </c>
      <c r="AF43" s="112">
        <f t="shared" si="4"/>
        <v>1E-3</v>
      </c>
      <c r="AG43" s="112">
        <v>2E-3</v>
      </c>
      <c r="AH43" s="111">
        <v>0</v>
      </c>
      <c r="AI43" s="112">
        <v>1E-3</v>
      </c>
      <c r="AJ43" s="112">
        <v>2E-3</v>
      </c>
      <c r="AK43" s="112">
        <v>2E-3</v>
      </c>
      <c r="AL43" s="112">
        <v>2E-3</v>
      </c>
    </row>
    <row r="44" spans="1:38">
      <c r="A44" t="s">
        <v>184</v>
      </c>
      <c r="Y44">
        <f t="shared" si="2"/>
        <v>2056</v>
      </c>
      <c r="Z44" s="4">
        <f t="shared" si="19"/>
        <v>3.4627039999999998E-2</v>
      </c>
      <c r="AA44" s="4">
        <f t="shared" si="20"/>
        <v>2.8323910000000001E-2</v>
      </c>
      <c r="AB44" s="4">
        <f t="shared" si="21"/>
        <v>2.2396409999999999E-2</v>
      </c>
      <c r="AC44" s="4">
        <f t="shared" si="22"/>
        <v>2.5000000000000001E-3</v>
      </c>
      <c r="AD44" s="4">
        <f t="shared" si="23"/>
        <v>2.7765945945946329E-4</v>
      </c>
      <c r="AE44" s="112">
        <v>0</v>
      </c>
      <c r="AF44" s="112">
        <f t="shared" si="4"/>
        <v>1E-3</v>
      </c>
      <c r="AG44" s="112">
        <v>2E-3</v>
      </c>
      <c r="AH44" s="111">
        <v>0</v>
      </c>
      <c r="AI44" s="112">
        <v>1E-3</v>
      </c>
      <c r="AJ44" s="112">
        <v>2E-3</v>
      </c>
      <c r="AK44" s="112">
        <v>2E-3</v>
      </c>
      <c r="AL44" s="112">
        <v>2E-3</v>
      </c>
    </row>
    <row r="45" spans="1:38">
      <c r="Y45">
        <f t="shared" si="2"/>
        <v>2057</v>
      </c>
      <c r="Z45" s="4">
        <f t="shared" si="19"/>
        <v>3.4627039999999998E-2</v>
      </c>
      <c r="AA45" s="4">
        <f t="shared" si="20"/>
        <v>2.8323910000000001E-2</v>
      </c>
      <c r="AB45" s="4">
        <f t="shared" si="21"/>
        <v>2.2396409999999999E-2</v>
      </c>
      <c r="AC45" s="4">
        <f t="shared" si="22"/>
        <v>2.5000000000000001E-3</v>
      </c>
      <c r="AD45" s="4">
        <f t="shared" si="23"/>
        <v>2.7765945945946329E-4</v>
      </c>
      <c r="AE45" s="112">
        <v>0</v>
      </c>
      <c r="AF45" s="112">
        <f t="shared" si="4"/>
        <v>1E-3</v>
      </c>
      <c r="AG45" s="112">
        <v>2E-3</v>
      </c>
      <c r="AH45" s="111">
        <v>0</v>
      </c>
      <c r="AI45" s="112">
        <v>1E-3</v>
      </c>
      <c r="AJ45" s="112">
        <v>2E-3</v>
      </c>
      <c r="AK45" s="112">
        <v>2E-3</v>
      </c>
      <c r="AL45" s="112">
        <v>2E-3</v>
      </c>
    </row>
    <row r="46" spans="1:38">
      <c r="Y46">
        <f t="shared" si="2"/>
        <v>2058</v>
      </c>
      <c r="Z46" s="4">
        <f t="shared" si="19"/>
        <v>3.4627039999999998E-2</v>
      </c>
      <c r="AA46" s="4">
        <f t="shared" si="20"/>
        <v>2.8323910000000001E-2</v>
      </c>
      <c r="AB46" s="4">
        <f t="shared" si="21"/>
        <v>2.2396409999999999E-2</v>
      </c>
      <c r="AC46" s="4">
        <f t="shared" si="22"/>
        <v>2.5000000000000001E-3</v>
      </c>
      <c r="AD46" s="4">
        <f t="shared" si="23"/>
        <v>2.7765945945946329E-4</v>
      </c>
      <c r="AE46" s="112">
        <v>0</v>
      </c>
      <c r="AF46" s="112">
        <f t="shared" si="4"/>
        <v>1E-3</v>
      </c>
      <c r="AG46" s="112">
        <v>2E-3</v>
      </c>
      <c r="AH46" s="111">
        <v>0</v>
      </c>
      <c r="AI46" s="112">
        <v>1E-3</v>
      </c>
      <c r="AJ46" s="112">
        <v>2E-3</v>
      </c>
      <c r="AK46" s="112">
        <v>2E-3</v>
      </c>
      <c r="AL46" s="112">
        <v>2E-3</v>
      </c>
    </row>
    <row r="47" spans="1:38">
      <c r="Y47">
        <f t="shared" si="2"/>
        <v>2059</v>
      </c>
      <c r="Z47" s="4">
        <f t="shared" si="19"/>
        <v>3.4627039999999998E-2</v>
      </c>
      <c r="AA47" s="4">
        <f t="shared" si="20"/>
        <v>2.8323910000000001E-2</v>
      </c>
      <c r="AB47" s="4">
        <f t="shared" si="21"/>
        <v>2.2396409999999999E-2</v>
      </c>
      <c r="AC47" s="4">
        <f t="shared" si="22"/>
        <v>2.5000000000000001E-3</v>
      </c>
      <c r="AD47" s="4">
        <f t="shared" si="23"/>
        <v>2.7765945945946329E-4</v>
      </c>
      <c r="AE47" s="112">
        <v>0</v>
      </c>
      <c r="AF47" s="112">
        <f t="shared" si="4"/>
        <v>1E-3</v>
      </c>
      <c r="AG47" s="112">
        <v>2E-3</v>
      </c>
      <c r="AH47" s="111">
        <v>0</v>
      </c>
      <c r="AI47" s="112">
        <v>1E-3</v>
      </c>
      <c r="AJ47" s="112">
        <v>2E-3</v>
      </c>
      <c r="AK47" s="112">
        <v>2E-3</v>
      </c>
      <c r="AL47" s="112">
        <v>2E-3</v>
      </c>
    </row>
    <row r="48" spans="1:38">
      <c r="Y48">
        <f t="shared" si="2"/>
        <v>2060</v>
      </c>
      <c r="Z48" s="4">
        <f t="shared" si="19"/>
        <v>3.4627039999999998E-2</v>
      </c>
      <c r="AA48" s="4">
        <f t="shared" si="20"/>
        <v>2.8323910000000001E-2</v>
      </c>
      <c r="AB48" s="4">
        <f t="shared" si="21"/>
        <v>2.2396409999999999E-2</v>
      </c>
      <c r="AC48" s="4">
        <f t="shared" si="22"/>
        <v>2.5000000000000001E-3</v>
      </c>
      <c r="AD48" s="4">
        <f t="shared" si="23"/>
        <v>2.7765945945946329E-4</v>
      </c>
      <c r="AE48" s="112">
        <v>0</v>
      </c>
      <c r="AF48" s="112">
        <f t="shared" si="4"/>
        <v>1E-3</v>
      </c>
      <c r="AG48" s="112">
        <v>2E-3</v>
      </c>
      <c r="AH48" s="111">
        <v>0</v>
      </c>
      <c r="AI48" s="112">
        <v>1E-3</v>
      </c>
      <c r="AJ48" s="112">
        <v>2E-3</v>
      </c>
      <c r="AK48" s="112">
        <v>2E-3</v>
      </c>
      <c r="AL48" s="112">
        <v>2E-3</v>
      </c>
    </row>
    <row r="49" spans="25:38">
      <c r="Y49">
        <f t="shared" si="2"/>
        <v>2061</v>
      </c>
      <c r="Z49" s="4">
        <f t="shared" si="19"/>
        <v>3.4627039999999998E-2</v>
      </c>
      <c r="AA49" s="4">
        <f t="shared" si="20"/>
        <v>2.8323910000000001E-2</v>
      </c>
      <c r="AB49" s="4">
        <f t="shared" si="21"/>
        <v>2.2396409999999999E-2</v>
      </c>
      <c r="AC49" s="4">
        <f t="shared" si="22"/>
        <v>2.5000000000000001E-3</v>
      </c>
      <c r="AD49" s="4">
        <f t="shared" si="23"/>
        <v>2.7765945945946329E-4</v>
      </c>
      <c r="AE49" s="112">
        <v>0</v>
      </c>
      <c r="AF49" s="112">
        <f t="shared" si="4"/>
        <v>1E-3</v>
      </c>
      <c r="AG49" s="112">
        <v>2E-3</v>
      </c>
      <c r="AH49" s="111">
        <v>0</v>
      </c>
      <c r="AI49" s="112">
        <v>1E-3</v>
      </c>
      <c r="AJ49" s="112">
        <v>2E-3</v>
      </c>
      <c r="AK49" s="112">
        <v>2E-3</v>
      </c>
      <c r="AL49" s="112">
        <v>2E-3</v>
      </c>
    </row>
    <row r="50" spans="25:38">
      <c r="Y50">
        <f t="shared" si="2"/>
        <v>2062</v>
      </c>
      <c r="Z50" s="4">
        <f t="shared" si="19"/>
        <v>3.4627039999999998E-2</v>
      </c>
      <c r="AA50" s="4">
        <f t="shared" si="20"/>
        <v>2.8323910000000001E-2</v>
      </c>
      <c r="AB50" s="4">
        <f t="shared" si="21"/>
        <v>2.2396409999999999E-2</v>
      </c>
      <c r="AC50" s="4">
        <f t="shared" si="22"/>
        <v>2.5000000000000001E-3</v>
      </c>
      <c r="AD50" s="4">
        <f t="shared" si="23"/>
        <v>2.7765945945946329E-4</v>
      </c>
      <c r="AE50" s="112">
        <v>0</v>
      </c>
      <c r="AF50" s="112">
        <f t="shared" si="4"/>
        <v>1E-3</v>
      </c>
      <c r="AG50" s="112">
        <v>2E-3</v>
      </c>
      <c r="AH50" s="111">
        <v>0</v>
      </c>
      <c r="AI50" s="112">
        <v>1E-3</v>
      </c>
      <c r="AJ50" s="112">
        <v>2E-3</v>
      </c>
      <c r="AK50" s="112">
        <v>2E-3</v>
      </c>
      <c r="AL50" s="112">
        <v>2E-3</v>
      </c>
    </row>
    <row r="51" spans="25:38">
      <c r="Y51">
        <f t="shared" si="2"/>
        <v>2063</v>
      </c>
      <c r="Z51" s="4">
        <f t="shared" si="19"/>
        <v>3.4627039999999998E-2</v>
      </c>
      <c r="AA51" s="4">
        <f t="shared" si="20"/>
        <v>2.8323910000000001E-2</v>
      </c>
      <c r="AB51" s="4">
        <f t="shared" si="21"/>
        <v>2.2396409999999999E-2</v>
      </c>
      <c r="AC51" s="4">
        <f t="shared" si="22"/>
        <v>2.5000000000000001E-3</v>
      </c>
      <c r="AD51" s="4">
        <f t="shared" si="23"/>
        <v>2.7765945945946329E-4</v>
      </c>
      <c r="AE51" s="112">
        <v>0</v>
      </c>
      <c r="AF51" s="112">
        <f t="shared" si="4"/>
        <v>1E-3</v>
      </c>
      <c r="AG51" s="112">
        <v>2E-3</v>
      </c>
      <c r="AH51" s="111">
        <v>0</v>
      </c>
      <c r="AI51" s="112">
        <v>1E-3</v>
      </c>
      <c r="AJ51" s="112">
        <v>2E-3</v>
      </c>
      <c r="AK51" s="112">
        <v>2E-3</v>
      </c>
      <c r="AL51" s="112">
        <v>2E-3</v>
      </c>
    </row>
    <row r="52" spans="25:38">
      <c r="Y52">
        <f t="shared" si="2"/>
        <v>2064</v>
      </c>
      <c r="Z52" s="4">
        <f t="shared" si="19"/>
        <v>3.4627039999999998E-2</v>
      </c>
      <c r="AA52" s="4">
        <f t="shared" si="20"/>
        <v>2.8323910000000001E-2</v>
      </c>
      <c r="AB52" s="4">
        <f t="shared" si="21"/>
        <v>2.2396409999999999E-2</v>
      </c>
      <c r="AC52" s="4">
        <f t="shared" si="22"/>
        <v>2.5000000000000001E-3</v>
      </c>
      <c r="AD52" s="4">
        <f t="shared" si="23"/>
        <v>2.7765945945946329E-4</v>
      </c>
      <c r="AE52" s="112">
        <v>0</v>
      </c>
      <c r="AF52" s="112">
        <f t="shared" si="4"/>
        <v>1E-3</v>
      </c>
      <c r="AG52" s="112">
        <v>2E-3</v>
      </c>
      <c r="AH52" s="111">
        <v>0</v>
      </c>
      <c r="AI52" s="112">
        <v>1E-3</v>
      </c>
      <c r="AJ52" s="112">
        <v>2E-3</v>
      </c>
      <c r="AK52" s="112">
        <v>2E-3</v>
      </c>
      <c r="AL52" s="112">
        <v>2E-3</v>
      </c>
    </row>
    <row r="53" spans="25:38">
      <c r="Y53">
        <f t="shared" si="2"/>
        <v>2065</v>
      </c>
      <c r="Z53" s="4">
        <f t="shared" si="19"/>
        <v>3.4627039999999998E-2</v>
      </c>
      <c r="AA53" s="4">
        <f t="shared" si="20"/>
        <v>2.8323910000000001E-2</v>
      </c>
      <c r="AB53" s="4">
        <f t="shared" si="21"/>
        <v>2.2396409999999999E-2</v>
      </c>
      <c r="AC53" s="4">
        <f t="shared" si="22"/>
        <v>2.5000000000000001E-3</v>
      </c>
      <c r="AD53" s="4">
        <f t="shared" si="23"/>
        <v>2.7765945945946329E-4</v>
      </c>
      <c r="AE53" s="112">
        <v>0</v>
      </c>
      <c r="AF53" s="112">
        <f t="shared" si="4"/>
        <v>1E-3</v>
      </c>
      <c r="AG53" s="112">
        <v>2E-3</v>
      </c>
      <c r="AH53" s="111">
        <v>0</v>
      </c>
      <c r="AI53" s="112">
        <v>1E-3</v>
      </c>
      <c r="AJ53" s="112">
        <v>2E-3</v>
      </c>
      <c r="AK53" s="112">
        <v>2E-3</v>
      </c>
      <c r="AL53" s="112">
        <v>2E-3</v>
      </c>
    </row>
    <row r="54" spans="25:38">
      <c r="Y54">
        <f t="shared" si="2"/>
        <v>2066</v>
      </c>
      <c r="Z54" s="4">
        <f t="shared" si="19"/>
        <v>3.4627039999999998E-2</v>
      </c>
      <c r="AA54" s="4">
        <f t="shared" si="20"/>
        <v>2.8323910000000001E-2</v>
      </c>
      <c r="AB54" s="4">
        <f t="shared" si="21"/>
        <v>2.2396409999999999E-2</v>
      </c>
      <c r="AC54" s="4">
        <f t="shared" si="22"/>
        <v>2.5000000000000001E-3</v>
      </c>
      <c r="AD54" s="4">
        <f t="shared" si="23"/>
        <v>2.7765945945946329E-4</v>
      </c>
      <c r="AE54" s="112">
        <v>0</v>
      </c>
      <c r="AF54" s="112">
        <f t="shared" si="4"/>
        <v>1E-3</v>
      </c>
      <c r="AG54" s="112">
        <v>2E-3</v>
      </c>
      <c r="AH54" s="111">
        <v>0</v>
      </c>
      <c r="AI54" s="112">
        <v>1E-3</v>
      </c>
      <c r="AJ54" s="112">
        <v>2E-3</v>
      </c>
      <c r="AK54" s="112">
        <v>2E-3</v>
      </c>
      <c r="AL54" s="112">
        <v>2E-3</v>
      </c>
    </row>
    <row r="55" spans="25:38">
      <c r="Y55">
        <f t="shared" si="2"/>
        <v>2067</v>
      </c>
      <c r="Z55" s="4">
        <f t="shared" si="19"/>
        <v>3.4627039999999998E-2</v>
      </c>
      <c r="AA55" s="4">
        <f t="shared" si="20"/>
        <v>2.8323910000000001E-2</v>
      </c>
      <c r="AB55" s="4">
        <f t="shared" si="21"/>
        <v>2.2396409999999999E-2</v>
      </c>
      <c r="AC55" s="4">
        <f t="shared" si="22"/>
        <v>2.5000000000000001E-3</v>
      </c>
      <c r="AD55" s="4">
        <f t="shared" si="23"/>
        <v>2.7765945945946329E-4</v>
      </c>
      <c r="AE55" s="112">
        <v>0</v>
      </c>
      <c r="AF55" s="112">
        <f t="shared" si="4"/>
        <v>1E-3</v>
      </c>
      <c r="AG55" s="112">
        <v>2E-3</v>
      </c>
      <c r="AH55" s="111">
        <v>0</v>
      </c>
      <c r="AI55" s="112">
        <v>1E-3</v>
      </c>
      <c r="AJ55" s="112">
        <v>2E-3</v>
      </c>
      <c r="AK55" s="112">
        <v>2E-3</v>
      </c>
      <c r="AL55" s="112">
        <v>2E-3</v>
      </c>
    </row>
  </sheetData>
  <mergeCells count="7">
    <mergeCell ref="R5:U5"/>
    <mergeCell ref="R16:U16"/>
    <mergeCell ref="Z5:AC5"/>
    <mergeCell ref="AD5:AG5"/>
    <mergeCell ref="C4:F4"/>
    <mergeCell ref="C15:F15"/>
    <mergeCell ref="L4:O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63"/>
  <sheetViews>
    <sheetView topLeftCell="A10" workbookViewId="0">
      <selection activeCell="A3" sqref="A3"/>
    </sheetView>
  </sheetViews>
  <sheetFormatPr baseColWidth="10" defaultRowHeight="16"/>
  <cols>
    <col min="1" max="1" width="36.33203125" bestFit="1" customWidth="1"/>
    <col min="4" max="4" width="16.5" customWidth="1"/>
  </cols>
  <sheetData>
    <row r="1" spans="1:7">
      <c r="A1" s="3" t="s">
        <v>124</v>
      </c>
    </row>
    <row r="2" spans="1:7">
      <c r="A2" t="s">
        <v>125</v>
      </c>
    </row>
    <row r="4" spans="1:7">
      <c r="F4" s="8">
        <v>19456</v>
      </c>
    </row>
    <row r="5" spans="1:7">
      <c r="A5" t="s">
        <v>88</v>
      </c>
      <c r="G5" t="s">
        <v>88</v>
      </c>
    </row>
    <row r="6" spans="1:7">
      <c r="A6" t="s">
        <v>89</v>
      </c>
      <c r="G6" t="s">
        <v>89</v>
      </c>
    </row>
    <row r="7" spans="1:7" ht="18">
      <c r="A7" s="11" t="s">
        <v>44</v>
      </c>
    </row>
    <row r="8" spans="1:7">
      <c r="B8" s="3" t="s">
        <v>34</v>
      </c>
      <c r="C8" s="3"/>
      <c r="D8" s="104" t="s">
        <v>56</v>
      </c>
    </row>
    <row r="9" spans="1:7">
      <c r="B9" s="3" t="s">
        <v>70</v>
      </c>
      <c r="C9" s="3" t="s">
        <v>71</v>
      </c>
      <c r="D9" s="104"/>
    </row>
    <row r="10" spans="1:7">
      <c r="A10" s="12" t="s">
        <v>36</v>
      </c>
      <c r="B10" s="14">
        <v>19455</v>
      </c>
      <c r="C10" s="14">
        <v>19484</v>
      </c>
      <c r="D10" s="14">
        <v>42557</v>
      </c>
      <c r="G10" s="19">
        <f>YEAR(LOOKUP(2,1/($B$10:$B$62&lt;=Inputs!B12)/($C$10:$C$62&gt;=Inputs!B12),$D$10:$D$62))</f>
        <v>2064</v>
      </c>
    </row>
    <row r="11" spans="1:7">
      <c r="A11" s="12" t="s">
        <v>37</v>
      </c>
      <c r="B11" s="14">
        <v>19485</v>
      </c>
      <c r="C11" s="14">
        <v>19515</v>
      </c>
      <c r="D11" s="14">
        <v>42680</v>
      </c>
    </row>
    <row r="12" spans="1:7">
      <c r="A12" s="12" t="s">
        <v>38</v>
      </c>
      <c r="B12" s="14">
        <v>19516</v>
      </c>
      <c r="C12" s="14">
        <v>19545</v>
      </c>
      <c r="D12" s="14">
        <v>42800</v>
      </c>
    </row>
    <row r="13" spans="1:7">
      <c r="A13" s="12" t="s">
        <v>39</v>
      </c>
      <c r="B13" s="14">
        <v>19546</v>
      </c>
      <c r="C13" s="14">
        <v>19576</v>
      </c>
      <c r="D13" s="14">
        <v>42922</v>
      </c>
    </row>
    <row r="14" spans="1:7">
      <c r="A14" s="12" t="s">
        <v>40</v>
      </c>
      <c r="B14" s="14">
        <v>19577</v>
      </c>
      <c r="C14" s="14">
        <v>19607</v>
      </c>
      <c r="D14" s="14">
        <v>43045</v>
      </c>
    </row>
    <row r="15" spans="1:7">
      <c r="A15" s="12" t="s">
        <v>41</v>
      </c>
      <c r="B15" s="14">
        <v>19608</v>
      </c>
      <c r="C15" s="14">
        <v>19637</v>
      </c>
      <c r="D15" s="14">
        <v>43165</v>
      </c>
    </row>
    <row r="16" spans="1:7" ht="20">
      <c r="A16" s="12" t="s">
        <v>42</v>
      </c>
      <c r="B16" s="14">
        <v>19638</v>
      </c>
      <c r="C16" s="14">
        <v>19668</v>
      </c>
      <c r="D16" s="14">
        <v>43287</v>
      </c>
      <c r="G16" s="18"/>
    </row>
    <row r="17" spans="1:7">
      <c r="A17" s="12" t="s">
        <v>43</v>
      </c>
      <c r="B17" s="14">
        <v>19669</v>
      </c>
      <c r="C17" s="14">
        <v>19698</v>
      </c>
      <c r="D17" s="14">
        <v>43410</v>
      </c>
    </row>
    <row r="18" spans="1:7">
      <c r="A18" s="12"/>
      <c r="D18" s="13"/>
    </row>
    <row r="20" spans="1:7">
      <c r="A20" s="15" t="s">
        <v>72</v>
      </c>
    </row>
    <row r="21" spans="1:7">
      <c r="A21" s="12" t="s">
        <v>45</v>
      </c>
      <c r="B21" s="10">
        <f>B17+30</f>
        <v>19699</v>
      </c>
      <c r="C21" s="10">
        <f>C17+31</f>
        <v>19729</v>
      </c>
      <c r="D21" s="13">
        <v>43530</v>
      </c>
    </row>
    <row r="22" spans="1:7">
      <c r="A22" s="12" t="s">
        <v>46</v>
      </c>
      <c r="B22" s="10">
        <f>B21+31</f>
        <v>19730</v>
      </c>
      <c r="C22" s="10">
        <f>C21+31</f>
        <v>19760</v>
      </c>
      <c r="D22" s="13">
        <v>43591</v>
      </c>
    </row>
    <row r="23" spans="1:7">
      <c r="A23" s="12" t="s">
        <v>47</v>
      </c>
      <c r="B23" s="10">
        <f>C22+1</f>
        <v>19761</v>
      </c>
      <c r="C23" s="10">
        <f>C22+28</f>
        <v>19788</v>
      </c>
      <c r="D23" s="13">
        <v>43652</v>
      </c>
    </row>
    <row r="24" spans="1:7">
      <c r="A24" s="12" t="s">
        <v>48</v>
      </c>
      <c r="B24" s="10">
        <f t="shared" ref="B24:B31" si="0">C23+1</f>
        <v>19789</v>
      </c>
      <c r="C24" s="10">
        <f>C23+31</f>
        <v>19819</v>
      </c>
      <c r="D24" s="13">
        <v>43714</v>
      </c>
    </row>
    <row r="25" spans="1:7" ht="20">
      <c r="A25" s="12" t="s">
        <v>49</v>
      </c>
      <c r="B25" s="10">
        <f t="shared" si="0"/>
        <v>19820</v>
      </c>
      <c r="C25" s="10">
        <f>C24+30</f>
        <v>19849</v>
      </c>
      <c r="D25" s="13">
        <v>43775</v>
      </c>
      <c r="G25" s="18"/>
    </row>
    <row r="26" spans="1:7">
      <c r="A26" s="12" t="s">
        <v>50</v>
      </c>
      <c r="B26" s="10">
        <f t="shared" si="0"/>
        <v>19850</v>
      </c>
      <c r="C26" s="10">
        <f>C25+31</f>
        <v>19880</v>
      </c>
      <c r="D26" s="13">
        <v>43836</v>
      </c>
    </row>
    <row r="27" spans="1:7">
      <c r="A27" s="12" t="s">
        <v>51</v>
      </c>
      <c r="B27" s="10">
        <f t="shared" si="0"/>
        <v>19881</v>
      </c>
      <c r="C27" s="10">
        <f t="shared" ref="C27:C30" si="1">C26+30</f>
        <v>19910</v>
      </c>
      <c r="D27" s="13">
        <v>43896</v>
      </c>
    </row>
    <row r="28" spans="1:7">
      <c r="A28" s="12" t="s">
        <v>52</v>
      </c>
      <c r="B28" s="10">
        <f t="shared" si="0"/>
        <v>19911</v>
      </c>
      <c r="C28" s="10">
        <f>C27+31</f>
        <v>19941</v>
      </c>
      <c r="D28" s="13">
        <v>43957</v>
      </c>
    </row>
    <row r="29" spans="1:7">
      <c r="A29" s="12" t="s">
        <v>53</v>
      </c>
      <c r="B29" s="10">
        <f t="shared" si="0"/>
        <v>19942</v>
      </c>
      <c r="C29" s="10">
        <f>C28+31</f>
        <v>19972</v>
      </c>
      <c r="D29" s="13">
        <v>44018</v>
      </c>
    </row>
    <row r="30" spans="1:7">
      <c r="A30" s="12" t="s">
        <v>54</v>
      </c>
      <c r="B30" s="10">
        <f t="shared" si="0"/>
        <v>19973</v>
      </c>
      <c r="C30" s="10">
        <f t="shared" si="1"/>
        <v>20002</v>
      </c>
      <c r="D30" s="13">
        <v>44080</v>
      </c>
    </row>
    <row r="31" spans="1:7">
      <c r="A31" s="12" t="s">
        <v>55</v>
      </c>
      <c r="B31" s="10">
        <f t="shared" si="0"/>
        <v>20003</v>
      </c>
      <c r="C31" s="10">
        <v>22011</v>
      </c>
      <c r="D31" s="20">
        <f>Inputs!B$12+365.25/12*E37+66*365.25</f>
        <v>59322.9375</v>
      </c>
    </row>
    <row r="33" spans="1:7">
      <c r="A33" s="105" t="s">
        <v>57</v>
      </c>
    </row>
    <row r="34" spans="1:7">
      <c r="A34" s="105"/>
      <c r="D34" s="104" t="s">
        <v>73</v>
      </c>
    </row>
    <row r="35" spans="1:7">
      <c r="A35" s="105"/>
      <c r="B35" s="3" t="s">
        <v>34</v>
      </c>
      <c r="C35" s="3"/>
      <c r="D35" s="104"/>
    </row>
    <row r="36" spans="1:7">
      <c r="A36" s="105"/>
      <c r="B36" s="3" t="s">
        <v>70</v>
      </c>
      <c r="C36" s="3" t="s">
        <v>71</v>
      </c>
    </row>
    <row r="37" spans="1:7">
      <c r="A37" s="12" t="s">
        <v>58</v>
      </c>
      <c r="B37" s="10">
        <f>C31+1</f>
        <v>22012</v>
      </c>
      <c r="C37" s="10">
        <f>B37+29</f>
        <v>22041</v>
      </c>
      <c r="D37" s="20">
        <f>Inputs!B$12+365.25/12*E37+66*365.25</f>
        <v>59322.9375</v>
      </c>
      <c r="E37">
        <v>1</v>
      </c>
    </row>
    <row r="38" spans="1:7">
      <c r="A38" s="12" t="s">
        <v>59</v>
      </c>
      <c r="B38" s="10">
        <f>C37+1</f>
        <v>22042</v>
      </c>
      <c r="C38" s="10">
        <f>C37+31</f>
        <v>22072</v>
      </c>
      <c r="D38" s="20">
        <f>Inputs!B$12+365.25/12*E38+66*365.25</f>
        <v>59353.375</v>
      </c>
      <c r="E38">
        <f>E37+1</f>
        <v>2</v>
      </c>
    </row>
    <row r="39" spans="1:7">
      <c r="A39" s="12" t="s">
        <v>60</v>
      </c>
      <c r="B39" s="10">
        <f t="shared" ref="B39:B48" si="2">C38+1</f>
        <v>22073</v>
      </c>
      <c r="C39" s="10">
        <f>C38+30</f>
        <v>22102</v>
      </c>
      <c r="D39" s="20">
        <f>Inputs!B$12+365.25/12*E39+66*365.25</f>
        <v>59383.8125</v>
      </c>
      <c r="E39">
        <f t="shared" ref="E39:E48" si="3">E38+1</f>
        <v>3</v>
      </c>
      <c r="G39" s="16"/>
    </row>
    <row r="40" spans="1:7">
      <c r="A40" s="12" t="s">
        <v>61</v>
      </c>
      <c r="B40" s="10">
        <f t="shared" si="2"/>
        <v>22103</v>
      </c>
      <c r="C40" s="10">
        <f>C39+31</f>
        <v>22133</v>
      </c>
      <c r="D40" s="20">
        <f>Inputs!B$12+365.25/12*E40+66*365.25</f>
        <v>59414.25</v>
      </c>
      <c r="E40">
        <f t="shared" si="3"/>
        <v>4</v>
      </c>
      <c r="G40" s="16"/>
    </row>
    <row r="41" spans="1:7">
      <c r="A41" s="12" t="s">
        <v>62</v>
      </c>
      <c r="B41" s="10">
        <f t="shared" si="2"/>
        <v>22134</v>
      </c>
      <c r="C41" s="10">
        <f>C40+31</f>
        <v>22164</v>
      </c>
      <c r="D41" s="20">
        <f>Inputs!B$12+365.25/12*E41+66*365.25</f>
        <v>59444.6875</v>
      </c>
      <c r="E41">
        <f t="shared" si="3"/>
        <v>5</v>
      </c>
      <c r="G41" s="16"/>
    </row>
    <row r="42" spans="1:7">
      <c r="A42" s="12" t="s">
        <v>63</v>
      </c>
      <c r="B42" s="10">
        <f t="shared" si="2"/>
        <v>22165</v>
      </c>
      <c r="C42" s="10">
        <f>C41+30</f>
        <v>22194</v>
      </c>
      <c r="D42" s="20">
        <f>Inputs!B$12+365.25/12*E42+66*365.25</f>
        <v>59475.125</v>
      </c>
      <c r="E42">
        <f t="shared" si="3"/>
        <v>6</v>
      </c>
    </row>
    <row r="43" spans="1:7">
      <c r="A43" s="12" t="s">
        <v>64</v>
      </c>
      <c r="B43" s="10">
        <f t="shared" si="2"/>
        <v>22195</v>
      </c>
      <c r="C43" s="10">
        <f>C42+31</f>
        <v>22225</v>
      </c>
      <c r="D43" s="20">
        <f>Inputs!B$12+365.25/12*E43+66*365.25</f>
        <v>59505.5625</v>
      </c>
      <c r="E43">
        <f t="shared" si="3"/>
        <v>7</v>
      </c>
    </row>
    <row r="44" spans="1:7">
      <c r="A44" s="12" t="s">
        <v>65</v>
      </c>
      <c r="B44" s="10">
        <f t="shared" si="2"/>
        <v>22226</v>
      </c>
      <c r="C44" s="10">
        <f>C43+30</f>
        <v>22255</v>
      </c>
      <c r="D44" s="20">
        <f>Inputs!B$12+365.25/12*E44+66*365.25</f>
        <v>59536</v>
      </c>
      <c r="E44">
        <f t="shared" si="3"/>
        <v>8</v>
      </c>
    </row>
    <row r="45" spans="1:7">
      <c r="A45" s="12" t="s">
        <v>66</v>
      </c>
      <c r="B45" s="10">
        <f t="shared" si="2"/>
        <v>22256</v>
      </c>
      <c r="C45" s="10">
        <f>C44+31</f>
        <v>22286</v>
      </c>
      <c r="D45" s="20">
        <f>Inputs!B$12+365.25/12*E45+66*365.25</f>
        <v>59566.4375</v>
      </c>
      <c r="E45">
        <f t="shared" si="3"/>
        <v>9</v>
      </c>
    </row>
    <row r="46" spans="1:7">
      <c r="A46" s="12" t="s">
        <v>67</v>
      </c>
      <c r="B46" s="10">
        <f t="shared" si="2"/>
        <v>22287</v>
      </c>
      <c r="C46" s="10">
        <f>C45+31</f>
        <v>22317</v>
      </c>
      <c r="D46" s="20">
        <f>Inputs!B$12+365.25/12*E46+66*365.25</f>
        <v>59596.875</v>
      </c>
      <c r="E46">
        <f t="shared" si="3"/>
        <v>10</v>
      </c>
    </row>
    <row r="47" spans="1:7">
      <c r="A47" s="12" t="s">
        <v>68</v>
      </c>
      <c r="B47" s="10">
        <f t="shared" si="2"/>
        <v>22318</v>
      </c>
      <c r="C47" s="10">
        <f>C46+28</f>
        <v>22345</v>
      </c>
      <c r="D47" s="20">
        <f>Inputs!B$12+365.25/12*E47+66*365.25</f>
        <v>59627.3125</v>
      </c>
      <c r="E47">
        <f t="shared" si="3"/>
        <v>11</v>
      </c>
    </row>
    <row r="48" spans="1:7">
      <c r="A48" s="12" t="s">
        <v>69</v>
      </c>
      <c r="B48" s="10">
        <f t="shared" si="2"/>
        <v>22346</v>
      </c>
      <c r="C48" s="10">
        <v>28220</v>
      </c>
      <c r="D48" s="20">
        <f>Inputs!B$12+365.25/12*E37+67*365.25</f>
        <v>59688.1875</v>
      </c>
      <c r="E48">
        <f t="shared" si="3"/>
        <v>12</v>
      </c>
    </row>
    <row r="49" spans="1:4">
      <c r="A49" s="12"/>
      <c r="B49" s="12"/>
    </row>
    <row r="50" spans="1:4">
      <c r="A50" s="12" t="s">
        <v>74</v>
      </c>
      <c r="B50" s="10">
        <f>C48+1</f>
        <v>28221</v>
      </c>
      <c r="C50" s="10">
        <f>B50+29</f>
        <v>28250</v>
      </c>
      <c r="D50" s="13">
        <v>52723</v>
      </c>
    </row>
    <row r="51" spans="1:4">
      <c r="A51" s="12" t="s">
        <v>75</v>
      </c>
      <c r="B51" s="10">
        <f>C50+1</f>
        <v>28251</v>
      </c>
      <c r="C51" s="10">
        <f>C50+31</f>
        <v>28281</v>
      </c>
      <c r="D51" s="13">
        <v>52784</v>
      </c>
    </row>
    <row r="52" spans="1:4">
      <c r="A52" s="12" t="s">
        <v>76</v>
      </c>
      <c r="B52" s="10">
        <f t="shared" ref="B52:B61" si="4">C51+1</f>
        <v>28282</v>
      </c>
      <c r="C52" s="10">
        <f>C51+30</f>
        <v>28311</v>
      </c>
      <c r="D52" s="13">
        <v>52846</v>
      </c>
    </row>
    <row r="53" spans="1:4">
      <c r="A53" s="12" t="s">
        <v>77</v>
      </c>
      <c r="B53" s="10">
        <f t="shared" si="4"/>
        <v>28312</v>
      </c>
      <c r="C53" s="10">
        <f>C52+31</f>
        <v>28342</v>
      </c>
      <c r="D53" s="13">
        <v>52907</v>
      </c>
    </row>
    <row r="54" spans="1:4">
      <c r="A54" s="12" t="s">
        <v>78</v>
      </c>
      <c r="B54" s="10">
        <f t="shared" si="4"/>
        <v>28343</v>
      </c>
      <c r="C54" s="10">
        <f>C53+31</f>
        <v>28373</v>
      </c>
      <c r="D54" s="13">
        <v>52968</v>
      </c>
    </row>
    <row r="55" spans="1:4">
      <c r="A55" s="12" t="s">
        <v>79</v>
      </c>
      <c r="B55" s="10">
        <f t="shared" si="4"/>
        <v>28374</v>
      </c>
      <c r="C55" s="10">
        <f>C54+30</f>
        <v>28403</v>
      </c>
      <c r="D55" s="13">
        <v>53027</v>
      </c>
    </row>
    <row r="56" spans="1:4">
      <c r="A56" s="12" t="s">
        <v>80</v>
      </c>
      <c r="B56" s="10">
        <f t="shared" si="4"/>
        <v>28404</v>
      </c>
      <c r="C56" s="10">
        <f>C55+31</f>
        <v>28434</v>
      </c>
      <c r="D56" s="13">
        <v>53088</v>
      </c>
    </row>
    <row r="57" spans="1:4">
      <c r="A57" s="12" t="s">
        <v>81</v>
      </c>
      <c r="B57" s="10">
        <f t="shared" si="4"/>
        <v>28435</v>
      </c>
      <c r="C57" s="10">
        <f>C56+30</f>
        <v>28464</v>
      </c>
      <c r="D57" s="13">
        <v>53149</v>
      </c>
    </row>
    <row r="58" spans="1:4">
      <c r="A58" s="12" t="s">
        <v>82</v>
      </c>
      <c r="B58" s="10">
        <f t="shared" si="4"/>
        <v>28465</v>
      </c>
      <c r="C58" s="10">
        <f>C57+31</f>
        <v>28495</v>
      </c>
      <c r="D58" s="13">
        <v>53211</v>
      </c>
    </row>
    <row r="59" spans="1:4">
      <c r="A59" s="12" t="s">
        <v>83</v>
      </c>
      <c r="B59" s="10">
        <f t="shared" si="4"/>
        <v>28496</v>
      </c>
      <c r="C59" s="10">
        <f>C58+31</f>
        <v>28526</v>
      </c>
      <c r="D59" s="13">
        <v>53272</v>
      </c>
    </row>
    <row r="60" spans="1:4">
      <c r="A60" s="12" t="s">
        <v>84</v>
      </c>
      <c r="B60" s="10">
        <f t="shared" si="4"/>
        <v>28527</v>
      </c>
      <c r="C60" s="10">
        <f>C59+28</f>
        <v>28554</v>
      </c>
      <c r="D60" s="13">
        <v>53333</v>
      </c>
    </row>
    <row r="61" spans="1:4">
      <c r="A61" s="12" t="s">
        <v>85</v>
      </c>
      <c r="B61" s="10">
        <f t="shared" si="4"/>
        <v>28555</v>
      </c>
      <c r="C61" s="10">
        <v>28220</v>
      </c>
      <c r="D61" s="13">
        <v>53392</v>
      </c>
    </row>
    <row r="62" spans="1:4">
      <c r="A62" s="12" t="s">
        <v>86</v>
      </c>
      <c r="B62" s="10">
        <f>C61+1</f>
        <v>28221</v>
      </c>
      <c r="C62" s="8">
        <v>38353</v>
      </c>
      <c r="D62" s="20">
        <f>Inputs!B$12+68*365.25</f>
        <v>60023</v>
      </c>
    </row>
    <row r="63" spans="1:4">
      <c r="A63" s="12"/>
      <c r="B63" s="12"/>
    </row>
  </sheetData>
  <mergeCells count="3">
    <mergeCell ref="D34:D35"/>
    <mergeCell ref="D8:D9"/>
    <mergeCell ref="A33:A3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6EB41-9720-9548-B948-D4953E7AECF4}">
  <dimension ref="A1:F9"/>
  <sheetViews>
    <sheetView workbookViewId="0">
      <selection activeCell="F7" sqref="F7"/>
    </sheetView>
  </sheetViews>
  <sheetFormatPr baseColWidth="10" defaultRowHeight="16"/>
  <cols>
    <col min="1" max="1" width="33.1640625" bestFit="1" customWidth="1"/>
    <col min="2" max="2" width="14.6640625" customWidth="1"/>
    <col min="3" max="6" width="11.5" bestFit="1" customWidth="1"/>
  </cols>
  <sheetData>
    <row r="1" spans="1:6">
      <c r="A1" t="s">
        <v>256</v>
      </c>
    </row>
    <row r="2" spans="1:6">
      <c r="B2" t="s">
        <v>252</v>
      </c>
      <c r="C2" t="s">
        <v>259</v>
      </c>
      <c r="D2" t="s">
        <v>260</v>
      </c>
      <c r="E2" t="s">
        <v>261</v>
      </c>
      <c r="F2" t="s">
        <v>262</v>
      </c>
    </row>
    <row r="3" spans="1:6">
      <c r="A3" t="s">
        <v>228</v>
      </c>
      <c r="B3" s="115">
        <v>9.6000000000000002E-2</v>
      </c>
      <c r="C3" s="112">
        <v>0.12</v>
      </c>
      <c r="D3" s="112">
        <v>0.12</v>
      </c>
      <c r="E3" s="112">
        <v>0.16</v>
      </c>
      <c r="F3" s="112">
        <v>0.16</v>
      </c>
    </row>
    <row r="4" spans="1:6">
      <c r="A4" t="s">
        <v>230</v>
      </c>
      <c r="B4" s="115">
        <v>1.9E-2</v>
      </c>
      <c r="C4" s="112">
        <v>0</v>
      </c>
      <c r="D4" s="112">
        <v>0</v>
      </c>
      <c r="E4" s="112">
        <v>0</v>
      </c>
      <c r="F4" s="112">
        <v>0</v>
      </c>
    </row>
    <row r="5" spans="1:6">
      <c r="A5" t="s">
        <v>214</v>
      </c>
      <c r="B5" s="23">
        <v>0</v>
      </c>
      <c r="C5" s="23">
        <v>40000</v>
      </c>
      <c r="D5" s="23">
        <v>30000</v>
      </c>
      <c r="E5" s="23">
        <v>40000</v>
      </c>
      <c r="F5" s="23">
        <v>30000</v>
      </c>
    </row>
    <row r="6" spans="1:6">
      <c r="A6" t="s">
        <v>229</v>
      </c>
      <c r="B6" s="85">
        <v>-99</v>
      </c>
      <c r="C6">
        <v>170</v>
      </c>
      <c r="D6">
        <v>165</v>
      </c>
      <c r="E6">
        <v>115</v>
      </c>
      <c r="F6">
        <v>110</v>
      </c>
    </row>
    <row r="8" spans="1:6">
      <c r="A8" t="s">
        <v>258</v>
      </c>
    </row>
    <row r="9" spans="1:6">
      <c r="A9" t="s">
        <v>257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650BC-6FEA-644E-B89A-C01F4E2CE8F5}">
  <dimension ref="A1"/>
  <sheetViews>
    <sheetView workbookViewId="0"/>
  </sheetViews>
  <sheetFormatPr baseColWidth="10" defaultRowHeight="16"/>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12"/>
  <sheetViews>
    <sheetView topLeftCell="A59" zoomScale="119" workbookViewId="0">
      <selection activeCell="C77" sqref="C77"/>
    </sheetView>
  </sheetViews>
  <sheetFormatPr baseColWidth="10" defaultRowHeight="16"/>
  <cols>
    <col min="2" max="2" width="30.83203125" customWidth="1"/>
    <col min="3" max="3" width="18" customWidth="1"/>
    <col min="4" max="4" width="17.6640625" customWidth="1"/>
    <col min="5" max="5" width="17.83203125" customWidth="1"/>
    <col min="6" max="6" width="17.5" customWidth="1"/>
    <col min="8" max="8" width="15.33203125" customWidth="1"/>
    <col min="9" max="9" width="16.83203125" customWidth="1"/>
    <col min="10" max="10" width="13.6640625" bestFit="1" customWidth="1"/>
    <col min="11" max="11" width="12.5" bestFit="1" customWidth="1"/>
  </cols>
  <sheetData>
    <row r="1" spans="1:11">
      <c r="B1" t="s">
        <v>28</v>
      </c>
      <c r="H1" t="s">
        <v>29</v>
      </c>
    </row>
    <row r="2" spans="1:11">
      <c r="A2" t="s">
        <v>88</v>
      </c>
      <c r="B2" t="s">
        <v>24</v>
      </c>
      <c r="D2" t="s">
        <v>26</v>
      </c>
      <c r="G2" t="s">
        <v>88</v>
      </c>
      <c r="H2" t="s">
        <v>24</v>
      </c>
      <c r="J2" t="s">
        <v>26</v>
      </c>
    </row>
    <row r="3" spans="1:11">
      <c r="A3" t="s">
        <v>89</v>
      </c>
      <c r="B3" t="s">
        <v>91</v>
      </c>
      <c r="C3" t="s">
        <v>92</v>
      </c>
      <c r="D3" t="s">
        <v>93</v>
      </c>
      <c r="E3" t="s">
        <v>94</v>
      </c>
      <c r="G3" t="s">
        <v>89</v>
      </c>
      <c r="H3" t="s">
        <v>91</v>
      </c>
      <c r="I3" t="s">
        <v>92</v>
      </c>
      <c r="J3" t="s">
        <v>93</v>
      </c>
      <c r="K3" t="s">
        <v>94</v>
      </c>
    </row>
    <row r="4" spans="1:11">
      <c r="A4">
        <v>2022</v>
      </c>
      <c r="B4" s="5">
        <f>'DB pension'!E11+'DC pension'!Q10-'DC pension'!D10-'DB pension'!M11</f>
        <v>8276.4690382081699</v>
      </c>
      <c r="C4" s="5">
        <f>'DB pension'!F11+'DC pension'!Q10-'DC pension'!D10-'DB pension'!N11</f>
        <v>9676.9090663622883</v>
      </c>
      <c r="D4" s="5">
        <f>'DB pension'!G11+'DC pension'!Q10-'DC pension'!D10-'DB pension'!O11</f>
        <v>8276.4690382081699</v>
      </c>
      <c r="E4" s="5">
        <f>'DB pension'!H11+'DC pension'!Q10-'DC pension'!D10-'DB pension'!P11</f>
        <v>8761.7825311942979</v>
      </c>
      <c r="F4" s="5"/>
      <c r="G4">
        <v>2019</v>
      </c>
      <c r="H4" s="5">
        <f>'DB pension'!$C11+'DC pension'!S10-'DC pension'!F10-'DB pension'!K11</f>
        <v>237.9484848484849</v>
      </c>
      <c r="I4" s="5">
        <f>'DB pension'!$C11+'DC pension'!T10-'DC pension'!G10-'DB pension'!K11</f>
        <v>238.9228848484849</v>
      </c>
      <c r="J4" s="5">
        <f>'DB pension'!$C11+'DC pension'!U10-'DC pension'!H10-'DB pension'!K11</f>
        <v>237.9484848484849</v>
      </c>
      <c r="K4" s="5">
        <f>'DB pension'!$C11+'DC pension'!V10-'DC pension'!I10-'DB pension'!K11</f>
        <v>238.32048484848485</v>
      </c>
    </row>
    <row r="5" spans="1:11">
      <c r="A5">
        <f>A4+1</f>
        <v>2023</v>
      </c>
      <c r="B5" s="5">
        <f>'DB pension'!E12+'DC pension'!Q11-'DC pension'!D11-'DB pension'!M12</f>
        <v>16859.358418972326</v>
      </c>
      <c r="C5" s="5">
        <f>'DB pension'!F12+'DC pension'!Q11-'DC pension'!D11-'DB pension'!N12</f>
        <v>19723.294327478918</v>
      </c>
      <c r="D5" s="5">
        <f>'DB pension'!G12+'DC pension'!Q11-'DC pension'!D11-'DB pension'!O12</f>
        <v>16859.358418972326</v>
      </c>
      <c r="E5" s="5">
        <f>'DB pension'!H12+'DC pension'!Q11-'DC pension'!D11-'DB pension'!P12</f>
        <v>17851.837005347588</v>
      </c>
      <c r="F5" s="5"/>
      <c r="G5">
        <f>G4+1</f>
        <v>2020</v>
      </c>
      <c r="H5" s="5">
        <f>'DB pension'!$C12+'DC pension'!S11-'DC pension'!F11-'DB pension'!K12</f>
        <v>482.295079149706</v>
      </c>
      <c r="I5" s="5">
        <f>'DB pension'!$C12+'DC pension'!T11-'DC pension'!G11-'DB pension'!K12</f>
        <v>484.54540989597467</v>
      </c>
      <c r="J5" s="5">
        <f>'DB pension'!$C12+'DC pension'!U11-'DC pension'!H11-'DB pension'!K12</f>
        <v>482.295079149706</v>
      </c>
      <c r="K5" s="5">
        <f>'DB pension'!$C12+'DC pension'!V11-'DC pension'!I11-'DB pension'!K12</f>
        <v>483.15419556761651</v>
      </c>
    </row>
    <row r="6" spans="1:11">
      <c r="A6">
        <f t="shared" ref="A6:A52" si="0">A5+1</f>
        <v>2024</v>
      </c>
      <c r="B6" s="5">
        <f>'DB pension'!E13+'DC pension'!Q12-'DC pension'!D12-'DB pension'!M13</f>
        <v>25758.16401486165</v>
      </c>
      <c r="C6" s="5">
        <f>'DB pension'!F13+'DC pension'!Q12-'DC pension'!D12-'DB pension'!N13</f>
        <v>30150.478394883445</v>
      </c>
      <c r="D6" s="5">
        <f>'DB pension'!G13+'DC pension'!Q12-'DC pension'!D12-'DB pension'!O13</f>
        <v>25758.16401486165</v>
      </c>
      <c r="E6" s="5">
        <f>'DB pension'!H13+'DC pension'!Q12-'DC pension'!D12-'DB pension'!P13</f>
        <v>27280.292339679138</v>
      </c>
      <c r="F6" s="5"/>
      <c r="G6">
        <f t="shared" ref="G6:G52" si="1">G5+1</f>
        <v>2021</v>
      </c>
      <c r="H6" s="5">
        <f>'DB pension'!$C13+'DC pension'!S12-'DC pension'!F12-'DB pension'!K13</f>
        <v>733.19691634095466</v>
      </c>
      <c r="I6" s="5">
        <f>'DB pension'!$C13+'DC pension'!T12-'DC pension'!G12-'DB pension'!K13</f>
        <v>737.02661970710892</v>
      </c>
      <c r="J6" s="5">
        <f>'DB pension'!$C13+'DC pension'!U12-'DC pension'!H12-'DB pension'!K13</f>
        <v>733.19691634095466</v>
      </c>
      <c r="K6" s="5">
        <f>'DB pension'!$C13+'DC pension'!V12-'DC pension'!I12-'DB pension'!K13</f>
        <v>734.6589952122697</v>
      </c>
    </row>
    <row r="7" spans="1:11">
      <c r="A7">
        <f t="shared" si="0"/>
        <v>2025</v>
      </c>
      <c r="B7" s="5">
        <f>'DB pension'!E14+'DC pension'!Q13-'DC pension'!D13-'DB pension'!M14</f>
        <v>34982.638797266271</v>
      </c>
      <c r="C7" s="5">
        <f>'DB pension'!F14+'DC pension'!Q13-'DC pension'!D13-'DB pension'!N14</f>
        <v>40970.088572828987</v>
      </c>
      <c r="D7" s="5">
        <f>'DB pension'!G14+'DC pension'!Q13-'DC pension'!D13-'DB pension'!O14</f>
        <v>34982.638797266271</v>
      </c>
      <c r="E7" s="5">
        <f>'DB pension'!H14+'DC pension'!Q13-'DC pension'!D13-'DB pension'!P14</f>
        <v>37057.551043588872</v>
      </c>
      <c r="F7" s="5"/>
      <c r="G7">
        <f t="shared" si="1"/>
        <v>2022</v>
      </c>
      <c r="H7" s="5">
        <f>'DB pension'!$C14+'DC pension'!S13-'DC pension'!F13-'DB pension'!K14</f>
        <v>990.81421724466509</v>
      </c>
      <c r="I7" s="5">
        <f>'DB pension'!$C14+'DC pension'!T13-'DC pension'!G13-'DB pension'!K14</f>
        <v>996.52869226122334</v>
      </c>
      <c r="J7" s="5">
        <f>'DB pension'!$C14+'DC pension'!U13-'DC pension'!H13-'DB pension'!K14</f>
        <v>990.81421724466509</v>
      </c>
      <c r="K7" s="5">
        <f>'DB pension'!$C14+'DC pension'!V13-'DC pension'!I13-'DB pension'!K14</f>
        <v>992.99585179532164</v>
      </c>
    </row>
    <row r="8" spans="1:11">
      <c r="A8">
        <f t="shared" si="0"/>
        <v>2026</v>
      </c>
      <c r="B8" s="5">
        <f>'DB pension'!E15+'DC pension'!Q14-'DC pension'!D14-'DB pension'!M15</f>
        <v>44542.799523284033</v>
      </c>
      <c r="C8" s="5">
        <f>'DB pension'!F15+'DC pension'!Q14-'DC pension'!D14-'DB pension'!N15</f>
        <v>52194.064751108286</v>
      </c>
      <c r="D8" s="5">
        <f>'DB pension'!G15+'DC pension'!Q14-'DC pension'!D14-'DB pension'!O15</f>
        <v>44542.799523284033</v>
      </c>
      <c r="E8" s="5">
        <f>'DB pension'!H15+'DC pension'!Q14-'DC pension'!D14-'DB pension'!P15</f>
        <v>47194.296323452632</v>
      </c>
      <c r="F8" s="5"/>
      <c r="G8">
        <f t="shared" si="1"/>
        <v>2023</v>
      </c>
      <c r="H8" s="5">
        <f>'DB pension'!$C15+'DC pension'!S14-'DC pension'!F14-'DB pension'!K15</f>
        <v>1255.3103542171934</v>
      </c>
      <c r="I8" s="5">
        <f>'DB pension'!$C15+'DC pension'!T14-'DC pension'!G14-'DB pension'!K15</f>
        <v>1263.2170036826465</v>
      </c>
      <c r="J8" s="5">
        <f>'DB pension'!$C15+'DC pension'!U14-'DC pension'!H14-'DB pension'!K15</f>
        <v>1255.3103542171934</v>
      </c>
      <c r="K8" s="5">
        <f>'DB pension'!$C15+'DC pension'!V14-'DC pension'!I14-'DB pension'!K15</f>
        <v>1258.328902658438</v>
      </c>
    </row>
    <row r="9" spans="1:11">
      <c r="A9">
        <f t="shared" si="0"/>
        <v>2027</v>
      </c>
      <c r="B9" s="5">
        <f>'DB pension'!E16+'DC pension'!Q15-'DC pension'!D15-'DB pension'!M16</f>
        <v>54448.933594170245</v>
      </c>
      <c r="C9" s="5">
        <f>'DB pension'!F16+'DC pension'!Q15-'DC pension'!D15-'DB pension'!N16</f>
        <v>63834.667499775693</v>
      </c>
      <c r="D9" s="5">
        <f>'DB pension'!G16+'DC pension'!Q15-'DC pension'!D15-'DB pension'!O16</f>
        <v>54448.933594170245</v>
      </c>
      <c r="E9" s="5">
        <f>'DB pension'!H16+'DC pension'!Q15-'DC pension'!D15-'DB pension'!P16</f>
        <v>57701.499369494137</v>
      </c>
      <c r="F9" s="5"/>
      <c r="G9">
        <f t="shared" si="1"/>
        <v>2024</v>
      </c>
      <c r="H9" s="5">
        <f>'DB pension'!$C16+'DC pension'!S15-'DC pension'!F15-'DB pension'!K16</f>
        <v>1526.8519165972355</v>
      </c>
      <c r="I9" s="5">
        <f>'DB pension'!$C16+'DC pension'!T15-'DC pension'!G15-'DB pension'!K16</f>
        <v>1537.2601942799104</v>
      </c>
      <c r="J9" s="5">
        <f>'DB pension'!$C16+'DC pension'!U15-'DC pension'!H15-'DB pension'!K16</f>
        <v>1526.8519165972355</v>
      </c>
      <c r="K9" s="5">
        <f>'DB pension'!$C16+'DC pension'!V15-'DC pension'!I15-'DB pension'!K16</f>
        <v>1530.8255201460399</v>
      </c>
    </row>
    <row r="10" spans="1:11">
      <c r="A10">
        <f t="shared" si="0"/>
        <v>2028</v>
      </c>
      <c r="B10" s="5">
        <f>'DB pension'!E17+'DC pension'!Q16-'DC pension'!D16-'DB pension'!M17</f>
        <v>61272.286962841681</v>
      </c>
      <c r="C10" s="5">
        <f>'DB pension'!F17+'DC pension'!Q16-'DC pension'!D16-'DB pension'!N17</f>
        <v>72259.999723364235</v>
      </c>
      <c r="D10" s="5">
        <f>'DB pension'!G17+'DC pension'!Q16-'DC pension'!D16-'DB pension'!O17</f>
        <v>61272.286962841681</v>
      </c>
      <c r="E10" s="5">
        <f>'DB pension'!H17+'DC pension'!Q16-'DC pension'!D16-'DB pension'!P17</f>
        <v>64664.288016858729</v>
      </c>
      <c r="F10" s="5"/>
      <c r="G10">
        <f t="shared" si="1"/>
        <v>2025</v>
      </c>
      <c r="H10" s="5">
        <f>'DB pension'!$C17+'DC pension'!S16-'DC pension'!F16-'DB pension'!K17</f>
        <v>1800.6263066887491</v>
      </c>
      <c r="I10" s="5">
        <f>'DB pension'!$C17+'DC pension'!T16-'DC pension'!G16-'DB pension'!K17</f>
        <v>1814.9549808603228</v>
      </c>
      <c r="J10" s="5">
        <f>'DB pension'!$C17+'DC pension'!U16-'DC pension'!H16-'DB pension'!K17</f>
        <v>1800.6263066887491</v>
      </c>
      <c r="K10" s="5">
        <f>'DB pension'!$C17+'DC pension'!V16-'DC pension'!I16-'DB pension'!K17</f>
        <v>1805.5436471430849</v>
      </c>
    </row>
    <row r="11" spans="1:11">
      <c r="A11">
        <f t="shared" si="0"/>
        <v>2029</v>
      </c>
      <c r="B11" s="5">
        <f>'DB pension'!E18+'DC pension'!Q17-'DC pension'!D17-'DB pension'!M18</f>
        <v>71324.082168398134</v>
      </c>
      <c r="C11" s="5">
        <f>'DB pension'!F18+'DC pension'!Q17-'DC pension'!D17-'DB pension'!N18</f>
        <v>84159.20048876066</v>
      </c>
      <c r="D11" s="5">
        <f>'DB pension'!G18+'DC pension'!Q17-'DC pension'!D17-'DB pension'!O18</f>
        <v>71324.082168398134</v>
      </c>
      <c r="E11" s="5">
        <f>'DB pension'!H18+'DC pension'!Q17-'DC pension'!D17-'DB pension'!P18</f>
        <v>75286.393144302507</v>
      </c>
      <c r="F11" s="5"/>
      <c r="G11">
        <f t="shared" si="1"/>
        <v>2026</v>
      </c>
      <c r="H11" s="5">
        <f>'DB pension'!$C18+'DC pension'!S17-'DC pension'!F17-'DB pension'!K18</f>
        <v>2085.5933346165575</v>
      </c>
      <c r="I11" s="5">
        <f>'DB pension'!$C18+'DC pension'!T17-'DC pension'!G17-'DB pension'!K18</f>
        <v>2103.3107462556964</v>
      </c>
      <c r="J11" s="5">
        <f>'DB pension'!$C18+'DC pension'!U17-'DC pension'!H17-'DB pension'!K18</f>
        <v>2085.5933346165575</v>
      </c>
      <c r="K11" s="5">
        <f>'DB pension'!$C18+'DC pension'!V17-'DC pension'!I17-'DB pension'!K18</f>
        <v>2091.6736281563526</v>
      </c>
    </row>
    <row r="12" spans="1:11">
      <c r="A12">
        <f t="shared" si="0"/>
        <v>2030</v>
      </c>
      <c r="B12" s="5">
        <f>'DB pension'!E19+'DC pension'!Q18-'DC pension'!D18-'DB pension'!M19</f>
        <v>81730.782774957552</v>
      </c>
      <c r="C12" s="5">
        <f>'DB pension'!F19+'DC pension'!Q18-'DC pension'!D18-'DB pension'!N19</f>
        <v>96488.783107331823</v>
      </c>
      <c r="D12" s="5">
        <f>'DB pension'!G19+'DC pension'!Q18-'DC pension'!D18-'DB pension'!O19</f>
        <v>81730.782774957552</v>
      </c>
      <c r="E12" s="5">
        <f>'DB pension'!H19+'DC pension'!Q18-'DC pension'!D18-'DB pension'!P19</f>
        <v>86286.703900094144</v>
      </c>
      <c r="F12" s="5"/>
      <c r="G12">
        <f t="shared" si="1"/>
        <v>2027</v>
      </c>
      <c r="H12" s="5">
        <f>'DB pension'!$C19+'DC pension'!S18-'DC pension'!F18-'DB pension'!K19</f>
        <v>2378.006487869055</v>
      </c>
      <c r="I12" s="5">
        <f>'DB pension'!$C19+'DC pension'!T18-'DC pension'!G18-'DB pension'!K19</f>
        <v>2399.4549872544712</v>
      </c>
      <c r="J12" s="5">
        <f>'DB pension'!$C19+'DC pension'!U18-'DC pension'!H18-'DB pension'!K19</f>
        <v>2378.006487869055</v>
      </c>
      <c r="K12" s="5">
        <f>'DB pension'!$C19+'DC pension'!V18-'DC pension'!I18-'DB pension'!K19</f>
        <v>2385.3672228854139</v>
      </c>
    </row>
    <row r="13" spans="1:11">
      <c r="A13">
        <f t="shared" si="0"/>
        <v>2031</v>
      </c>
      <c r="B13" s="5">
        <f>'DB pension'!E20+'DC pension'!Q19-'DC pension'!D19-'DB pension'!M20</f>
        <v>92503.159128050567</v>
      </c>
      <c r="C13" s="5">
        <f>'DB pension'!F20+'DC pension'!Q19-'DC pension'!D19-'DB pension'!N20</f>
        <v>109261.66415893505</v>
      </c>
      <c r="D13" s="5">
        <f>'DB pension'!G20+'DC pension'!Q19-'DC pension'!D19-'DB pension'!O20</f>
        <v>92503.159128050567</v>
      </c>
      <c r="E13" s="5">
        <f>'DB pension'!H20+'DC pension'!Q19-'DC pension'!D19-'DB pension'!P20</f>
        <v>97676.653190686251</v>
      </c>
      <c r="F13" s="5"/>
      <c r="G13">
        <f t="shared" si="1"/>
        <v>2028</v>
      </c>
      <c r="H13" s="5">
        <f>'DB pension'!$C20+'DC pension'!S19-'DC pension'!F19-'DB pension'!K20</f>
        <v>2678.0450587725463</v>
      </c>
      <c r="I13" s="5">
        <f>'DB pension'!$C20+'DC pension'!T19-'DC pension'!G19-'DB pension'!K20</f>
        <v>2703.5694301367694</v>
      </c>
      <c r="J13" s="5">
        <f>'DB pension'!$C20+'DC pension'!U19-'DC pension'!H19-'DB pension'!K20</f>
        <v>2678.0450587725463</v>
      </c>
      <c r="K13" s="5">
        <f>'DB pension'!$C20+'DC pension'!V19-'DC pension'!I19-'DB pension'!K20</f>
        <v>2686.8045589452686</v>
      </c>
    </row>
    <row r="14" spans="1:11">
      <c r="A14">
        <f t="shared" si="0"/>
        <v>2032</v>
      </c>
      <c r="B14" s="5">
        <f>'DB pension'!E21+'DC pension'!Q20-'DC pension'!D20-'DB pension'!M21</f>
        <v>103652.27181752848</v>
      </c>
      <c r="C14" s="5">
        <f>'DB pension'!F21+'DC pension'!Q20-'DC pension'!D20-'DB pension'!N21</f>
        <v>122491.10612831911</v>
      </c>
      <c r="D14" s="5">
        <f>'DB pension'!G21+'DC pension'!Q20-'DC pension'!D20-'DB pension'!O21</f>
        <v>103652.27181752848</v>
      </c>
      <c r="E14" s="5">
        <f>'DB pension'!H21+'DC pension'!Q20-'DC pension'!D20-'DB pension'!P21</f>
        <v>109467.98134974735</v>
      </c>
      <c r="F14" s="5"/>
      <c r="G14">
        <f t="shared" si="1"/>
        <v>2029</v>
      </c>
      <c r="H14" s="5">
        <f>'DB pension'!$C21+'DC pension'!S20-'DC pension'!F20-'DB pension'!K21</f>
        <v>2985.8918853580312</v>
      </c>
      <c r="I14" s="5">
        <f>'DB pension'!$C21+'DC pension'!T20-'DC pension'!G20-'DB pension'!K21</f>
        <v>3015.8394013995116</v>
      </c>
      <c r="J14" s="5">
        <f>'DB pension'!$C21+'DC pension'!U20-'DC pension'!H20-'DB pension'!K21</f>
        <v>2985.8918853580312</v>
      </c>
      <c r="K14" s="5">
        <f>'DB pension'!$C21+'DC pension'!V20-'DC pension'!I20-'DB pension'!K21</f>
        <v>2996.1693283631762</v>
      </c>
    </row>
    <row r="15" spans="1:11">
      <c r="A15">
        <f t="shared" si="0"/>
        <v>2033</v>
      </c>
      <c r="B15" s="5">
        <f>'DB pension'!E22+'DC pension'!Q21-'DC pension'!D21-'DB pension'!M22</f>
        <v>115189.47922030944</v>
      </c>
      <c r="C15" s="5">
        <f>'DB pension'!F22+'DC pension'!Q21-'DC pension'!D21-'DB pension'!N22</f>
        <v>136190.72635655751</v>
      </c>
      <c r="D15" s="5">
        <f>'DB pension'!G22+'DC pension'!Q21-'DC pension'!D21-'DB pension'!O22</f>
        <v>115189.47922030944</v>
      </c>
      <c r="E15" s="5">
        <f>'DB pension'!H22+'DC pension'!Q21-'DC pension'!D21-'DB pension'!P22</f>
        <v>121672.74411578142</v>
      </c>
      <c r="F15" s="5"/>
      <c r="G15">
        <f t="shared" si="1"/>
        <v>2030</v>
      </c>
      <c r="H15" s="5">
        <f>'DB pension'!$C22+'DC pension'!S21-'DC pension'!F21-'DB pension'!K22</f>
        <v>3301.7334249350565</v>
      </c>
      <c r="I15" s="5">
        <f>'DB pension'!$C22+'DC pension'!T21-'DC pension'!G21-'DB pension'!K22</f>
        <v>3336.4539020340212</v>
      </c>
      <c r="J15" s="5">
        <f>'DB pension'!$C22+'DC pension'!U21-'DC pension'!H21-'DB pension'!K22</f>
        <v>3301.7334249350565</v>
      </c>
      <c r="K15" s="5">
        <f>'DB pension'!$C22+'DC pension'!V21-'DC pension'!I21-'DB pension'!K22</f>
        <v>3313.6488613940196</v>
      </c>
    </row>
    <row r="16" spans="1:11">
      <c r="A16">
        <f t="shared" si="0"/>
        <v>2034</v>
      </c>
      <c r="B16" s="5">
        <f>'DB pension'!E23+'DC pension'!Q22-'DC pension'!D22-'DB pension'!M23</f>
        <v>127126.44523665604</v>
      </c>
      <c r="C16" s="5">
        <f>'DB pension'!F23+'DC pension'!Q22-'DC pension'!D22-'DB pension'!N23</f>
        <v>150374.50622144231</v>
      </c>
      <c r="D16" s="5">
        <f>'DB pension'!G23+'DC pension'!Q22-'DC pension'!D22-'DB pension'!O23</f>
        <v>127126.44523665604</v>
      </c>
      <c r="E16" s="5">
        <f>'DB pension'!H23+'DC pension'!Q22-'DC pension'!D22-'DB pension'!P23</f>
        <v>134303.32081421686</v>
      </c>
      <c r="F16" s="5"/>
      <c r="G16">
        <f t="shared" si="1"/>
        <v>2031</v>
      </c>
      <c r="H16" s="5">
        <f>'DB pension'!$C23+'DC pension'!S22-'DC pension'!F22-'DB pension'!K23</f>
        <v>3625.7598291573254</v>
      </c>
      <c r="I16" s="5">
        <f>'DB pension'!$C23+'DC pension'!T22-'DC pension'!G22-'DB pension'!K23</f>
        <v>3665.6056833065145</v>
      </c>
      <c r="J16" s="5">
        <f>'DB pension'!$C23+'DC pension'!U22-'DC pension'!H22-'DB pension'!K23</f>
        <v>3625.7598291573254</v>
      </c>
      <c r="K16" s="5">
        <f>'DB pension'!$C23+'DC pension'!V22-'DC pension'!I22-'DB pension'!K23</f>
        <v>3639.4342018312514</v>
      </c>
    </row>
    <row r="17" spans="1:11">
      <c r="A17">
        <f t="shared" si="0"/>
        <v>2035</v>
      </c>
      <c r="B17" s="5">
        <f>'DB pension'!E24+'DC pension'!Q23-'DC pension'!D23-'DB pension'!M24</f>
        <v>139475.14722491952</v>
      </c>
      <c r="C17" s="5">
        <f>'DB pension'!F24+'DC pension'!Q23-'DC pension'!D23-'DB pension'!N24</f>
        <v>165056.80055266374</v>
      </c>
      <c r="D17" s="5">
        <f>'DB pension'!G24+'DC pension'!Q23-'DC pension'!D23-'DB pension'!O24</f>
        <v>139475.14722491952</v>
      </c>
      <c r="E17" s="5">
        <f>'DB pension'!H24+'DC pension'!Q23-'DC pension'!D23-'DB pension'!P24</f>
        <v>147372.42274917342</v>
      </c>
      <c r="F17" s="5"/>
      <c r="G17">
        <f t="shared" si="1"/>
        <v>2032</v>
      </c>
      <c r="H17" s="5">
        <f>'DB pension'!$C24+'DC pension'!S23-'DC pension'!F23-'DB pension'!K24</f>
        <v>3958.1650206103227</v>
      </c>
      <c r="I17" s="5">
        <f>'DB pension'!$C24+'DC pension'!T23-'DC pension'!G23-'DB pension'!K24</f>
        <v>4003.4913240718874</v>
      </c>
      <c r="J17" s="5">
        <f>'DB pension'!$C24+'DC pension'!U23-'DC pension'!H23-'DB pension'!K24</f>
        <v>3958.1650206103227</v>
      </c>
      <c r="K17" s="5">
        <f>'DB pension'!$C24+'DC pension'!V23-'DC pension'!I23-'DB pension'!K24</f>
        <v>3973.7201838437227</v>
      </c>
    </row>
    <row r="18" spans="1:11">
      <c r="A18">
        <f t="shared" si="0"/>
        <v>2036</v>
      </c>
      <c r="B18" s="5">
        <f>'DB pension'!E25+'DC pension'!Q24-'DC pension'!D24-'DB pension'!M25</f>
        <v>152247.88413981258</v>
      </c>
      <c r="C18" s="5">
        <f>'DB pension'!F25+'DC pension'!Q24-'DC pension'!D24-'DB pension'!N25</f>
        <v>180252.34728774894</v>
      </c>
      <c r="D18" s="5">
        <f>'DB pension'!G25+'DC pension'!Q24-'DC pension'!D24-'DB pension'!O25</f>
        <v>152247.88413981258</v>
      </c>
      <c r="E18" s="5">
        <f>'DB pension'!H25+'DC pension'!Q24-'DC pension'!D24-'DB pension'!P25</f>
        <v>160893.10181025194</v>
      </c>
      <c r="F18" s="5"/>
      <c r="G18">
        <f t="shared" si="1"/>
        <v>2033</v>
      </c>
      <c r="H18" s="5">
        <f>'DB pension'!$C25+'DC pension'!S24-'DC pension'!F24-'DB pension'!K25</f>
        <v>4299.1467709517965</v>
      </c>
      <c r="I18" s="5">
        <f>'DB pension'!$C25+'DC pension'!T24-'DC pension'!G24-'DB pension'!K25</f>
        <v>4350.3113096518318</v>
      </c>
      <c r="J18" s="5">
        <f>'DB pension'!$C25+'DC pension'!U24-'DC pension'!H24-'DB pension'!K25</f>
        <v>4299.1467709517965</v>
      </c>
      <c r="K18" s="5">
        <f>'DB pension'!$C25+'DC pension'!V24-'DC pension'!I24-'DB pension'!K25</f>
        <v>4316.7055103693092</v>
      </c>
    </row>
    <row r="19" spans="1:11">
      <c r="A19">
        <f t="shared" si="0"/>
        <v>2037</v>
      </c>
      <c r="B19" s="5">
        <f>'DB pension'!E26+'DC pension'!Q25-'DC pension'!D25-'DB pension'!M26</f>
        <v>165457.28487940042</v>
      </c>
      <c r="C19" s="5">
        <f>'DB pension'!F26+'DC pension'!Q25-'DC pension'!D25-'DB pension'!N26</f>
        <v>195976.2773748856</v>
      </c>
      <c r="D19" s="5">
        <f>'DB pension'!G26+'DC pension'!Q25-'DC pension'!D25-'DB pension'!O26</f>
        <v>165457.28487940042</v>
      </c>
      <c r="E19" s="5">
        <f>'DB pension'!H26+'DC pension'!Q25-'DC pension'!D25-'DB pension'!P26</f>
        <v>174878.75929982381</v>
      </c>
      <c r="F19" s="5"/>
      <c r="G19">
        <f t="shared" si="1"/>
        <v>2034</v>
      </c>
      <c r="H19" s="5">
        <f>'DB pension'!$C26+'DC pension'!S25-'DC pension'!F25-'DB pension'!K26</f>
        <v>4648.9067806365983</v>
      </c>
      <c r="I19" s="5">
        <f>'DB pension'!$C26+'DC pension'!T25-'DC pension'!G25-'DB pension'!K26</f>
        <v>4706.2701123089155</v>
      </c>
      <c r="J19" s="5">
        <f>'DB pension'!$C26+'DC pension'!U25-'DC pension'!H25-'DB pension'!K26</f>
        <v>4648.9067806365983</v>
      </c>
      <c r="K19" s="5">
        <f>'DB pension'!$C26+'DC pension'!V25-'DC pension'!I25-'DB pension'!K26</f>
        <v>4668.5928330968709</v>
      </c>
    </row>
    <row r="20" spans="1:11">
      <c r="A20">
        <f t="shared" si="0"/>
        <v>2038</v>
      </c>
      <c r="B20" s="5">
        <f>'DB pension'!E27+'DC pension'!Q26-'DC pension'!D26-'DB pension'!M27</f>
        <v>179116.31684613103</v>
      </c>
      <c r="C20" s="5">
        <f>'DB pension'!F27+'DC pension'!Q26-'DC pension'!D26-'DB pension'!N27</f>
        <v>212244.12492890912</v>
      </c>
      <c r="D20" s="5">
        <f>'DB pension'!G27+'DC pension'!Q26-'DC pension'!D26-'DB pension'!O27</f>
        <v>179116.31684613103</v>
      </c>
      <c r="E20" s="5">
        <f>'DB pension'!H27+'DC pension'!Q26-'DC pension'!D26-'DB pension'!P27</f>
        <v>189343.15498643863</v>
      </c>
      <c r="F20" s="5"/>
      <c r="G20">
        <f t="shared" si="1"/>
        <v>2035</v>
      </c>
      <c r="H20" s="5">
        <f>'DB pension'!$C27+'DC pension'!S26-'DC pension'!F26-'DB pension'!K27</f>
        <v>5007.6507602579732</v>
      </c>
      <c r="I20" s="5">
        <f>'DB pension'!$C27+'DC pension'!T26-'DC pension'!G26-'DB pension'!K27</f>
        <v>5071.5762733489173</v>
      </c>
      <c r="J20" s="5">
        <f>'DB pension'!$C27+'DC pension'!U26-'DC pension'!H26-'DB pension'!K27</f>
        <v>5007.6507602579732</v>
      </c>
      <c r="K20" s="5">
        <f>'DB pension'!$C27+'DC pension'!V26-'DC pension'!I26-'DB pension'!K27</f>
        <v>5029.5888340687288</v>
      </c>
    </row>
    <row r="21" spans="1:11">
      <c r="A21">
        <f t="shared" si="0"/>
        <v>2039</v>
      </c>
      <c r="B21" s="5">
        <f>'DB pension'!E28+'DC pension'!Q27-'DC pension'!D27-'DB pension'!M28</f>
        <v>193238.29472736365</v>
      </c>
      <c r="C21" s="5">
        <f>'DB pension'!F28+'DC pension'!Q27-'DC pension'!D27-'DB pension'!N28</f>
        <v>229071.83764689436</v>
      </c>
      <c r="D21" s="5">
        <f>'DB pension'!G28+'DC pension'!Q27-'DC pension'!D27-'DB pension'!O28</f>
        <v>193238.29472736365</v>
      </c>
      <c r="E21" s="5">
        <f>'DB pension'!H28+'DC pension'!Q27-'DC pension'!D27-'DB pension'!P28</f>
        <v>204300.41639011016</v>
      </c>
      <c r="F21" s="5"/>
      <c r="G21">
        <f t="shared" si="1"/>
        <v>2036</v>
      </c>
      <c r="H21" s="5">
        <f>'DB pension'!$C28+'DC pension'!S27-'DC pension'!F27-'DB pension'!K28</f>
        <v>5375.588513538085</v>
      </c>
      <c r="I21" s="5">
        <f>'DB pension'!$C28+'DC pension'!T27-'DC pension'!G27-'DB pension'!K28</f>
        <v>5446.4424868843616</v>
      </c>
      <c r="J21" s="5">
        <f>'DB pension'!$C28+'DC pension'!U27-'DC pension'!H27-'DB pension'!K28</f>
        <v>5375.588513538085</v>
      </c>
      <c r="K21" s="5">
        <f>'DB pension'!$C28+'DC pension'!V27-'DC pension'!I27-'DB pension'!K28</f>
        <v>5399.9043089364659</v>
      </c>
    </row>
    <row r="22" spans="1:11">
      <c r="A22">
        <f t="shared" si="0"/>
        <v>2040</v>
      </c>
      <c r="B22" s="5">
        <f>'DB pension'!E29+'DC pension'!Q28-'DC pension'!D28-'DB pension'!M29</f>
        <v>207836.88950098839</v>
      </c>
      <c r="C22" s="5">
        <f>'DB pension'!F29+'DC pension'!Q28-'DC pension'!D28-'DB pension'!N29</f>
        <v>246475.78748995316</v>
      </c>
      <c r="D22" s="5">
        <f>'DB pension'!G29+'DC pension'!Q28-'DC pension'!D28-'DB pension'!O29</f>
        <v>207836.88950098839</v>
      </c>
      <c r="E22" s="5">
        <f>'DB pension'!H29+'DC pension'!Q28-'DC pension'!D28-'DB pension'!P29</f>
        <v>219765.0483053865</v>
      </c>
      <c r="F22" s="5"/>
      <c r="G22">
        <f t="shared" si="1"/>
        <v>2037</v>
      </c>
      <c r="H22" s="5">
        <f>'DB pension'!$C29+'DC pension'!S28-'DC pension'!F28-'DB pension'!K29</f>
        <v>5752.9340220011964</v>
      </c>
      <c r="I22" s="5">
        <f>'DB pension'!$C29+'DC pension'!T28-'DC pension'!G28-'DB pension'!K29</f>
        <v>5831.0856852928337</v>
      </c>
      <c r="J22" s="5">
        <f>'DB pension'!$C29+'DC pension'!U28-'DC pension'!H28-'DB pension'!K29</f>
        <v>5752.9340220011964</v>
      </c>
      <c r="K22" s="5">
        <f>'DB pension'!$C29+'DC pension'!V28-'DC pension'!I28-'DB pension'!K29</f>
        <v>5779.7542519035542</v>
      </c>
    </row>
    <row r="23" spans="1:11">
      <c r="A23">
        <f t="shared" si="0"/>
        <v>2041</v>
      </c>
      <c r="B23" s="5">
        <f>'DB pension'!E30+'DC pension'!Q29-'DC pension'!D29-'DB pension'!M30</f>
        <v>222926.13767187719</v>
      </c>
      <c r="C23" s="5">
        <f>'DB pension'!F30+'DC pension'!Q29-'DC pension'!D29-'DB pension'!N30</f>
        <v>264472.78163800924</v>
      </c>
      <c r="D23" s="5">
        <f>'DB pension'!G30+'DC pension'!Q29-'DC pension'!D29-'DB pension'!O30</f>
        <v>222926.13767187719</v>
      </c>
      <c r="E23" s="5">
        <f>'DB pension'!H30+'DC pension'!Q29-'DC pension'!D29-'DB pension'!P30</f>
        <v>235751.94256826295</v>
      </c>
      <c r="F23" s="5"/>
      <c r="G23">
        <f t="shared" si="1"/>
        <v>2038</v>
      </c>
      <c r="H23" s="5">
        <f>'DB pension'!$C30+'DC pension'!S29-'DC pension'!F29-'DB pension'!K30</f>
        <v>6139.9055313635927</v>
      </c>
      <c r="I23" s="5">
        <f>'DB pension'!$C30+'DC pension'!T29-'DC pension'!G29-'DB pension'!K30</f>
        <v>6225.7271264043811</v>
      </c>
      <c r="J23" s="5">
        <f>'DB pension'!$C30+'DC pension'!U29-'DC pension'!H29-'DB pension'!K30</f>
        <v>6139.9055313635927</v>
      </c>
      <c r="K23" s="5">
        <f>'DB pension'!$C30+'DC pension'!V29-'DC pension'!I29-'DB pension'!K30</f>
        <v>6169.3579423889532</v>
      </c>
    </row>
    <row r="24" spans="1:11">
      <c r="A24">
        <f t="shared" si="0"/>
        <v>2042</v>
      </c>
      <c r="B24" s="5">
        <f>'DB pension'!E31+'DC pension'!Q30-'DC pension'!D30-'DB pension'!M31</f>
        <v>238520.450745048</v>
      </c>
      <c r="C24" s="5">
        <f>'DB pension'!F31+'DC pension'!Q30-'DC pension'!D30-'DB pension'!N31</f>
        <v>283080.07372449117</v>
      </c>
      <c r="D24" s="5">
        <f>'DB pension'!G31+'DC pension'!Q30-'DC pension'!D30-'DB pension'!O31</f>
        <v>238520.450745048</v>
      </c>
      <c r="E24" s="5">
        <f>'DB pension'!H31+'DC pension'!Q30-'DC pension'!D30-'DB pension'!P31</f>
        <v>252276.38807314431</v>
      </c>
      <c r="F24" s="5"/>
      <c r="G24">
        <f t="shared" si="1"/>
        <v>2039</v>
      </c>
      <c r="H24" s="5">
        <f>'DB pension'!$C31+'DC pension'!S30-'DC pension'!F30-'DB pension'!K31</f>
        <v>6536.7256396750527</v>
      </c>
      <c r="I24" s="5">
        <f>'DB pension'!$C31+'DC pension'!T30-'DC pension'!G30-'DB pension'!K31</f>
        <v>6630.5924824529484</v>
      </c>
      <c r="J24" s="5">
        <f>'DB pension'!$C31+'DC pension'!U30-'DC pension'!H30-'DB pension'!K31</f>
        <v>6536.7256396750527</v>
      </c>
      <c r="K24" s="5">
        <f>'DB pension'!$C31+'DC pension'!V30-'DC pension'!I30-'DB pension'!K31</f>
        <v>6568.939033446557</v>
      </c>
    </row>
    <row r="25" spans="1:11">
      <c r="A25">
        <f t="shared" si="0"/>
        <v>2043</v>
      </c>
      <c r="B25" s="5">
        <f>'DB pension'!E32+'DC pension'!Q31-'DC pension'!D31-'DB pension'!M32</f>
        <v>254634.62494157552</v>
      </c>
      <c r="C25" s="5">
        <f>'DB pension'!F32+'DC pension'!Q31-'DC pension'!D31-'DB pension'!N32</f>
        <v>302315.37535806088</v>
      </c>
      <c r="D25" s="5">
        <f>'DB pension'!G32+'DC pension'!Q31-'DC pension'!D31-'DB pension'!O32</f>
        <v>254634.62494157552</v>
      </c>
      <c r="E25" s="5">
        <f>'DB pension'!H32+'DC pension'!Q31-'DC pension'!D31-'DB pension'!P32</f>
        <v>269354.08104622795</v>
      </c>
      <c r="F25" s="5"/>
      <c r="G25">
        <f t="shared" si="1"/>
        <v>2040</v>
      </c>
      <c r="H25" s="5">
        <f>'DB pension'!$C32+'DC pension'!S31-'DC pension'!F31-'DB pension'!K32</f>
        <v>6943.6213872473436</v>
      </c>
      <c r="I25" s="5">
        <f>'DB pension'!$C32+'DC pension'!T31-'DC pension'!G31-'DB pension'!K32</f>
        <v>7045.9119308275149</v>
      </c>
      <c r="J25" s="5">
        <f>'DB pension'!$C32+'DC pension'!U31-'DC pension'!H31-'DB pension'!K32</f>
        <v>6943.6213872473436</v>
      </c>
      <c r="K25" s="5">
        <f>'DB pension'!$C32+'DC pension'!V31-'DC pension'!I31-'DB pension'!K32</f>
        <v>6978.7256419759924</v>
      </c>
    </row>
    <row r="26" spans="1:11">
      <c r="A26">
        <f t="shared" si="0"/>
        <v>2044</v>
      </c>
      <c r="B26" s="5">
        <f>'DB pension'!E33+'DC pension'!Q32-'DC pension'!D32-'DB pension'!M33</f>
        <v>271283.8511634352</v>
      </c>
      <c r="C26" s="5">
        <f>'DB pension'!F33+'DC pension'!Q32-'DC pension'!D32-'DB pension'!N33</f>
        <v>322196.86793867807</v>
      </c>
      <c r="D26" s="5">
        <f>'DB pension'!G33+'DC pension'!Q32-'DC pension'!D32-'DB pension'!O33</f>
        <v>271283.8511634352</v>
      </c>
      <c r="E26" s="5">
        <f>'DB pension'!H33+'DC pension'!Q32-'DC pension'!D32-'DB pension'!P33</f>
        <v>287001.13558183465</v>
      </c>
      <c r="F26" s="5"/>
      <c r="G26">
        <f t="shared" si="1"/>
        <v>2041</v>
      </c>
      <c r="H26" s="5">
        <f>'DB pension'!$C33+'DC pension'!S32-'DC pension'!F32-'DB pension'!K33</f>
        <v>7360.8243484059576</v>
      </c>
      <c r="I26" s="5">
        <f>'DB pension'!$C33+'DC pension'!T32-'DC pension'!G32-'DB pension'!K33</f>
        <v>7471.9202466593588</v>
      </c>
      <c r="J26" s="5">
        <f>'DB pension'!$C33+'DC pension'!U32-'DC pension'!H32-'DB pension'!K33</f>
        <v>7360.8243484059576</v>
      </c>
      <c r="K26" s="5">
        <f>'DB pension'!$C33+'DC pension'!V32-'DC pension'!I32-'DB pension'!K33</f>
        <v>7398.950440761103</v>
      </c>
    </row>
    <row r="27" spans="1:11">
      <c r="A27">
        <f t="shared" si="0"/>
        <v>2045</v>
      </c>
      <c r="B27" s="5">
        <f>'DB pension'!E34+'DC pension'!Q33-'DC pension'!D33-'DB pension'!M34</f>
        <v>288483.72521362233</v>
      </c>
      <c r="C27" s="5">
        <f>'DB pension'!F34+'DC pension'!Q33-'DC pension'!D33-'DB pension'!N34</f>
        <v>342743.21477548138</v>
      </c>
      <c r="D27" s="5">
        <f>'DB pension'!G34+'DC pension'!Q33-'DC pension'!D33-'DB pension'!O34</f>
        <v>288483.72521362233</v>
      </c>
      <c r="E27" s="5">
        <f>'DB pension'!H34+'DC pension'!Q33-'DC pension'!D33-'DB pension'!P34</f>
        <v>305234.09444838366</v>
      </c>
      <c r="F27" s="5"/>
      <c r="G27">
        <f t="shared" si="1"/>
        <v>2042</v>
      </c>
      <c r="H27" s="5">
        <f>'DB pension'!$C34+'DC pension'!S33-'DC pension'!F33-'DB pension'!K34</f>
        <v>7788.5707251020112</v>
      </c>
      <c r="I27" s="5">
        <f>'DB pension'!$C34+'DC pension'!T33-'DC pension'!G33-'DB pension'!K34</f>
        <v>7908.8568972825151</v>
      </c>
      <c r="J27" s="5">
        <f>'DB pension'!$C34+'DC pension'!U33-'DC pension'!H33-'DB pension'!K34</f>
        <v>7788.5707251020112</v>
      </c>
      <c r="K27" s="5">
        <f>'DB pension'!$C34+'DC pension'!V33-'DC pension'!I33-'DB pension'!K34</f>
        <v>7829.8507523730486</v>
      </c>
    </row>
    <row r="28" spans="1:11">
      <c r="A28">
        <f t="shared" si="0"/>
        <v>2046</v>
      </c>
      <c r="B28" s="5">
        <f>'DB pension'!E35+'DC pension'!Q34-'DC pension'!D34-'DB pension'!M35</f>
        <v>294998.58097609098</v>
      </c>
      <c r="C28" s="5">
        <f>'DB pension'!F35+'DC pension'!Q34-'DC pension'!D34-'DB pension'!N35</f>
        <v>348568.57732618053</v>
      </c>
      <c r="D28" s="5">
        <f>'DB pension'!G35+'DC pension'!Q34-'DC pension'!D34-'DB pension'!O35</f>
        <v>294998.58097609098</v>
      </c>
      <c r="E28" s="5">
        <f>'DB pension'!H35+'DC pension'!Q34-'DC pension'!D34-'DB pension'!P35</f>
        <v>309444.45725884708</v>
      </c>
      <c r="F28" s="5"/>
      <c r="G28">
        <f t="shared" si="1"/>
        <v>2043</v>
      </c>
      <c r="H28" s="5">
        <f>'DB pension'!$C35+'DC pension'!S34-'DC pension'!F34-'DB pension'!K35</f>
        <v>8196.4687495579601</v>
      </c>
      <c r="I28" s="5">
        <f>'DB pension'!$C35+'DC pension'!T34-'DC pension'!G34-'DB pension'!K35</f>
        <v>8326.1493763037397</v>
      </c>
      <c r="J28" s="5">
        <f>'DB pension'!$C35+'DC pension'!U34-'DC pension'!H34-'DB pension'!K35</f>
        <v>8196.4687495579601</v>
      </c>
      <c r="K28" s="5">
        <f>'DB pension'!$C35+'DC pension'!V34-'DC pension'!I34-'DB pension'!K35</f>
        <v>8235.4310903291116</v>
      </c>
    </row>
    <row r="29" spans="1:11">
      <c r="A29">
        <f t="shared" si="0"/>
        <v>2047</v>
      </c>
      <c r="B29" s="5">
        <f>'DB pension'!E36+'DC pension'!Q35-'DC pension'!D35-'DB pension'!M36</f>
        <v>312649.52251922473</v>
      </c>
      <c r="C29" s="5">
        <f>'DB pension'!F36+'DC pension'!Q35-'DC pension'!D35-'DB pension'!N36</f>
        <v>369546.0189832942</v>
      </c>
      <c r="D29" s="5">
        <f>'DB pension'!G36+'DC pension'!Q35-'DC pension'!D35-'DB pension'!O36</f>
        <v>312649.52251922473</v>
      </c>
      <c r="E29" s="5">
        <f>'DB pension'!H36+'DC pension'!Q35-'DC pension'!D35-'DB pension'!P36</f>
        <v>327992.43468727532</v>
      </c>
      <c r="F29" s="5"/>
      <c r="G29">
        <f t="shared" si="1"/>
        <v>2044</v>
      </c>
      <c r="H29" s="5">
        <f>'DB pension'!$C36+'DC pension'!S35-'DC pension'!F35-'DB pension'!K36</f>
        <v>8643.6777731896182</v>
      </c>
      <c r="I29" s="5">
        <f>'DB pension'!$C36+'DC pension'!T35-'DC pension'!G35-'DB pension'!K36</f>
        <v>8783.3144394895717</v>
      </c>
      <c r="J29" s="5">
        <f>'DB pension'!$C36+'DC pension'!U35-'DC pension'!H35-'DB pension'!K36</f>
        <v>8643.6777731896182</v>
      </c>
      <c r="K29" s="5">
        <f>'DB pension'!$C36+'DC pension'!V35-'DC pension'!I35-'DB pension'!K36</f>
        <v>8685.6313904187518</v>
      </c>
    </row>
    <row r="30" spans="1:11">
      <c r="A30">
        <f t="shared" si="0"/>
        <v>2048</v>
      </c>
      <c r="B30" s="5">
        <f>'DB pension'!E37+'DC pension'!Q36-'DC pension'!D36-'DB pension'!M37</f>
        <v>330876.28556569491</v>
      </c>
      <c r="C30" s="5">
        <f>'DB pension'!F37+'DC pension'!Q36-'DC pension'!D36-'DB pension'!N37</f>
        <v>391214.25863272289</v>
      </c>
      <c r="D30" s="5">
        <f>'DB pension'!G37+'DC pension'!Q36-'DC pension'!D36-'DB pension'!O37</f>
        <v>330876.28556569491</v>
      </c>
      <c r="E30" s="5">
        <f>'DB pension'!H37+'DC pension'!Q36-'DC pension'!D36-'DB pension'!P37</f>
        <v>347147.23858914245</v>
      </c>
      <c r="F30" s="5"/>
      <c r="G30">
        <f t="shared" si="1"/>
        <v>2045</v>
      </c>
      <c r="H30" s="5">
        <f>'DB pension'!$C37+'DC pension'!S36-'DC pension'!F36-'DB pension'!K37</f>
        <v>9102.0743492376059</v>
      </c>
      <c r="I30" s="5">
        <f>'DB pension'!$C37+'DC pension'!T36-'DC pension'!G36-'DB pension'!K37</f>
        <v>9252.0616066141556</v>
      </c>
      <c r="J30" s="5">
        <f>'DB pension'!$C37+'DC pension'!U36-'DC pension'!H36-'DB pension'!K37</f>
        <v>9102.0743492376059</v>
      </c>
      <c r="K30" s="5">
        <f>'DB pension'!$C37+'DC pension'!V36-'DC pension'!I36-'DB pension'!K37</f>
        <v>9147.1377853103841</v>
      </c>
    </row>
    <row r="31" spans="1:11">
      <c r="A31">
        <f t="shared" si="0"/>
        <v>2049</v>
      </c>
      <c r="B31" s="5">
        <f>'DB pension'!E38+'DC pension'!Q37-'DC pension'!D37-'DB pension'!M38</f>
        <v>349695.53119714459</v>
      </c>
      <c r="C31" s="5">
        <f>'DB pension'!F38+'DC pension'!Q37-'DC pension'!D37-'DB pension'!N38</f>
        <v>413593.1085320143</v>
      </c>
      <c r="D31" s="5">
        <f>'DB pension'!G38+'DC pension'!Q37-'DC pension'!D37-'DB pension'!O38</f>
        <v>349695.53119714459</v>
      </c>
      <c r="E31" s="5">
        <f>'DB pension'!H38+'DC pension'!Q37-'DC pension'!D37-'DB pension'!P38</f>
        <v>366926.37980342464</v>
      </c>
      <c r="F31" s="5"/>
      <c r="G31">
        <f t="shared" si="1"/>
        <v>2046</v>
      </c>
      <c r="H31" s="5">
        <f>'DB pension'!$C38+'DC pension'!S37-'DC pension'!F37-'DB pension'!K38</f>
        <v>9571.9133315741456</v>
      </c>
      <c r="I31" s="5">
        <f>'DB pension'!$C38+'DC pension'!T37-'DC pension'!G37-'DB pension'!K38</f>
        <v>9732.6492589880072</v>
      </c>
      <c r="J31" s="5">
        <f>'DB pension'!$C38+'DC pension'!U37-'DC pension'!H37-'DB pension'!K38</f>
        <v>9571.9133315741456</v>
      </c>
      <c r="K31" s="5">
        <f>'DB pension'!$C38+'DC pension'!V37-'DC pension'!I37-'DB pension'!K38</f>
        <v>9620.2061886895208</v>
      </c>
    </row>
    <row r="32" spans="1:11">
      <c r="A32">
        <f t="shared" si="0"/>
        <v>2050</v>
      </c>
      <c r="B32" s="5">
        <f>'DB pension'!E39+'DC pension'!Q38-'DC pension'!D38-'DB pension'!M39</f>
        <v>369124.36355487426</v>
      </c>
      <c r="C32" s="5">
        <f>'DB pension'!F39+'DC pension'!Q38-'DC pension'!D38-'DB pension'!N39</f>
        <v>436702.90495851508</v>
      </c>
      <c r="D32" s="5">
        <f>'DB pension'!G39+'DC pension'!Q38-'DC pension'!D38-'DB pension'!O39</f>
        <v>369124.36355487426</v>
      </c>
      <c r="E32" s="5">
        <f>'DB pension'!H39+'DC pension'!Q38-'DC pension'!D38-'DB pension'!P39</f>
        <v>387347.83406075707</v>
      </c>
      <c r="F32" s="5"/>
      <c r="G32">
        <f t="shared" si="1"/>
        <v>2047</v>
      </c>
      <c r="H32" s="5">
        <f>'DB pension'!$C39+'DC pension'!S38-'DC pension'!F38-'DB pension'!K39</f>
        <v>10053.454682723786</v>
      </c>
      <c r="I32" s="5">
        <f>'DB pension'!$C39+'DC pension'!T38-'DC pension'!G38-'DB pension'!K39</f>
        <v>10225.340955498832</v>
      </c>
      <c r="J32" s="5">
        <f>'DB pension'!$C39+'DC pension'!U38-'DC pension'!H38-'DB pension'!K39</f>
        <v>10053.454682723786</v>
      </c>
      <c r="K32" s="5">
        <f>'DB pension'!$C39+'DC pension'!V38-'DC pension'!I38-'DB pension'!K39</f>
        <v>10105.097643602388</v>
      </c>
    </row>
    <row r="33" spans="1:11">
      <c r="A33">
        <f t="shared" si="0"/>
        <v>2051</v>
      </c>
      <c r="B33" s="5">
        <f>'DB pension'!E40+'DC pension'!Q39-'DC pension'!D39-'DB pension'!M40</f>
        <v>389180.34130479587</v>
      </c>
      <c r="C33" s="5">
        <f>'DB pension'!F40+'DC pension'!Q39-'DC pension'!D39-'DB pension'!N40</f>
        <v>460564.52171845001</v>
      </c>
      <c r="D33" s="5">
        <f>'DB pension'!G40+'DC pension'!Q39-'DC pension'!D39-'DB pension'!O40</f>
        <v>389180.34130479587</v>
      </c>
      <c r="E33" s="5">
        <f>'DB pension'!H40+'DC pension'!Q39-'DC pension'!D39-'DB pension'!P40</f>
        <v>408430.05399961228</v>
      </c>
      <c r="F33" s="5"/>
      <c r="G33">
        <f t="shared" si="1"/>
        <v>2048</v>
      </c>
      <c r="H33" s="5">
        <f>'DB pension'!$C40+'DC pension'!S39-'DC pension'!F39-'DB pension'!K40</f>
        <v>10546.963579235206</v>
      </c>
      <c r="I33" s="5">
        <f>'DB pension'!$C40+'DC pension'!T39-'DC pension'!G39-'DB pension'!K40</f>
        <v>10730.405538913052</v>
      </c>
      <c r="J33" s="5">
        <f>'DB pension'!$C40+'DC pension'!U39-'DC pension'!H39-'DB pension'!K40</f>
        <v>10546.963579235206</v>
      </c>
      <c r="K33" s="5">
        <f>'DB pension'!$C40+'DC pension'!V39-'DC pension'!I39-'DB pension'!K40</f>
        <v>10602.078428107023</v>
      </c>
    </row>
    <row r="34" spans="1:11">
      <c r="A34">
        <f t="shared" si="0"/>
        <v>2052</v>
      </c>
      <c r="B34" s="5">
        <f>'DB pension'!E41+'DC pension'!Q40-'DC pension'!D40-'DB pension'!M41</f>
        <v>409881.48939601873</v>
      </c>
      <c r="C34" s="5">
        <f>'DB pension'!F41+'DC pension'!Q40-'DC pension'!D40-'DB pension'!N41</f>
        <v>485199.38400101289</v>
      </c>
      <c r="D34" s="5">
        <f>'DB pension'!G41+'DC pension'!Q40-'DC pension'!D40-'DB pension'!O41</f>
        <v>409881.48939601873</v>
      </c>
      <c r="E34" s="5">
        <f>'DB pension'!H41+'DC pension'!Q40-'DC pension'!D40-'DB pension'!P41</f>
        <v>430191.98148996831</v>
      </c>
      <c r="F34" s="5"/>
      <c r="G34">
        <f t="shared" si="1"/>
        <v>2049</v>
      </c>
      <c r="H34" s="5">
        <f>'DB pension'!$C41+'DC pension'!S40-'DC pension'!F40-'DB pension'!K41</f>
        <v>11052.710519190023</v>
      </c>
      <c r="I34" s="5">
        <f>'DB pension'!$C41+'DC pension'!T40-'DC pension'!G40-'DB pension'!K41</f>
        <v>11248.117244328772</v>
      </c>
      <c r="J34" s="5">
        <f>'DB pension'!$C41+'DC pension'!U40-'DC pension'!H40-'DB pension'!K41</f>
        <v>11052.710519190023</v>
      </c>
      <c r="K34" s="5">
        <f>'DB pension'!$C41+'DC pension'!V40-'DC pension'!I40-'DB pension'!K41</f>
        <v>11111.420163065792</v>
      </c>
    </row>
    <row r="35" spans="1:11">
      <c r="A35">
        <f t="shared" si="0"/>
        <v>2053</v>
      </c>
      <c r="B35" s="5">
        <f>'DB pension'!E42+'DC pension'!Q41-'DC pension'!D41-'DB pension'!M42</f>
        <v>431246.3111205477</v>
      </c>
      <c r="C35" s="5">
        <f>'DB pension'!F42+'DC pension'!Q41-'DC pension'!D41-'DB pension'!N42</f>
        <v>510629.48258624139</v>
      </c>
      <c r="D35" s="5">
        <f>'DB pension'!G42+'DC pension'!Q41-'DC pension'!D41-'DB pension'!O42</f>
        <v>431246.3111205477</v>
      </c>
      <c r="E35" s="5">
        <f>'DB pension'!H42+'DC pension'!Q41-'DC pension'!D41-'DB pension'!P42</f>
        <v>452653.06027229183</v>
      </c>
      <c r="F35" s="5"/>
      <c r="G35">
        <f t="shared" si="1"/>
        <v>2050</v>
      </c>
      <c r="H35" s="5">
        <f>'DB pension'!$C42+'DC pension'!S41-'DC pension'!F41-'DB pension'!K42</f>
        <v>11570.971431891958</v>
      </c>
      <c r="I35" s="5">
        <f>'DB pension'!$C42+'DC pension'!T41-'DC pension'!G41-'DB pension'!K42</f>
        <v>11778.755809823793</v>
      </c>
      <c r="J35" s="5">
        <f>'DB pension'!$C42+'DC pension'!U41-'DC pension'!H41-'DB pension'!K42</f>
        <v>11570.971431891958</v>
      </c>
      <c r="K35" s="5">
        <f>'DB pension'!$C42+'DC pension'!V41-'DC pension'!I41-'DB pension'!K42</f>
        <v>11633.3999221226</v>
      </c>
    </row>
    <row r="36" spans="1:11">
      <c r="A36" s="6">
        <f t="shared" si="0"/>
        <v>2054</v>
      </c>
      <c r="B36" s="5">
        <f>'DB pension'!E43+'DC pension'!Q42-'DC pension'!D42-'DB pension'!M43</f>
        <v>453167.55304996396</v>
      </c>
      <c r="C36" s="5">
        <f>'DB pension'!F43+'DC pension'!Q42-'DC pension'!D42-'DB pension'!N43</f>
        <v>536716.77675383491</v>
      </c>
      <c r="D36" s="5">
        <f>'DB pension'!G43+'DC pension'!Q42-'DC pension'!D42-'DB pension'!O43</f>
        <v>453167.55304996396</v>
      </c>
      <c r="E36" s="5">
        <f>'DB pension'!H43+'DC pension'!Q42-'DC pension'!D42-'DB pension'!P43</f>
        <v>475697.73470722669</v>
      </c>
      <c r="F36" s="5"/>
      <c r="G36" s="16">
        <f t="shared" si="1"/>
        <v>2051</v>
      </c>
      <c r="H36" s="5">
        <f>'DB pension'!$C43+'DC pension'!S42-'DC pension'!F42-'DB pension'!K43</f>
        <v>12098.65723865783</v>
      </c>
      <c r="I36" s="5">
        <f>'DB pension'!$C43+'DC pension'!T42-'DC pension'!G42-'DB pension'!K43</f>
        <v>12318.920171614784</v>
      </c>
      <c r="J36" s="5">
        <f>'DB pension'!$C43+'DC pension'!U42-'DC pension'!H42-'DB pension'!K43</f>
        <v>12098.65723865783</v>
      </c>
      <c r="K36" s="5">
        <f>'DB pension'!$C43+'DC pension'!V42-'DC pension'!I42-'DB pension'!K43</f>
        <v>12164.83489116059</v>
      </c>
    </row>
    <row r="37" spans="1:11">
      <c r="A37" s="6">
        <f t="shared" si="0"/>
        <v>2055</v>
      </c>
      <c r="B37" s="5">
        <f>'DB pension'!E44+'DC pension'!Q43-'DC pension'!D43-'DB pension'!M44</f>
        <v>475424.80230436072</v>
      </c>
      <c r="C37" s="5">
        <f>'DB pension'!F44+'DC pension'!Q43-'DC pension'!D43-'DB pension'!N44</f>
        <v>563179.75418950384</v>
      </c>
      <c r="D37" s="5">
        <f>'DB pension'!G44+'DC pension'!Q43-'DC pension'!D43-'DB pension'!O44</f>
        <v>475424.80230436072</v>
      </c>
      <c r="E37" s="5">
        <f>'DB pension'!H44+'DC pension'!Q43-'DC pension'!D43-'DB pension'!P44</f>
        <v>499089.11562346877</v>
      </c>
      <c r="F37" s="5"/>
      <c r="G37" s="16">
        <f t="shared" si="1"/>
        <v>2052</v>
      </c>
      <c r="H37" s="5">
        <f>'DB pension'!$C44+'DC pension'!S43-'DC pension'!F43-'DB pension'!K44</f>
        <v>12629.732122937214</v>
      </c>
      <c r="I37" s="5">
        <f>'DB pension'!$C44+'DC pension'!T43-'DC pension'!G43-'DB pension'!K44</f>
        <v>12861.998137949475</v>
      </c>
      <c r="J37" s="5">
        <f>'DB pension'!$C44+'DC pension'!U43-'DC pension'!H43-'DB pension'!K44</f>
        <v>12629.732122937214</v>
      </c>
      <c r="K37" s="5">
        <f>'DB pension'!$C44+'DC pension'!V43-'DC pension'!I43-'DB pension'!K44</f>
        <v>12699.516082604572</v>
      </c>
    </row>
    <row r="38" spans="1:11">
      <c r="A38" s="6">
        <f t="shared" si="0"/>
        <v>2056</v>
      </c>
      <c r="B38" s="5">
        <f>'DB pension'!E45+'DC pension'!Q44-'DC pension'!D44-'DB pension'!M45</f>
        <v>498021.87457913411</v>
      </c>
      <c r="C38" s="5">
        <f>'DB pension'!F45+'DC pension'!Q44-'DC pension'!D44-'DB pension'!N45</f>
        <v>590022.52319676941</v>
      </c>
      <c r="D38" s="5">
        <f>'DB pension'!G45+'DC pension'!Q44-'DC pension'!D44-'DB pension'!O45</f>
        <v>498021.87457913411</v>
      </c>
      <c r="E38" s="5">
        <f>'DB pension'!H45+'DC pension'!Q44-'DC pension'!D44-'DB pension'!P45</f>
        <v>522831.09762216418</v>
      </c>
      <c r="F38" s="5"/>
      <c r="G38" s="16">
        <f t="shared" si="1"/>
        <v>2053</v>
      </c>
      <c r="H38" s="5">
        <f>'DB pension'!$C45+'DC pension'!S44-'DC pension'!F44-'DB pension'!K45</f>
        <v>13164.205753199825</v>
      </c>
      <c r="I38" s="5">
        <f>'DB pension'!$C45+'DC pension'!T44-'DC pension'!G44-'DB pension'!K45</f>
        <v>13407.998020852945</v>
      </c>
      <c r="J38" s="5">
        <f>'DB pension'!$C45+'DC pension'!U44-'DC pension'!H44-'DB pension'!K45</f>
        <v>13164.205753199825</v>
      </c>
      <c r="K38" s="5">
        <f>'DB pension'!$C45+'DC pension'!V44-'DC pension'!I44-'DB pension'!K45</f>
        <v>13237.452757382602</v>
      </c>
    </row>
    <row r="39" spans="1:11">
      <c r="A39" s="6">
        <f t="shared" si="0"/>
        <v>2057</v>
      </c>
      <c r="B39" s="5">
        <f>'DB pension'!E46+'DC pension'!Q45-'DC pension'!D45-'DB pension'!M46</f>
        <v>520962.63804001198</v>
      </c>
      <c r="C39" s="5">
        <f>'DB pension'!F46+'DC pension'!Q45-'DC pension'!D45-'DB pension'!N46</f>
        <v>617249.24648366775</v>
      </c>
      <c r="D39" s="5">
        <f>'DB pension'!G46+'DC pension'!Q45-'DC pension'!D45-'DB pension'!O46</f>
        <v>520962.63804001198</v>
      </c>
      <c r="E39" s="5">
        <f>'DB pension'!H46+'DC pension'!Q45-'DC pension'!D45-'DB pension'!P46</f>
        <v>546927.62829637027</v>
      </c>
      <c r="F39" s="5"/>
      <c r="G39" s="6">
        <f t="shared" si="1"/>
        <v>2054</v>
      </c>
      <c r="H39" s="5">
        <f>'DB pension'!$C46+'DC pension'!S45-'DC pension'!F45-'DB pension'!K46</f>
        <v>13702.088215225984</v>
      </c>
      <c r="I39" s="5">
        <f>'DB pension'!$C46+'DC pension'!T45-'DC pension'!G45-'DB pension'!K46</f>
        <v>13956.928491114006</v>
      </c>
      <c r="J39" s="5">
        <f>'DB pension'!$C46+'DC pension'!U45-'DC pension'!H45-'DB pension'!K46</f>
        <v>13702.088215225984</v>
      </c>
      <c r="K39" s="5">
        <f>'DB pension'!$C46+'DC pension'!V45-'DC pension'!I45-'DB pension'!K46</f>
        <v>13778.654576143013</v>
      </c>
    </row>
    <row r="40" spans="1:11">
      <c r="A40" s="6">
        <f t="shared" si="0"/>
        <v>2058</v>
      </c>
      <c r="B40" s="5">
        <f>'DB pension'!E47+'DC pension'!Q46-'DC pension'!D46-'DB pension'!M47</f>
        <v>544251.01420927618</v>
      </c>
      <c r="C40" s="5">
        <f>'DB pension'!F47+'DC pension'!Q46-'DC pension'!D46-'DB pension'!N47</f>
        <v>644864.14206099708</v>
      </c>
      <c r="D40" s="5">
        <f>'DB pension'!G47+'DC pension'!Q46-'DC pension'!D46-'DB pension'!O47</f>
        <v>544251.01420927618</v>
      </c>
      <c r="E40" s="5">
        <f>'DB pension'!H47+'DC pension'!Q46-'DC pension'!D46-'DB pension'!P47</f>
        <v>571382.70912051992</v>
      </c>
      <c r="F40" s="5"/>
      <c r="G40" s="6">
        <f t="shared" si="1"/>
        <v>2055</v>
      </c>
      <c r="H40" s="5">
        <f>'DB pension'!$C47+'DC pension'!S46-'DC pension'!F46-'DB pension'!K47</f>
        <v>14243.390016700469</v>
      </c>
      <c r="I40" s="5">
        <f>'DB pension'!$C47+'DC pension'!T46-'DC pension'!G46-'DB pension'!K47</f>
        <v>14508.798582234547</v>
      </c>
      <c r="J40" s="5">
        <f>'DB pension'!$C47+'DC pension'!U46-'DC pension'!H46-'DB pension'!K47</f>
        <v>14243.390016700469</v>
      </c>
      <c r="K40" s="5">
        <f>'DB pension'!$C47+'DC pension'!V46-'DC pension'!I46-'DB pension'!K47</f>
        <v>14323.131603654652</v>
      </c>
    </row>
    <row r="41" spans="1:11">
      <c r="A41" s="6">
        <f t="shared" si="0"/>
        <v>2059</v>
      </c>
      <c r="B41" s="5">
        <f>'DB pension'!E48+'DC pension'!Q47-'DC pension'!D47-'DB pension'!M48</f>
        <v>567890.97886867705</v>
      </c>
      <c r="C41" s="5">
        <f>'DB pension'!F48+'DC pension'!Q47-'DC pension'!D47-'DB pension'!N48</f>
        <v>672871.48415733222</v>
      </c>
      <c r="D41" s="5">
        <f>'DB pension'!G48+'DC pension'!Q47-'DC pension'!D47-'DB pension'!O48</f>
        <v>567890.97886867705</v>
      </c>
      <c r="E41" s="5">
        <f>'DB pension'!H48+'DC pension'!Q47-'DC pension'!D47-'DB pension'!P48</f>
        <v>596200.39635659871</v>
      </c>
      <c r="F41" s="5"/>
      <c r="G41" s="6">
        <f t="shared" si="1"/>
        <v>2056</v>
      </c>
      <c r="H41" s="5">
        <f>'DB pension'!$C48+'DC pension'!S47-'DC pension'!F47-'DB pension'!K48</f>
        <v>14788.122091884205</v>
      </c>
      <c r="I41" s="5">
        <f>'DB pension'!$C48+'DC pension'!T47-'DC pension'!G47-'DB pension'!K48</f>
        <v>15063.617694445798</v>
      </c>
      <c r="J41" s="5">
        <f>'DB pension'!$C48+'DC pension'!U47-'DC pension'!H47-'DB pension'!K48</f>
        <v>14788.122091884205</v>
      </c>
      <c r="K41" s="5">
        <f>'DB pension'!$C48+'DC pension'!V47-'DC pension'!I47-'DB pension'!K48</f>
        <v>14870.894313281635</v>
      </c>
    </row>
    <row r="42" spans="1:11">
      <c r="A42" s="6">
        <f t="shared" si="0"/>
        <v>2060</v>
      </c>
      <c r="B42" s="5">
        <f>'DB pension'!E49+'DC pension'!Q48-'DC pension'!D48-'DB pension'!M49</f>
        <v>591886.56297936628</v>
      </c>
      <c r="C42" s="5">
        <f>'DB pension'!F49+'DC pension'!Q48-'DC pension'!D48-'DB pension'!N49</f>
        <v>701275.60415112914</v>
      </c>
      <c r="D42" s="5">
        <f>'DB pension'!G49+'DC pension'!Q48-'DC pension'!D48-'DB pension'!O49</f>
        <v>591886.56297936628</v>
      </c>
      <c r="E42" s="5">
        <f>'DB pension'!H49+'DC pension'!Q48-'DC pension'!D48-'DB pension'!P49</f>
        <v>621384.80197735969</v>
      </c>
      <c r="F42" s="5"/>
      <c r="G42" s="6">
        <f t="shared" si="1"/>
        <v>2057</v>
      </c>
      <c r="H42" s="5">
        <f>'DB pension'!$C49+'DC pension'!S48-'DC pension'!F48-'DB pension'!K49</f>
        <v>15336.295806364804</v>
      </c>
      <c r="I42" s="5">
        <f>'DB pension'!$C49+'DC pension'!T48-'DC pension'!G48-'DB pension'!K49</f>
        <v>15621.39559879242</v>
      </c>
      <c r="J42" s="5">
        <f>'DB pension'!$C49+'DC pension'!U48-'DC pension'!H48-'DB pension'!K49</f>
        <v>15336.295806364804</v>
      </c>
      <c r="K42" s="5">
        <f>'DB pension'!$C49+'DC pension'!V48-'DC pension'!I48-'DB pension'!K49</f>
        <v>15421.953591533638</v>
      </c>
    </row>
    <row r="43" spans="1:11">
      <c r="A43" s="6">
        <f t="shared" si="0"/>
        <v>2061</v>
      </c>
      <c r="B43" s="5">
        <f>'DB pension'!E50+'DC pension'!Q49-'DC pension'!D49-'DB pension'!M50</f>
        <v>616241.85361918202</v>
      </c>
      <c r="C43" s="5">
        <f>'DB pension'!F50+'DC pension'!Q49-'DC pension'!D49-'DB pension'!N50</f>
        <v>730080.8915202514</v>
      </c>
      <c r="D43" s="5">
        <f>'DB pension'!G50+'DC pension'!Q49-'DC pension'!D49-'DB pension'!O50</f>
        <v>616241.85361918202</v>
      </c>
      <c r="E43" s="5">
        <f>'DB pension'!H50+'DC pension'!Q49-'DC pension'!D49-'DB pension'!P50</f>
        <v>646940.09460691107</v>
      </c>
      <c r="F43" s="5"/>
      <c r="G43" s="6">
        <f t="shared" si="1"/>
        <v>2058</v>
      </c>
      <c r="H43" s="5">
        <f>'DB pension'!$C50+'DC pension'!S49-'DC pension'!F49-'DB pension'!K50</f>
        <v>15887.922961887216</v>
      </c>
      <c r="I43" s="5">
        <f>'DB pension'!$C50+'DC pension'!T49-'DC pension'!G49-'DB pension'!K50</f>
        <v>16182.142441285399</v>
      </c>
      <c r="J43" s="5">
        <f>'DB pension'!$C50+'DC pension'!U49-'DC pension'!H49-'DB pension'!K50</f>
        <v>15887.922961887216</v>
      </c>
      <c r="K43" s="5">
        <f>'DB pension'!$C50+'DC pension'!V49-'DC pension'!I49-'DB pension'!K50</f>
        <v>15976.320742692948</v>
      </c>
    </row>
    <row r="44" spans="1:11">
      <c r="A44" s="6">
        <f t="shared" si="0"/>
        <v>2062</v>
      </c>
      <c r="B44" s="5">
        <f>'DB pension'!E51+'DC pension'!Q50-'DC pension'!D50-'DB pension'!M51</f>
        <v>640960.99493763014</v>
      </c>
      <c r="C44" s="5">
        <f>'DB pension'!F51+'DC pension'!Q50-'DC pension'!D50-'DB pension'!N51</f>
        <v>759291.79480926995</v>
      </c>
      <c r="D44" s="5">
        <f>'DB pension'!G51+'DC pension'!Q50-'DC pension'!D50-'DB pension'!O51</f>
        <v>640960.99493763014</v>
      </c>
      <c r="E44" s="5">
        <f>'DB pension'!H51+'DC pension'!Q50-'DC pension'!D50-'DB pension'!P51</f>
        <v>672870.50047901715</v>
      </c>
      <c r="F44" s="5"/>
      <c r="G44" s="6">
        <f t="shared" si="1"/>
        <v>2059</v>
      </c>
      <c r="H44" s="5">
        <f>'DB pension'!$C51+'DC pension'!S50-'DC pension'!F50-'DB pension'!K51</f>
        <v>16443.015801265487</v>
      </c>
      <c r="I44" s="5">
        <f>'DB pension'!$C51+'DC pension'!T50-'DC pension'!G50-'DB pension'!K51</f>
        <v>16745.868747124729</v>
      </c>
      <c r="J44" s="5">
        <f>'DB pension'!$C51+'DC pension'!U50-'DC pension'!H50-'DB pension'!K51</f>
        <v>16443.015801265487</v>
      </c>
      <c r="K44" s="5">
        <f>'DB pension'!$C51+'DC pension'!V50-'DC pension'!I50-'DB pension'!K51</f>
        <v>16534.007493519159</v>
      </c>
    </row>
    <row r="45" spans="1:11">
      <c r="A45" s="6">
        <f t="shared" si="0"/>
        <v>2063</v>
      </c>
      <c r="B45" s="5">
        <f>'DB pension'!E52+'DC pension'!Q51-'DC pension'!D51-'DB pension'!M52</f>
        <v>666048.18912890367</v>
      </c>
      <c r="C45" s="5">
        <f>'DB pension'!F52+'DC pension'!Q51-'DC pension'!D51-'DB pension'!N52</f>
        <v>788912.82261487166</v>
      </c>
      <c r="D45" s="5">
        <f>'DB pension'!G52+'DC pension'!Q51-'DC pension'!D51-'DB pension'!O52</f>
        <v>666048.18912890367</v>
      </c>
      <c r="E45" s="5">
        <f>'DB pension'!H52+'DC pension'!Q51-'DC pension'!D51-'DB pension'!P52</f>
        <v>699180.30441346043</v>
      </c>
      <c r="F45" s="5"/>
      <c r="G45" s="6">
        <f t="shared" si="1"/>
        <v>2060</v>
      </c>
      <c r="H45" s="5">
        <f>'DB pension'!$C52+'DC pension'!S51-'DC pension'!F51-'DB pension'!K52</f>
        <v>17001.587013376928</v>
      </c>
      <c r="I45" s="5">
        <f>'DB pension'!$C52+'DC pension'!T51-'DC pension'!G51-'DB pension'!K52</f>
        <v>17312.585424992922</v>
      </c>
      <c r="J45" s="5">
        <f>'DB pension'!$C52+'DC pension'!U51-'DC pension'!H51-'DB pension'!K52</f>
        <v>17001.587013376928</v>
      </c>
      <c r="K45" s="5">
        <f>'DB pension'!$C52+'DC pension'!V51-'DC pension'!I51-'DB pension'!K52</f>
        <v>17095.025998032852</v>
      </c>
    </row>
    <row r="46" spans="1:11">
      <c r="A46" s="6">
        <f t="shared" si="0"/>
        <v>2064</v>
      </c>
      <c r="B46" s="5">
        <f>'DB pension'!E53+'DC pension'!Q52-'DC pension'!D52-'DB pension'!M53</f>
        <v>691507.69742330047</v>
      </c>
      <c r="C46" s="5">
        <f>'DB pension'!F53+'DC pension'!Q52-'DC pension'!D52-'DB pension'!N53</f>
        <v>818948.54458974302</v>
      </c>
      <c r="D46" s="5">
        <f>'DB pension'!G53+'DC pension'!Q52-'DC pension'!D52-'DB pension'!O53</f>
        <v>691507.69742330047</v>
      </c>
      <c r="E46" s="5">
        <f>'DB pension'!H53+'DC pension'!Q52-'DC pension'!D52-'DB pension'!P53</f>
        <v>725873.85081082024</v>
      </c>
      <c r="F46" s="5"/>
      <c r="G46" s="6">
        <f t="shared" si="1"/>
        <v>2061</v>
      </c>
      <c r="H46" s="5">
        <f>'DB pension'!$C53+'DC pension'!S52-'DC pension'!F52-'DB pension'!K53</f>
        <v>17563.649738239732</v>
      </c>
      <c r="I46" s="5">
        <f>'DB pension'!$C53+'DC pension'!T52-'DC pension'!G52-'DB pension'!K53</f>
        <v>17882.303771420247</v>
      </c>
      <c r="J46" s="5">
        <f>'DB pension'!$C53+'DC pension'!U52-'DC pension'!H52-'DB pension'!K53</f>
        <v>17563.649738239732</v>
      </c>
      <c r="K46" s="5">
        <f>'DB pension'!$C53+'DC pension'!V52-'DC pension'!I52-'DB pension'!K53</f>
        <v>17659.388842379169</v>
      </c>
    </row>
    <row r="47" spans="1:11">
      <c r="A47" s="6">
        <f t="shared" si="0"/>
        <v>2065</v>
      </c>
      <c r="B47" s="5">
        <f>'DB pension'!E54+'DC pension'!Q53-'DC pension'!D53-'DB pension'!M54</f>
        <v>717343.84109739517</v>
      </c>
      <c r="C47" s="5">
        <f>'DB pension'!F54+'DC pension'!Q53-'DC pension'!D53-'DB pension'!N54</f>
        <v>849403.5924652809</v>
      </c>
      <c r="D47" s="5">
        <f>'DB pension'!G54+'DC pension'!Q53-'DC pension'!D53-'DB pension'!O54</f>
        <v>717343.84109739517</v>
      </c>
      <c r="E47" s="5">
        <f>'DB pension'!H54+'DC pension'!Q53-'DC pension'!D53-'DB pension'!P54</f>
        <v>752955.54466602544</v>
      </c>
      <c r="F47" s="5"/>
      <c r="G47" s="6">
        <f t="shared" si="1"/>
        <v>2062</v>
      </c>
      <c r="H47" s="5">
        <f>'DB pension'!$C54+'DC pension'!S53-'DC pension'!F53-'DB pension'!K54</f>
        <v>18129.217572175407</v>
      </c>
      <c r="I47" s="5">
        <f>'DB pension'!$C54+'DC pension'!T53-'DC pension'!G53-'DB pension'!K54</f>
        <v>18455.0354752229</v>
      </c>
      <c r="J47" s="5">
        <f>'DB pension'!$C54+'DC pension'!U53-'DC pension'!H53-'DB pension'!K54</f>
        <v>18129.217572175407</v>
      </c>
      <c r="K47" s="5">
        <f>'DB pension'!$C54+'DC pension'!V53-'DC pension'!I53-'DB pension'!K54</f>
        <v>18227.109049772636</v>
      </c>
    </row>
    <row r="48" spans="1:11">
      <c r="A48" s="6">
        <f t="shared" si="0"/>
        <v>2066</v>
      </c>
      <c r="B48" s="5">
        <f>'DB pension'!E55+'DC pension'!Q54-'DC pension'!D54-'DB pension'!M55</f>
        <v>743561.00250334246</v>
      </c>
      <c r="C48" s="5">
        <f>'DB pension'!F55+'DC pension'!Q54-'DC pension'!D54-'DB pension'!N55</f>
        <v>880282.66109350568</v>
      </c>
      <c r="D48" s="5">
        <f>'DB pension'!G55+'DC pension'!Q54-'DC pension'!D54-'DB pension'!O55</f>
        <v>743561.00250334246</v>
      </c>
      <c r="E48" s="5">
        <f>'DB pension'!H55+'DC pension'!Q54-'DC pension'!D54-'DB pension'!P55</f>
        <v>780429.85260105948</v>
      </c>
      <c r="F48" s="5"/>
      <c r="G48" s="6">
        <f t="shared" si="1"/>
        <v>2063</v>
      </c>
      <c r="H48" s="5">
        <f>'DB pension'!$C55+'DC pension'!S54-'DC pension'!F54-'DB pension'!K55</f>
        <v>18698.304573057045</v>
      </c>
      <c r="I48" s="5">
        <f>'DB pension'!$C55+'DC pension'!T54-'DC pension'!G54-'DB pension'!K55</f>
        <v>19030.792622014953</v>
      </c>
      <c r="J48" s="5">
        <f>'DB pension'!$C55+'DC pension'!U54-'DC pension'!H54-'DB pension'!K55</f>
        <v>18698.304573057045</v>
      </c>
      <c r="K48" s="5">
        <f>'DB pension'!$C55+'DC pension'!V54-'DC pension'!I54-'DB pension'!K55</f>
        <v>18798.200085524219</v>
      </c>
    </row>
    <row r="49" spans="1:11">
      <c r="A49" s="6">
        <f t="shared" si="0"/>
        <v>2067</v>
      </c>
      <c r="B49" s="5">
        <f>'DB pension'!E56+'DC pension'!Q55-'DC pension'!D55-'DB pension'!M56</f>
        <v>770163.6261176751</v>
      </c>
      <c r="C49" s="5">
        <f>'DB pension'!F56+'DC pension'!Q55-'DC pension'!D55-'DB pension'!N56</f>
        <v>911590.50950855459</v>
      </c>
      <c r="D49" s="5">
        <f>'DB pension'!G56+'DC pension'!Q55-'DC pension'!D55-'DB pension'!O56</f>
        <v>770163.6261176751</v>
      </c>
      <c r="E49" s="5">
        <f>'DB pension'!H56+'DC pension'!Q55-'DC pension'!D55-'DB pension'!P56</f>
        <v>808301.30391718051</v>
      </c>
      <c r="F49" s="5"/>
      <c r="G49" s="6">
        <f t="shared" si="1"/>
        <v>2064</v>
      </c>
      <c r="H49" s="5">
        <f>'DB pension'!$C56+'DC pension'!S55-'DC pension'!F55-'DB pension'!K56</f>
        <v>19270.925265644837</v>
      </c>
      <c r="I49" s="5">
        <f>'DB pension'!$C56+'DC pension'!T55-'DC pension'!G55-'DB pension'!K56</f>
        <v>19609.587698795345</v>
      </c>
      <c r="J49" s="5">
        <f>'DB pension'!$C56+'DC pension'!U55-'DC pension'!H55-'DB pension'!K56</f>
        <v>19270.925265644837</v>
      </c>
      <c r="K49" s="5">
        <f>'DB pension'!$C56+'DC pension'!V55-'DC pension'!I55-'DB pension'!K56</f>
        <v>19372.67586215194</v>
      </c>
    </row>
    <row r="50" spans="1:11">
      <c r="A50" s="6">
        <f t="shared" si="0"/>
        <v>2068</v>
      </c>
      <c r="B50" s="5">
        <f>'DB pension'!E57+'DC pension'!Q56-'DC pension'!D56-'DB pension'!M57</f>
        <v>797156.21960999141</v>
      </c>
      <c r="C50" s="5">
        <f>'DB pension'!F57+'DC pension'!Q56-'DC pension'!D56-'DB pension'!N57</f>
        <v>943331.96200812957</v>
      </c>
      <c r="D50" s="5">
        <f>'DB pension'!G57+'DC pension'!Q56-'DC pension'!D56-'DB pension'!O57</f>
        <v>797156.21960999141</v>
      </c>
      <c r="E50" s="5">
        <f>'DB pension'!H57+'DC pension'!Q56-'DC pension'!D56-'DB pension'!P57</f>
        <v>836574.49166705087</v>
      </c>
      <c r="F50" s="5"/>
      <c r="G50" s="6">
        <f t="shared" si="1"/>
        <v>2065</v>
      </c>
      <c r="H50" s="5">
        <f>'DB pension'!$C57+'DC pension'!S56-'DC pension'!F56-'DB pension'!K57</f>
        <v>19847.094647009981</v>
      </c>
      <c r="I50" s="5">
        <f>'DB pension'!$C57+'DC pension'!T56-'DC pension'!G56-'DB pension'!K57</f>
        <v>20191.433598610805</v>
      </c>
      <c r="J50" s="5">
        <f>'DB pension'!$C57+'DC pension'!U56-'DC pension'!H56-'DB pension'!K57</f>
        <v>19847.094647009981</v>
      </c>
      <c r="K50" s="5">
        <f>'DB pension'!$C57+'DC pension'!V56-'DC pension'!I56-'DB pension'!K57</f>
        <v>19950.550744576147</v>
      </c>
    </row>
    <row r="51" spans="1:11">
      <c r="A51" s="6">
        <f t="shared" si="0"/>
        <v>2069</v>
      </c>
      <c r="B51" s="5">
        <f>'DB pension'!E58+'DC pension'!Q57-'DC pension'!D57-'DB pension'!M58</f>
        <v>824543.35493192088</v>
      </c>
      <c r="C51" s="5">
        <f>'DB pension'!F58+'DC pension'!Q57-'DC pension'!D57-'DB pension'!N58</f>
        <v>975511.90925530565</v>
      </c>
      <c r="D51" s="5">
        <f>'DB pension'!G58+'DC pension'!Q57-'DC pension'!D57-'DB pension'!O58</f>
        <v>824543.35493192088</v>
      </c>
      <c r="E51" s="5">
        <f>'DB pension'!H58+'DC pension'!Q57-'DC pension'!D57-'DB pension'!P58</f>
        <v>865254.07374716457</v>
      </c>
      <c r="F51" s="5"/>
      <c r="G51" s="6">
        <f t="shared" si="1"/>
        <v>2066</v>
      </c>
      <c r="H51" s="5">
        <f>'DB pension'!$C58+'DC pension'!S57-'DC pension'!F57-'DB pension'!K58</f>
        <v>20426.82819204827</v>
      </c>
      <c r="I51" s="5">
        <f>'DB pension'!$C58+'DC pension'!T57-'DC pension'!G57-'DB pension'!K58</f>
        <v>20776.343625295951</v>
      </c>
      <c r="J51" s="5">
        <f>'DB pension'!$C58+'DC pension'!U57-'DC pension'!H57-'DB pension'!K58</f>
        <v>20426.82819204827</v>
      </c>
      <c r="K51" s="5">
        <f>'DB pension'!$C58+'DC pension'!V57-'DC pension'!I57-'DB pension'!K58</f>
        <v>20531.839555400711</v>
      </c>
    </row>
    <row r="52" spans="1:11">
      <c r="A52" s="6">
        <f t="shared" si="0"/>
        <v>2070</v>
      </c>
      <c r="B52" s="5">
        <f>'DB pension'!E59+'DC pension'!Q58-'DC pension'!D58-'DB pension'!M59</f>
        <v>852329.66942675959</v>
      </c>
      <c r="C52" s="5">
        <f>'DB pension'!F59+'DC pension'!Q58-'DC pension'!D58-'DB pension'!N59</f>
        <v>1008135.3094010836</v>
      </c>
      <c r="D52" s="5">
        <f>'DB pension'!G59+'DC pension'!Q58-'DC pension'!D58-'DB pension'!O59</f>
        <v>852329.66942675959</v>
      </c>
      <c r="E52" s="5">
        <f>'DB pension'!H59+'DC pension'!Q58-'DC pension'!D58-'DB pension'!P59</f>
        <v>894344.77401096863</v>
      </c>
      <c r="F52" s="5"/>
      <c r="G52" s="6">
        <f t="shared" si="1"/>
        <v>2067</v>
      </c>
      <c r="H52" s="5">
        <f>'DB pension'!$C59+'DC pension'!S58-'DC pension'!F58-'DB pension'!K59</f>
        <v>21010.14185908471</v>
      </c>
      <c r="I52" s="5">
        <f>'DB pension'!$C59+'DC pension'!T58-'DC pension'!G58-'DB pension'!K59</f>
        <v>21364.331498291554</v>
      </c>
      <c r="J52" s="5">
        <f>'DB pension'!$C59+'DC pension'!U58-'DC pension'!H58-'DB pension'!K59</f>
        <v>21010.14185908471</v>
      </c>
      <c r="K52" s="5">
        <f>'DB pension'!$C59+'DC pension'!V58-'DC pension'!I58-'DB pension'!K59</f>
        <v>21116.557580281391</v>
      </c>
    </row>
    <row r="55" spans="1:11">
      <c r="C55" s="91"/>
      <c r="D55" s="91"/>
    </row>
    <row r="56" spans="1:11">
      <c r="C56" t="s">
        <v>24</v>
      </c>
      <c r="E56" t="s">
        <v>26</v>
      </c>
    </row>
    <row r="57" spans="1:11">
      <c r="B57" s="3" t="s">
        <v>97</v>
      </c>
      <c r="C57" t="s">
        <v>25</v>
      </c>
      <c r="D57" t="s">
        <v>11</v>
      </c>
      <c r="E57" t="s">
        <v>25</v>
      </c>
      <c r="F57" t="s">
        <v>11</v>
      </c>
    </row>
    <row r="58" spans="1:11">
      <c r="C58" t="s">
        <v>127</v>
      </c>
      <c r="D58" t="s">
        <v>102</v>
      </c>
      <c r="E58" t="s">
        <v>127</v>
      </c>
      <c r="F58" t="s">
        <v>102</v>
      </c>
    </row>
    <row r="59" spans="1:11">
      <c r="B59" t="s">
        <v>96</v>
      </c>
      <c r="C59" s="21">
        <f>LOOKUP(Inputs!$B13,'DB pension'!$A11:$A59,'DB pension'!C11:C59)</f>
        <v>27653.134631490764</v>
      </c>
      <c r="D59" s="21">
        <f>LOOKUP(Inputs!$B13,'DB pension'!$A11:$A59,'DB pension'!C11:C59)</f>
        <v>27653.134631490764</v>
      </c>
      <c r="E59" s="21">
        <f>LOOKUP(Inputs!$B13,'DB pension'!$A11:$A59,'DB pension'!C11:C59)</f>
        <v>27653.134631490764</v>
      </c>
      <c r="F59" s="21">
        <f>LOOKUP(Inputs!$B13,'DB pension'!$A11:$A59,'DB pension'!C11:C59)</f>
        <v>27653.134631490764</v>
      </c>
    </row>
    <row r="60" spans="1:11">
      <c r="B60" t="s">
        <v>99</v>
      </c>
      <c r="C60" s="21">
        <f>LOOKUP(Inputs!$B13,'DB pension'!$A11:$A59,'DB pension'!E11:E59)</f>
        <v>1171705.52104832</v>
      </c>
      <c r="D60" s="21">
        <f>LOOKUP(Inputs!$B13,'DB pension'!$A11:$A59,'DB pension'!F11:F59)</f>
        <v>1349378.6890873304</v>
      </c>
      <c r="E60" s="21">
        <f>LOOKUP(Inputs!$B13,'DB pension'!$A11:$A59,'DB pension'!G11:G59)</f>
        <v>1171705.52104832</v>
      </c>
      <c r="F60" s="21">
        <f>LOOKUP(Inputs!$B13,'DB pension'!$A11:$A59,'DB pension'!H11:H59)</f>
        <v>1219617.5012449096</v>
      </c>
    </row>
    <row r="62" spans="1:11">
      <c r="C62" t="s">
        <v>24</v>
      </c>
      <c r="E62" t="s">
        <v>26</v>
      </c>
    </row>
    <row r="63" spans="1:11">
      <c r="B63" s="3" t="s">
        <v>212</v>
      </c>
      <c r="C63" t="s">
        <v>25</v>
      </c>
      <c r="D63" t="s">
        <v>11</v>
      </c>
      <c r="E63" t="s">
        <v>25</v>
      </c>
      <c r="F63" t="s">
        <v>11</v>
      </c>
    </row>
    <row r="64" spans="1:11">
      <c r="C64" t="s">
        <v>127</v>
      </c>
      <c r="D64" t="s">
        <v>102</v>
      </c>
      <c r="E64" t="s">
        <v>127</v>
      </c>
      <c r="F64" t="s">
        <v>102</v>
      </c>
    </row>
    <row r="65" spans="2:6">
      <c r="B65" t="s">
        <v>96</v>
      </c>
      <c r="C65" s="21">
        <f>LOOKUP(Inputs!$B13,'DC pension'!$A10:$A58,'DC pension'!S10:S58)</f>
        <v>382.75750952476619</v>
      </c>
      <c r="D65" s="21">
        <f>LOOKUP(Inputs!$B13,'DC pension'!$A10:$A58,'DC pension'!T10:T58)</f>
        <v>329.05828044390876</v>
      </c>
      <c r="E65" s="21">
        <f>LOOKUP(Inputs!$B13,'DC pension'!$A10:$A58,'DC pension'!U10:U58)</f>
        <v>382.75750952476619</v>
      </c>
      <c r="F65" s="21">
        <f>LOOKUP(Inputs!$B13,'DC pension'!$A10:$A58,'DC pension'!V10:V58)</f>
        <v>366.62366042872395</v>
      </c>
    </row>
    <row r="66" spans="2:6">
      <c r="B66" t="s">
        <v>99</v>
      </c>
      <c r="C66" s="21">
        <f>LOOKUP(Inputs!$B13,'DC pension'!$A10:$A58,'DC pension'!$Q10:$Q58)</f>
        <v>15069.747349076593</v>
      </c>
      <c r="D66" s="21">
        <f>LOOKUP(Inputs!$B13,'DC pension'!$A10:$A58,'DC pension'!$Q10:$Q58)</f>
        <v>15069.747349076593</v>
      </c>
      <c r="E66" s="21">
        <f>LOOKUP(Inputs!$B13,'DC pension'!$A10:$A58,'DC pension'!$Q10:$Q58)</f>
        <v>15069.747349076593</v>
      </c>
      <c r="F66" s="21">
        <f>LOOKUP(Inputs!$B13,'DC pension'!$A10:$A58,'DC pension'!$Q10:$Q58)</f>
        <v>15069.747349076593</v>
      </c>
    </row>
    <row r="68" spans="2:6">
      <c r="C68" t="s">
        <v>24</v>
      </c>
      <c r="E68" t="s">
        <v>26</v>
      </c>
    </row>
    <row r="69" spans="2:6">
      <c r="B69" s="3" t="s">
        <v>232</v>
      </c>
      <c r="C69" t="s">
        <v>25</v>
      </c>
      <c r="D69" t="s">
        <v>11</v>
      </c>
      <c r="E69" t="s">
        <v>25</v>
      </c>
      <c r="F69" t="s">
        <v>11</v>
      </c>
    </row>
    <row r="70" spans="2:6">
      <c r="C70" t="s">
        <v>127</v>
      </c>
      <c r="D70" t="s">
        <v>102</v>
      </c>
      <c r="E70" t="s">
        <v>127</v>
      </c>
      <c r="F70" t="s">
        <v>102</v>
      </c>
    </row>
    <row r="71" spans="2:6">
      <c r="B71" t="s">
        <v>96</v>
      </c>
      <c r="C71" s="21">
        <f>LOOKUP(Inputs!$B13,'DB pension'!$A11:$A59,'DB pension'!K11:K59)</f>
        <v>7818.1818181818226</v>
      </c>
      <c r="D71" s="21">
        <f>LOOKUP(Inputs!$B13,'DB pension'!$A11:$A59,'DB pension'!K11:K59)</f>
        <v>7818.1818181818226</v>
      </c>
      <c r="E71" s="21">
        <f>LOOKUP(Inputs!$B13,'DB pension'!$A11:$A59,'DB pension'!K11:K59)</f>
        <v>7818.1818181818226</v>
      </c>
      <c r="F71" s="21">
        <f>LOOKUP(Inputs!$B13,'DB pension'!$A11:$A59,'DB pension'!K11:K59)</f>
        <v>7818.1818181818226</v>
      </c>
    </row>
    <row r="72" spans="2:6">
      <c r="B72" t="s">
        <v>99</v>
      </c>
      <c r="C72" s="21">
        <f>LOOKUP(Inputs!$B13,'DB pension'!$A11:$A59,'DB pension'!M11:M59)</f>
        <v>390773.15489161882</v>
      </c>
      <c r="D72" s="21">
        <f>LOOKUP(Inputs!$B13,'DB pension'!$A11:$A59,'DB pension'!N11:N59)</f>
        <v>441005.47576418653</v>
      </c>
      <c r="E72" s="21">
        <f>LOOKUP(Inputs!$B13,'DB pension'!$A11:$A59,'DB pension'!O11:O59)</f>
        <v>390773.15489161882</v>
      </c>
      <c r="F72" s="21">
        <f>LOOKUP(Inputs!$B13,'DB pension'!$A11:$A59,'DB pension'!P11:P59)</f>
        <v>404318.9817006886</v>
      </c>
    </row>
    <row r="75" spans="2:6">
      <c r="B75" s="3" t="s">
        <v>98</v>
      </c>
      <c r="C75" t="s">
        <v>25</v>
      </c>
      <c r="D75" t="s">
        <v>11</v>
      </c>
      <c r="E75" t="s">
        <v>25</v>
      </c>
      <c r="F75" t="s">
        <v>11</v>
      </c>
    </row>
    <row r="76" spans="2:6">
      <c r="C76" t="s">
        <v>127</v>
      </c>
      <c r="D76" t="s">
        <v>102</v>
      </c>
      <c r="E76" t="s">
        <v>127</v>
      </c>
      <c r="F76" t="s">
        <v>102</v>
      </c>
    </row>
    <row r="77" spans="2:6">
      <c r="B77" t="s">
        <v>96</v>
      </c>
      <c r="C77" s="21">
        <f>LOOKUP(Inputs!$B13,'DC pension'!$A10:$A58,'DC pension'!F10:F58)</f>
        <v>2654.0605845939745</v>
      </c>
      <c r="D77" s="21">
        <f>LOOKUP(Inputs!$B13,'DC pension'!$A10:$A58,'DC pension'!G10:G58)</f>
        <v>2281.7073223325992</v>
      </c>
      <c r="E77" s="21">
        <f>LOOKUP(Inputs!$B13,'DC pension'!$A10:$A58,'DC pension'!H10:H58)</f>
        <v>2654.0605845939745</v>
      </c>
      <c r="F77" s="21">
        <f>LOOKUP(Inputs!$B13,'DC pension'!$A10:$A58,'DC pension'!I10:I58)</f>
        <v>2542.1876313584944</v>
      </c>
    </row>
    <row r="78" spans="2:6">
      <c r="B78" t="s">
        <v>99</v>
      </c>
      <c r="C78" s="21">
        <f>LOOKUP(Inputs!$B13,'DC pension'!$A10:$A58,'DC pension'!D10:D58)</f>
        <v>104494.41608247739</v>
      </c>
      <c r="D78" s="21">
        <f>LOOKUP(Inputs!$B13,'DC pension'!$A10:$A58,'DC pension'!D10:D58)</f>
        <v>104494.41608247739</v>
      </c>
      <c r="E78" s="21">
        <f>LOOKUP(Inputs!$B13,'DC pension'!$A10:$A58,'DC pension'!D10:D58)</f>
        <v>104494.41608247739</v>
      </c>
      <c r="F78" s="21">
        <f>LOOKUP(Inputs!$B13,'DC pension'!$A10:$A58,'DC pension'!D10:D58)</f>
        <v>104494.41608247739</v>
      </c>
    </row>
    <row r="80" spans="2:6">
      <c r="C80">
        <v>0</v>
      </c>
      <c r="D80">
        <v>1</v>
      </c>
    </row>
    <row r="81" spans="2:6">
      <c r="B81" s="3" t="s">
        <v>97</v>
      </c>
      <c r="C81" t="s">
        <v>32</v>
      </c>
      <c r="D81" t="s">
        <v>33</v>
      </c>
    </row>
    <row r="82" spans="2:6">
      <c r="B82" t="s">
        <v>96</v>
      </c>
      <c r="C82" s="21">
        <f>LOOKUP(Inputs!B11,'Difference in benefits'!C58:D58,'Difference in benefits'!C59:D59)</f>
        <v>27653.134631490764</v>
      </c>
      <c r="D82" s="21">
        <f>LOOKUP(Inputs!B11,'Difference in benefits'!E58:F58,'Difference in benefits'!E59:F59)</f>
        <v>27653.134631490764</v>
      </c>
      <c r="E82" s="31"/>
      <c r="F82" s="31"/>
    </row>
    <row r="83" spans="2:6">
      <c r="B83" t="s">
        <v>99</v>
      </c>
      <c r="C83" s="21">
        <f>LOOKUP(Inputs!B11,'Difference in benefits'!C58:D58,'Difference in benefits'!C60:D60)</f>
        <v>1349378.6890873304</v>
      </c>
      <c r="D83" s="21">
        <f>LOOKUP(Inputs!B11,'Difference in benefits'!E58:F58,'Difference in benefits'!E60:F60)</f>
        <v>1219617.5012449096</v>
      </c>
      <c r="E83" s="31"/>
      <c r="F83" s="31"/>
    </row>
    <row r="85" spans="2:6">
      <c r="B85" s="3" t="s">
        <v>97</v>
      </c>
      <c r="C85" t="s">
        <v>32</v>
      </c>
      <c r="D85" t="s">
        <v>33</v>
      </c>
    </row>
    <row r="86" spans="2:6">
      <c r="B86" t="s">
        <v>96</v>
      </c>
      <c r="C86" s="21">
        <f>LOOKUP(Inputs!B11,'Difference in benefits'!C64:D64,'Difference in benefits'!C65:D65)</f>
        <v>329.05828044390876</v>
      </c>
      <c r="D86" s="21">
        <f>LOOKUP(Inputs!B11,'Difference in benefits'!E64:F64,'Difference in benefits'!E65:F65)</f>
        <v>366.62366042872395</v>
      </c>
    </row>
    <row r="87" spans="2:6">
      <c r="B87" t="s">
        <v>99</v>
      </c>
      <c r="C87" s="21">
        <f>LOOKUP(Inputs!B11,'Difference in benefits'!C64:D64,'Difference in benefits'!C66:D66)</f>
        <v>15069.747349076593</v>
      </c>
      <c r="D87" s="21">
        <f>LOOKUP(Inputs!B11,'Difference in benefits'!E64:F64,'Difference in benefits'!E66:F66)</f>
        <v>15069.747349076593</v>
      </c>
    </row>
    <row r="89" spans="2:6">
      <c r="B89" s="3" t="s">
        <v>233</v>
      </c>
      <c r="C89" t="s">
        <v>32</v>
      </c>
      <c r="D89" t="s">
        <v>33</v>
      </c>
    </row>
    <row r="90" spans="2:6">
      <c r="B90" t="s">
        <v>96</v>
      </c>
      <c r="C90" s="21">
        <f>LOOKUP(Inputs!B11,'Difference in benefits'!C58:D58,'Difference in benefits'!C71:D71)</f>
        <v>7818.1818181818226</v>
      </c>
      <c r="D90" s="21">
        <f>LOOKUP(Inputs!B11,'Difference in benefits'!E58:F58,'Difference in benefits'!E71:F71)</f>
        <v>7818.1818181818226</v>
      </c>
    </row>
    <row r="91" spans="2:6">
      <c r="B91" t="s">
        <v>99</v>
      </c>
      <c r="C91" s="21">
        <f>LOOKUP(Inputs!B11,'Difference in benefits'!C58:D58,'Difference in benefits'!C72:D72)</f>
        <v>441005.47576418653</v>
      </c>
      <c r="D91" s="21">
        <f>LOOKUP(Inputs!B11,'Difference in benefits'!E58:F58,'Difference in benefits'!E72:F72)</f>
        <v>404318.9817006886</v>
      </c>
    </row>
    <row r="93" spans="2:6">
      <c r="B93" s="3" t="s">
        <v>98</v>
      </c>
      <c r="C93" t="s">
        <v>32</v>
      </c>
      <c r="D93" t="s">
        <v>33</v>
      </c>
    </row>
    <row r="94" spans="2:6">
      <c r="B94" t="s">
        <v>96</v>
      </c>
      <c r="C94" s="21">
        <f>LOOKUP(Inputs!B11,'Difference in benefits'!C76:D76,'Difference in benefits'!C77:D77)</f>
        <v>2281.7073223325992</v>
      </c>
      <c r="D94" s="21">
        <f>LOOKUP(Inputs!B11,'Difference in benefits'!E76:F76,'Difference in benefits'!E77:F77)</f>
        <v>2542.1876313584944</v>
      </c>
    </row>
    <row r="95" spans="2:6">
      <c r="B95" t="s">
        <v>99</v>
      </c>
      <c r="C95" s="21">
        <f>LOOKUP(Inputs!B11,'Difference in benefits'!C76:D76,'Difference in benefits'!C78:D78)</f>
        <v>104494.41608247739</v>
      </c>
      <c r="D95" s="21">
        <f>LOOKUP(Inputs!B11,'Difference in benefits'!E76:F76,'Difference in benefits'!E78:F78)</f>
        <v>104494.41608247739</v>
      </c>
    </row>
    <row r="97" spans="2:3">
      <c r="C97">
        <f>IF(Inputs!B9="Female",1,IF(Inputs!B9="Male",0,-1))</f>
        <v>1</v>
      </c>
    </row>
    <row r="98" spans="2:3">
      <c r="B98" s="3" t="s">
        <v>97</v>
      </c>
    </row>
    <row r="99" spans="2:3">
      <c r="B99" t="s">
        <v>96</v>
      </c>
      <c r="C99" s="21">
        <f>LOOKUP(C97,'Difference in benefits'!C80:D80,'Difference in benefits'!C82:D82)</f>
        <v>27653.134631490764</v>
      </c>
    </row>
    <row r="100" spans="2:3">
      <c r="B100" t="s">
        <v>99</v>
      </c>
      <c r="C100" s="21">
        <f>LOOKUP(C97,'Difference in benefits'!C80:D80,'Difference in benefits'!C83:D83)</f>
        <v>1219617.5012449096</v>
      </c>
    </row>
    <row r="102" spans="2:3">
      <c r="B102" s="3" t="s">
        <v>212</v>
      </c>
    </row>
    <row r="103" spans="2:3">
      <c r="B103" t="s">
        <v>96</v>
      </c>
      <c r="C103" s="21">
        <f>LOOKUP(C97,'Difference in benefits'!C80:D80,'Difference in benefits'!C86:D86)</f>
        <v>366.62366042872395</v>
      </c>
    </row>
    <row r="104" spans="2:3">
      <c r="B104" t="s">
        <v>99</v>
      </c>
      <c r="C104" s="21">
        <f>LOOKUP(C97,'Difference in benefits'!C80:D80,'Difference in benefits'!C87:D87)</f>
        <v>15069.747349076593</v>
      </c>
    </row>
    <row r="106" spans="2:3">
      <c r="B106" s="3" t="s">
        <v>234</v>
      </c>
    </row>
    <row r="107" spans="2:3">
      <c r="B107" t="s">
        <v>96</v>
      </c>
      <c r="C107" s="21">
        <f>LOOKUP(C97,'Difference in benefits'!C80:D80,'Difference in benefits'!C90:D90)</f>
        <v>7818.1818181818226</v>
      </c>
    </row>
    <row r="108" spans="2:3">
      <c r="B108" t="s">
        <v>99</v>
      </c>
      <c r="C108" s="21">
        <f>LOOKUP(C97,'Difference in benefits'!C80:D80,'Difference in benefits'!C91:D91)</f>
        <v>404318.9817006886</v>
      </c>
    </row>
    <row r="110" spans="2:3">
      <c r="B110" s="3" t="s">
        <v>98</v>
      </c>
    </row>
    <row r="111" spans="2:3">
      <c r="B111" t="s">
        <v>96</v>
      </c>
      <c r="C111" s="21">
        <f>LOOKUP(C97,'Difference in benefits'!C80:D80,'Difference in benefits'!C94:D94)</f>
        <v>2542.1876313584944</v>
      </c>
    </row>
    <row r="112" spans="2:3">
      <c r="B112" t="s">
        <v>99</v>
      </c>
      <c r="C112" s="21">
        <f>LOOKUP(C97,'Difference in benefits'!C80:D80,'Difference in benefits'!C95:D95)</f>
        <v>104494.41608247739</v>
      </c>
    </row>
  </sheetData>
  <mergeCells count="1">
    <mergeCell ref="C55:D5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8A2B9-FF68-484E-8473-663DE53735B5}">
  <dimension ref="A1:K83"/>
  <sheetViews>
    <sheetView workbookViewId="0">
      <selection activeCell="H4" sqref="H4"/>
    </sheetView>
  </sheetViews>
  <sheetFormatPr baseColWidth="10" defaultRowHeight="16"/>
  <cols>
    <col min="2" max="2" width="15" customWidth="1"/>
    <col min="3" max="3" width="18" customWidth="1"/>
    <col min="4" max="4" width="17.6640625" customWidth="1"/>
    <col min="5" max="5" width="17.83203125" customWidth="1"/>
    <col min="6" max="6" width="17.5" customWidth="1"/>
    <col min="8" max="8" width="15.33203125" customWidth="1"/>
    <col min="9" max="9" width="16.83203125" customWidth="1"/>
    <col min="10" max="10" width="13.6640625" bestFit="1" customWidth="1"/>
    <col min="11" max="11" width="14" customWidth="1"/>
  </cols>
  <sheetData>
    <row r="1" spans="1:11">
      <c r="B1" t="s">
        <v>28</v>
      </c>
      <c r="H1" t="s">
        <v>29</v>
      </c>
    </row>
    <row r="2" spans="1:11">
      <c r="A2" t="s">
        <v>88</v>
      </c>
      <c r="B2" t="s">
        <v>24</v>
      </c>
      <c r="D2" t="s">
        <v>26</v>
      </c>
      <c r="G2" t="s">
        <v>88</v>
      </c>
      <c r="H2" t="s">
        <v>24</v>
      </c>
      <c r="J2" t="s">
        <v>26</v>
      </c>
    </row>
    <row r="3" spans="1:11">
      <c r="A3" t="s">
        <v>89</v>
      </c>
      <c r="B3" t="s">
        <v>91</v>
      </c>
      <c r="C3" t="s">
        <v>92</v>
      </c>
      <c r="D3" t="s">
        <v>93</v>
      </c>
      <c r="E3" t="s">
        <v>94</v>
      </c>
      <c r="G3" t="s">
        <v>89</v>
      </c>
      <c r="H3" t="s">
        <v>91</v>
      </c>
      <c r="I3" t="s">
        <v>92</v>
      </c>
      <c r="J3" t="s">
        <v>93</v>
      </c>
      <c r="K3" t="s">
        <v>94</v>
      </c>
    </row>
    <row r="4" spans="1:11">
      <c r="A4">
        <v>2022</v>
      </c>
      <c r="B4" s="5">
        <f>'DB pension'!U11-'DC pension'!Q10-'DC pension'!D10</f>
        <v>19287.07856598017</v>
      </c>
      <c r="C4" s="5">
        <f>'DB pension'!V11-'DC pension'!Q10-'DC pension'!D10</f>
        <v>23778.092700361678</v>
      </c>
      <c r="D4" s="5">
        <f>'DB pension'!W11-'DC pension'!Q10-'DC pension'!D10</f>
        <v>20567.07856598017</v>
      </c>
      <c r="E4" s="5">
        <f>'DB pension'!X11-'DC pension'!Q10-'DC pension'!D10</f>
        <v>21679.834881320952</v>
      </c>
      <c r="F4" s="5"/>
      <c r="G4">
        <v>2019</v>
      </c>
      <c r="H4" s="5">
        <f>'DB pension'!$S11-'DC pension'!S10-'DC pension'!F10</f>
        <v>554.50350877192989</v>
      </c>
      <c r="I4" s="5">
        <f>'DB pension'!$S11-'DC pension'!T10-'DC pension'!G10</f>
        <v>555.47790877192983</v>
      </c>
      <c r="J4" s="5">
        <f>'DB pension'!$S11-'DC pension'!U10-'DC pension'!H10</f>
        <v>554.50350877192989</v>
      </c>
      <c r="K4" s="5">
        <f>'DB pension'!$S11-'DC pension'!V10-'DC pension'!I10</f>
        <v>554.87550877192984</v>
      </c>
    </row>
    <row r="5" spans="1:11">
      <c r="A5">
        <f>A4+1</f>
        <v>2023</v>
      </c>
      <c r="B5" s="5">
        <f>'DB pension'!U12-'DC pension'!Q11-'DC pension'!D11</f>
        <v>39398.877620137304</v>
      </c>
      <c r="C5" s="5">
        <f>'DB pension'!V12-'DC pension'!Q11-'DC pension'!D11</f>
        <v>48554.790521626055</v>
      </c>
      <c r="D5" s="5">
        <f>'DB pension'!W12-'DC pension'!Q11-'DC pension'!D11</f>
        <v>41984.477620137302</v>
      </c>
      <c r="E5" s="5">
        <f>'DB pension'!X12-'DC pension'!Q11-'DC pension'!D11</f>
        <v>44261.377337461301</v>
      </c>
      <c r="F5" s="5"/>
      <c r="G5">
        <f>G4+1</f>
        <v>2020</v>
      </c>
      <c r="H5" s="5">
        <f>'DB pension'!$S12-'DC pension'!S11-'DC pension'!F11</f>
        <v>1127.0823199790523</v>
      </c>
      <c r="I5" s="5">
        <f>'DB pension'!$S12-'DC pension'!T11-'DC pension'!G11</f>
        <v>1129.3326507253209</v>
      </c>
      <c r="J5" s="5">
        <f>'DB pension'!$S12-'DC pension'!U11-'DC pension'!H11</f>
        <v>1127.0823199790523</v>
      </c>
      <c r="K5" s="5">
        <f>'DB pension'!$S12-'DC pension'!V11-'DC pension'!I11</f>
        <v>1127.9414363969627</v>
      </c>
    </row>
    <row r="6" spans="1:11">
      <c r="A6">
        <f t="shared" ref="A6:A52" si="0">A5+1</f>
        <v>2024</v>
      </c>
      <c r="B6" s="5">
        <f>'DB pension'!U13-'DC pension'!Q12-'DC pension'!D12</f>
        <v>60365.09548832952</v>
      </c>
      <c r="C6" s="5">
        <f>'DB pension'!V13-'DC pension'!Q12-'DC pension'!D12</f>
        <v>74365.452600723918</v>
      </c>
      <c r="D6" s="5">
        <f>'DB pension'!W13-'DC pension'!Q12-'DC pension'!D12</f>
        <v>64282.407488329518</v>
      </c>
      <c r="E6" s="5">
        <f>'DB pension'!X13-'DC pension'!Q12-'DC pension'!D12</f>
        <v>67776.621981671822</v>
      </c>
      <c r="F6" s="5"/>
      <c r="G6">
        <f t="shared" ref="G6:G52" si="1">G5+1</f>
        <v>2021</v>
      </c>
      <c r="H6" s="5">
        <f>'DB pension'!$S13-'DC pension'!S12-'DC pension'!F12</f>
        <v>1718.2708302165531</v>
      </c>
      <c r="I6" s="5">
        <f>'DB pension'!$S13-'DC pension'!T12-'DC pension'!G12</f>
        <v>1722.1005335827074</v>
      </c>
      <c r="J6" s="5">
        <f>'DB pension'!$S13-'DC pension'!U12-'DC pension'!H12</f>
        <v>1718.2708302165531</v>
      </c>
      <c r="K6" s="5">
        <f>'DB pension'!$S13-'DC pension'!V12-'DC pension'!I12</f>
        <v>1719.7329090878682</v>
      </c>
    </row>
    <row r="7" spans="1:11">
      <c r="A7">
        <f t="shared" si="0"/>
        <v>2025</v>
      </c>
      <c r="B7" s="5">
        <f>'DB pension'!U14-'DC pension'!Q13-'DC pension'!D13</f>
        <v>82216.366993561896</v>
      </c>
      <c r="C7" s="5">
        <f>'DB pension'!V14-'DC pension'!Q13-'DC pension'!D13</f>
        <v>101246.54412524289</v>
      </c>
      <c r="D7" s="5">
        <f>'DB pension'!W14-'DC pension'!Q13-'DC pension'!D13</f>
        <v>87492.025233561901</v>
      </c>
      <c r="E7" s="5">
        <f>'DB pension'!X14-'DC pension'!Q13-'DC pension'!D13</f>
        <v>92258.565373423407</v>
      </c>
      <c r="F7" s="5"/>
      <c r="G7">
        <f t="shared" si="1"/>
        <v>2022</v>
      </c>
      <c r="H7" s="5">
        <f>'DB pension'!$S14-'DC pension'!S13-'DC pension'!F13</f>
        <v>2328.616368236691</v>
      </c>
      <c r="I7" s="5">
        <f>'DB pension'!$S14-'DC pension'!T13-'DC pension'!G13</f>
        <v>2334.3308432532494</v>
      </c>
      <c r="J7" s="5">
        <f>'DB pension'!$S14-'DC pension'!U13-'DC pension'!H13</f>
        <v>2328.616368236691</v>
      </c>
      <c r="K7" s="5">
        <f>'DB pension'!$S14-'DC pension'!V13-'DC pension'!I13</f>
        <v>2330.7980027873477</v>
      </c>
    </row>
    <row r="8" spans="1:11">
      <c r="A8">
        <f t="shared" si="0"/>
        <v>2026</v>
      </c>
      <c r="B8" s="5">
        <f>'DB pension'!U15-'DC pension'!Q14-'DC pension'!D14</f>
        <v>104984.29098273729</v>
      </c>
      <c r="C8" s="5">
        <f>'DB pension'!V15-'DC pension'!Q14-'DC pension'!D14</f>
        <v>129235.66869779896</v>
      </c>
      <c r="D8" s="5">
        <f>'DB pension'!W15-'DC pension'!Q14-'DC pension'!D14</f>
        <v>111645.46238753729</v>
      </c>
      <c r="E8" s="5">
        <f>'DB pension'!X15-'DC pension'!Q14-'DC pension'!D14</f>
        <v>117741.2353554321</v>
      </c>
      <c r="F8" s="5"/>
      <c r="G8">
        <f t="shared" si="1"/>
        <v>2023</v>
      </c>
      <c r="H8" s="5">
        <f>'DB pension'!$S15-'DC pension'!S14-'DC pension'!F14</f>
        <v>2958.6794927851561</v>
      </c>
      <c r="I8" s="5">
        <f>'DB pension'!$S15-'DC pension'!T14-'DC pension'!G14</f>
        <v>2966.5861422506091</v>
      </c>
      <c r="J8" s="5">
        <f>'DB pension'!$S15-'DC pension'!U14-'DC pension'!H14</f>
        <v>2958.6794927851561</v>
      </c>
      <c r="K8" s="5">
        <f>'DB pension'!$S15-'DC pension'!V14-'DC pension'!I14</f>
        <v>2961.6980412264006</v>
      </c>
    </row>
    <row r="9" spans="1:11">
      <c r="A9">
        <f t="shared" si="0"/>
        <v>2027</v>
      </c>
      <c r="B9" s="5">
        <f>'DB pension'!U16-'DC pension'!Q15-'DC pension'!D15</f>
        <v>128701.45862890809</v>
      </c>
      <c r="C9" s="5">
        <f>'DB pension'!V16-'DC pension'!Q15-'DC pension'!D15</f>
        <v>158371.60160965481</v>
      </c>
      <c r="D9" s="5">
        <f>'DB pension'!W16-'DC pension'!Q15-'DC pension'!D15</f>
        <v>136775.8534618041</v>
      </c>
      <c r="E9" s="5">
        <f>'DB pension'!X16-'DC pension'!Q15-'DC pension'!D15</f>
        <v>144259.72121521048</v>
      </c>
      <c r="F9" s="5"/>
      <c r="G9">
        <f t="shared" si="1"/>
        <v>2024</v>
      </c>
      <c r="H9" s="5">
        <f>'DB pension'!$S16-'DC pension'!S15-'DC pension'!F15</f>
        <v>3609.0342969994904</v>
      </c>
      <c r="I9" s="5">
        <f>'DB pension'!$S16-'DC pension'!T15-'DC pension'!G15</f>
        <v>3619.4425746821653</v>
      </c>
      <c r="J9" s="5">
        <f>'DB pension'!$S16-'DC pension'!U15-'DC pension'!H15</f>
        <v>3609.0342969994904</v>
      </c>
      <c r="K9" s="5">
        <f>'DB pension'!$S16-'DC pension'!V15-'DC pension'!I15</f>
        <v>3613.0079005482949</v>
      </c>
    </row>
    <row r="10" spans="1:11">
      <c r="A10">
        <f t="shared" si="0"/>
        <v>2028</v>
      </c>
      <c r="B10" s="5">
        <f>'DB pension'!U17-'DC pension'!Q16-'DC pension'!D16</f>
        <v>145480.80571005965</v>
      </c>
      <c r="C10" s="5">
        <f>'DB pension'!V17-'DC pension'!Q16-'DC pension'!D16</f>
        <v>180301.15090986408</v>
      </c>
      <c r="D10" s="5">
        <f>'DB pension'!W17-'DC pension'!Q16-'DC pension'!D16</f>
        <v>154996.68843961356</v>
      </c>
      <c r="E10" s="5">
        <f>'DB pension'!X17-'DC pension'!Q16-'DC pension'!D16</f>
        <v>162808.39277163893</v>
      </c>
      <c r="F10" s="5"/>
      <c r="G10">
        <f t="shared" si="1"/>
        <v>2025</v>
      </c>
      <c r="H10" s="5">
        <f>'DB pension'!$S17-'DC pension'!S16-'DC pension'!F16</f>
        <v>4275.2862487191096</v>
      </c>
      <c r="I10" s="5">
        <f>'DB pension'!$S17-'DC pension'!T16-'DC pension'!G16</f>
        <v>4289.6149228906834</v>
      </c>
      <c r="J10" s="5">
        <f>'DB pension'!$S17-'DC pension'!U16-'DC pension'!H16</f>
        <v>4275.2862487191096</v>
      </c>
      <c r="K10" s="5">
        <f>'DB pension'!$S17-'DC pension'!V16-'DC pension'!I16</f>
        <v>4280.2035891734449</v>
      </c>
    </row>
    <row r="11" spans="1:11">
      <c r="A11">
        <f t="shared" si="0"/>
        <v>2029</v>
      </c>
      <c r="B11" s="5">
        <f>'DB pension'!U18-'DC pension'!Q17-'DC pension'!D17</f>
        <v>169857.73770945382</v>
      </c>
      <c r="C11" s="5">
        <f>'DB pension'!V18-'DC pension'!Q17-'DC pension'!D17</f>
        <v>210431.30078724746</v>
      </c>
      <c r="D11" s="5">
        <f>'DB pension'!W18-'DC pension'!Q17-'DC pension'!D17</f>
        <v>180843.93809359882</v>
      </c>
      <c r="E11" s="5">
        <f>'DB pension'!X18-'DC pension'!Q17-'DC pension'!D17</f>
        <v>189977.81041350716</v>
      </c>
      <c r="F11" s="5"/>
      <c r="G11">
        <f t="shared" si="1"/>
        <v>2026</v>
      </c>
      <c r="H11" s="5">
        <f>'DB pension'!$S18-'DC pension'!S17-'DC pension'!F17</f>
        <v>4966.8240351622098</v>
      </c>
      <c r="I11" s="5">
        <f>'DB pension'!$S18-'DC pension'!T17-'DC pension'!G17</f>
        <v>4984.5414468013496</v>
      </c>
      <c r="J11" s="5">
        <f>'DB pension'!$S18-'DC pension'!U17-'DC pension'!H17</f>
        <v>4966.8240351622098</v>
      </c>
      <c r="K11" s="5">
        <f>'DB pension'!$S18-'DC pension'!V17-'DC pension'!I17</f>
        <v>4972.9043287020049</v>
      </c>
    </row>
    <row r="12" spans="1:11">
      <c r="A12">
        <f t="shared" si="0"/>
        <v>2030</v>
      </c>
      <c r="B12" s="5">
        <f>'DB pension'!U19-'DC pension'!Q18-'DC pension'!D18</f>
        <v>195230.21737385532</v>
      </c>
      <c r="C12" s="5">
        <f>'DB pension'!V19-'DC pension'!Q18-'DC pension'!D18</f>
        <v>241770.80022151774</v>
      </c>
      <c r="D12" s="5">
        <f>'DB pension'!W19-'DC pension'!Q18-'DC pension'!D18</f>
        <v>207716.14176568322</v>
      </c>
      <c r="E12" s="5">
        <f>'DB pension'!X19-'DC pension'!Q18-'DC pension'!D18</f>
        <v>218229.10655589929</v>
      </c>
      <c r="F12" s="5"/>
      <c r="G12">
        <f t="shared" si="1"/>
        <v>2027</v>
      </c>
      <c r="H12" s="5">
        <f>'DB pension'!$S19-'DC pension'!S18-'DC pension'!F18</f>
        <v>5680.3410879035846</v>
      </c>
      <c r="I12" s="5">
        <f>'DB pension'!$S19-'DC pension'!T18-'DC pension'!G18</f>
        <v>5701.7895872890012</v>
      </c>
      <c r="J12" s="5">
        <f>'DB pension'!$S19-'DC pension'!U18-'DC pension'!H18</f>
        <v>5680.3410879035846</v>
      </c>
      <c r="K12" s="5">
        <f>'DB pension'!$S19-'DC pension'!V18-'DC pension'!I18</f>
        <v>5687.7018229199439</v>
      </c>
    </row>
    <row r="13" spans="1:11">
      <c r="A13">
        <f t="shared" si="0"/>
        <v>2031</v>
      </c>
      <c r="B13" s="5">
        <f>'DB pension'!U20-'DC pension'!Q19-'DC pension'!D19</f>
        <v>221633.14835397247</v>
      </c>
      <c r="C13" s="5">
        <f>'DB pension'!V20-'DC pension'!Q19-'DC pension'!D19</f>
        <v>274361.3902596549</v>
      </c>
      <c r="D13" s="5">
        <f>'DB pension'!W20-'DC pension'!Q19-'DC pension'!D19</f>
        <v>235648.79123363693</v>
      </c>
      <c r="E13" s="5">
        <f>'DB pension'!X20-'DC pension'!Q19-'DC pension'!D19</f>
        <v>247599.70217952397</v>
      </c>
      <c r="F13" s="5"/>
      <c r="G13">
        <f t="shared" si="1"/>
        <v>2028</v>
      </c>
      <c r="H13" s="5">
        <f>'DB pension'!$S20-'DC pension'!S19-'DC pension'!F19</f>
        <v>6416.4679715200464</v>
      </c>
      <c r="I13" s="5">
        <f>'DB pension'!$S20-'DC pension'!T19-'DC pension'!G19</f>
        <v>6441.9923428842694</v>
      </c>
      <c r="J13" s="5">
        <f>'DB pension'!$S20-'DC pension'!U19-'DC pension'!H19</f>
        <v>6416.4679715200464</v>
      </c>
      <c r="K13" s="5">
        <f>'DB pension'!$S20-'DC pension'!V19-'DC pension'!I19</f>
        <v>6425.2274716927686</v>
      </c>
    </row>
    <row r="14" spans="1:11">
      <c r="A14">
        <f t="shared" si="0"/>
        <v>2032</v>
      </c>
      <c r="B14" s="5">
        <f>'DB pension'!U21-'DC pension'!Q20-'DC pension'!D20</f>
        <v>249102.52074024774</v>
      </c>
      <c r="C14" s="5">
        <f>'DB pension'!V21-'DC pension'!Q20-'DC pension'!D20</f>
        <v>308246.10117701185</v>
      </c>
      <c r="D14" s="5">
        <f>'DB pension'!W21-'DC pension'!Q20-'DC pension'!D20</f>
        <v>264678.47647750552</v>
      </c>
      <c r="E14" s="5">
        <f>'DB pension'!X21-'DC pension'!Q20-'DC pension'!D20</f>
        <v>278128.17543875834</v>
      </c>
      <c r="F14" s="5"/>
      <c r="G14">
        <f t="shared" si="1"/>
        <v>2029</v>
      </c>
      <c r="H14" s="5">
        <f>'DB pension'!$S21-'DC pension'!S20-'DC pension'!F20</f>
        <v>7175.8503914890052</v>
      </c>
      <c r="I14" s="5">
        <f>'DB pension'!$S21-'DC pension'!T20-'DC pension'!G20</f>
        <v>7205.7979075304856</v>
      </c>
      <c r="J14" s="5">
        <f>'DB pension'!$S21-'DC pension'!U20-'DC pension'!H20</f>
        <v>7175.8503914890052</v>
      </c>
      <c r="K14" s="5">
        <f>'DB pension'!$S21-'DC pension'!V20-'DC pension'!I20</f>
        <v>7186.1278344941502</v>
      </c>
    </row>
    <row r="15" spans="1:11">
      <c r="A15">
        <f t="shared" si="0"/>
        <v>2033</v>
      </c>
      <c r="B15" s="5">
        <f>'DB pension'!U22-'DC pension'!Q21-'DC pension'!D21</f>
        <v>277675.44275846769</v>
      </c>
      <c r="C15" s="5">
        <f>'DB pension'!V22-'DC pension'!Q21-'DC pension'!D21</f>
        <v>343469.28992322157</v>
      </c>
      <c r="D15" s="5">
        <f>'DB pension'!W22-'DC pension'!Q21-'DC pension'!D21</f>
        <v>294842.91761047061</v>
      </c>
      <c r="E15" s="5">
        <f>'DB pension'!X22-'DC pension'!Q21-'DC pension'!D21</f>
        <v>309854.29529504996</v>
      </c>
      <c r="F15" s="5"/>
      <c r="G15">
        <f t="shared" si="1"/>
        <v>2030</v>
      </c>
      <c r="H15" s="5">
        <f>'DB pension'!$S22-'DC pension'!S21-'DC pension'!F21</f>
        <v>7959.1495407822604</v>
      </c>
      <c r="I15" s="5">
        <f>'DB pension'!$S22-'DC pension'!T21-'DC pension'!G21</f>
        <v>7993.8700178812251</v>
      </c>
      <c r="J15" s="5">
        <f>'DB pension'!$S22-'DC pension'!U21-'DC pension'!H21</f>
        <v>7959.1495407822604</v>
      </c>
      <c r="K15" s="5">
        <f>'DB pension'!$S22-'DC pension'!V21-'DC pension'!I21</f>
        <v>7971.0649772412235</v>
      </c>
    </row>
    <row r="16" spans="1:11">
      <c r="A16">
        <f t="shared" si="0"/>
        <v>2034</v>
      </c>
      <c r="B16" s="5">
        <f>'DB pension'!U23-'DC pension'!Q22-'DC pension'!D22</f>
        <v>307390.17335402826</v>
      </c>
      <c r="C16" s="5">
        <f>'DB pension'!V23-'DC pension'!Q22-'DC pension'!D22</f>
        <v>380076.67861507693</v>
      </c>
      <c r="D16" s="5">
        <f>'DB pension'!W23-'DC pension'!Q22-'DC pension'!D22</f>
        <v>326180.99770307122</v>
      </c>
      <c r="E16" s="5">
        <f>'DB pension'!X23-'DC pension'!Q22-'DC pension'!D22</f>
        <v>342819.05609110236</v>
      </c>
      <c r="F16" s="5"/>
      <c r="G16">
        <f t="shared" si="1"/>
        <v>2031</v>
      </c>
      <c r="H16" s="5">
        <f>'DB pension'!$S23-'DC pension'!S22-'DC pension'!F22</f>
        <v>8767.0424540697932</v>
      </c>
      <c r="I16" s="5">
        <f>'DB pension'!$S23-'DC pension'!T22-'DC pension'!G22</f>
        <v>8806.8883082189823</v>
      </c>
      <c r="J16" s="5">
        <f>'DB pension'!$S23-'DC pension'!U22-'DC pension'!H22</f>
        <v>8767.0424540697932</v>
      </c>
      <c r="K16" s="5">
        <f>'DB pension'!$S23-'DC pension'!V22-'DC pension'!I22</f>
        <v>8780.716826743721</v>
      </c>
    </row>
    <row r="17" spans="1:11">
      <c r="A17">
        <f t="shared" si="0"/>
        <v>2035</v>
      </c>
      <c r="B17" s="5">
        <f>'DB pension'!U24-'DC pension'!Q23-'DC pension'!D23</f>
        <v>338286.15568912111</v>
      </c>
      <c r="C17" s="5">
        <f>'DB pension'!V24-'DC pension'!Q23-'DC pension'!D23</f>
        <v>418115.3941049173</v>
      </c>
      <c r="D17" s="5">
        <f>'DB pension'!W24-'DC pension'!Q23-'DC pension'!D23</f>
        <v>358732.79652514495</v>
      </c>
      <c r="E17" s="5">
        <f>'DB pension'!X24-'DC pension'!Q23-'DC pension'!D23</f>
        <v>377064.71309148945</v>
      </c>
      <c r="F17" s="5"/>
      <c r="G17">
        <f t="shared" si="1"/>
        <v>2032</v>
      </c>
      <c r="H17" s="5">
        <f>'DB pension'!$S24-'DC pension'!S23-'DC pension'!F23</f>
        <v>9600.2223696967285</v>
      </c>
      <c r="I17" s="5">
        <f>'DB pension'!$S24-'DC pension'!T23-'DC pension'!G23</f>
        <v>9645.5486731582932</v>
      </c>
      <c r="J17" s="5">
        <f>'DB pension'!$S24-'DC pension'!U23-'DC pension'!H23</f>
        <v>9600.2223696967285</v>
      </c>
      <c r="K17" s="5">
        <f>'DB pension'!$S24-'DC pension'!V23-'DC pension'!I23</f>
        <v>9615.7775329301294</v>
      </c>
    </row>
    <row r="18" spans="1:11">
      <c r="A18">
        <f t="shared" si="0"/>
        <v>2036</v>
      </c>
      <c r="B18" s="5">
        <f>'DB pension'!U25-'DC pension'!Q24-'DC pension'!D24</f>
        <v>370404.0515777535</v>
      </c>
      <c r="C18" s="5">
        <f>'DB pension'!V25-'DC pension'!Q24-'DC pension'!D24</f>
        <v>457634.00865381828</v>
      </c>
      <c r="D18" s="5">
        <f>'DB pension'!W25-'DC pension'!Q24-'DC pension'!D24</f>
        <v>392539.6252304978</v>
      </c>
      <c r="E18" s="5">
        <f>'DB pension'!X25-'DC pension'!Q24-'DC pension'!D24</f>
        <v>412634.81901603244</v>
      </c>
      <c r="F18" s="5"/>
      <c r="G18">
        <f t="shared" si="1"/>
        <v>2033</v>
      </c>
      <c r="H18" s="5">
        <f>'DB pension'!$S25-'DC pension'!S24-'DC pension'!F24</f>
        <v>10459.399099600007</v>
      </c>
      <c r="I18" s="5">
        <f>'DB pension'!$S25-'DC pension'!T24-'DC pension'!G24</f>
        <v>10510.563638300042</v>
      </c>
      <c r="J18" s="5">
        <f>'DB pension'!$S25-'DC pension'!U24-'DC pension'!H24</f>
        <v>10459.399099600007</v>
      </c>
      <c r="K18" s="5">
        <f>'DB pension'!$S25-'DC pension'!V24-'DC pension'!I24</f>
        <v>10476.957839017519</v>
      </c>
    </row>
    <row r="19" spans="1:11">
      <c r="A19">
        <f t="shared" si="0"/>
        <v>2037</v>
      </c>
      <c r="B19" s="5">
        <f>'DB pension'!U26-'DC pension'!Q25-'DC pension'!D25</f>
        <v>403785.77688418416</v>
      </c>
      <c r="C19" s="5">
        <f>'DB pension'!V26-'DC pension'!Q25-'DC pension'!D25</f>
        <v>498682.58173966676</v>
      </c>
      <c r="D19" s="5">
        <f>'DB pension'!W26-'DC pension'!Q25-'DC pension'!D25</f>
        <v>427644.06200998335</v>
      </c>
      <c r="E19" s="5">
        <f>'DB pension'!X26-'DC pension'!Q25-'DC pension'!D25</f>
        <v>449574.26159297978</v>
      </c>
      <c r="F19" s="5"/>
      <c r="G19">
        <f t="shared" si="1"/>
        <v>2034</v>
      </c>
      <c r="H19" s="5">
        <f>'DB pension'!$S26-'DC pension'!S25-'DC pension'!F25</f>
        <v>11345.299407334885</v>
      </c>
      <c r="I19" s="5">
        <f>'DB pension'!$S26-'DC pension'!T25-'DC pension'!G25</f>
        <v>11402.662739007203</v>
      </c>
      <c r="J19" s="5">
        <f>'DB pension'!$S26-'DC pension'!U25-'DC pension'!H25</f>
        <v>11345.299407334885</v>
      </c>
      <c r="K19" s="5">
        <f>'DB pension'!$S26-'DC pension'!V25-'DC pension'!I25</f>
        <v>11364.985459795158</v>
      </c>
    </row>
    <row r="20" spans="1:11">
      <c r="A20">
        <f t="shared" si="0"/>
        <v>2038</v>
      </c>
      <c r="B20" s="5">
        <f>'DB pension'!U27-'DC pension'!Q26-'DC pension'!D26</f>
        <v>438474.53791104013</v>
      </c>
      <c r="C20" s="5">
        <f>'DB pension'!V27-'DC pension'!Q26-'DC pension'!D26</f>
        <v>541312.70303100499</v>
      </c>
      <c r="D20" s="5">
        <f>'DB pension'!W27-'DC pension'!Q26-'DC pension'!D26</f>
        <v>464089.98873935529</v>
      </c>
      <c r="E20" s="5">
        <f>'DB pension'!X27-'DC pension'!Q26-'DC pension'!D26</f>
        <v>487929.30215974676</v>
      </c>
      <c r="F20" s="5"/>
      <c r="G20">
        <f t="shared" si="1"/>
        <v>2035</v>
      </c>
      <c r="H20" s="5">
        <f>'DB pension'!$S27-'DC pension'!S26-'DC pension'!F26</f>
        <v>12258.667394384913</v>
      </c>
      <c r="I20" s="5">
        <f>'DB pension'!$S27-'DC pension'!T26-'DC pension'!G26</f>
        <v>12322.592907475857</v>
      </c>
      <c r="J20" s="5">
        <f>'DB pension'!$S27-'DC pension'!U26-'DC pension'!H26</f>
        <v>12258.667394384913</v>
      </c>
      <c r="K20" s="5">
        <f>'DB pension'!$S27-'DC pension'!V26-'DC pension'!I26</f>
        <v>12280.605468195668</v>
      </c>
    </row>
    <row r="21" spans="1:11">
      <c r="A21">
        <f t="shared" si="0"/>
        <v>2039</v>
      </c>
      <c r="B21" s="5">
        <f>'DB pension'!U28-'DC pension'!Q27-'DC pension'!D27</f>
        <v>474514.86880408553</v>
      </c>
      <c r="C21" s="5">
        <f>'DB pension'!V28-'DC pension'!Q27-'DC pension'!D27</f>
        <v>585577.53655835765</v>
      </c>
      <c r="D21" s="5">
        <f>'DB pension'!W28-'DC pension'!Q27-'DC pension'!D27</f>
        <v>501922.62864896702</v>
      </c>
      <c r="E21" s="5">
        <f>'DB pension'!X28-'DC pension'!Q27-'DC pension'!D27</f>
        <v>527747.61533972353</v>
      </c>
      <c r="F21" s="5"/>
      <c r="G21">
        <f t="shared" si="1"/>
        <v>2036</v>
      </c>
      <c r="H21" s="5">
        <f>'DB pension'!$S28-'DC pension'!S27-'DC pension'!F27</f>
        <v>13200.264894932685</v>
      </c>
      <c r="I21" s="5">
        <f>'DB pension'!$S28-'DC pension'!T27-'DC pension'!G27</f>
        <v>13271.118868278962</v>
      </c>
      <c r="J21" s="5">
        <f>'DB pension'!$S28-'DC pension'!U27-'DC pension'!H27</f>
        <v>13200.264894932685</v>
      </c>
      <c r="K21" s="5">
        <f>'DB pension'!$S28-'DC pension'!V27-'DC pension'!I27</f>
        <v>13224.580690331066</v>
      </c>
    </row>
    <row r="22" spans="1:11">
      <c r="A22">
        <f t="shared" si="0"/>
        <v>2040</v>
      </c>
      <c r="B22" s="5">
        <f>'DB pension'!U29-'DC pension'!Q28-'DC pension'!D28</f>
        <v>511952.67000133242</v>
      </c>
      <c r="C22" s="5">
        <f>'DB pension'!V29-'DC pension'!Q28-'DC pension'!D28</f>
        <v>631531.86611559684</v>
      </c>
      <c r="D22" s="5">
        <f>'DB pension'!W29-'DC pension'!Q28-'DC pension'!D28</f>
        <v>541188.58504311147</v>
      </c>
      <c r="E22" s="5">
        <f>'DB pension'!X29-'DC pension'!Q28-'DC pension'!D28</f>
        <v>569078.32982441329</v>
      </c>
      <c r="F22" s="5"/>
      <c r="G22">
        <f t="shared" si="1"/>
        <v>2037</v>
      </c>
      <c r="H22" s="5">
        <f>'DB pension'!$S29-'DC pension'!S28-'DC pension'!F28</f>
        <v>14170.871879272476</v>
      </c>
      <c r="I22" s="5">
        <f>'DB pension'!$S29-'DC pension'!T28-'DC pension'!G28</f>
        <v>14249.023542564113</v>
      </c>
      <c r="J22" s="5">
        <f>'DB pension'!$S29-'DC pension'!U28-'DC pension'!H28</f>
        <v>14170.871879272476</v>
      </c>
      <c r="K22" s="5">
        <f>'DB pension'!$S29-'DC pension'!V28-'DC pension'!I28</f>
        <v>14197.692109174834</v>
      </c>
    </row>
    <row r="23" spans="1:11">
      <c r="A23">
        <f t="shared" si="0"/>
        <v>2041</v>
      </c>
      <c r="B23" s="5">
        <f>'DB pension'!U30-'DC pension'!Q29-'DC pension'!D29</f>
        <v>550835.24775492586</v>
      </c>
      <c r="C23" s="5">
        <f>'DB pension'!V30-'DC pension'!Q29-'DC pension'!D29</f>
        <v>679232.14192477812</v>
      </c>
      <c r="D23" s="5">
        <f>'DB pension'!W30-'DC pension'!Q29-'DC pension'!D29</f>
        <v>581935.88109754049</v>
      </c>
      <c r="E23" s="5">
        <f>'DB pension'!X30-'DC pension'!Q29-'DC pension'!D29</f>
        <v>611972.07029095094</v>
      </c>
      <c r="F23" s="5"/>
      <c r="G23">
        <f t="shared" si="1"/>
        <v>2038</v>
      </c>
      <c r="H23" s="5">
        <f>'DB pension'!$S30-'DC pension'!S29-'DC pension'!F29</f>
        <v>15171.286866049551</v>
      </c>
      <c r="I23" s="5">
        <f>'DB pension'!$S30-'DC pension'!T29-'DC pension'!G29</f>
        <v>15257.10846109034</v>
      </c>
      <c r="J23" s="5">
        <f>'DB pension'!$S30-'DC pension'!U29-'DC pension'!H29</f>
        <v>15171.286866049551</v>
      </c>
      <c r="K23" s="5">
        <f>'DB pension'!$S30-'DC pension'!V29-'DC pension'!I29</f>
        <v>15200.739277074912</v>
      </c>
    </row>
    <row r="24" spans="1:11">
      <c r="A24">
        <f t="shared" si="0"/>
        <v>2042</v>
      </c>
      <c r="B24" s="5">
        <f>'DB pension'!U31-'DC pension'!Q30-'DC pension'!D30</f>
        <v>591211.35475499567</v>
      </c>
      <c r="C24" s="5">
        <f>'DB pension'!V31-'DC pension'!Q30-'DC pension'!D30</f>
        <v>728736.52859876538</v>
      </c>
      <c r="D24" s="5">
        <f>'DB pension'!W31-'DC pension'!Q30-'DC pension'!D30</f>
        <v>624214.00076446263</v>
      </c>
      <c r="E24" s="5">
        <f>'DB pension'!X31-'DC pension'!Q30-'DC pension'!D30</f>
        <v>656481.0004858512</v>
      </c>
      <c r="F24" s="5"/>
      <c r="G24">
        <f t="shared" si="1"/>
        <v>2039</v>
      </c>
      <c r="H24" s="5">
        <f>'DB pension'!$S31-'DC pension'!S30-'DC pension'!F30</f>
        <v>16202.327343514959</v>
      </c>
      <c r="I24" s="5">
        <f>'DB pension'!$S31-'DC pension'!T30-'DC pension'!G30</f>
        <v>16296.194186292854</v>
      </c>
      <c r="J24" s="5">
        <f>'DB pension'!$S31-'DC pension'!U30-'DC pension'!H30</f>
        <v>16202.327343514959</v>
      </c>
      <c r="K24" s="5">
        <f>'DB pension'!$S31-'DC pension'!V30-'DC pension'!I30</f>
        <v>16234.540737286463</v>
      </c>
    </row>
    <row r="25" spans="1:11">
      <c r="A25">
        <f t="shared" si="0"/>
        <v>2043</v>
      </c>
      <c r="B25" s="5">
        <f>'DB pension'!U32-'DC pension'!Q31-'DC pension'!D31</f>
        <v>633131.23188544798</v>
      </c>
      <c r="C25" s="5">
        <f>'DB pension'!V32-'DC pension'!Q31-'DC pension'!D31</f>
        <v>780104.95443688473</v>
      </c>
      <c r="D25" s="5">
        <f>'DB pension'!W32-'DC pension'!Q31-'DC pension'!D31</f>
        <v>668073.93081510428</v>
      </c>
      <c r="E25" s="5">
        <f>'DB pension'!X32-'DC pension'!Q31-'DC pension'!D31</f>
        <v>702658.86750666122</v>
      </c>
      <c r="F25" s="5"/>
      <c r="G25">
        <f t="shared" si="1"/>
        <v>2040</v>
      </c>
      <c r="H25" s="5">
        <f>'DB pension'!$S32-'DC pension'!S31-'DC pension'!F31</f>
        <v>17264.830199988486</v>
      </c>
      <c r="I25" s="5">
        <f>'DB pension'!$S32-'DC pension'!T31-'DC pension'!G31</f>
        <v>17367.120743568659</v>
      </c>
      <c r="J25" s="5">
        <f>'DB pension'!$S32-'DC pension'!U31-'DC pension'!H31</f>
        <v>17264.830199988486</v>
      </c>
      <c r="K25" s="5">
        <f>'DB pension'!$S32-'DC pension'!V31-'DC pension'!I31</f>
        <v>17299.934454717135</v>
      </c>
    </row>
    <row r="26" spans="1:11">
      <c r="A26">
        <f t="shared" si="0"/>
        <v>2044</v>
      </c>
      <c r="B26" s="5">
        <f>'DB pension'!U33-'DC pension'!Q32-'DC pension'!D32</f>
        <v>676646.65114246984</v>
      </c>
      <c r="C26" s="5">
        <f>'DB pension'!V33-'DC pension'!Q32-'DC pension'!D32</f>
        <v>833399.16208978556</v>
      </c>
      <c r="D26" s="5">
        <f>'DB pension'!W33-'DC pension'!Q32-'DC pension'!D32</f>
        <v>713568.20405071927</v>
      </c>
      <c r="E26" s="5">
        <f>'DB pension'!X33-'DC pension'!Q32-'DC pension'!D32</f>
        <v>750561.0473140385</v>
      </c>
      <c r="F26" s="5"/>
      <c r="G26">
        <f t="shared" si="1"/>
        <v>2041</v>
      </c>
      <c r="H26" s="5">
        <f>'DB pension'!$S33-'DC pension'!S32-'DC pension'!F32</f>
        <v>18359.652163726583</v>
      </c>
      <c r="I26" s="5">
        <f>'DB pension'!$S33-'DC pension'!T32-'DC pension'!G32</f>
        <v>18470.748061979983</v>
      </c>
      <c r="J26" s="5">
        <f>'DB pension'!$S33-'DC pension'!U32-'DC pension'!H32</f>
        <v>18359.652163726583</v>
      </c>
      <c r="K26" s="5">
        <f>'DB pension'!$S33-'DC pension'!V32-'DC pension'!I32</f>
        <v>18397.778256081729</v>
      </c>
    </row>
    <row r="27" spans="1:11">
      <c r="A27">
        <f t="shared" si="0"/>
        <v>2045</v>
      </c>
      <c r="B27" s="5">
        <f>'DB pension'!U34-'DC pension'!Q33-'DC pension'!D33</f>
        <v>721810.95974734065</v>
      </c>
      <c r="C27" s="5">
        <f>'DB pension'!V34-'DC pension'!Q33-'DC pension'!D33</f>
        <v>888682.76063065103</v>
      </c>
      <c r="D27" s="5">
        <f>'DB pension'!W34-'DC pension'!Q33-'DC pension'!D33</f>
        <v>760750.94371375511</v>
      </c>
      <c r="E27" s="5">
        <f>'DB pension'!X34-'DC pension'!Q33-'DC pension'!D33</f>
        <v>800244.59150763764</v>
      </c>
      <c r="F27" s="5"/>
      <c r="G27">
        <f t="shared" si="1"/>
        <v>2042</v>
      </c>
      <c r="H27" s="5">
        <f>'DB pension'!$S34-'DC pension'!S33-'DC pension'!F33</f>
        <v>19487.670252396121</v>
      </c>
      <c r="I27" s="5">
        <f>'DB pension'!$S34-'DC pension'!T33-'DC pension'!G33</f>
        <v>19607.956424576623</v>
      </c>
      <c r="J27" s="5">
        <f>'DB pension'!$S34-'DC pension'!U33-'DC pension'!H33</f>
        <v>19487.670252396121</v>
      </c>
      <c r="K27" s="5">
        <f>'DB pension'!$S34-'DC pension'!V33-'DC pension'!I33</f>
        <v>19528.950279667155</v>
      </c>
    </row>
    <row r="28" spans="1:11">
      <c r="A28">
        <f t="shared" si="0"/>
        <v>2046</v>
      </c>
      <c r="B28" s="5">
        <f>'DB pension'!U35-'DC pension'!Q34-'DC pension'!D34</f>
        <v>742102.4883932987</v>
      </c>
      <c r="C28" s="5">
        <f>'DB pension'!V35-'DC pension'!Q34-'DC pension'!D34</f>
        <v>909634.43805911811</v>
      </c>
      <c r="D28" s="5">
        <f>'DB pension'!W35-'DC pension'!Q34-'DC pension'!D34</f>
        <v>783101.27203904139</v>
      </c>
      <c r="E28" s="5">
        <f>'DB pension'!X35-'DC pension'!Q34-'DC pension'!D34</f>
        <v>817222.65689122479</v>
      </c>
      <c r="F28" s="5"/>
      <c r="G28">
        <f t="shared" si="1"/>
        <v>2043</v>
      </c>
      <c r="H28" s="5">
        <f>'DB pension'!$S35-'DC pension'!S34-'DC pension'!F34</f>
        <v>20619.149539495083</v>
      </c>
      <c r="I28" s="5">
        <f>'DB pension'!$S35-'DC pension'!T34-'DC pension'!G34</f>
        <v>20748.830166240867</v>
      </c>
      <c r="J28" s="5">
        <f>'DB pension'!$S35-'DC pension'!U34-'DC pension'!H34</f>
        <v>20619.149539495083</v>
      </c>
      <c r="K28" s="5">
        <f>'DB pension'!$S35-'DC pension'!V34-'DC pension'!I34</f>
        <v>20658.111880266239</v>
      </c>
    </row>
    <row r="29" spans="1:11">
      <c r="A29">
        <f t="shared" si="0"/>
        <v>2047</v>
      </c>
      <c r="B29" s="5">
        <f>'DB pension'!U36-'DC pension'!Q35-'DC pension'!D35</f>
        <v>789029.0069635699</v>
      </c>
      <c r="C29" s="5">
        <f>'DB pension'!V36-'DC pension'!Q35-'DC pension'!D35</f>
        <v>966764.93236290081</v>
      </c>
      <c r="D29" s="5">
        <f>'DB pension'!W36-'DC pension'!Q35-'DC pension'!D35</f>
        <v>832127.76628222747</v>
      </c>
      <c r="E29" s="5">
        <f>'DB pension'!X36-'DC pension'!Q35-'DC pension'!D35</f>
        <v>868434.50469511969</v>
      </c>
      <c r="F29" s="5"/>
      <c r="G29">
        <f t="shared" si="1"/>
        <v>2044</v>
      </c>
      <c r="H29" s="5">
        <f>'DB pension'!$S36-'DC pension'!S35-'DC pension'!F35</f>
        <v>21813.922615133753</v>
      </c>
      <c r="I29" s="5">
        <f>'DB pension'!$S36-'DC pension'!T35-'DC pension'!G35</f>
        <v>21953.559281433707</v>
      </c>
      <c r="J29" s="5">
        <f>'DB pension'!$S36-'DC pension'!U35-'DC pension'!H35</f>
        <v>21813.922615133753</v>
      </c>
      <c r="K29" s="5">
        <f>'DB pension'!$S36-'DC pension'!V35-'DC pension'!I35</f>
        <v>21855.876232362887</v>
      </c>
    </row>
    <row r="30" spans="1:11">
      <c r="A30">
        <f t="shared" si="0"/>
        <v>2048</v>
      </c>
      <c r="B30" s="5">
        <f>'DB pension'!U37-'DC pension'!Q36-'DC pension'!D36</f>
        <v>837709.82474679244</v>
      </c>
      <c r="C30" s="5">
        <f>'DB pension'!V37-'DC pension'!Q36-'DC pension'!D36</f>
        <v>1025999.0184054847</v>
      </c>
      <c r="D30" s="5">
        <f>'DB pension'!W37-'DC pension'!Q36-'DC pension'!D36</f>
        <v>882950.55925182311</v>
      </c>
      <c r="E30" s="5">
        <f>'DB pension'!X37-'DC pension'!Q36-'DC pension'!D36</f>
        <v>921525.51695516147</v>
      </c>
      <c r="F30" s="5"/>
      <c r="G30">
        <f t="shared" si="1"/>
        <v>2045</v>
      </c>
      <c r="H30" s="5">
        <f>'DB pension'!$S37-'DC pension'!S36-'DC pension'!F36</f>
        <v>23044.556048783976</v>
      </c>
      <c r="I30" s="5">
        <f>'DB pension'!$S37-'DC pension'!T36-'DC pension'!G36</f>
        <v>23194.543306160525</v>
      </c>
      <c r="J30" s="5">
        <f>'DB pension'!$S37-'DC pension'!U36-'DC pension'!H36</f>
        <v>23044.556048783976</v>
      </c>
      <c r="K30" s="5">
        <f>'DB pension'!$S37-'DC pension'!V36-'DC pension'!I36</f>
        <v>23089.61948485675</v>
      </c>
    </row>
    <row r="31" spans="1:11">
      <c r="A31">
        <f t="shared" si="0"/>
        <v>2049</v>
      </c>
      <c r="B31" s="5">
        <f>'DB pension'!U38-'DC pension'!Q37-'DC pension'!D37</f>
        <v>888202.97605798382</v>
      </c>
      <c r="C31" s="5">
        <f>'DB pension'!V38-'DC pension'!Q37-'DC pension'!D37</f>
        <v>1087405.4733922051</v>
      </c>
      <c r="D31" s="5">
        <f>'DB pension'!W38-'DC pension'!Q37-'DC pension'!D37</f>
        <v>935628.52525311522</v>
      </c>
      <c r="E31" s="5">
        <f>'DB pension'!X38-'DC pension'!Q37-'DC pension'!D37</f>
        <v>976557.23842798383</v>
      </c>
      <c r="F31" s="5"/>
      <c r="G31">
        <f t="shared" si="1"/>
        <v>2046</v>
      </c>
      <c r="H31" s="5">
        <f>'DB pension'!$S38-'DC pension'!S37-'DC pension'!F37</f>
        <v>24312.011876640951</v>
      </c>
      <c r="I31" s="5">
        <f>'DB pension'!$S38-'DC pension'!T37-'DC pension'!G37</f>
        <v>24472.747804054812</v>
      </c>
      <c r="J31" s="5">
        <f>'DB pension'!$S38-'DC pension'!U37-'DC pension'!H37</f>
        <v>24312.011876640951</v>
      </c>
      <c r="K31" s="5">
        <f>'DB pension'!$S38-'DC pension'!V37-'DC pension'!I37</f>
        <v>24360.304733756326</v>
      </c>
    </row>
    <row r="32" spans="1:11">
      <c r="A32">
        <f t="shared" si="0"/>
        <v>2050</v>
      </c>
      <c r="B32" s="5">
        <f>'DB pension'!U39-'DC pension'!Q38-'DC pension'!D38</f>
        <v>940568.24817905424</v>
      </c>
      <c r="C32" s="5">
        <f>'DB pension'!V39-'DC pension'!Q38-'DC pension'!D38</f>
        <v>1151055.1390198281</v>
      </c>
      <c r="D32" s="5">
        <f>'DB pension'!W39-'DC pension'!Q38-'DC pension'!D38</f>
        <v>990222.30835808825</v>
      </c>
      <c r="E32" s="5">
        <f>'DB pension'!X39-'DC pension'!Q38-'DC pension'!D38</f>
        <v>1033593.0631134423</v>
      </c>
      <c r="F32" s="5"/>
      <c r="G32">
        <f t="shared" si="1"/>
        <v>2047</v>
      </c>
      <c r="H32" s="5">
        <f>'DB pension'!$S39-'DC pension'!S38-'DC pension'!F38</f>
        <v>25617.27480681803</v>
      </c>
      <c r="I32" s="5">
        <f>'DB pension'!$S39-'DC pension'!T38-'DC pension'!G38</f>
        <v>25789.161079593076</v>
      </c>
      <c r="J32" s="5">
        <f>'DB pension'!$S39-'DC pension'!U38-'DC pension'!H38</f>
        <v>25617.27480681803</v>
      </c>
      <c r="K32" s="5">
        <f>'DB pension'!$S39-'DC pension'!V38-'DC pension'!I38</f>
        <v>25668.917767696632</v>
      </c>
    </row>
    <row r="33" spans="1:11">
      <c r="A33">
        <f t="shared" si="0"/>
        <v>2051</v>
      </c>
      <c r="B33" s="5">
        <f>'DB pension'!U40-'DC pension'!Q39-'DC pension'!D39</f>
        <v>994867.23159167438</v>
      </c>
      <c r="C33" s="5">
        <f>'DB pension'!V40-'DC pension'!Q39-'DC pension'!D39</f>
        <v>1217020.9804160981</v>
      </c>
      <c r="D33" s="5">
        <f>'DB pension'!W40-'DC pension'!Q39-'DC pension'!D39</f>
        <v>1046794.372974289</v>
      </c>
      <c r="E33" s="5">
        <f>'DB pension'!X40-'DC pension'!Q39-'DC pension'!D39</f>
        <v>1092698.2870807447</v>
      </c>
      <c r="F33" s="5"/>
      <c r="G33">
        <f t="shared" si="1"/>
        <v>2048</v>
      </c>
      <c r="H33" s="5">
        <f>'DB pension'!$S40-'DC pension'!S39-'DC pension'!F39</f>
        <v>26961.352730697756</v>
      </c>
      <c r="I33" s="5">
        <f>'DB pension'!$S40-'DC pension'!T39-'DC pension'!G39</f>
        <v>27144.794690375602</v>
      </c>
      <c r="J33" s="5">
        <f>'DB pension'!$S40-'DC pension'!U39-'DC pension'!H39</f>
        <v>26961.352730697756</v>
      </c>
      <c r="K33" s="5">
        <f>'DB pension'!$S40-'DC pension'!V39-'DC pension'!I39</f>
        <v>27016.467579569577</v>
      </c>
    </row>
    <row r="34" spans="1:11">
      <c r="A34">
        <f t="shared" si="0"/>
        <v>2052</v>
      </c>
      <c r="B34" s="5">
        <f>'DB pension'!U41-'DC pension'!Q40-'DC pension'!D40</f>
        <v>1051163.3716020964</v>
      </c>
      <c r="C34" s="5">
        <f>'DB pension'!V41-'DC pension'!Q40-'DC pension'!D40</f>
        <v>1285378.1467085797</v>
      </c>
      <c r="D34" s="5">
        <f>'DB pension'!W41-'DC pension'!Q40-'DC pension'!D40</f>
        <v>1105409.0558123633</v>
      </c>
      <c r="E34" s="5">
        <f>'DB pension'!X41-'DC pension'!Q40-'DC pension'!D40</f>
        <v>1153940.1627554474</v>
      </c>
      <c r="F34" s="5"/>
      <c r="G34">
        <f t="shared" si="1"/>
        <v>2049</v>
      </c>
      <c r="H34" s="5">
        <f>'DB pension'!$S41-'DC pension'!S40-'DC pension'!F40</f>
        <v>28345.277245414916</v>
      </c>
      <c r="I34" s="5">
        <f>'DB pension'!$S41-'DC pension'!T40-'DC pension'!G40</f>
        <v>28540.683970553666</v>
      </c>
      <c r="J34" s="5">
        <f>'DB pension'!$S41-'DC pension'!U40-'DC pension'!H40</f>
        <v>28345.277245414916</v>
      </c>
      <c r="K34" s="5">
        <f>'DB pension'!$S41-'DC pension'!V40-'DC pension'!I40</f>
        <v>28403.986889290685</v>
      </c>
    </row>
    <row r="35" spans="1:11">
      <c r="A35">
        <f t="shared" si="0"/>
        <v>2053</v>
      </c>
      <c r="B35" s="5">
        <f>'DB pension'!U42-'DC pension'!Q41-'DC pension'!D41</f>
        <v>1109522.0213956255</v>
      </c>
      <c r="C35" s="5">
        <f>'DB pension'!V42-'DC pension'!Q41-'DC pension'!D41</f>
        <v>1356204.0332668363</v>
      </c>
      <c r="D35" s="5">
        <f>'DB pension'!W42-'DC pension'!Q41-'DC pension'!D41</f>
        <v>1166132.6192900978</v>
      </c>
      <c r="E35" s="5">
        <f>'DB pension'!X42-'DC pension'!Q41-'DC pension'!D41</f>
        <v>1217387.9547068207</v>
      </c>
      <c r="F35" s="5"/>
      <c r="G35">
        <f t="shared" si="1"/>
        <v>2050</v>
      </c>
      <c r="H35" s="5">
        <f>'DB pension'!$S42-'DC pension'!S41-'DC pension'!F41</f>
        <v>29770.104187708832</v>
      </c>
      <c r="I35" s="5">
        <f>'DB pension'!$S42-'DC pension'!T41-'DC pension'!G41</f>
        <v>29977.888565640667</v>
      </c>
      <c r="J35" s="5">
        <f>'DB pension'!$S42-'DC pension'!U41-'DC pension'!H41</f>
        <v>29770.104187708832</v>
      </c>
      <c r="K35" s="5">
        <f>'DB pension'!$S42-'DC pension'!V41-'DC pension'!I41</f>
        <v>29832.532677939475</v>
      </c>
    </row>
    <row r="36" spans="1:11">
      <c r="A36" s="6">
        <f t="shared" si="0"/>
        <v>2054</v>
      </c>
      <c r="B36" s="5">
        <f>'DB pension'!U43-'DC pension'!Q42-'DC pension'!D42</f>
        <v>1169926.1667699974</v>
      </c>
      <c r="C36" s="5">
        <f>'DB pension'!V43-'DC pension'!Q42-'DC pension'!D42</f>
        <v>1429477.1499158421</v>
      </c>
      <c r="D36" s="5">
        <f>'DB pension'!W43-'DC pension'!Q42-'DC pension'!D42</f>
        <v>1228932.1106644697</v>
      </c>
      <c r="E36" s="5">
        <f>'DB pension'!X43-'DC pension'!Q42-'DC pension'!D42</f>
        <v>1283011.8012288117</v>
      </c>
      <c r="F36" s="5"/>
      <c r="G36" s="16">
        <f t="shared" si="1"/>
        <v>2051</v>
      </c>
      <c r="H36" s="5">
        <f>'DB pension'!$S43-'DC pension'!S42-'DC pension'!F42</f>
        <v>31234.66274454656</v>
      </c>
      <c r="I36" s="5">
        <f>'DB pension'!$S43-'DC pension'!T42-'DC pension'!G42</f>
        <v>31455.557410714511</v>
      </c>
      <c r="J36" s="5">
        <f>'DB pension'!$S43-'DC pension'!U42-'DC pension'!H42</f>
        <v>31234.66274454656</v>
      </c>
      <c r="K36" s="5">
        <f>'DB pension'!$S43-'DC pension'!V42-'DC pension'!I42</f>
        <v>31301.030200301055</v>
      </c>
    </row>
    <row r="37" spans="1:11">
      <c r="A37" s="6">
        <f t="shared" si="0"/>
        <v>2055</v>
      </c>
      <c r="B37" s="5">
        <f>'DB pension'!U44-'DC pension'!Q43-'DC pension'!D43</f>
        <v>1232288.1660090438</v>
      </c>
      <c r="C37" s="5">
        <f>'DB pension'!V44-'DC pension'!Q43-'DC pension'!D43</f>
        <v>1505091.2241389991</v>
      </c>
      <c r="D37" s="5">
        <f>'DB pension'!W44-'DC pension'!Q43-'DC pension'!D43</f>
        <v>1293689.4559035162</v>
      </c>
      <c r="E37" s="5">
        <f>'DB pension'!X44-'DC pension'!Q43-'DC pension'!D43</f>
        <v>1350696.8107281828</v>
      </c>
      <c r="F37" s="5"/>
      <c r="G37" s="16">
        <f t="shared" si="1"/>
        <v>2052</v>
      </c>
      <c r="H37" s="5">
        <f>'DB pension'!$S44-'DC pension'!S43-'DC pension'!F43</f>
        <v>32735.922399345665</v>
      </c>
      <c r="I37" s="5">
        <f>'DB pension'!$S44-'DC pension'!T43-'DC pension'!G43</f>
        <v>32971.244274845361</v>
      </c>
      <c r="J37" s="5">
        <f>'DB pension'!$S44-'DC pension'!U43-'DC pension'!H43</f>
        <v>32735.922399345665</v>
      </c>
      <c r="K37" s="5">
        <f>'DB pension'!$S44-'DC pension'!V43-'DC pension'!I43</f>
        <v>32806.624487500281</v>
      </c>
    </row>
    <row r="38" spans="1:11">
      <c r="A38" s="6">
        <f t="shared" si="0"/>
        <v>2056</v>
      </c>
      <c r="B38" s="5">
        <f>'DB pension'!U45-'DC pension'!Q44-'DC pension'!D44</f>
        <v>1296674.3634158429</v>
      </c>
      <c r="C38" s="5">
        <f>'DB pension'!V45-'DC pension'!Q44-'DC pension'!D44</f>
        <v>1583124.7502897664</v>
      </c>
      <c r="D38" s="5">
        <f>'DB pension'!W45-'DC pension'!Q44-'DC pension'!D44</f>
        <v>1360470.9993103151</v>
      </c>
      <c r="E38" s="5">
        <f>'DB pension'!X45-'DC pension'!Q44-'DC pension'!D44</f>
        <v>1420512.6039339327</v>
      </c>
      <c r="F38" s="5"/>
      <c r="G38" s="16">
        <f t="shared" si="1"/>
        <v>2053</v>
      </c>
      <c r="H38" s="5">
        <f>'DB pension'!$S45-'DC pension'!S44-'DC pension'!F44</f>
        <v>34274.976634973566</v>
      </c>
      <c r="I38" s="5">
        <f>'DB pension'!$S45-'DC pension'!T44-'DC pension'!G44</f>
        <v>34526.052057244364</v>
      </c>
      <c r="J38" s="5">
        <f>'DB pension'!$S45-'DC pension'!U44-'DC pension'!H44</f>
        <v>34274.976634973566</v>
      </c>
      <c r="K38" s="5">
        <f>'DB pension'!$S45-'DC pension'!V44-'DC pension'!I44</f>
        <v>34350.411851530262</v>
      </c>
    </row>
    <row r="39" spans="1:11">
      <c r="A39" s="6">
        <f t="shared" si="0"/>
        <v>2057</v>
      </c>
      <c r="B39" s="5">
        <f>'DB pension'!U46-'DC pension'!Q45-'DC pension'!D45</f>
        <v>1363153.1369223399</v>
      </c>
      <c r="C39" s="5">
        <f>'DB pension'!V46-'DC pension'!Q45-'DC pension'!D45</f>
        <v>1663658.614736561</v>
      </c>
      <c r="D39" s="5">
        <f>'DB pension'!W46-'DC pension'!Q45-'DC pension'!D45</f>
        <v>1429345.1188168123</v>
      </c>
      <c r="E39" s="5">
        <f>'DB pension'!X46-'DC pension'!Q45-'DC pension'!D45</f>
        <v>1492530.9318476</v>
      </c>
      <c r="F39" s="5"/>
      <c r="G39" s="6">
        <f t="shared" si="1"/>
        <v>2054</v>
      </c>
      <c r="H39" s="5">
        <f>'DB pension'!$S46-'DC pension'!S45-'DC pension'!F45</f>
        <v>35852.944470726856</v>
      </c>
      <c r="I39" s="5">
        <f>'DB pension'!$S46-'DC pension'!T45-'DC pension'!G45</f>
        <v>36121.10940358619</v>
      </c>
      <c r="J39" s="5">
        <f>'DB pension'!$S46-'DC pension'!U45-'DC pension'!H45</f>
        <v>35852.944470726856</v>
      </c>
      <c r="K39" s="5">
        <f>'DB pension'!$S46-'DC pension'!V45-'DC pension'!I45</f>
        <v>35933.514203917774</v>
      </c>
    </row>
    <row r="40" spans="1:11">
      <c r="A40" s="6">
        <f t="shared" si="0"/>
        <v>2058</v>
      </c>
      <c r="B40" s="5">
        <f>'DB pension'!U47-'DC pension'!Q46-'DC pension'!D46</f>
        <v>1431794.9568622764</v>
      </c>
      <c r="C40" s="5">
        <f>'DB pension'!V47-'DC pension'!Q46-'DC pension'!D46</f>
        <v>1746776.1647572643</v>
      </c>
      <c r="D40" s="5">
        <f>'DB pension'!W47-'DC pension'!Q46-'DC pension'!D46</f>
        <v>1500382.2847567487</v>
      </c>
      <c r="E40" s="5">
        <f>'DB pension'!X47-'DC pension'!Q46-'DC pension'!D46</f>
        <v>1566825.7372456104</v>
      </c>
      <c r="F40" s="5"/>
      <c r="G40" s="6">
        <f t="shared" si="1"/>
        <v>2055</v>
      </c>
      <c r="H40" s="5">
        <f>'DB pension'!$S47-'DC pension'!S46-'DC pension'!F46</f>
        <v>37470.971044791557</v>
      </c>
      <c r="I40" s="5">
        <f>'DB pension'!$S47-'DC pension'!T46-'DC pension'!G46</f>
        <v>37757.571291184657</v>
      </c>
      <c r="J40" s="5">
        <f>'DB pension'!$S47-'DC pension'!U46-'DC pension'!H46</f>
        <v>37470.971044791557</v>
      </c>
      <c r="K40" s="5">
        <f>'DB pension'!$S47-'DC pension'!V46-'DC pension'!I46</f>
        <v>37557.079638999348</v>
      </c>
    </row>
    <row r="41" spans="1:11">
      <c r="A41" s="6">
        <f t="shared" si="0"/>
        <v>2059</v>
      </c>
      <c r="B41" s="5">
        <f>'DB pension'!U48-'DC pension'!Q47-'DC pension'!D47</f>
        <v>1502672.446381354</v>
      </c>
      <c r="C41" s="5">
        <f>'DB pension'!V48-'DC pension'!Q47-'DC pension'!D47</f>
        <v>1832563.2793487599</v>
      </c>
      <c r="D41" s="5">
        <f>'DB pension'!W48-'DC pension'!Q47-'DC pension'!D47</f>
        <v>1573655.1202758262</v>
      </c>
      <c r="E41" s="5">
        <f>'DB pension'!X48-'DC pension'!Q47-'DC pension'!D47</f>
        <v>1643473.2178937746</v>
      </c>
      <c r="F41" s="5"/>
      <c r="G41" s="6">
        <f t="shared" si="1"/>
        <v>2056</v>
      </c>
      <c r="H41" s="5">
        <f>'DB pension'!$S48-'DC pension'!S47-'DC pension'!F47</f>
        <v>39130.228209412147</v>
      </c>
      <c r="I41" s="5">
        <f>'DB pension'!$S48-'DC pension'!T47-'DC pension'!G47</f>
        <v>39436.619626919855</v>
      </c>
      <c r="J41" s="5">
        <f>'DB pension'!$S48-'DC pension'!U47-'DC pension'!H47</f>
        <v>39130.228209412147</v>
      </c>
      <c r="K41" s="5">
        <f>'DB pension'!$S48-'DC pension'!V47-'DC pension'!I47</f>
        <v>39222.283029918952</v>
      </c>
    </row>
    <row r="42" spans="1:11">
      <c r="A42" s="6">
        <f t="shared" si="0"/>
        <v>2060</v>
      </c>
      <c r="B42" s="5">
        <f>'DB pension'!U49-'DC pension'!Q48-'DC pension'!D48</f>
        <v>1575860.4435291314</v>
      </c>
      <c r="C42" s="5">
        <f>'DB pension'!V49-'DC pension'!Q48-'DC pension'!D48</f>
        <v>1921108.4420034597</v>
      </c>
      <c r="D42" s="5">
        <f>'DB pension'!W49-'DC pension'!Q48-'DC pension'!D48</f>
        <v>1649238.4634236037</v>
      </c>
      <c r="E42" s="5">
        <f>'DB pension'!X49-'DC pension'!Q48-'DC pension'!D48</f>
        <v>1722551.8915204406</v>
      </c>
      <c r="F42" s="5"/>
      <c r="G42" s="6">
        <f t="shared" si="1"/>
        <v>2057</v>
      </c>
      <c r="H42" s="5">
        <f>'DB pension'!$S49-'DC pension'!S48-'DC pension'!F48</f>
        <v>40831.915139040779</v>
      </c>
      <c r="I42" s="5">
        <f>'DB pension'!$S49-'DC pension'!T48-'DC pension'!G48</f>
        <v>41159.4638581892</v>
      </c>
      <c r="J42" s="5">
        <f>'DB pension'!$S49-'DC pension'!U48-'DC pension'!H48</f>
        <v>40831.915139040779</v>
      </c>
      <c r="K42" s="5">
        <f>'DB pension'!$S49-'DC pension'!V48-'DC pension'!I48</f>
        <v>40930.326637619</v>
      </c>
    </row>
    <row r="43" spans="1:11">
      <c r="A43" s="6">
        <f t="shared" si="0"/>
        <v>2061</v>
      </c>
      <c r="B43" s="5">
        <f>'DB pension'!U50-'DC pension'!Q49-'DC pension'!D49</f>
        <v>1651436.0650783286</v>
      </c>
      <c r="C43" s="5">
        <f>'DB pension'!V50-'DC pension'!Q49-'DC pension'!D49</f>
        <v>2012502.8155061784</v>
      </c>
      <c r="D43" s="5">
        <f>'DB pension'!W50-'DC pension'!Q49-'DC pension'!D49</f>
        <v>1727209.4309728008</v>
      </c>
      <c r="E43" s="5">
        <f>'DB pension'!X50-'DC pension'!Q49-'DC pension'!D49</f>
        <v>1804142.6625960469</v>
      </c>
      <c r="F43" s="5"/>
      <c r="G43" s="6">
        <f t="shared" si="1"/>
        <v>2058</v>
      </c>
      <c r="H43" s="5">
        <f>'DB pension'!$S50-'DC pension'!S49-'DC pension'!F49</f>
        <v>42577.258951744014</v>
      </c>
      <c r="I43" s="5">
        <f>'DB pension'!$S50-'DC pension'!T49-'DC pension'!G49</f>
        <v>42927.341597159932</v>
      </c>
      <c r="J43" s="5">
        <f>'DB pension'!$S50-'DC pension'!U49-'DC pension'!H49</f>
        <v>42577.258951744014</v>
      </c>
      <c r="K43" s="5">
        <f>'DB pension'!$S50-'DC pension'!V49-'DC pension'!I49</f>
        <v>42682.440733102158</v>
      </c>
    </row>
    <row r="44" spans="1:11">
      <c r="A44" s="6">
        <f t="shared" si="0"/>
        <v>2062</v>
      </c>
      <c r="B44" s="5">
        <f>'DB pension'!U51-'DC pension'!Q50-'DC pension'!D50</f>
        <v>1729478.7721184448</v>
      </c>
      <c r="C44" s="5">
        <f>'DB pension'!V51-'DC pension'!Q50-'DC pension'!D50</f>
        <v>2106840.318806123</v>
      </c>
      <c r="D44" s="5">
        <f>'DB pension'!W51-'DC pension'!Q50-'DC pension'!D50</f>
        <v>1807647.4840129171</v>
      </c>
      <c r="E44" s="5">
        <f>'DB pension'!X51-'DC pension'!Q50-'DC pension'!D50</f>
        <v>1888328.8909681085</v>
      </c>
      <c r="F44" s="5"/>
      <c r="G44" s="6">
        <f t="shared" si="1"/>
        <v>2059</v>
      </c>
      <c r="H44" s="5">
        <f>'DB pension'!$S51-'DC pension'!S50-'DC pension'!F50</f>
        <v>44367.51534414979</v>
      </c>
      <c r="I44" s="5">
        <f>'DB pension'!$S51-'DC pension'!T50-'DC pension'!G50</f>
        <v>44741.519258606873</v>
      </c>
      <c r="J44" s="5">
        <f>'DB pension'!$S51-'DC pension'!U50-'DC pension'!H50</f>
        <v>44367.51534414979</v>
      </c>
      <c r="K44" s="5">
        <f>'DB pension'!$S51-'DC pension'!V50-'DC pension'!I50</f>
        <v>44479.884233246761</v>
      </c>
    </row>
    <row r="45" spans="1:11">
      <c r="A45" s="6">
        <f t="shared" si="0"/>
        <v>2063</v>
      </c>
      <c r="B45" s="5">
        <f>'DB pension'!U52-'DC pension'!Q51-'DC pension'!D51</f>
        <v>1810070.4374718342</v>
      </c>
      <c r="C45" s="5">
        <f>'DB pension'!V52-'DC pension'!Q51-'DC pension'!D51</f>
        <v>2204217.7060202374</v>
      </c>
      <c r="D45" s="5">
        <f>'DB pension'!W52-'DC pension'!Q51-'DC pension'!D51</f>
        <v>1890634.4953663065</v>
      </c>
      <c r="E45" s="5">
        <f>'DB pension'!X52-'DC pension'!Q51-'DC pension'!D51</f>
        <v>1975196.4624019554</v>
      </c>
      <c r="F45" s="5"/>
      <c r="G45" s="6">
        <f t="shared" si="1"/>
        <v>2060</v>
      </c>
      <c r="H45" s="5">
        <f>'DB pension'!$S52-'DC pension'!S51-'DC pension'!F51</f>
        <v>46203.969240223792</v>
      </c>
      <c r="I45" s="5">
        <f>'DB pension'!$S52-'DC pension'!T51-'DC pension'!G51</f>
        <v>46603.292711624999</v>
      </c>
      <c r="J45" s="5">
        <f>'DB pension'!$S52-'DC pension'!U51-'DC pension'!H51</f>
        <v>46203.969240223792</v>
      </c>
      <c r="K45" s="5">
        <f>'DB pension'!$S52-'DC pension'!V51-'DC pension'!I51</f>
        <v>46323.945350465408</v>
      </c>
    </row>
    <row r="46" spans="1:11">
      <c r="A46" s="6">
        <f t="shared" si="0"/>
        <v>2064</v>
      </c>
      <c r="B46" s="5">
        <f>'DB pension'!U53-'DC pension'!Q52-'DC pension'!D52</f>
        <v>1893295.4149816837</v>
      </c>
      <c r="C46" s="5">
        <f>'DB pension'!V53-'DC pension'!Q52-'DC pension'!D52</f>
        <v>2304734.6476256279</v>
      </c>
      <c r="D46" s="5">
        <f>'DB pension'!W53-'DC pension'!Q52-'DC pension'!D52</f>
        <v>1976254.8188761561</v>
      </c>
      <c r="E46" s="5">
        <f>'DB pension'!X53-'DC pension'!Q52-'DC pension'!D52</f>
        <v>2064833.8610789061</v>
      </c>
      <c r="F46" s="5"/>
      <c r="G46" s="6">
        <f t="shared" si="1"/>
        <v>2061</v>
      </c>
      <c r="H46" s="5">
        <f>'DB pension'!$S53-'DC pension'!S52-'DC pension'!F52</f>
        <v>48087.935454170234</v>
      </c>
      <c r="I46" s="5">
        <f>'DB pension'!$S53-'DC pension'!T52-'DC pension'!G52</f>
        <v>48513.987945512461</v>
      </c>
      <c r="J46" s="5">
        <f>'DB pension'!$S53-'DC pension'!U52-'DC pension'!H52</f>
        <v>48087.935454170234</v>
      </c>
      <c r="K46" s="5">
        <f>'DB pension'!$S53-'DC pension'!V52-'DC pension'!I52</f>
        <v>48215.942256501752</v>
      </c>
    </row>
    <row r="47" spans="1:11">
      <c r="A47" s="6">
        <f t="shared" si="0"/>
        <v>2065</v>
      </c>
      <c r="B47" s="5">
        <f>'DB pension'!U54-'DC pension'!Q53-'DC pension'!D53</f>
        <v>1979240.6107226387</v>
      </c>
      <c r="C47" s="5">
        <f>'DB pension'!V54-'DC pension'!Q53-'DC pension'!D53</f>
        <v>2408493.813900352</v>
      </c>
      <c r="D47" s="5">
        <f>'DB pension'!W54-'DC pension'!Q53-'DC pension'!D53</f>
        <v>2064595.360617111</v>
      </c>
      <c r="E47" s="5">
        <f>'DB pension'!X54-'DC pension'!Q53-'DC pension'!D53</f>
        <v>2157332.2441049241</v>
      </c>
      <c r="F47" s="5"/>
      <c r="G47" s="6">
        <f t="shared" si="1"/>
        <v>2062</v>
      </c>
      <c r="H47" s="5">
        <f>'DB pension'!$S54-'DC pension'!S53-'DC pension'!F53</f>
        <v>50020.759367758001</v>
      </c>
      <c r="I47" s="5">
        <f>'DB pension'!$S54-'DC pension'!T53-'DC pension'!G53</f>
        <v>50474.961750125964</v>
      </c>
      <c r="J47" s="5">
        <f>'DB pension'!$S54-'DC pension'!U53-'DC pension'!H53</f>
        <v>50020.759367758001</v>
      </c>
      <c r="K47" s="5">
        <f>'DB pension'!$S54-'DC pension'!V53-'DC pension'!I53</f>
        <v>50157.223760666762</v>
      </c>
    </row>
    <row r="48" spans="1:11">
      <c r="A48" s="6">
        <f t="shared" si="0"/>
        <v>2066</v>
      </c>
      <c r="B48" s="5">
        <f>'DB pension'!U55-'DC pension'!Q54-'DC pension'!D54</f>
        <v>2067995.5561861885</v>
      </c>
      <c r="C48" s="5">
        <f>'DB pension'!V55-'DC pension'!Q54-'DC pension'!D54</f>
        <v>2515600.9606734109</v>
      </c>
      <c r="D48" s="5">
        <f>'DB pension'!W55-'DC pension'!Q54-'DC pension'!D54</f>
        <v>2155745.6520806607</v>
      </c>
      <c r="E48" s="5">
        <f>'DB pension'!X55-'DC pension'!Q54-'DC pension'!D54</f>
        <v>2252785.5180842192</v>
      </c>
      <c r="F48" s="5"/>
      <c r="G48" s="6">
        <f t="shared" si="1"/>
        <v>2063</v>
      </c>
      <c r="H48" s="5">
        <f>'DB pension'!$S55-'DC pension'!S54-'DC pension'!F54</f>
        <v>52003.817622379975</v>
      </c>
      <c r="I48" s="5">
        <f>'DB pension'!$S55-'DC pension'!T54-'DC pension'!G54</f>
        <v>52487.602411016647</v>
      </c>
      <c r="J48" s="5">
        <f>'DB pension'!$S55-'DC pension'!U54-'DC pension'!H54</f>
        <v>52003.817622379975</v>
      </c>
      <c r="K48" s="5">
        <f>'DB pension'!$S55-'DC pension'!V54-'DC pension'!I54</f>
        <v>52149.170002822386</v>
      </c>
    </row>
    <row r="49" spans="1:11">
      <c r="A49" s="6">
        <f t="shared" si="0"/>
        <v>2067</v>
      </c>
      <c r="B49" s="5">
        <f>'DB pension'!U56-'DC pension'!Q55-'DC pension'!D55</f>
        <v>2159652.483494306</v>
      </c>
      <c r="C49" s="5">
        <f>'DB pension'!V56-'DC pension'!Q55-'DC pension'!D55</f>
        <v>2626165.0174464108</v>
      </c>
      <c r="D49" s="5">
        <f>'DB pension'!W56-'DC pension'!Q55-'DC pension'!D55</f>
        <v>2249797.9253887781</v>
      </c>
      <c r="E49" s="5">
        <f>'DB pension'!X56-'DC pension'!Q55-'DC pension'!D55</f>
        <v>2351290.4178137113</v>
      </c>
      <c r="F49" s="5"/>
      <c r="G49" s="6">
        <f t="shared" si="1"/>
        <v>2064</v>
      </c>
      <c r="H49" s="5">
        <f>'DB pension'!$S56-'DC pension'!S55-'DC pension'!F55</f>
        <v>54038.518826159212</v>
      </c>
      <c r="I49" s="5">
        <f>'DB pension'!$S56-'DC pension'!T55-'DC pension'!G55</f>
        <v>54553.330419661193</v>
      </c>
      <c r="J49" s="5">
        <f>'DB pension'!$S56-'DC pension'!U55-'DC pension'!H55</f>
        <v>54038.518826159212</v>
      </c>
      <c r="K49" s="5">
        <f>'DB pension'!$S56-'DC pension'!V55-'DC pension'!I55</f>
        <v>54193.193161426629</v>
      </c>
    </row>
    <row r="50" spans="1:11">
      <c r="A50" s="6">
        <f t="shared" si="0"/>
        <v>2068</v>
      </c>
      <c r="B50" s="5">
        <f>'DB pension'!U57-'DC pension'!Q56-'DC pension'!D56</f>
        <v>2254306.4026962626</v>
      </c>
      <c r="C50" s="5">
        <f>'DB pension'!V57-'DC pension'!Q56-'DC pension'!D56</f>
        <v>2740298.1779510397</v>
      </c>
      <c r="D50" s="5">
        <f>'DB pension'!W57-'DC pension'!Q56-'DC pension'!D56</f>
        <v>2346847.1905907351</v>
      </c>
      <c r="E50" s="5">
        <f>'DB pension'!X57-'DC pension'!Q56-'DC pension'!D56</f>
        <v>2452946.5871557607</v>
      </c>
      <c r="F50" s="5"/>
      <c r="G50" s="6">
        <f t="shared" si="1"/>
        <v>2065</v>
      </c>
      <c r="H50" s="5">
        <f>'DB pension'!$S57-'DC pension'!S56-'DC pension'!F56</f>
        <v>56126.304276422816</v>
      </c>
      <c r="I50" s="5">
        <f>'DB pension'!$S57-'DC pension'!T56-'DC pension'!G56</f>
        <v>56673.599199109391</v>
      </c>
      <c r="J50" s="5">
        <f>'DB pension'!$S57-'DC pension'!U56-'DC pension'!H56</f>
        <v>56126.304276422816</v>
      </c>
      <c r="K50" s="5">
        <f>'DB pension'!$S57-'DC pension'!V56-'DC pension'!I56</f>
        <v>56290.738176960935</v>
      </c>
    </row>
    <row r="51" spans="1:11">
      <c r="A51" s="6">
        <f t="shared" si="0"/>
        <v>2069</v>
      </c>
      <c r="B51" s="5">
        <f>'DB pension'!U58-'DC pension'!Q57-'DC pension'!D57</f>
        <v>2352055.1812050049</v>
      </c>
      <c r="C51" s="5">
        <f>'DB pension'!V58-'DC pension'!Q57-'DC pension'!D57</f>
        <v>2858115.9932081876</v>
      </c>
      <c r="D51" s="5">
        <f>'DB pension'!W58-'DC pension'!Q57-'DC pension'!D57</f>
        <v>2446991.3150994773</v>
      </c>
      <c r="E51" s="5">
        <f>'DB pension'!X58-'DC pension'!Q57-'DC pension'!D57</f>
        <v>2557856.6621481031</v>
      </c>
      <c r="F51" s="5"/>
      <c r="G51" s="6">
        <f t="shared" si="1"/>
        <v>2066</v>
      </c>
      <c r="H51" s="5">
        <f>'DB pension'!$S58-'DC pension'!S57-'DC pension'!F57</f>
        <v>58268.648697870456</v>
      </c>
      <c r="I51" s="5">
        <f>'DB pension'!$S58-'DC pension'!T57-'DC pension'!G57</f>
        <v>58849.89584537605</v>
      </c>
      <c r="J51" s="5">
        <f>'DB pension'!$S58-'DC pension'!U57-'DC pension'!H57</f>
        <v>58268.648697870456</v>
      </c>
      <c r="K51" s="5">
        <f>'DB pension'!$S58-'DC pension'!V57-'DC pension'!I57</f>
        <v>58443.28349106721</v>
      </c>
    </row>
    <row r="52" spans="1:11">
      <c r="A52" s="6">
        <f t="shared" si="0"/>
        <v>2070</v>
      </c>
      <c r="B52" s="5">
        <f>'DB pension'!U59-'DC pension'!Q58-'DC pension'!D58</f>
        <v>2452999.6254309709</v>
      </c>
      <c r="C52" s="5">
        <f>'DB pension'!V59-'DC pension'!Q58-'DC pension'!D58</f>
        <v>2979737.4671562994</v>
      </c>
      <c r="D52" s="5">
        <f>'DB pension'!W59-'DC pension'!Q58-'DC pension'!D58</f>
        <v>2550331.1053254432</v>
      </c>
      <c r="E52" s="5">
        <f>'DB pension'!X59-'DC pension'!Q58-'DC pension'!D58</f>
        <v>2666126.3564114836</v>
      </c>
      <c r="F52" s="5"/>
      <c r="G52" s="6">
        <f t="shared" si="1"/>
        <v>2067</v>
      </c>
      <c r="H52" s="5">
        <f>'DB pension'!$S59-'DC pension'!S58-'DC pension'!F58</f>
        <v>60467.060996771957</v>
      </c>
      <c r="I52" s="5">
        <f>'DB pension'!$S59-'DC pension'!T58-'DC pension'!G58</f>
        <v>61083.741884912321</v>
      </c>
      <c r="J52" s="5">
        <f>'DB pension'!$S59-'DC pension'!U58-'DC pension'!H58</f>
        <v>60467.060996771957</v>
      </c>
      <c r="K52" s="5">
        <f>'DB pension'!$S59-'DC pension'!V58-'DC pension'!I58</f>
        <v>60652.341801728922</v>
      </c>
    </row>
    <row r="55" spans="1:11">
      <c r="C55" s="91"/>
      <c r="D55" s="91"/>
    </row>
    <row r="56" spans="1:11">
      <c r="C56" t="s">
        <v>24</v>
      </c>
      <c r="E56" t="s">
        <v>26</v>
      </c>
    </row>
    <row r="57" spans="1:11">
      <c r="B57" s="3" t="s">
        <v>97</v>
      </c>
      <c r="C57" t="s">
        <v>25</v>
      </c>
      <c r="D57" t="s">
        <v>11</v>
      </c>
      <c r="E57" t="s">
        <v>25</v>
      </c>
      <c r="F57" t="s">
        <v>11</v>
      </c>
    </row>
    <row r="58" spans="1:11">
      <c r="C58" t="s">
        <v>127</v>
      </c>
      <c r="D58" t="s">
        <v>102</v>
      </c>
      <c r="E58" t="s">
        <v>127</v>
      </c>
      <c r="F58" t="s">
        <v>102</v>
      </c>
    </row>
    <row r="59" spans="1:11">
      <c r="B59" t="s">
        <v>96</v>
      </c>
      <c r="C59" s="21">
        <f>LOOKUP(Inputs!$B13,'DB pension'!$A11:$A59,'DB pension'!$S11:$S59)</f>
        <v>51124.753548288973</v>
      </c>
      <c r="D59" s="21">
        <f>LOOKUP(Inputs!$B13,'DB pension'!$A11:$A59,'DB pension'!$S11:$S59)</f>
        <v>51124.753548288973</v>
      </c>
      <c r="E59" s="21">
        <f>LOOKUP(Inputs!$B13,'DB pension'!$A11:$A59,'DB pension'!$S11:$S59)</f>
        <v>51124.753548288973</v>
      </c>
      <c r="F59" s="21">
        <f>LOOKUP(Inputs!$B13,'DB pension'!$A11:$A59,'DB pension'!$S11:$S59)</f>
        <v>51124.753548288973</v>
      </c>
    </row>
    <row r="60" spans="1:11">
      <c r="B60" t="s">
        <v>99</v>
      </c>
      <c r="C60" s="21">
        <f>LOOKUP(Inputs!$B13,'DB pension'!$A11:$A59,'DB pension'!U11:U59)</f>
        <v>2012859.5784132378</v>
      </c>
      <c r="D60" s="21">
        <f>LOOKUP(Inputs!$B13,'DB pension'!$A11:$A59,'DB pension'!V11:V59)</f>
        <v>2424298.8110571816</v>
      </c>
      <c r="E60" s="21">
        <f>LOOKUP(Inputs!$B13,'DB pension'!$A11:$A59,'DB pension'!W11:W59)</f>
        <v>2095818.9823077102</v>
      </c>
      <c r="F60" s="21">
        <f>LOOKUP(Inputs!$B13,'DB pension'!$A11:$A59,'DB pension'!X11:X59)</f>
        <v>2184398.02451046</v>
      </c>
    </row>
    <row r="62" spans="1:11">
      <c r="B62" s="3" t="s">
        <v>98</v>
      </c>
      <c r="C62" t="s">
        <v>25</v>
      </c>
      <c r="D62" t="s">
        <v>11</v>
      </c>
      <c r="E62" t="s">
        <v>25</v>
      </c>
      <c r="F62" t="s">
        <v>11</v>
      </c>
    </row>
    <row r="63" spans="1:11">
      <c r="C63" t="s">
        <v>127</v>
      </c>
      <c r="D63" t="s">
        <v>102</v>
      </c>
      <c r="E63" t="s">
        <v>127</v>
      </c>
      <c r="F63" t="s">
        <v>102</v>
      </c>
    </row>
    <row r="64" spans="1:11">
      <c r="B64" t="s">
        <v>96</v>
      </c>
      <c r="C64" s="21">
        <f>LOOKUP(Inputs!$B13,'DC pension'!$A10:$A58,'DC pension'!F10:F58)</f>
        <v>2654.0605845939745</v>
      </c>
      <c r="D64" s="21">
        <f>LOOKUP(Inputs!$B13,'DC pension'!$A10:$A58,'DC pension'!G10:G58)</f>
        <v>2281.7073223325992</v>
      </c>
      <c r="E64" s="21">
        <f>LOOKUP(Inputs!$B13,'DC pension'!$A10:$A58,'DC pension'!H10:H58)</f>
        <v>2654.0605845939745</v>
      </c>
      <c r="F64" s="21">
        <f>LOOKUP(Inputs!$B13,'DC pension'!$A10:$A58,'DC pension'!I10:I58)</f>
        <v>2542.1876313584944</v>
      </c>
    </row>
    <row r="65" spans="2:6">
      <c r="B65" t="s">
        <v>99</v>
      </c>
      <c r="C65" s="21">
        <f>LOOKUP(Inputs!$B13,'DC pension'!$A10:$A58,'DC pension'!D10:D58)</f>
        <v>104494.41608247739</v>
      </c>
      <c r="D65" s="21">
        <f>LOOKUP(Inputs!$B13,'DC pension'!$A10:$A58,'DC pension'!D10:D58)</f>
        <v>104494.41608247739</v>
      </c>
      <c r="E65" s="21">
        <f>LOOKUP(Inputs!$B13,'DC pension'!$A10:$A58,'DC pension'!D10:D58)</f>
        <v>104494.41608247739</v>
      </c>
      <c r="F65" s="21">
        <f>LOOKUP(Inputs!$B13,'DC pension'!$A10:$A58,'DC pension'!D10:D58)</f>
        <v>104494.41608247739</v>
      </c>
    </row>
    <row r="67" spans="2:6">
      <c r="C67">
        <v>0</v>
      </c>
      <c r="D67">
        <v>1</v>
      </c>
    </row>
    <row r="68" spans="2:6">
      <c r="B68" s="3" t="s">
        <v>97</v>
      </c>
      <c r="C68" t="s">
        <v>32</v>
      </c>
      <c r="D68" t="s">
        <v>33</v>
      </c>
    </row>
    <row r="69" spans="2:6">
      <c r="B69" t="s">
        <v>96</v>
      </c>
      <c r="C69" s="21">
        <f>LOOKUP(Inputs!B11,'Difference in benefits TPS'!C58:D58,'Difference in benefits TPS'!C59:D59)</f>
        <v>51124.753548288973</v>
      </c>
      <c r="D69" s="21">
        <f>LOOKUP(Inputs!B11,'Difference in benefits TPS'!E58:F58,'Difference in benefits TPS'!E59:F59)</f>
        <v>51124.753548288973</v>
      </c>
      <c r="E69" s="31"/>
      <c r="F69" s="31"/>
    </row>
    <row r="70" spans="2:6">
      <c r="B70" t="s">
        <v>99</v>
      </c>
      <c r="C70" s="21">
        <f>LOOKUP(Inputs!B11,'Difference in benefits TPS'!C58:D58,'Difference in benefits TPS'!C60:D60)</f>
        <v>2424298.8110571816</v>
      </c>
      <c r="D70" s="21">
        <f>LOOKUP(Inputs!B11,'Difference in benefits TPS'!E58:F58,'Difference in benefits TPS'!E60:F60)</f>
        <v>2184398.02451046</v>
      </c>
      <c r="E70" s="31"/>
      <c r="F70" s="31"/>
    </row>
    <row r="72" spans="2:6">
      <c r="B72" s="3" t="s">
        <v>98</v>
      </c>
      <c r="C72" t="s">
        <v>32</v>
      </c>
      <c r="D72" t="s">
        <v>33</v>
      </c>
    </row>
    <row r="73" spans="2:6">
      <c r="B73" t="s">
        <v>96</v>
      </c>
      <c r="C73" s="21">
        <f>LOOKUP(Inputs!B11,'Difference in benefits TPS'!C63:D63,'Difference in benefits TPS'!C64:D64)</f>
        <v>2281.7073223325992</v>
      </c>
      <c r="D73" s="21">
        <f>LOOKUP(Inputs!B11,'Difference in benefits TPS'!E63:F63,'Difference in benefits TPS'!E64:F64)</f>
        <v>2542.1876313584944</v>
      </c>
    </row>
    <row r="74" spans="2:6">
      <c r="B74" t="s">
        <v>99</v>
      </c>
      <c r="C74" s="21">
        <f>LOOKUP(Inputs!B11,'Difference in benefits TPS'!C63:D63,'Difference in benefits TPS'!C65:D65)</f>
        <v>104494.41608247739</v>
      </c>
      <c r="D74" s="21">
        <f>LOOKUP(Inputs!B11,'Difference in benefits TPS'!E63:F63,'Difference in benefits TPS'!E65:F65)</f>
        <v>104494.41608247739</v>
      </c>
    </row>
    <row r="76" spans="2:6">
      <c r="C76">
        <f>IF(Inputs!B9="Female",1,IF(Inputs!B9="Male",0,-1))</f>
        <v>1</v>
      </c>
    </row>
    <row r="77" spans="2:6">
      <c r="B77" s="3" t="s">
        <v>97</v>
      </c>
    </row>
    <row r="78" spans="2:6">
      <c r="B78" t="s">
        <v>96</v>
      </c>
      <c r="C78" s="21">
        <f>LOOKUP(C76,'Difference in benefits TPS'!C67:D67,'Difference in benefits TPS'!C69:D69)</f>
        <v>51124.753548288973</v>
      </c>
    </row>
    <row r="79" spans="2:6">
      <c r="B79" t="s">
        <v>99</v>
      </c>
      <c r="C79" s="21">
        <f>LOOKUP(C76,'Difference in benefits TPS'!C67:D67,'Difference in benefits TPS'!C70:D70)</f>
        <v>2184398.02451046</v>
      </c>
    </row>
    <row r="81" spans="2:3">
      <c r="B81" s="3" t="s">
        <v>98</v>
      </c>
    </row>
    <row r="82" spans="2:3">
      <c r="B82" t="s">
        <v>96</v>
      </c>
      <c r="C82" s="21">
        <f>LOOKUP(C76,'Difference in benefits TPS'!C67:D67,'Difference in benefits TPS'!C73:D73)</f>
        <v>2542.1876313584944</v>
      </c>
    </row>
    <row r="83" spans="2:3">
      <c r="B83" t="s">
        <v>99</v>
      </c>
      <c r="C83" s="21">
        <f>LOOKUP(C76,'Difference in benefits TPS'!C67:D67,'Difference in benefits TPS'!C74:D74)</f>
        <v>104494.41608247739</v>
      </c>
    </row>
  </sheetData>
  <mergeCells count="1">
    <mergeCell ref="C55:D5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58"/>
  <sheetViews>
    <sheetView workbookViewId="0">
      <selection activeCell="J15" sqref="J15"/>
    </sheetView>
  </sheetViews>
  <sheetFormatPr baseColWidth="10" defaultRowHeight="16"/>
  <cols>
    <col min="2" max="2" width="15.1640625" customWidth="1"/>
    <col min="3" max="3" width="17" bestFit="1" customWidth="1"/>
    <col min="5" max="5" width="15.1640625" customWidth="1"/>
    <col min="9" max="9" width="11.1640625" bestFit="1" customWidth="1"/>
  </cols>
  <sheetData>
    <row r="1" spans="1:13">
      <c r="B1" s="3" t="s">
        <v>238</v>
      </c>
    </row>
    <row r="2" spans="1:13">
      <c r="B2" t="s">
        <v>15</v>
      </c>
      <c r="C2" t="s">
        <v>16</v>
      </c>
    </row>
    <row r="3" spans="1:13">
      <c r="B3" t="s">
        <v>1</v>
      </c>
      <c r="C3" s="1">
        <v>100000</v>
      </c>
    </row>
    <row r="4" spans="1:13">
      <c r="B4" t="s">
        <v>0</v>
      </c>
    </row>
    <row r="5" spans="1:13">
      <c r="A5" t="s">
        <v>87</v>
      </c>
      <c r="B5" t="s">
        <v>3</v>
      </c>
      <c r="C5" t="s">
        <v>3</v>
      </c>
      <c r="H5" s="92" t="s">
        <v>239</v>
      </c>
      <c r="I5" s="92"/>
      <c r="J5" s="92"/>
      <c r="K5" s="92"/>
      <c r="L5" s="92"/>
    </row>
    <row r="6" spans="1:13">
      <c r="A6" s="107"/>
      <c r="B6" s="108"/>
      <c r="C6" s="108"/>
      <c r="E6" s="1"/>
      <c r="H6" s="3" t="s">
        <v>88</v>
      </c>
      <c r="I6" s="3" t="s">
        <v>32</v>
      </c>
      <c r="J6" s="3"/>
      <c r="K6" s="3" t="s">
        <v>33</v>
      </c>
      <c r="L6" s="3"/>
    </row>
    <row r="7" spans="1:13">
      <c r="A7">
        <v>66</v>
      </c>
      <c r="B7" s="106">
        <v>2875</v>
      </c>
      <c r="C7" s="106">
        <f>B7</f>
        <v>2875</v>
      </c>
      <c r="H7" s="3" t="s">
        <v>89</v>
      </c>
      <c r="I7" s="3" t="s">
        <v>25</v>
      </c>
      <c r="J7" s="3" t="s">
        <v>11</v>
      </c>
      <c r="K7" s="3" t="s">
        <v>25</v>
      </c>
      <c r="L7" s="3" t="s">
        <v>11</v>
      </c>
    </row>
    <row r="8" spans="1:13">
      <c r="A8">
        <v>67</v>
      </c>
      <c r="B8" s="106">
        <v>3028</v>
      </c>
      <c r="C8" s="106">
        <f>B8</f>
        <v>3028</v>
      </c>
      <c r="G8">
        <v>1</v>
      </c>
      <c r="H8">
        <v>2022</v>
      </c>
      <c r="I8" s="1">
        <f>B7</f>
        <v>2875</v>
      </c>
      <c r="J8" s="5">
        <f>B14</f>
        <v>2469</v>
      </c>
      <c r="K8" s="5">
        <f>C7</f>
        <v>2875</v>
      </c>
      <c r="L8" s="5">
        <f>C14</f>
        <v>2720</v>
      </c>
      <c r="M8" t="s">
        <v>108</v>
      </c>
    </row>
    <row r="9" spans="1:13">
      <c r="A9">
        <v>68</v>
      </c>
      <c r="B9" s="106">
        <v>3179</v>
      </c>
      <c r="C9" s="106">
        <f>B9</f>
        <v>3179</v>
      </c>
      <c r="G9">
        <f>G8+1</f>
        <v>2</v>
      </c>
      <c r="H9">
        <f>H8+1</f>
        <v>2023</v>
      </c>
      <c r="I9" s="1">
        <f>I8/'Annuity rates'!$C38</f>
        <v>2860.6965174129355</v>
      </c>
      <c r="J9" s="1">
        <f>J8/'Annuity rates'!$C38</f>
        <v>2456.7164179104479</v>
      </c>
      <c r="K9" s="1">
        <f>K8/'Annuity rates'!$C38</f>
        <v>2860.6965174129355</v>
      </c>
      <c r="L9" s="1">
        <f>L8/'Annuity rates'!$C38</f>
        <v>2706.4676616915426</v>
      </c>
    </row>
    <row r="10" spans="1:13">
      <c r="B10" s="1"/>
      <c r="C10" s="1"/>
      <c r="G10">
        <f t="shared" ref="G10:G56" si="0">G9+1</f>
        <v>3</v>
      </c>
      <c r="H10">
        <f t="shared" ref="H10:H56" si="1">H9+1</f>
        <v>2024</v>
      </c>
      <c r="I10" s="1">
        <f>B7/('Annuity rates'!$C38^(G10-1))</f>
        <v>2846.4641964307821</v>
      </c>
      <c r="J10" s="1">
        <f>B14/('Annuity rates'!$C38^(G10-1))</f>
        <v>2444.4939481696006</v>
      </c>
      <c r="K10" s="1">
        <f>C7/('Annuity rates'!$C38^(G10-1))</f>
        <v>2846.4641964307821</v>
      </c>
      <c r="L10" s="1">
        <f>C14/('Annuity rates'!$C38^(G10-1))</f>
        <v>2693.0026484492964</v>
      </c>
    </row>
    <row r="11" spans="1:13">
      <c r="B11" s="1"/>
      <c r="C11" s="1"/>
      <c r="G11">
        <f t="shared" si="0"/>
        <v>4</v>
      </c>
      <c r="H11">
        <f t="shared" si="1"/>
        <v>2025</v>
      </c>
      <c r="I11" s="1">
        <f>I10/'Annuity rates'!$C$38</f>
        <v>2832.3026830157037</v>
      </c>
      <c r="J11" s="1">
        <f>J10/'Annuity rates'!$C$38</f>
        <v>2432.3322867359211</v>
      </c>
      <c r="K11" s="1">
        <f>K10/'Annuity rates'!$C$38</f>
        <v>2832.3026830157037</v>
      </c>
      <c r="L11" s="1">
        <f>L10/'Annuity rates'!$C$38</f>
        <v>2679.6046253226832</v>
      </c>
    </row>
    <row r="12" spans="1:13">
      <c r="A12" t="s">
        <v>87</v>
      </c>
      <c r="B12" s="1" t="s">
        <v>2</v>
      </c>
      <c r="C12" s="1" t="s">
        <v>2</v>
      </c>
      <c r="G12">
        <f t="shared" si="0"/>
        <v>5</v>
      </c>
      <c r="H12">
        <f t="shared" si="1"/>
        <v>2026</v>
      </c>
      <c r="I12" s="1">
        <f>I11/'Annuity rates'!$C$38</f>
        <v>2818.2116248912475</v>
      </c>
      <c r="J12" s="1">
        <f>J11/'Annuity rates'!$C$38</f>
        <v>2420.2311310805189</v>
      </c>
      <c r="K12" s="1">
        <f>K11/'Annuity rates'!$C$38</f>
        <v>2818.2116248912475</v>
      </c>
      <c r="L12" s="1">
        <f>L11/'Annuity rates'!$C$38</f>
        <v>2666.2732590275459</v>
      </c>
    </row>
    <row r="13" spans="1:13">
      <c r="A13" s="107"/>
      <c r="B13" s="108"/>
      <c r="C13" s="108"/>
      <c r="E13" s="1"/>
      <c r="G13">
        <f t="shared" si="0"/>
        <v>6</v>
      </c>
      <c r="H13">
        <f t="shared" si="1"/>
        <v>2027</v>
      </c>
      <c r="I13" s="1">
        <f>I12/'Annuity rates'!$C$38</f>
        <v>2804.1906715335799</v>
      </c>
      <c r="J13" s="1">
        <f>J12/'Annuity rates'!$C$38</f>
        <v>2408.1901801796212</v>
      </c>
      <c r="K13" s="1">
        <f>K12/'Annuity rates'!$C$38</f>
        <v>2804.1906715335799</v>
      </c>
      <c r="L13" s="1">
        <f>L12/'Annuity rates'!$C$38</f>
        <v>2653.0082179378569</v>
      </c>
    </row>
    <row r="14" spans="1:13">
      <c r="A14">
        <v>66</v>
      </c>
      <c r="B14" s="106">
        <v>2469</v>
      </c>
      <c r="C14" s="106">
        <v>2720</v>
      </c>
      <c r="G14">
        <f t="shared" si="0"/>
        <v>7</v>
      </c>
      <c r="H14">
        <f t="shared" si="1"/>
        <v>2028</v>
      </c>
      <c r="I14" s="1">
        <f>B8/('Annuity rates'!$C38^(G14-1))</f>
        <v>2938.7287400921255</v>
      </c>
      <c r="J14" s="1">
        <f>B15/('Annuity rates'!$C38^(G14-1))</f>
        <v>2511.700785785476</v>
      </c>
      <c r="K14" s="86">
        <f>C8/('Annuity rates'!$C38^(G14-1))</f>
        <v>2938.7287400921255</v>
      </c>
      <c r="L14" s="86">
        <f>C15/('Annuity rates'!$C38^(G14-1))</f>
        <v>2792.1805103187071</v>
      </c>
      <c r="M14" t="s">
        <v>109</v>
      </c>
    </row>
    <row r="15" spans="1:13">
      <c r="A15">
        <v>67</v>
      </c>
      <c r="B15" s="106">
        <v>2588</v>
      </c>
      <c r="C15" s="106">
        <v>2877</v>
      </c>
      <c r="G15">
        <f t="shared" si="0"/>
        <v>8</v>
      </c>
      <c r="H15">
        <f t="shared" si="1"/>
        <v>2029</v>
      </c>
      <c r="I15" s="1">
        <f>I14/'Annuity rates'!$C$38</f>
        <v>2924.1081990966427</v>
      </c>
      <c r="J15" s="1">
        <f>J14/'Annuity rates'!$C$38</f>
        <v>2499.2047619755981</v>
      </c>
      <c r="K15" s="1">
        <f>K14/'Annuity rates'!$C$38</f>
        <v>2924.1081990966427</v>
      </c>
      <c r="L15" s="1">
        <f>L14/'Annuity rates'!$C$38</f>
        <v>2778.2890649937385</v>
      </c>
    </row>
    <row r="16" spans="1:13">
      <c r="A16">
        <v>68</v>
      </c>
      <c r="B16" s="106">
        <v>2733</v>
      </c>
      <c r="C16" s="106">
        <v>3045</v>
      </c>
      <c r="G16">
        <f t="shared" si="0"/>
        <v>9</v>
      </c>
      <c r="H16">
        <f t="shared" si="1"/>
        <v>2030</v>
      </c>
      <c r="I16" s="1">
        <f>I15/'Annuity rates'!$C$38</f>
        <v>2909.5603971110877</v>
      </c>
      <c r="J16" s="1">
        <f>J15/'Annuity rates'!$C$38</f>
        <v>2486.7709074384065</v>
      </c>
      <c r="K16" s="1">
        <f>K15/'Annuity rates'!$C$38</f>
        <v>2909.5603971110877</v>
      </c>
      <c r="L16" s="1">
        <f>L15/'Annuity rates'!$C$38</f>
        <v>2764.4667313370537</v>
      </c>
    </row>
    <row r="17" spans="2:13">
      <c r="G17">
        <f t="shared" si="0"/>
        <v>10</v>
      </c>
      <c r="H17">
        <f t="shared" si="1"/>
        <v>2031</v>
      </c>
      <c r="I17" s="1">
        <f>B8/('Annuity rates'!$C$38^(G17-1))</f>
        <v>2895.0849722498383</v>
      </c>
      <c r="J17" s="1">
        <f>B15/('Annuity rates'!$C38^(G17-1))</f>
        <v>2474.3989128740363</v>
      </c>
      <c r="K17" s="1">
        <f>C8/('Annuity rates'!$C38^(G17-1))</f>
        <v>2895.0849722498383</v>
      </c>
      <c r="L17" s="1">
        <f>C15/('Annuity rates'!$C38^(G17-1))</f>
        <v>2750.7131655095063</v>
      </c>
    </row>
    <row r="18" spans="2:13">
      <c r="G18">
        <f t="shared" si="0"/>
        <v>11</v>
      </c>
      <c r="H18">
        <f t="shared" si="1"/>
        <v>2032</v>
      </c>
      <c r="I18" s="1">
        <f>I17/'Annuity rates'!$C38</f>
        <v>2880.6815644277003</v>
      </c>
      <c r="J18" s="1">
        <f>J17/'Annuity rates'!$C38</f>
        <v>2462.0884705214294</v>
      </c>
      <c r="K18" s="1">
        <f>K17/'Annuity rates'!$C38</f>
        <v>2880.6815644277003</v>
      </c>
      <c r="L18" s="1">
        <f>L17/'Annuity rates'!$C38</f>
        <v>2737.0280253825936</v>
      </c>
    </row>
    <row r="19" spans="2:13">
      <c r="B19" t="s">
        <v>4</v>
      </c>
      <c r="G19">
        <f t="shared" si="0"/>
        <v>12</v>
      </c>
      <c r="H19">
        <f t="shared" si="1"/>
        <v>2033</v>
      </c>
      <c r="I19" s="1">
        <f>I18/'Annuity rates'!$C$38</f>
        <v>2866.3498153509458</v>
      </c>
      <c r="J19" s="1">
        <f>J18/'Annuity rates'!$C$38</f>
        <v>2449.8392741506764</v>
      </c>
      <c r="K19" s="1">
        <f>K18/'Annuity rates'!$C$38</f>
        <v>2866.3498153509458</v>
      </c>
      <c r="L19" s="1">
        <f>L18/'Annuity rates'!$C$38</f>
        <v>2723.4109705299443</v>
      </c>
    </row>
    <row r="20" spans="2:13">
      <c r="B20" t="s">
        <v>5</v>
      </c>
      <c r="G20">
        <f t="shared" si="0"/>
        <v>13</v>
      </c>
      <c r="H20">
        <f t="shared" si="1"/>
        <v>2034</v>
      </c>
      <c r="I20" s="1">
        <f>I19/'Annuity rates'!$C$38</f>
        <v>2852.0893685084043</v>
      </c>
      <c r="J20" s="1">
        <f>J19/'Annuity rates'!$C$38</f>
        <v>2437.6510190553995</v>
      </c>
      <c r="K20" s="1">
        <f>K19/'Annuity rates'!$C$38</f>
        <v>2852.0893685084043</v>
      </c>
      <c r="L20" s="1">
        <f>L19/'Annuity rates'!$C$38</f>
        <v>2709.8616622188501</v>
      </c>
    </row>
    <row r="21" spans="2:13">
      <c r="B21" t="s">
        <v>6</v>
      </c>
      <c r="G21">
        <f t="shared" si="0"/>
        <v>14</v>
      </c>
      <c r="H21">
        <f t="shared" si="1"/>
        <v>2035</v>
      </c>
      <c r="I21" s="1">
        <f>I20/'Annuity rates'!$C$38</f>
        <v>2837.8998691625916</v>
      </c>
      <c r="J21" s="1">
        <f>J20/'Annuity rates'!$C$38</f>
        <v>2425.523402045174</v>
      </c>
      <c r="K21" s="1">
        <f>K20/'Annuity rates'!$C$38</f>
        <v>2837.8998691625916</v>
      </c>
      <c r="L21" s="1">
        <f>L20/'Annuity rates'!$C$38</f>
        <v>2696.379763401841</v>
      </c>
    </row>
    <row r="22" spans="2:13">
      <c r="B22" t="s">
        <v>7</v>
      </c>
      <c r="G22">
        <f t="shared" si="0"/>
        <v>15</v>
      </c>
      <c r="H22">
        <f t="shared" si="1"/>
        <v>2036</v>
      </c>
      <c r="I22" s="1">
        <f>I21/'Annuity rates'!$C$38</f>
        <v>2823.7809643408873</v>
      </c>
      <c r="J22" s="1">
        <f>J21/'Annuity rates'!$C$38</f>
        <v>2413.4561214379842</v>
      </c>
      <c r="K22" s="1">
        <f>K21/'Annuity rates'!$C$38</f>
        <v>2823.7809643408873</v>
      </c>
      <c r="L22" s="1">
        <f>L21/'Annuity rates'!$C$38</f>
        <v>2682.9649387083</v>
      </c>
    </row>
    <row r="23" spans="2:13">
      <c r="B23" t="s">
        <v>8</v>
      </c>
      <c r="C23" t="s">
        <v>236</v>
      </c>
      <c r="G23">
        <f t="shared" si="0"/>
        <v>16</v>
      </c>
      <c r="H23">
        <f t="shared" si="1"/>
        <v>2037</v>
      </c>
      <c r="I23" s="1">
        <f>I22/'Annuity rates'!$C$38</f>
        <v>2809.7323028267538</v>
      </c>
      <c r="J23" s="1">
        <f>J22/'Annuity rates'!$C$38</f>
        <v>2401.4488770527209</v>
      </c>
      <c r="K23" s="1">
        <f>K22/'Annuity rates'!$C$38</f>
        <v>2809.7323028267538</v>
      </c>
      <c r="L23" s="1">
        <f>L22/'Annuity rates'!$C$38</f>
        <v>2669.6168544361199</v>
      </c>
    </row>
    <row r="24" spans="2:13">
      <c r="B24" t="s">
        <v>9</v>
      </c>
      <c r="C24">
        <v>11</v>
      </c>
      <c r="G24">
        <f t="shared" si="0"/>
        <v>17</v>
      </c>
      <c r="H24">
        <f t="shared" si="1"/>
        <v>2038</v>
      </c>
      <c r="I24" s="1">
        <f>I23/'Annuity rates'!$C$38</f>
        <v>2795.7535351509991</v>
      </c>
      <c r="J24" s="1">
        <f>J23/'Annuity rates'!$C$38</f>
        <v>2389.5013702017127</v>
      </c>
      <c r="K24" s="1">
        <f>K23/'Annuity rates'!$C$38</f>
        <v>2795.7535351509991</v>
      </c>
      <c r="L24" s="1">
        <f>L23/'Annuity rates'!$C$38</f>
        <v>2656.3351785434033</v>
      </c>
    </row>
    <row r="25" spans="2:13">
      <c r="B25" t="s">
        <v>10</v>
      </c>
      <c r="C25">
        <v>10</v>
      </c>
      <c r="G25">
        <f t="shared" si="0"/>
        <v>18</v>
      </c>
      <c r="H25">
        <f t="shared" si="1"/>
        <v>2039</v>
      </c>
      <c r="I25" s="1">
        <f>I24/'Annuity rates'!$C$38</f>
        <v>2781.8443135830839</v>
      </c>
      <c r="J25" s="1">
        <f>J24/'Annuity rates'!$C$38</f>
        <v>2377.6133036832966</v>
      </c>
      <c r="K25" s="1">
        <f>K24/'Annuity rates'!$C$38</f>
        <v>2781.8443135830839</v>
      </c>
      <c r="L25" s="1">
        <f>L24/'Annuity rates'!$C$38</f>
        <v>2643.1195806402025</v>
      </c>
    </row>
    <row r="26" spans="2:13">
      <c r="B26" t="s">
        <v>13</v>
      </c>
      <c r="C26">
        <v>32</v>
      </c>
      <c r="G26">
        <f t="shared" si="0"/>
        <v>19</v>
      </c>
      <c r="H26">
        <f t="shared" si="1"/>
        <v>2040</v>
      </c>
      <c r="I26" s="1">
        <f>I25/'Annuity rates'!$C$38</f>
        <v>2768.0042921224717</v>
      </c>
      <c r="J26" s="1">
        <f>J25/'Annuity rates'!$C$38</f>
        <v>2365.7843817744247</v>
      </c>
      <c r="K26" s="1">
        <f>K25/'Annuity rates'!$C$38</f>
        <v>2768.0042921224717</v>
      </c>
      <c r="L26" s="1">
        <f>L25/'Annuity rates'!$C$38</f>
        <v>2629.9697319803013</v>
      </c>
    </row>
    <row r="27" spans="2:13">
      <c r="B27" t="s">
        <v>14</v>
      </c>
      <c r="G27">
        <f t="shared" si="0"/>
        <v>20</v>
      </c>
      <c r="H27">
        <f t="shared" si="1"/>
        <v>2041</v>
      </c>
      <c r="I27" s="1">
        <f>I26/'Annuity rates'!$C$38</f>
        <v>2754.2331264900217</v>
      </c>
      <c r="J27" s="1">
        <f>J26/'Annuity rates'!$C$38</f>
        <v>2354.0143102233083</v>
      </c>
      <c r="K27" s="1">
        <f>K26/'Annuity rates'!$C$38</f>
        <v>2754.2331264900217</v>
      </c>
      <c r="L27" s="1">
        <f>L26/'Annuity rates'!$C$38</f>
        <v>2616.8853054530364</v>
      </c>
    </row>
    <row r="28" spans="2:13">
      <c r="G28">
        <f t="shared" si="0"/>
        <v>21</v>
      </c>
      <c r="H28">
        <f t="shared" si="1"/>
        <v>2042</v>
      </c>
      <c r="I28" s="1">
        <f>I27/'Annuity rates'!$C$38</f>
        <v>2740.530474119425</v>
      </c>
      <c r="J28" s="1">
        <f>J27/'Annuity rates'!$C$38</f>
        <v>2342.3027962420979</v>
      </c>
      <c r="K28" s="1">
        <f>K27/'Annuity rates'!$C$38</f>
        <v>2740.530474119425</v>
      </c>
      <c r="L28" s="1">
        <f>L27/'Annuity rates'!$C$38</f>
        <v>2603.865975575161</v>
      </c>
    </row>
    <row r="29" spans="2:13">
      <c r="B29" t="s">
        <v>12</v>
      </c>
      <c r="G29">
        <f t="shared" si="0"/>
        <v>22</v>
      </c>
      <c r="H29">
        <f t="shared" si="1"/>
        <v>2043</v>
      </c>
      <c r="I29" s="1">
        <f>I28/'Annuity rates'!$C$38</f>
        <v>2726.8959941486819</v>
      </c>
      <c r="J29" s="1">
        <f>J28/'Annuity rates'!$C$38</f>
        <v>2330.6495484996003</v>
      </c>
      <c r="K29" s="1">
        <f>K28/'Annuity rates'!$C$38</f>
        <v>2726.8959941486819</v>
      </c>
      <c r="L29" s="1">
        <f>L28/'Annuity rates'!$C$38</f>
        <v>2590.9114184827476</v>
      </c>
    </row>
    <row r="30" spans="2:13">
      <c r="B30" t="s">
        <v>8</v>
      </c>
      <c r="C30" t="s">
        <v>237</v>
      </c>
      <c r="G30">
        <f t="shared" si="0"/>
        <v>23</v>
      </c>
      <c r="H30">
        <f t="shared" si="1"/>
        <v>2044</v>
      </c>
      <c r="I30" s="1">
        <f>I29/'Annuity rates'!$C$38</f>
        <v>2713.329347411624</v>
      </c>
      <c r="J30" s="1">
        <f>J29/'Annuity rates'!$C$38</f>
        <v>2319.0542771140304</v>
      </c>
      <c r="K30" s="1">
        <f>K29/'Annuity rates'!$C$38</f>
        <v>2713.329347411624</v>
      </c>
      <c r="L30" s="1">
        <f>L29/'Annuity rates'!$C$38</f>
        <v>2578.0213119231321</v>
      </c>
    </row>
    <row r="31" spans="2:13">
      <c r="B31" t="s">
        <v>9</v>
      </c>
      <c r="C31">
        <v>11</v>
      </c>
      <c r="G31">
        <f t="shared" si="0"/>
        <v>24</v>
      </c>
      <c r="H31">
        <f t="shared" si="1"/>
        <v>2045</v>
      </c>
      <c r="I31" s="1">
        <f>I30/'Annuity rates'!$C$38</f>
        <v>2699.8301964294769</v>
      </c>
      <c r="J31" s="1">
        <f>J30/'Annuity rates'!$C$38</f>
        <v>2307.5166936458018</v>
      </c>
      <c r="K31" s="1">
        <f>K30/'Annuity rates'!$C$38</f>
        <v>2699.8301964294769</v>
      </c>
      <c r="L31" s="1">
        <f>L30/'Annuity rates'!$C$38</f>
        <v>2565.1953352468977</v>
      </c>
    </row>
    <row r="32" spans="2:13">
      <c r="B32" t="s">
        <v>10</v>
      </c>
      <c r="C32">
        <v>10</v>
      </c>
      <c r="G32">
        <f t="shared" si="0"/>
        <v>25</v>
      </c>
      <c r="H32">
        <f t="shared" si="1"/>
        <v>2046</v>
      </c>
      <c r="I32" s="1">
        <f>B9/('Annuity rates'!$C$38^(G35-1))</f>
        <v>2778.4773480731637</v>
      </c>
      <c r="J32" s="1">
        <f>B16/('Annuity rates'!$C$38^(G35-1))</f>
        <v>2388.6689500735943</v>
      </c>
      <c r="K32" s="1">
        <f>C9/('Annuity rates'!$C$38^(G35-1))</f>
        <v>2778.4773480731637</v>
      </c>
      <c r="L32" s="1">
        <f>C16/('Annuity rates'!$C$38^(G35-1))</f>
        <v>2661.3600267010956</v>
      </c>
      <c r="M32" t="s">
        <v>110</v>
      </c>
    </row>
    <row r="33" spans="2:12">
      <c r="B33" t="s">
        <v>13</v>
      </c>
      <c r="C33">
        <v>36</v>
      </c>
      <c r="G33">
        <f t="shared" si="0"/>
        <v>26</v>
      </c>
      <c r="H33">
        <f t="shared" si="1"/>
        <v>2047</v>
      </c>
      <c r="I33" s="1">
        <f>I32/'Annuity rates'!$C$38</f>
        <v>2764.6540776847405</v>
      </c>
      <c r="J33" s="1">
        <f>J32/'Annuity rates'!$C$38</f>
        <v>2376.7850249488502</v>
      </c>
      <c r="K33" s="1">
        <f>K32/'Annuity rates'!$C$38</f>
        <v>2764.6540776847405</v>
      </c>
      <c r="L33" s="1">
        <f>L32/'Annuity rates'!$C$38</f>
        <v>2648.1194295533292</v>
      </c>
    </row>
    <row r="34" spans="2:12">
      <c r="B34" t="s">
        <v>14</v>
      </c>
      <c r="G34">
        <f t="shared" si="0"/>
        <v>27</v>
      </c>
      <c r="H34">
        <f t="shared" si="1"/>
        <v>2048</v>
      </c>
      <c r="I34" s="1">
        <f>I33/'Annuity rates'!$C$38</f>
        <v>2750.899579785812</v>
      </c>
      <c r="J34" s="1">
        <f>J33/'Annuity rates'!$C$38</f>
        <v>2364.960223829702</v>
      </c>
      <c r="K34" s="1">
        <f>K33/'Annuity rates'!$C$38</f>
        <v>2750.899579785812</v>
      </c>
      <c r="L34" s="1">
        <f>L33/'Annuity rates'!$C$38</f>
        <v>2634.9447060232133</v>
      </c>
    </row>
    <row r="35" spans="2:12">
      <c r="G35">
        <f t="shared" si="0"/>
        <v>28</v>
      </c>
      <c r="H35">
        <f t="shared" si="1"/>
        <v>2049</v>
      </c>
      <c r="I35" s="1">
        <f>I34/'Annuity rates'!$C$38</f>
        <v>2737.2135122246887</v>
      </c>
      <c r="J35" s="1">
        <f>J34/'Annuity rates'!$C$38</f>
        <v>2353.1942525668678</v>
      </c>
      <c r="K35" s="1">
        <f>K34/'Annuity rates'!$C$38</f>
        <v>2737.2135122246887</v>
      </c>
      <c r="L35" s="1">
        <f>L34/'Annuity rates'!$C$38</f>
        <v>2621.8355283813071</v>
      </c>
    </row>
    <row r="36" spans="2:12">
      <c r="B36" t="s">
        <v>17</v>
      </c>
      <c r="G36">
        <f t="shared" si="0"/>
        <v>29</v>
      </c>
      <c r="H36">
        <f t="shared" si="1"/>
        <v>2050</v>
      </c>
      <c r="I36" s="1">
        <f>I35/'Annuity rates'!$C$38</f>
        <v>2723.5955345519292</v>
      </c>
      <c r="J36" s="1">
        <f>J35/'Annuity rates'!$C$38</f>
        <v>2341.4868184744955</v>
      </c>
      <c r="K36" s="1">
        <f>K35/'Annuity rates'!$C$38</f>
        <v>2723.5955345519292</v>
      </c>
      <c r="L36" s="1">
        <f>L35/'Annuity rates'!$C$38</f>
        <v>2608.7915705286641</v>
      </c>
    </row>
    <row r="37" spans="2:12">
      <c r="G37">
        <f t="shared" si="0"/>
        <v>30</v>
      </c>
      <c r="H37">
        <f t="shared" si="1"/>
        <v>2051</v>
      </c>
      <c r="I37" s="1">
        <f>I36/'Annuity rates'!$C$38</f>
        <v>2710.04530801187</v>
      </c>
      <c r="J37" s="1">
        <f>J36/'Annuity rates'!$C$38</f>
        <v>2329.8376303228815</v>
      </c>
      <c r="K37" s="1">
        <f>K36/'Annuity rates'!$C$38</f>
        <v>2710.04530801187</v>
      </c>
      <c r="L37" s="1">
        <f>L36/'Annuity rates'!$C$38</f>
        <v>2595.8125079887209</v>
      </c>
    </row>
    <row r="38" spans="2:12">
      <c r="B38" s="93" t="s">
        <v>101</v>
      </c>
      <c r="C38" s="28">
        <f>Inputs!B18+1</f>
        <v>1.0049999999999999</v>
      </c>
      <c r="G38">
        <f t="shared" si="0"/>
        <v>31</v>
      </c>
      <c r="H38">
        <f t="shared" si="1"/>
        <v>2052</v>
      </c>
      <c r="I38" s="1">
        <f>I37/'Annuity rates'!$C$38</f>
        <v>2696.5624955341991</v>
      </c>
      <c r="J38" s="1">
        <f>J37/'Annuity rates'!$C$38</f>
        <v>2318.2463983312255</v>
      </c>
      <c r="K38" s="1">
        <f>K37/'Annuity rates'!$C$38</f>
        <v>2696.5624955341991</v>
      </c>
      <c r="L38" s="1">
        <f>L37/'Annuity rates'!$C$38</f>
        <v>2582.8980178992251</v>
      </c>
    </row>
    <row r="39" spans="2:12">
      <c r="B39" s="93"/>
      <c r="G39">
        <f t="shared" si="0"/>
        <v>32</v>
      </c>
      <c r="H39">
        <f t="shared" si="1"/>
        <v>2053</v>
      </c>
      <c r="I39" s="1">
        <f>I38/'Annuity rates'!$C$38</f>
        <v>2683.1467617255717</v>
      </c>
      <c r="J39" s="1">
        <f>J38/'Annuity rates'!$C$38</f>
        <v>2306.7128341604234</v>
      </c>
      <c r="K39" s="1">
        <f>K38/'Annuity rates'!$C$38</f>
        <v>2683.1467617255717</v>
      </c>
      <c r="L39" s="1">
        <f>L38/'Annuity rates'!$C$38</f>
        <v>2570.0477790042046</v>
      </c>
    </row>
    <row r="40" spans="2:12">
      <c r="G40">
        <f t="shared" si="0"/>
        <v>33</v>
      </c>
      <c r="H40">
        <f t="shared" si="1"/>
        <v>2054</v>
      </c>
      <c r="I40" s="1">
        <f>I39/'Annuity rates'!$C$38</f>
        <v>2669.7977728612655</v>
      </c>
      <c r="J40" s="1">
        <f>J39/'Annuity rates'!$C$38</f>
        <v>2295.2366509058943</v>
      </c>
      <c r="K40" s="1">
        <f>K39/'Annuity rates'!$C$38</f>
        <v>2669.7977728612655</v>
      </c>
      <c r="L40" s="1">
        <f>L39/'Annuity rates'!$C$38</f>
        <v>2557.2614716459748</v>
      </c>
    </row>
    <row r="41" spans="2:12">
      <c r="G41">
        <f t="shared" si="0"/>
        <v>34</v>
      </c>
      <c r="H41">
        <f t="shared" si="1"/>
        <v>2055</v>
      </c>
      <c r="I41" s="1">
        <f>I40/'Annuity rates'!$C$38</f>
        <v>2656.5151968768814</v>
      </c>
      <c r="J41" s="1">
        <f>J40/'Annuity rates'!$C$38</f>
        <v>2283.8175630904425</v>
      </c>
      <c r="K41" s="1">
        <f>K40/'Annuity rates'!$C$38</f>
        <v>2656.5151968768814</v>
      </c>
      <c r="L41" s="1">
        <f>L40/'Annuity rates'!$C$38</f>
        <v>2544.5387777571891</v>
      </c>
    </row>
    <row r="42" spans="2:12">
      <c r="G42">
        <f t="shared" si="0"/>
        <v>35</v>
      </c>
      <c r="H42">
        <f t="shared" si="1"/>
        <v>2056</v>
      </c>
      <c r="I42" s="1">
        <f>I41/'Annuity rates'!$C$38</f>
        <v>2643.2987033600812</v>
      </c>
      <c r="J42" s="1">
        <f>J41/'Annuity rates'!$C$38</f>
        <v>2272.4552866571571</v>
      </c>
      <c r="K42" s="1">
        <f>K41/'Annuity rates'!$C$38</f>
        <v>2643.2987033600812</v>
      </c>
      <c r="L42" s="1">
        <f>L41/'Annuity rates'!$C$38</f>
        <v>2531.8793808529249</v>
      </c>
    </row>
    <row r="43" spans="2:12">
      <c r="G43">
        <f t="shared" si="0"/>
        <v>36</v>
      </c>
      <c r="H43">
        <f t="shared" si="1"/>
        <v>2057</v>
      </c>
      <c r="I43" s="1">
        <f>I42/'Annuity rates'!$C$38</f>
        <v>2630.1479635423698</v>
      </c>
      <c r="J43" s="1">
        <f>J42/'Annuity rates'!$C$38</f>
        <v>2261.1495389623456</v>
      </c>
      <c r="K43" s="1">
        <f>K42/'Annuity rates'!$C$38</f>
        <v>2630.1479635423698</v>
      </c>
      <c r="L43" s="1">
        <f>L42/'Annuity rates'!$C$38</f>
        <v>2519.2829660228113</v>
      </c>
    </row>
    <row r="44" spans="2:12">
      <c r="G44">
        <f t="shared" si="0"/>
        <v>37</v>
      </c>
      <c r="H44">
        <f t="shared" si="1"/>
        <v>2058</v>
      </c>
      <c r="I44" s="1">
        <f>I43/'Annuity rates'!$C$38</f>
        <v>2617.0626502909154</v>
      </c>
      <c r="J44" s="1">
        <f>J43/'Annuity rates'!$C$38</f>
        <v>2249.9000387685032</v>
      </c>
      <c r="K44" s="1">
        <f>K43/'Annuity rates'!$C$38</f>
        <v>2617.0626502909154</v>
      </c>
      <c r="L44" s="1">
        <f>L43/'Annuity rates'!$C$38</f>
        <v>2506.7492199231956</v>
      </c>
    </row>
    <row r="45" spans="2:12">
      <c r="G45">
        <f t="shared" si="0"/>
        <v>38</v>
      </c>
      <c r="H45">
        <f t="shared" si="1"/>
        <v>2059</v>
      </c>
      <c r="I45" s="1">
        <f>I44/'Annuity rates'!$C$38</f>
        <v>2604.0424381004136</v>
      </c>
      <c r="J45" s="1">
        <f>J44/'Annuity rates'!$C$38</f>
        <v>2238.7065062373167</v>
      </c>
      <c r="K45" s="1">
        <f>K44/'Annuity rates'!$C$38</f>
        <v>2604.0424381004136</v>
      </c>
      <c r="L45" s="1">
        <f>L44/'Annuity rates'!$C$38</f>
        <v>2494.2778307693493</v>
      </c>
    </row>
    <row r="46" spans="2:12">
      <c r="G46">
        <f t="shared" si="0"/>
        <v>39</v>
      </c>
      <c r="H46">
        <f t="shared" si="1"/>
        <v>2060</v>
      </c>
      <c r="I46" s="1">
        <f>I45/'Annuity rates'!$C$38</f>
        <v>2591.0870030849887</v>
      </c>
      <c r="J46" s="1">
        <f>J45/'Annuity rates'!$C$38</f>
        <v>2227.5686629227034</v>
      </c>
      <c r="K46" s="1">
        <f>K45/'Annuity rates'!$C$38</f>
        <v>2591.0870030849887</v>
      </c>
      <c r="L46" s="1">
        <f>L45/'Annuity rates'!$C$38</f>
        <v>2481.868488327711</v>
      </c>
    </row>
    <row r="47" spans="2:12">
      <c r="G47">
        <f t="shared" si="0"/>
        <v>40</v>
      </c>
      <c r="H47">
        <f t="shared" si="1"/>
        <v>2061</v>
      </c>
      <c r="I47" s="1">
        <f>I46/'Annuity rates'!$C$38</f>
        <v>2578.1960229701385</v>
      </c>
      <c r="J47" s="1">
        <f>J46/'Annuity rates'!$C$38</f>
        <v>2216.4862317638845</v>
      </c>
      <c r="K47" s="1">
        <f>K46/'Annuity rates'!$C$38</f>
        <v>2578.1960229701385</v>
      </c>
      <c r="L47" s="1">
        <f>L46/'Annuity rates'!$C$38</f>
        <v>2469.5208839081706</v>
      </c>
    </row>
    <row r="48" spans="2:12">
      <c r="G48">
        <f t="shared" si="0"/>
        <v>41</v>
      </c>
      <c r="H48">
        <f t="shared" si="1"/>
        <v>2062</v>
      </c>
      <c r="I48" s="1">
        <f>I47/'Annuity rates'!$C$38</f>
        <v>2565.3691770847154</v>
      </c>
      <c r="J48" s="1">
        <f>J47/'Annuity rates'!$C$38</f>
        <v>2205.4589370784925</v>
      </c>
      <c r="K48" s="1">
        <f>K47/'Annuity rates'!$C$38</f>
        <v>2565.3691770847154</v>
      </c>
      <c r="L48" s="1">
        <f>L47/'Annuity rates'!$C$38</f>
        <v>2457.2347103563889</v>
      </c>
    </row>
    <row r="49" spans="5:12">
      <c r="G49">
        <f t="shared" si="0"/>
        <v>42</v>
      </c>
      <c r="H49">
        <f t="shared" si="1"/>
        <v>2063</v>
      </c>
      <c r="I49" s="1">
        <f>I48/'Annuity rates'!$C$38</f>
        <v>2552.6061463529509</v>
      </c>
      <c r="J49" s="1">
        <f>J48/'Annuity rates'!$C$38</f>
        <v>2194.486504555714</v>
      </c>
      <c r="K49" s="1">
        <f>K48/'Annuity rates'!$C$38</f>
        <v>2552.6061463529509</v>
      </c>
      <c r="L49" s="1">
        <f>L48/'Annuity rates'!$C$38</f>
        <v>2445.0096620461582</v>
      </c>
    </row>
    <row r="50" spans="5:12">
      <c r="G50">
        <f t="shared" si="0"/>
        <v>43</v>
      </c>
      <c r="H50">
        <f t="shared" si="1"/>
        <v>2064</v>
      </c>
      <c r="I50" s="1">
        <f>I49/'Annuity rates'!$C$38</f>
        <v>2539.9066132865187</v>
      </c>
      <c r="J50" s="1">
        <f>J49/'Annuity rates'!$C$38</f>
        <v>2183.5686612494669</v>
      </c>
      <c r="K50" s="1">
        <f>K49/'Annuity rates'!$C$38</f>
        <v>2539.9066132865187</v>
      </c>
      <c r="L50" s="1">
        <f>L49/'Annuity rates'!$C$38</f>
        <v>2432.8454348717996</v>
      </c>
    </row>
    <row r="51" spans="5:12">
      <c r="G51">
        <f t="shared" si="0"/>
        <v>44</v>
      </c>
      <c r="H51">
        <f t="shared" si="1"/>
        <v>2065</v>
      </c>
      <c r="I51" s="1">
        <f>I50/'Annuity rates'!$C$38</f>
        <v>2527.270261976636</v>
      </c>
      <c r="J51" s="1">
        <f>J50/'Annuity rates'!$C$38</f>
        <v>2172.7051355716089</v>
      </c>
      <c r="K51" s="1">
        <f>K50/'Annuity rates'!$C$38</f>
        <v>2527.270261976636</v>
      </c>
      <c r="L51" s="1">
        <f>L50/'Annuity rates'!$C$38</f>
        <v>2420.741726240597</v>
      </c>
    </row>
    <row r="52" spans="5:12">
      <c r="G52">
        <f t="shared" si="0"/>
        <v>45</v>
      </c>
      <c r="H52">
        <f t="shared" si="1"/>
        <v>2066</v>
      </c>
      <c r="I52" s="1">
        <f>I51/'Annuity rates'!$C$38</f>
        <v>2514.6967780862051</v>
      </c>
      <c r="J52" s="1">
        <f>J51/'Annuity rates'!$C$38</f>
        <v>2161.8956572851835</v>
      </c>
      <c r="K52" s="1">
        <f>K51/'Annuity rates'!$C$38</f>
        <v>2514.6967780862051</v>
      </c>
      <c r="L52" s="1">
        <f>L51/'Annuity rates'!$C$38</f>
        <v>2408.6982350652711</v>
      </c>
    </row>
    <row r="53" spans="5:12">
      <c r="G53">
        <f t="shared" si="0"/>
        <v>46</v>
      </c>
      <c r="H53">
        <f t="shared" si="1"/>
        <v>2067</v>
      </c>
      <c r="I53" s="1">
        <f>I52/'Annuity rates'!$C$38</f>
        <v>2502.1858488419953</v>
      </c>
      <c r="J53" s="1">
        <f>J52/'Annuity rates'!$C$38</f>
        <v>2151.1399574976954</v>
      </c>
      <c r="K53" s="1">
        <f>K52/'Annuity rates'!$C$38</f>
        <v>2502.1858488419953</v>
      </c>
      <c r="L53" s="1">
        <f>L52/'Annuity rates'!$C$38</f>
        <v>2396.714661756489</v>
      </c>
    </row>
    <row r="54" spans="5:12">
      <c r="G54">
        <f t="shared" si="0"/>
        <v>47</v>
      </c>
      <c r="H54">
        <f t="shared" si="1"/>
        <v>2068</v>
      </c>
      <c r="I54" s="1">
        <f>I53/'Annuity rates'!$C$38</f>
        <v>2489.7371630268613</v>
      </c>
      <c r="J54" s="1">
        <f>J53/'Annuity rates'!$C$38</f>
        <v>2140.4377686544235</v>
      </c>
      <c r="K54" s="1">
        <f>K53/'Annuity rates'!$C$38</f>
        <v>2489.7371630268613</v>
      </c>
      <c r="L54" s="1">
        <f>L53/'Annuity rates'!$C$38</f>
        <v>2384.790708215412</v>
      </c>
    </row>
    <row r="55" spans="5:12">
      <c r="E55" s="5"/>
      <c r="G55">
        <f t="shared" si="0"/>
        <v>48</v>
      </c>
      <c r="H55">
        <f t="shared" si="1"/>
        <v>2069</v>
      </c>
      <c r="I55" s="1">
        <f>I54/'Annuity rates'!$C$38</f>
        <v>2477.3504109720016</v>
      </c>
      <c r="J55" s="1">
        <f>J54/'Annuity rates'!$C$38</f>
        <v>2129.7888245317649</v>
      </c>
      <c r="K55" s="1">
        <f>K54/'Annuity rates'!$C$38</f>
        <v>2477.3504109720016</v>
      </c>
      <c r="L55" s="1">
        <f>L54/'Annuity rates'!$C$38</f>
        <v>2372.926077826281</v>
      </c>
    </row>
    <row r="56" spans="5:12">
      <c r="G56">
        <f t="shared" si="0"/>
        <v>49</v>
      </c>
      <c r="H56">
        <f t="shared" si="1"/>
        <v>2070</v>
      </c>
      <c r="I56" s="1">
        <f>I55/'Annuity rates'!$C$38</f>
        <v>2465.0252845492555</v>
      </c>
      <c r="J56" s="1">
        <f>J55/'Annuity rates'!$C$38</f>
        <v>2119.192860230612</v>
      </c>
      <c r="K56" s="1">
        <f>K55/'Annuity rates'!$C$38</f>
        <v>2465.0252845492555</v>
      </c>
      <c r="L56" s="1">
        <f>L55/'Annuity rates'!$C$38</f>
        <v>2361.1204754490359</v>
      </c>
    </row>
    <row r="58" spans="5:12">
      <c r="H58" s="9"/>
    </row>
  </sheetData>
  <mergeCells count="2">
    <mergeCell ref="H5:L5"/>
    <mergeCell ref="B38:B3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68"/>
  <sheetViews>
    <sheetView workbookViewId="0">
      <selection activeCell="P11" sqref="P11"/>
    </sheetView>
  </sheetViews>
  <sheetFormatPr baseColWidth="10" defaultRowHeight="16"/>
  <cols>
    <col min="2" max="2" width="11.5" bestFit="1" customWidth="1"/>
    <col min="3" max="3" width="12.5" bestFit="1" customWidth="1"/>
    <col min="4" max="4" width="12.5" customWidth="1"/>
    <col min="5" max="5" width="13.83203125" bestFit="1" customWidth="1"/>
    <col min="6" max="8" width="14" bestFit="1" customWidth="1"/>
    <col min="9" max="9" width="14" customWidth="1"/>
    <col min="10" max="11" width="11.5" bestFit="1" customWidth="1"/>
    <col min="13" max="16" width="14" bestFit="1" customWidth="1"/>
    <col min="18" max="18" width="12.5" bestFit="1" customWidth="1"/>
    <col min="19" max="19" width="16.33203125" bestFit="1" customWidth="1"/>
    <col min="21" max="21" width="16" customWidth="1"/>
    <col min="22" max="22" width="14.6640625" customWidth="1"/>
    <col min="23" max="23" width="15.5" customWidth="1"/>
    <col min="24" max="24" width="14" customWidth="1"/>
  </cols>
  <sheetData>
    <row r="1" spans="1:24">
      <c r="A1" s="3" t="s">
        <v>117</v>
      </c>
    </row>
    <row r="3" spans="1:24">
      <c r="A3" t="s">
        <v>118</v>
      </c>
    </row>
    <row r="4" spans="1:24">
      <c r="A4" t="s">
        <v>119</v>
      </c>
    </row>
    <row r="5" spans="1:24">
      <c r="A5" t="s">
        <v>120</v>
      </c>
    </row>
    <row r="6" spans="1:24">
      <c r="A6" t="s">
        <v>121</v>
      </c>
    </row>
    <row r="7" spans="1:24">
      <c r="E7" s="92" t="s">
        <v>199</v>
      </c>
      <c r="F7" s="92"/>
      <c r="G7" s="92"/>
      <c r="H7" s="92"/>
      <c r="I7" s="83"/>
      <c r="J7" s="92" t="s">
        <v>231</v>
      </c>
      <c r="K7" s="92"/>
      <c r="L7" s="92"/>
      <c r="M7" s="92"/>
      <c r="N7" s="92"/>
      <c r="O7" s="92"/>
      <c r="P7" s="92"/>
      <c r="Q7" s="92"/>
      <c r="R7" s="92" t="s">
        <v>197</v>
      </c>
      <c r="S7" s="92"/>
      <c r="T7" s="92"/>
      <c r="U7" s="92"/>
      <c r="V7" s="92"/>
      <c r="W7" s="92"/>
      <c r="X7" s="92"/>
    </row>
    <row r="8" spans="1:24">
      <c r="E8" s="91" t="s">
        <v>30</v>
      </c>
      <c r="F8" s="91"/>
      <c r="G8" s="91"/>
      <c r="H8" s="91"/>
      <c r="I8" s="82"/>
      <c r="M8" s="91" t="s">
        <v>30</v>
      </c>
      <c r="N8" s="91"/>
      <c r="O8" s="91"/>
      <c r="P8" s="91"/>
      <c r="U8" s="91" t="s">
        <v>198</v>
      </c>
      <c r="V8" s="91"/>
      <c r="W8" s="91"/>
      <c r="X8" s="91"/>
    </row>
    <row r="9" spans="1:24">
      <c r="E9" t="s">
        <v>24</v>
      </c>
      <c r="G9" t="s">
        <v>26</v>
      </c>
      <c r="H9" t="s">
        <v>11</v>
      </c>
      <c r="M9" t="s">
        <v>24</v>
      </c>
      <c r="O9" t="s">
        <v>26</v>
      </c>
      <c r="P9" t="s">
        <v>11</v>
      </c>
      <c r="U9" t="s">
        <v>24</v>
      </c>
      <c r="W9" t="s">
        <v>26</v>
      </c>
      <c r="X9" t="s">
        <v>11</v>
      </c>
    </row>
    <row r="10" spans="1:24">
      <c r="B10" t="s">
        <v>21</v>
      </c>
      <c r="C10" t="s">
        <v>27</v>
      </c>
      <c r="E10" t="s">
        <v>25</v>
      </c>
      <c r="F10" t="s">
        <v>11</v>
      </c>
      <c r="G10" t="s">
        <v>25</v>
      </c>
      <c r="H10" t="s">
        <v>11</v>
      </c>
      <c r="J10" t="s">
        <v>21</v>
      </c>
      <c r="K10" t="s">
        <v>27</v>
      </c>
      <c r="M10" t="s">
        <v>25</v>
      </c>
      <c r="N10" t="s">
        <v>11</v>
      </c>
      <c r="O10" t="s">
        <v>25</v>
      </c>
      <c r="P10" t="s">
        <v>11</v>
      </c>
      <c r="S10" t="s">
        <v>194</v>
      </c>
      <c r="U10" t="s">
        <v>25</v>
      </c>
      <c r="V10" t="s">
        <v>11</v>
      </c>
      <c r="W10" t="s">
        <v>25</v>
      </c>
      <c r="X10" t="s">
        <v>11</v>
      </c>
    </row>
    <row r="11" spans="1:24">
      <c r="A11">
        <v>2022</v>
      </c>
      <c r="B11" s="1">
        <f>Income!C9</f>
        <v>32000</v>
      </c>
      <c r="C11" s="1">
        <f>B11/Inputs!B24</f>
        <v>426.66666666666669</v>
      </c>
      <c r="D11" s="1"/>
      <c r="E11" s="5">
        <f>C11/'Annuity rates'!I8*100000+3*C11</f>
        <v>16120.579710144928</v>
      </c>
      <c r="F11" s="5">
        <f>C11/'Annuity rates'!J8*100000+C11*3</f>
        <v>18560.950452274876</v>
      </c>
      <c r="G11" s="5">
        <f>C11/'Annuity rates'!K8*100000+C11*3</f>
        <v>16120.579710144928</v>
      </c>
      <c r="H11" s="5">
        <f>C11/'Annuity rates'!L8*100000+3*C11</f>
        <v>16966.274509803923</v>
      </c>
      <c r="I11" s="5"/>
      <c r="J11" s="5">
        <f>Income!D9</f>
        <v>30000</v>
      </c>
      <c r="K11" s="1">
        <f>J11/Inputs!B30</f>
        <v>181.81818181818181</v>
      </c>
      <c r="M11" s="5">
        <f>K11/'Annuity rates'!I8*100000+3*C11</f>
        <v>7604.1106719367581</v>
      </c>
      <c r="N11" s="5">
        <f>K11/'Annuity rates'!J8*100000+C11*3</f>
        <v>8644.0413859125874</v>
      </c>
      <c r="O11" s="5">
        <f>K11/'Annuity rates'!K8*100000+C11*3</f>
        <v>7604.1106719367581</v>
      </c>
      <c r="P11" s="5">
        <f>K11/'Annuity rates'!L8*100000+3*C11</f>
        <v>7964.4919786096261</v>
      </c>
      <c r="R11" s="5">
        <f>Income!B9</f>
        <v>32000</v>
      </c>
      <c r="S11" s="5">
        <f>R11/57</f>
        <v>561.40350877192986</v>
      </c>
      <c r="U11" s="5">
        <f>S11/'Annuity rates'!I8*100000</f>
        <v>19527.07856598017</v>
      </c>
      <c r="V11" s="5">
        <f>S11/'Annuity rates'!J8*100000+C11*3</f>
        <v>24018.092700361678</v>
      </c>
      <c r="W11" s="5">
        <f>S11/'Annuity rates'!K8*100000+C11*3</f>
        <v>20807.07856598017</v>
      </c>
      <c r="X11" s="5">
        <f>S11/'Annuity rates'!L8*100000+3*C11</f>
        <v>21919.834881320952</v>
      </c>
    </row>
    <row r="12" spans="1:24">
      <c r="A12">
        <f>A11+1</f>
        <v>2023</v>
      </c>
      <c r="B12" s="1">
        <f>Income!C10</f>
        <v>32640</v>
      </c>
      <c r="C12" s="1">
        <f>C11+B12/Inputs!B$24</f>
        <v>861.86666666666667</v>
      </c>
      <c r="D12" s="1"/>
      <c r="E12" s="5">
        <f>C12/'Annuity rates'!I9*100000+3*C12</f>
        <v>32713.460869565213</v>
      </c>
      <c r="F12" s="5">
        <f>C12/'Annuity rates'!J9*100000+C12*3</f>
        <v>37667.65751316322</v>
      </c>
      <c r="G12" s="5">
        <f>C12/'Annuity rates'!K9*100000+C12*3</f>
        <v>32713.460869565213</v>
      </c>
      <c r="H12" s="5">
        <f>C12/'Annuity rates'!L9*100000+3*C12</f>
        <v>34430.305882352935</v>
      </c>
      <c r="I12" s="5"/>
      <c r="J12" s="5">
        <f>Income!D10</f>
        <v>30000</v>
      </c>
      <c r="K12" s="86">
        <f>K11+J12/Inputs!B$30</f>
        <v>363.63636363636363</v>
      </c>
      <c r="M12" s="5">
        <f>K12/'Annuity rates'!I9*100000+3*C12</f>
        <v>15297.062450592884</v>
      </c>
      <c r="N12" s="5">
        <f>K12/'Annuity rates'!J9*100000+C12*3</f>
        <v>17387.323185684301</v>
      </c>
      <c r="O12" s="5">
        <f>K12/'Annuity rates'!K9*100000+C12*3</f>
        <v>15297.062450592884</v>
      </c>
      <c r="P12" s="5">
        <f>K12/'Annuity rates'!L9*100000+3*C12</f>
        <v>16021.428877005346</v>
      </c>
      <c r="R12" s="5">
        <f>Income!B10</f>
        <v>32640</v>
      </c>
      <c r="S12" s="5">
        <f>S11*1.016+R12/57</f>
        <v>1143.0175438596493</v>
      </c>
      <c r="U12" s="5">
        <f>S12/'Annuity rates'!I9*100000</f>
        <v>39955.917620137305</v>
      </c>
      <c r="V12" s="5">
        <f>S12/'Annuity rates'!J9*100000+C12*3</f>
        <v>49111.830521626056</v>
      </c>
      <c r="W12" s="5">
        <f>S12/'Annuity rates'!K9*100000+C12*3</f>
        <v>42541.517620137303</v>
      </c>
      <c r="X12" s="5">
        <f>S12/'Annuity rates'!L9*100000+3*C12</f>
        <v>44818.417337461302</v>
      </c>
    </row>
    <row r="13" spans="1:24">
      <c r="A13">
        <f t="shared" ref="A13:A59" si="0">A12+1</f>
        <v>2024</v>
      </c>
      <c r="B13" s="1">
        <f>Income!C11</f>
        <v>33292.800000000003</v>
      </c>
      <c r="C13" s="1">
        <f>C12+B13/Inputs!B$24</f>
        <v>1305.7706666666668</v>
      </c>
      <c r="D13" s="1"/>
      <c r="E13" s="5">
        <f>C13/'Annuity rates'!I10*100000+3*C13</f>
        <v>49790.738699130423</v>
      </c>
      <c r="F13" s="5">
        <f>C13/'Annuity rates'!J10*100000+C13*3</f>
        <v>57334.121137302529</v>
      </c>
      <c r="G13" s="5">
        <f>C13/'Annuity rates'!K10*100000+C13*3</f>
        <v>49790.738699130423</v>
      </c>
      <c r="H13" s="5">
        <f>C13/'Annuity rates'!L10*100000+3*C13</f>
        <v>52404.849411764699</v>
      </c>
      <c r="I13" s="5"/>
      <c r="J13" s="5">
        <f>Income!D11</f>
        <v>30000</v>
      </c>
      <c r="K13" s="86">
        <f>K12+J13/Inputs!B$30</f>
        <v>545.4545454545455</v>
      </c>
      <c r="M13" s="5">
        <f>K13/'Annuity rates'!I10*100000+3*C13</f>
        <v>23079.841644268774</v>
      </c>
      <c r="N13" s="5">
        <f>K13/'Annuity rates'!J10*100000+C13*3</f>
        <v>26230.909702419085</v>
      </c>
      <c r="O13" s="5">
        <f>K13/'Annuity rates'!K10*100000+C13*3</f>
        <v>23079.841644268774</v>
      </c>
      <c r="P13" s="5">
        <f>K13/'Annuity rates'!L10*100000+3*C13</f>
        <v>24171.824032085562</v>
      </c>
      <c r="R13" s="5">
        <f>Income!B11</f>
        <v>33292.800000000003</v>
      </c>
      <c r="S13" s="5">
        <f t="shared" ref="S13:S59" si="1">S12*1.016+R13/57</f>
        <v>1745.3900350877198</v>
      </c>
      <c r="U13" s="5">
        <f>S13/'Annuity rates'!I10*100000</f>
        <v>61317.828528329519</v>
      </c>
      <c r="V13" s="5">
        <f>S13/'Annuity rates'!J10*100000+C13*3</f>
        <v>75318.185640723925</v>
      </c>
      <c r="W13" s="5">
        <f>S13/'Annuity rates'!K10*100000+C13*3</f>
        <v>65235.140528329517</v>
      </c>
      <c r="X13" s="5">
        <f>S13/'Annuity rates'!L10*100000+3*C13</f>
        <v>68729.355021671829</v>
      </c>
    </row>
    <row r="14" spans="1:24">
      <c r="A14">
        <f t="shared" si="0"/>
        <v>2025</v>
      </c>
      <c r="B14" s="1">
        <f>Income!C12</f>
        <v>33958.656000000003</v>
      </c>
      <c r="C14" s="1">
        <f>C13+B14/Inputs!B$24</f>
        <v>1758.5527466666667</v>
      </c>
      <c r="D14" s="1"/>
      <c r="E14" s="5">
        <f>C14/'Annuity rates'!I11*100000+3*C14</f>
        <v>67364.811253626423</v>
      </c>
      <c r="F14" s="5">
        <f>C14/'Annuity rates'!J11*100000+C14*3</f>
        <v>77574.692227110558</v>
      </c>
      <c r="G14" s="5">
        <f>C14/'Annuity rates'!K11*100000+C14*3</f>
        <v>67364.811253626423</v>
      </c>
      <c r="H14" s="5">
        <f>C14/'Annuity rates'!L11*100000+3*C14</f>
        <v>70902.979899623519</v>
      </c>
      <c r="I14" s="5"/>
      <c r="J14" s="5">
        <f>Income!D12</f>
        <v>30000</v>
      </c>
      <c r="K14" s="86">
        <f>K13+J14/Inputs!B$30</f>
        <v>727.27272727272725</v>
      </c>
      <c r="M14" s="5">
        <f>K14/'Annuity rates'!I11*100000+3*C14</f>
        <v>30953.447963320148</v>
      </c>
      <c r="N14" s="5">
        <f>K14/'Annuity rates'!J11*100000+C14*3</f>
        <v>35175.879161241566</v>
      </c>
      <c r="O14" s="5">
        <f>K14/'Annuity rates'!K11*100000+C14*3</f>
        <v>30953.447963320148</v>
      </c>
      <c r="P14" s="5">
        <f>K14/'Annuity rates'!L11*100000+3*C14</f>
        <v>32416.704362994646</v>
      </c>
      <c r="R14" s="5">
        <f>Income!B12</f>
        <v>33958.656000000003</v>
      </c>
      <c r="S14" s="5">
        <f t="shared" si="1"/>
        <v>2369.0821703859656</v>
      </c>
      <c r="U14" s="5">
        <f>S14/'Annuity rates'!I11*100000</f>
        <v>83645.091486601901</v>
      </c>
      <c r="V14" s="5">
        <f>S14/'Annuity rates'!J11*100000+C14*3</f>
        <v>102675.26861828289</v>
      </c>
      <c r="W14" s="5">
        <f>S14/'Annuity rates'!K11*100000+C14*3</f>
        <v>88920.749726601905</v>
      </c>
      <c r="X14" s="5">
        <f>S14/'Annuity rates'!L11*100000+3*C14</f>
        <v>93687.289866463412</v>
      </c>
    </row>
    <row r="15" spans="1:24">
      <c r="A15">
        <f t="shared" si="0"/>
        <v>2026</v>
      </c>
      <c r="B15" s="1">
        <f>Income!C13</f>
        <v>34637.829120000002</v>
      </c>
      <c r="C15" s="1">
        <f>C14+B15/Inputs!B$24</f>
        <v>2220.3904682666666</v>
      </c>
      <c r="D15" s="1"/>
      <c r="E15" s="5">
        <f>C15/'Annuity rates'!I12*100000+3*C15</f>
        <v>85448.386979938005</v>
      </c>
      <c r="F15" s="5">
        <f>C15/'Annuity rates'!J12*100000+C15*3</f>
        <v>98404.08140015103</v>
      </c>
      <c r="G15" s="5">
        <f>C15/'Annuity rates'!K12*100000+C15*3</f>
        <v>85448.386979938005</v>
      </c>
      <c r="H15" s="5">
        <f>C15/'Annuity rates'!L12*100000+3*C15</f>
        <v>89938.099632197685</v>
      </c>
      <c r="I15" s="5"/>
      <c r="J15" s="5">
        <f>Income!D13</f>
        <v>30000</v>
      </c>
      <c r="K15" s="86">
        <f>K14+J15/Inputs!B$30</f>
        <v>909.09090909090901</v>
      </c>
      <c r="M15" s="5">
        <f>K15/'Annuity rates'!I12*100000+3*C15</f>
        <v>38918.894744720936</v>
      </c>
      <c r="N15" s="5">
        <f>K15/'Annuity rates'!J12*100000+C15*3</f>
        <v>44223.323937109708</v>
      </c>
      <c r="O15" s="5">
        <f>K15/'Annuity rates'!K12*100000+C15*3</f>
        <v>38918.894744720936</v>
      </c>
      <c r="P15" s="5">
        <f>K15/'Annuity rates'!L12*100000+3*C15</f>
        <v>40757.110596812017</v>
      </c>
      <c r="R15" s="5">
        <f>Income!B13</f>
        <v>34637.829120000002</v>
      </c>
      <c r="S15" s="5">
        <f t="shared" si="1"/>
        <v>3014.6686977437203</v>
      </c>
      <c r="U15" s="5">
        <f>S15/'Annuity rates'!I12*100000</f>
        <v>106970.98369467033</v>
      </c>
      <c r="V15" s="5">
        <f>S15/'Annuity rates'!J12*100000+C15*3</f>
        <v>131222.361409732</v>
      </c>
      <c r="W15" s="5">
        <f>S15/'Annuity rates'!K12*100000+C15*3</f>
        <v>113632.15509947033</v>
      </c>
      <c r="X15" s="5">
        <f>S15/'Annuity rates'!L12*100000+3*C15</f>
        <v>119727.92806736514</v>
      </c>
    </row>
    <row r="16" spans="1:24">
      <c r="A16">
        <f t="shared" si="0"/>
        <v>2027</v>
      </c>
      <c r="B16" s="1">
        <f>Income!C14</f>
        <v>35330.5857024</v>
      </c>
      <c r="C16" s="1">
        <f>C15+B16/Inputs!B$24</f>
        <v>2691.4649442986665</v>
      </c>
      <c r="D16" s="1"/>
      <c r="E16" s="5">
        <f>C16/'Annuity rates'!I13*100000+3*C16</f>
        <v>104054.49246394385</v>
      </c>
      <c r="F16" s="5">
        <f>C16/'Annuity rates'!J13*100000+C16*3</f>
        <v>119837.36797557016</v>
      </c>
      <c r="G16" s="5">
        <f>C16/'Annuity rates'!K13*100000+C16*3</f>
        <v>104054.49246394385</v>
      </c>
      <c r="H16" s="5">
        <f>C16/'Annuity rates'!L13*100000+3*C16</f>
        <v>109523.94655688958</v>
      </c>
      <c r="I16" s="5"/>
      <c r="J16" s="5">
        <f>Income!D14</f>
        <v>30000</v>
      </c>
      <c r="K16" s="86">
        <f>K15+J16/Inputs!B$30</f>
        <v>1090.9090909090908</v>
      </c>
      <c r="M16" s="5">
        <f>K16/'Annuity rates'!I13*100000+3*C16</f>
        <v>46977.20918084064</v>
      </c>
      <c r="N16" s="5">
        <f>K16/'Annuity rates'!J13*100000+C16*3</f>
        <v>53374.350786861498</v>
      </c>
      <c r="O16" s="5">
        <f>K16/'Annuity rates'!K13*100000+C16*3</f>
        <v>46977.20918084064</v>
      </c>
      <c r="P16" s="5">
        <f>K16/'Annuity rates'!L13*100000+3*C16</f>
        <v>49194.097498462477</v>
      </c>
      <c r="R16" s="5">
        <f>Income!B14</f>
        <v>35330.5857024</v>
      </c>
      <c r="S16" s="5">
        <f t="shared" si="1"/>
        <v>3682.7382337918307</v>
      </c>
      <c r="U16" s="5">
        <f>S16/'Annuity rates'!I13*100000</f>
        <v>131329.80831784106</v>
      </c>
      <c r="V16" s="5">
        <f>S16/'Annuity rates'!J13*100000+C16*3</f>
        <v>160999.95129858778</v>
      </c>
      <c r="W16" s="5">
        <f>S16/'Annuity rates'!K13*100000+C16*3</f>
        <v>139404.20315073707</v>
      </c>
      <c r="X16" s="5">
        <f>S16/'Annuity rates'!L13*100000+3*C16</f>
        <v>146888.07090414345</v>
      </c>
    </row>
    <row r="17" spans="1:24">
      <c r="A17">
        <f t="shared" si="0"/>
        <v>2028</v>
      </c>
      <c r="B17" s="1">
        <f>Income!C15</f>
        <v>36037.197416447998</v>
      </c>
      <c r="C17" s="1">
        <f>C16+B17/Inputs!B$24</f>
        <v>3171.9609098513065</v>
      </c>
      <c r="D17" s="1"/>
      <c r="E17" s="5">
        <f>C17/'Annuity rates'!I14*100000+3*C17</f>
        <v>117452.38148077481</v>
      </c>
      <c r="F17" s="5">
        <f>C17/'Annuity rates'!J14*100000+C17*3</f>
        <v>135803.2545296686</v>
      </c>
      <c r="G17" s="5">
        <f>C17/'Annuity rates'!K14*100000+C17*3</f>
        <v>117452.38148077481</v>
      </c>
      <c r="H17" s="5">
        <f>C17/'Annuity rates'!L14*100000+3*C17</f>
        <v>123117.45319138806</v>
      </c>
      <c r="I17" s="5"/>
      <c r="J17" s="5">
        <f>Income!D15</f>
        <v>30000</v>
      </c>
      <c r="K17" s="86">
        <f>K16+J17/Inputs!B$30</f>
        <v>1272.7272727272725</v>
      </c>
      <c r="M17" s="5">
        <f>K17/'Annuity rates'!I14*100000+3*C17</f>
        <v>52824.652789337459</v>
      </c>
      <c r="N17" s="5">
        <f>K17/'Annuity rates'!J14*100000+C17*3</f>
        <v>60187.813077708692</v>
      </c>
      <c r="O17" s="5">
        <f>K17/'Annuity rates'!K14*100000+C17*3</f>
        <v>52824.652789337459</v>
      </c>
      <c r="P17" s="5">
        <f>K17/'Annuity rates'!L14*100000+3*C17</f>
        <v>55097.723445933676</v>
      </c>
      <c r="R17" s="5">
        <f>Income!B15</f>
        <v>36037.197416447998</v>
      </c>
      <c r="S17" s="5">
        <f t="shared" si="1"/>
        <v>4373.8935791543945</v>
      </c>
      <c r="U17" s="5">
        <f>S17/'Annuity rates'!I14*100000</f>
        <v>148836.24743865532</v>
      </c>
      <c r="V17" s="5">
        <f>S17/'Annuity rates'!J14*100000+C17*3</f>
        <v>183656.59263845976</v>
      </c>
      <c r="W17" s="5">
        <f>S17/'Annuity rates'!K14*100000+C17*3</f>
        <v>158352.13016820923</v>
      </c>
      <c r="X17" s="5">
        <f>S17/'Annuity rates'!L14*100000+3*C17</f>
        <v>166163.8345002346</v>
      </c>
    </row>
    <row r="18" spans="1:24">
      <c r="A18">
        <f t="shared" si="0"/>
        <v>2029</v>
      </c>
      <c r="B18" s="1">
        <f>Income!C16</f>
        <v>36757.941364776962</v>
      </c>
      <c r="C18" s="1">
        <f>C17+B18/Inputs!B$24</f>
        <v>3662.0667947149996</v>
      </c>
      <c r="D18" s="1"/>
      <c r="E18" s="5">
        <f>C18/'Annuity rates'!I15*100000+3*C18</f>
        <v>136223.24858387772</v>
      </c>
      <c r="F18" s="5">
        <f>C18/'Annuity rates'!J15*100000+C18*3</f>
        <v>157515.4824354552</v>
      </c>
      <c r="G18" s="5">
        <f>C18/'Annuity rates'!K15*100000+C18*3</f>
        <v>136223.24858387772</v>
      </c>
      <c r="H18" s="5">
        <f>C18/'Annuity rates'!L15*100000+3*C18</f>
        <v>142796.34357107262</v>
      </c>
      <c r="I18" s="5"/>
      <c r="J18" s="5">
        <f>Income!D16</f>
        <v>30000</v>
      </c>
      <c r="K18" s="86">
        <f>K17+J18/Inputs!B$30</f>
        <v>1454.5454545454543</v>
      </c>
      <c r="M18" s="5">
        <f>K18/'Annuity rates'!I15*100000+3*C18</f>
        <v>60729.416281382088</v>
      </c>
      <c r="N18" s="5">
        <f>K18/'Annuity rates'!J15*100000+C18*3</f>
        <v>69186.531812597037</v>
      </c>
      <c r="O18" s="5">
        <f>K18/'Annuity rates'!K15*100000+C18*3</f>
        <v>60729.416281382088</v>
      </c>
      <c r="P18" s="5">
        <f>K18/'Annuity rates'!L15*100000+3*C18</f>
        <v>63340.200292672605</v>
      </c>
      <c r="R18" s="5">
        <f>Income!B16</f>
        <v>36757.941364776962</v>
      </c>
      <c r="S18" s="5">
        <f t="shared" si="1"/>
        <v>5088.7520407151978</v>
      </c>
      <c r="U18" s="5">
        <f>S18/'Annuity rates'!I15*100000</f>
        <v>174027.48784355132</v>
      </c>
      <c r="V18" s="5">
        <f>S18/'Annuity rates'!J15*100000+C18*3</f>
        <v>214601.05092134495</v>
      </c>
      <c r="W18" s="5">
        <f>S18/'Annuity rates'!K15*100000+C18*3</f>
        <v>185013.68822769632</v>
      </c>
      <c r="X18" s="5">
        <f>S18/'Annuity rates'!L15*100000+3*C18</f>
        <v>194147.56054760466</v>
      </c>
    </row>
    <row r="19" spans="1:24">
      <c r="A19">
        <f t="shared" si="0"/>
        <v>2030</v>
      </c>
      <c r="B19" s="1">
        <f>Income!C17</f>
        <v>37493.100192072503</v>
      </c>
      <c r="C19" s="1">
        <f>C18+B19/Inputs!B$24</f>
        <v>4161.974797275966</v>
      </c>
      <c r="D19" s="1"/>
      <c r="E19" s="5">
        <f>C19/'Annuity rates'!I16*100000+3*C19</f>
        <v>155530.72254787941</v>
      </c>
      <c r="F19" s="5">
        <f>C19/'Annuity rates'!J16*100000+C19*3</f>
        <v>179850.5491277336</v>
      </c>
      <c r="G19" s="5">
        <f>C19/'Annuity rates'!K16*100000+C19*3</f>
        <v>155530.72254787941</v>
      </c>
      <c r="H19" s="5">
        <f>C19/'Annuity rates'!L16*100000+3*C19</f>
        <v>163038.46134578134</v>
      </c>
      <c r="I19" s="5"/>
      <c r="J19" s="5">
        <f>Income!D17</f>
        <v>30000</v>
      </c>
      <c r="K19" s="86">
        <f>K18+J19/Inputs!B$30</f>
        <v>1636.363636363636</v>
      </c>
      <c r="M19" s="5">
        <f>K19/'Annuity rates'!I16*100000+3*C19</f>
        <v>68726.847865641568</v>
      </c>
      <c r="N19" s="5">
        <f>K19/'Annuity rates'!J16*100000+C19*3</f>
        <v>78288.67411312148</v>
      </c>
      <c r="O19" s="5">
        <f>K19/'Annuity rates'!K16*100000+C19*3</f>
        <v>68726.847865641568</v>
      </c>
      <c r="P19" s="5">
        <f>K19/'Annuity rates'!L16*100000+3*C19</f>
        <v>71678.665538406902</v>
      </c>
      <c r="R19" s="5">
        <f>Income!B17</f>
        <v>37493.100192072503</v>
      </c>
      <c r="S19" s="5">
        <f t="shared" si="1"/>
        <v>5827.94576094686</v>
      </c>
      <c r="U19" s="5">
        <f>S19/'Annuity rates'!I16*100000</f>
        <v>200303.30928113562</v>
      </c>
      <c r="V19" s="5">
        <f>S19/'Annuity rates'!J16*100000+C19*3</f>
        <v>246843.89212879803</v>
      </c>
      <c r="W19" s="5">
        <f>S19/'Annuity rates'!K16*100000+C19*3</f>
        <v>212789.23367296351</v>
      </c>
      <c r="X19" s="5">
        <f>S19/'Annuity rates'!L16*100000+3*C19</f>
        <v>223302.19846317958</v>
      </c>
    </row>
    <row r="20" spans="1:24">
      <c r="A20">
        <f t="shared" si="0"/>
        <v>2031</v>
      </c>
      <c r="B20" s="1">
        <f>Income!C18</f>
        <v>38242.962195913955</v>
      </c>
      <c r="C20" s="1">
        <f>C19+B20/Inputs!B$24</f>
        <v>4671.8809598881517</v>
      </c>
      <c r="D20" s="1"/>
      <c r="E20" s="5">
        <f>C20/'Annuity rates'!I17*100000+3*C20</f>
        <v>175388.48701617087</v>
      </c>
      <c r="F20" s="5">
        <f>C20/'Annuity rates'!J17*100000+C20*3</f>
        <v>202824.36469007458</v>
      </c>
      <c r="G20" s="5">
        <f>C20/'Annuity rates'!K17*100000+C20*3</f>
        <v>175388.48701617087</v>
      </c>
      <c r="H20" s="5">
        <f>C20/'Annuity rates'!L17*100000+3*C20</f>
        <v>183858.17748006119</v>
      </c>
      <c r="I20" s="5"/>
      <c r="J20" s="5">
        <f>Income!D18</f>
        <v>30000</v>
      </c>
      <c r="K20" s="86">
        <f>K19+J20/Inputs!B$30</f>
        <v>1818.1818181818178</v>
      </c>
      <c r="M20" s="5">
        <f>K20/'Annuity rates'!I17*100000+3*C20</f>
        <v>76818.007425423057</v>
      </c>
      <c r="N20" s="5">
        <f>K20/'Annuity rates'!J17*100000+C20*3</f>
        <v>87495.380068442289</v>
      </c>
      <c r="O20" s="5">
        <f>K20/'Annuity rates'!K17*100000+C20*3</f>
        <v>76818.007425423057</v>
      </c>
      <c r="P20" s="5">
        <f>K20/'Annuity rates'!L17*100000+3*C20</f>
        <v>80114.203826677694</v>
      </c>
      <c r="R20" s="5">
        <f>Income!B18</f>
        <v>38242.962195913955</v>
      </c>
      <c r="S20" s="5">
        <f t="shared" si="1"/>
        <v>6592.1220544538337</v>
      </c>
      <c r="U20" s="5">
        <f>S20/'Annuity rates'!I17*100000</f>
        <v>227700.46881666972</v>
      </c>
      <c r="V20" s="5">
        <f>S20/'Annuity rates'!J17*100000+C20*3</f>
        <v>280428.71072235215</v>
      </c>
      <c r="W20" s="5">
        <f>S20/'Annuity rates'!K17*100000+C20*3</f>
        <v>241716.11169633418</v>
      </c>
      <c r="X20" s="5">
        <f>S20/'Annuity rates'!L17*100000+3*C20</f>
        <v>253667.02264222121</v>
      </c>
    </row>
    <row r="21" spans="1:24">
      <c r="A21">
        <f t="shared" si="0"/>
        <v>2032</v>
      </c>
      <c r="B21" s="1">
        <f>Income!C19</f>
        <v>39007.821439832238</v>
      </c>
      <c r="C21" s="1">
        <f>C20+B21/Inputs!B$24</f>
        <v>5191.9852457525812</v>
      </c>
      <c r="D21" s="1"/>
      <c r="E21" s="5">
        <f>C21/'Annuity rates'!I18*100000+3*C21</f>
        <v>195810.56791606217</v>
      </c>
      <c r="F21" s="5">
        <f>C21/'Annuity rates'!J18*100000+C21*3</f>
        <v>226453.23768371055</v>
      </c>
      <c r="G21" s="5">
        <f>C21/'Annuity rates'!K18*100000+C21*3</f>
        <v>195810.56791606217</v>
      </c>
      <c r="H21" s="5">
        <f>C21/'Annuity rates'!L18*100000+3*C21</f>
        <v>205270.22256986803</v>
      </c>
      <c r="I21" s="5"/>
      <c r="J21" s="5">
        <f>Income!D19</f>
        <v>30000</v>
      </c>
      <c r="K21" s="86">
        <f>K20+J21/Inputs!B$30</f>
        <v>1999.9999999999995</v>
      </c>
      <c r="M21" s="5">
        <f>K21/'Annuity rates'!I18*100000+3*C21</f>
        <v>85003.969742593865</v>
      </c>
      <c r="N21" s="5">
        <f>K21/'Annuity rates'!J18*100000+C21*3</f>
        <v>96807.805199451628</v>
      </c>
      <c r="O21" s="5">
        <f>K21/'Annuity rates'!K18*100000+C21*3</f>
        <v>85003.969742593865</v>
      </c>
      <c r="P21" s="5">
        <f>K21/'Annuity rates'!L18*100000+3*C21</f>
        <v>88647.914864180857</v>
      </c>
      <c r="R21" s="5">
        <f>Income!B19</f>
        <v>39007.821439832238</v>
      </c>
      <c r="S21" s="5">
        <f t="shared" si="1"/>
        <v>7381.9437518835557</v>
      </c>
      <c r="U21" s="5">
        <f>S21/'Annuity rates'!I18*100000</f>
        <v>256256.84709618756</v>
      </c>
      <c r="V21" s="5">
        <f>S21/'Annuity rates'!J18*100000+C21*3</f>
        <v>315400.42753295164</v>
      </c>
      <c r="W21" s="5">
        <f>S21/'Annuity rates'!K18*100000+C21*3</f>
        <v>271832.80283344531</v>
      </c>
      <c r="X21" s="5">
        <f>S21/'Annuity rates'!L18*100000+3*C21</f>
        <v>285282.50179469812</v>
      </c>
    </row>
    <row r="22" spans="1:24">
      <c r="A22">
        <f t="shared" si="0"/>
        <v>2033</v>
      </c>
      <c r="B22" s="1">
        <f>Income!C20</f>
        <v>39787.977868628885</v>
      </c>
      <c r="C22" s="1">
        <f>C21+B22/Inputs!B$24</f>
        <v>5722.4916173342999</v>
      </c>
      <c r="D22" s="1"/>
      <c r="E22" s="5">
        <f>C22/'Annuity rates'!I19*100000+3*C22</f>
        <v>216811.34199923935</v>
      </c>
      <c r="F22" s="5">
        <f>C22/'Annuity rates'!J19*100000+C22*3</f>
        <v>250753.88510000601</v>
      </c>
      <c r="G22" s="5">
        <f>C22/'Annuity rates'!K19*100000+C22*3</f>
        <v>216811.34199923935</v>
      </c>
      <c r="H22" s="5">
        <f>C22/'Annuity rates'!L19*100000+3*C22</f>
        <v>227289.69581892397</v>
      </c>
      <c r="I22" s="5"/>
      <c r="J22" s="5">
        <f>Income!D20</f>
        <v>30000</v>
      </c>
      <c r="K22" s="86">
        <f>K21+J22/Inputs!B$30</f>
        <v>2181.8181818181815</v>
      </c>
      <c r="M22" s="5">
        <f>K22/'Annuity rates'!I19*100000+3*C22</f>
        <v>93285.824752398679</v>
      </c>
      <c r="N22" s="5">
        <f>K22/'Annuity rates'!J19*100000+C22*3</f>
        <v>106227.12071691728</v>
      </c>
      <c r="O22" s="5">
        <f>K22/'Annuity rates'!K19*100000+C22*3</f>
        <v>93285.824752398679</v>
      </c>
      <c r="P22" s="5">
        <f>K22/'Annuity rates'!L19*100000+3*C22</f>
        <v>97280.913676611322</v>
      </c>
      <c r="R22" s="5">
        <f>Income!B20</f>
        <v>39787.977868628885</v>
      </c>
      <c r="S22" s="5">
        <f t="shared" si="1"/>
        <v>8198.0895513633222</v>
      </c>
      <c r="U22" s="5">
        <f>S22/'Annuity rates'!I19*100000</f>
        <v>286011.48078499892</v>
      </c>
      <c r="V22" s="5">
        <f>S22/'Annuity rates'!J19*100000+C22*3</f>
        <v>351805.3279497528</v>
      </c>
      <c r="W22" s="5">
        <f>S22/'Annuity rates'!K19*100000+C22*3</f>
        <v>303178.95563700184</v>
      </c>
      <c r="X22" s="5">
        <f>S22/'Annuity rates'!L19*100000+3*C22</f>
        <v>318190.33332158119</v>
      </c>
    </row>
    <row r="23" spans="1:24">
      <c r="A23">
        <f t="shared" si="0"/>
        <v>2034</v>
      </c>
      <c r="B23" s="1">
        <f>Income!C21</f>
        <v>40583.737426001462</v>
      </c>
      <c r="C23" s="1">
        <f>C22+B23/Inputs!B$24</f>
        <v>6263.6081163476529</v>
      </c>
      <c r="D23" s="1"/>
      <c r="E23" s="5">
        <f>C23/'Annuity rates'!I20*100000+3*C23</f>
        <v>238405.54559543284</v>
      </c>
      <c r="F23" s="5">
        <f>C23/'Annuity rates'!J20*100000+C23*3</f>
        <v>275743.44256158877</v>
      </c>
      <c r="G23" s="5">
        <f>C23/'Annuity rates'!K20*100000+C23*3</f>
        <v>238405.54559543284</v>
      </c>
      <c r="H23" s="5">
        <f>C23/'Annuity rates'!L20*100000+3*C23</f>
        <v>249932.07423923016</v>
      </c>
      <c r="I23" s="5"/>
      <c r="J23" s="5">
        <f>Income!D21</f>
        <v>30000</v>
      </c>
      <c r="K23" s="86">
        <f>K22+J23/Inputs!B$30</f>
        <v>2363.6363636363635</v>
      </c>
      <c r="M23" s="5">
        <f>K23/'Annuity rates'!I20*100000+3*C23</f>
        <v>101664.67780309888</v>
      </c>
      <c r="N23" s="5">
        <f>K23/'Annuity rates'!J20*100000+C23*3</f>
        <v>115754.51378446851</v>
      </c>
      <c r="O23" s="5">
        <f>K23/'Annuity rates'!K20*100000+C23*3</f>
        <v>101664.67780309888</v>
      </c>
      <c r="P23" s="5">
        <f>K23/'Annuity rates'!L20*100000+3*C23</f>
        <v>106014.33086933539</v>
      </c>
      <c r="R23" s="5">
        <f>Income!B21</f>
        <v>40583.737426001462</v>
      </c>
      <c r="S23" s="5">
        <f t="shared" si="1"/>
        <v>9041.254377623758</v>
      </c>
      <c r="U23" s="5">
        <f>S23/'Annuity rates'!I20*100000</f>
        <v>317004.5959097062</v>
      </c>
      <c r="V23" s="5">
        <f>S23/'Annuity rates'!J20*100000+C23*3</f>
        <v>389691.10117075488</v>
      </c>
      <c r="W23" s="5">
        <f>S23/'Annuity rates'!K20*100000+C23*3</f>
        <v>335795.42025874916</v>
      </c>
      <c r="X23" s="5">
        <f>S23/'Annuity rates'!L20*100000+3*C23</f>
        <v>352433.47864678031</v>
      </c>
    </row>
    <row r="24" spans="1:24">
      <c r="A24">
        <f t="shared" si="0"/>
        <v>2035</v>
      </c>
      <c r="B24" s="1">
        <f>Income!C22</f>
        <v>41395.412174521494</v>
      </c>
      <c r="C24" s="1">
        <f>C23+B24/Inputs!B$24</f>
        <v>6815.5469453412725</v>
      </c>
      <c r="D24" s="1"/>
      <c r="E24" s="5">
        <f>C24/'Annuity rates'!I21*100000+3*C24</f>
        <v>260608.28358462462</v>
      </c>
      <c r="F24" s="5">
        <f>C24/'Annuity rates'!J21*100000+C24*3</f>
        <v>301439.47477835894</v>
      </c>
      <c r="G24" s="5">
        <f>C24/'Annuity rates'!K21*100000+C24*3</f>
        <v>260608.28358462462</v>
      </c>
      <c r="H24" s="5">
        <f>C24/'Annuity rates'!L21*100000+3*C24</f>
        <v>273213.22208133608</v>
      </c>
      <c r="I24" s="5"/>
      <c r="J24" s="5">
        <f>Income!D22</f>
        <v>30000</v>
      </c>
      <c r="K24" s="86">
        <f>K23+J24/Inputs!B$30</f>
        <v>2545.4545454545455</v>
      </c>
      <c r="M24" s="5">
        <f>K24/'Annuity rates'!I21*100000+3*C24</f>
        <v>110141.64992052893</v>
      </c>
      <c r="N24" s="5">
        <f>K24/'Annuity rates'!J21*100000+C24*3</f>
        <v>125391.18778651899</v>
      </c>
      <c r="O24" s="5">
        <f>K24/'Annuity rates'!K21*100000+C24*3</f>
        <v>110141.64992052893</v>
      </c>
      <c r="P24" s="5">
        <f>K24/'Annuity rates'!L21*100000+3*C24</f>
        <v>114849.31289298646</v>
      </c>
      <c r="R24" s="5">
        <f>Income!B22</f>
        <v>41395.412174521494</v>
      </c>
      <c r="S24" s="5">
        <f t="shared" si="1"/>
        <v>9912.1497489731337</v>
      </c>
      <c r="U24" s="5">
        <f>S24/'Annuity rates'!I21*100000</f>
        <v>349277.6421282973</v>
      </c>
      <c r="V24" s="5">
        <f>S24/'Annuity rates'!J21*100000+C24*3</f>
        <v>429106.8805440935</v>
      </c>
      <c r="W24" s="5">
        <f>S24/'Annuity rates'!K21*100000+C24*3</f>
        <v>369724.28296432114</v>
      </c>
      <c r="X24" s="5">
        <f>S24/'Annuity rates'!L21*100000+3*C24</f>
        <v>388056.19953066565</v>
      </c>
    </row>
    <row r="25" spans="1:24">
      <c r="A25">
        <f t="shared" si="0"/>
        <v>2036</v>
      </c>
      <c r="B25" s="1">
        <f>Income!C23</f>
        <v>42223.320418011928</v>
      </c>
      <c r="C25" s="1">
        <f>C24+B25/Inputs!B$24</f>
        <v>7378.5245509147644</v>
      </c>
      <c r="D25" s="1"/>
      <c r="E25" s="5">
        <f>C25/'Annuity rates'!I22*100000+3*C25</f>
        <v>283435.03859325615</v>
      </c>
      <c r="F25" s="5">
        <f>C25/'Annuity rates'!J22*100000+C25*3</f>
        <v>327859.98626474966</v>
      </c>
      <c r="G25" s="5">
        <f>C25/'Annuity rates'!K22*100000+C25*3</f>
        <v>283435.03859325615</v>
      </c>
      <c r="H25" s="5">
        <f>C25/'Annuity rates'!L22*100000+3*C25</f>
        <v>297149.40050010959</v>
      </c>
      <c r="I25" s="5"/>
      <c r="J25" s="5">
        <f>Income!D23</f>
        <v>30000</v>
      </c>
      <c r="K25" s="86">
        <f>K24+J25/Inputs!B$30</f>
        <v>2727.2727272727275</v>
      </c>
      <c r="M25" s="5">
        <f>K25/'Annuity rates'!I22*100000+3*C25</f>
        <v>118717.87807766677</v>
      </c>
      <c r="N25" s="5">
        <f>K25/'Annuity rates'!J22*100000+C25*3</f>
        <v>135138.36260122393</v>
      </c>
      <c r="O25" s="5">
        <f>K25/'Annuity rates'!K22*100000+C25*3</f>
        <v>118717.87807766677</v>
      </c>
      <c r="P25" s="5">
        <f>K25/'Annuity rates'!L22*100000+3*C25</f>
        <v>123787.02231408085</v>
      </c>
      <c r="R25" s="5">
        <f>Income!B23</f>
        <v>42223.320418011928</v>
      </c>
      <c r="S25" s="5">
        <f t="shared" si="1"/>
        <v>10811.504152290247</v>
      </c>
      <c r="U25" s="5">
        <f>S25/'Annuity rates'!I22*100000</f>
        <v>382873.3279535303</v>
      </c>
      <c r="V25" s="5">
        <f>S25/'Annuity rates'!J22*100000+C25*3</f>
        <v>470103.28502959508</v>
      </c>
      <c r="W25" s="5">
        <f>S25/'Annuity rates'!K22*100000+C25*3</f>
        <v>405008.90160627459</v>
      </c>
      <c r="X25" s="5">
        <f>S25/'Annuity rates'!L22*100000+3*C25</f>
        <v>425104.09539180924</v>
      </c>
    </row>
    <row r="26" spans="1:24">
      <c r="A26">
        <f t="shared" si="0"/>
        <v>2037</v>
      </c>
      <c r="B26" s="1">
        <f>Income!C24</f>
        <v>43067.786826372168</v>
      </c>
      <c r="C26" s="1">
        <f>C25+B26/Inputs!B$24</f>
        <v>7952.7617085997263</v>
      </c>
      <c r="D26" s="1"/>
      <c r="E26" s="5">
        <f>C26/'Annuity rates'!I23*100000+3*C26</f>
        <v>306901.68042003369</v>
      </c>
      <c r="F26" s="5">
        <f>C26/'Annuity rates'!J23*100000+C26*3</f>
        <v>355023.43232477212</v>
      </c>
      <c r="G26" s="5">
        <f>C26/'Annuity rates'!K23*100000+C26*3</f>
        <v>306901.68042003369</v>
      </c>
      <c r="H26" s="5">
        <f>C26/'Annuity rates'!L23*100000+3*C26</f>
        <v>321757.27746189298</v>
      </c>
      <c r="I26" s="5"/>
      <c r="J26" s="5">
        <f>Income!D24</f>
        <v>30000</v>
      </c>
      <c r="K26" s="86">
        <f>K25+J26/Inputs!B$30</f>
        <v>2909.0909090909095</v>
      </c>
      <c r="M26" s="5">
        <f>K26/'Annuity rates'!I23*100000+3*C26</f>
        <v>127394.51546931607</v>
      </c>
      <c r="N26" s="5">
        <f>K26/'Annuity rates'!J23*100000+C26*3</f>
        <v>144997.27487856933</v>
      </c>
      <c r="O26" s="5">
        <f>K26/'Annuity rates'!K23*100000+C26*3</f>
        <v>127394.51546931607</v>
      </c>
      <c r="P26" s="5">
        <f>K26/'Annuity rates'!L23*100000+3*C26</f>
        <v>132828.63809075198</v>
      </c>
      <c r="R26" s="5">
        <f>Income!B24</f>
        <v>43067.786826372168</v>
      </c>
      <c r="S26" s="5">
        <f t="shared" si="1"/>
        <v>11740.063426207103</v>
      </c>
      <c r="U26" s="5">
        <f>S26/'Annuity rates'!I23*100000</f>
        <v>417835.65695550136</v>
      </c>
      <c r="V26" s="5">
        <f>S26/'Annuity rates'!J23*100000+C26*3</f>
        <v>512732.46181098395</v>
      </c>
      <c r="W26" s="5">
        <f>S26/'Annuity rates'!K23*100000+C26*3</f>
        <v>441693.94208130054</v>
      </c>
      <c r="X26" s="5">
        <f>S26/'Annuity rates'!L23*100000+3*C26</f>
        <v>463624.14166429697</v>
      </c>
    </row>
    <row r="27" spans="1:24">
      <c r="A27">
        <f t="shared" si="0"/>
        <v>2038</v>
      </c>
      <c r="B27" s="1">
        <f>Income!C25</f>
        <v>43929.142562899615</v>
      </c>
      <c r="C27" s="1">
        <f>C26+B27/Inputs!B$24</f>
        <v>8538.4836094383882</v>
      </c>
      <c r="D27" s="1"/>
      <c r="E27" s="5">
        <f>C27/'Annuity rates'!I24*100000+3*C27</f>
        <v>331024.47569706931</v>
      </c>
      <c r="F27" s="5">
        <f>C27/'Annuity rates'!J24*100000+C27*3</f>
        <v>382948.73031154065</v>
      </c>
      <c r="G27" s="5">
        <f>C27/'Annuity rates'!K24*100000+C27*3</f>
        <v>331024.47569706931</v>
      </c>
      <c r="H27" s="5">
        <f>C27/'Annuity rates'!L24*100000+3*C27</f>
        <v>347053.93789907894</v>
      </c>
      <c r="I27" s="5"/>
      <c r="J27" s="5">
        <f>Income!D25</f>
        <v>30000</v>
      </c>
      <c r="K27" s="86">
        <f>K26+J27/Inputs!B$30</f>
        <v>3090.9090909090914</v>
      </c>
      <c r="M27" s="5">
        <f>K27/'Annuity rates'!I24*100000+3*C27</f>
        <v>136172.73179200178</v>
      </c>
      <c r="N27" s="5">
        <f>K27/'Annuity rates'!J24*100000+C27*3</f>
        <v>154969.17832369503</v>
      </c>
      <c r="O27" s="5">
        <f>K27/'Annuity rates'!K24*100000+C27*3</f>
        <v>136172.73179200178</v>
      </c>
      <c r="P27" s="5">
        <f>K27/'Annuity rates'!L24*100000+3*C27</f>
        <v>141975.3558537038</v>
      </c>
      <c r="R27" s="5">
        <f>Income!B25</f>
        <v>43929.142562899615</v>
      </c>
      <c r="S27" s="5">
        <f t="shared" si="1"/>
        <v>12698.591152656236</v>
      </c>
      <c r="U27" s="5">
        <f>S27/'Annuity rates'!I24*100000</f>
        <v>454209.96496997663</v>
      </c>
      <c r="V27" s="5">
        <f>S27/'Annuity rates'!J24*100000+C27*3</f>
        <v>557048.13008994143</v>
      </c>
      <c r="W27" s="5">
        <f>S27/'Annuity rates'!K24*100000+C27*3</f>
        <v>479825.4157982918</v>
      </c>
      <c r="X27" s="5">
        <f>S27/'Annuity rates'!L24*100000+3*C27</f>
        <v>503664.72921868326</v>
      </c>
    </row>
    <row r="28" spans="1:24">
      <c r="A28">
        <f t="shared" si="0"/>
        <v>2039</v>
      </c>
      <c r="B28" s="1">
        <f>Income!C26</f>
        <v>44807.725414157605</v>
      </c>
      <c r="C28" s="1">
        <f>C27+B28/Inputs!B$24</f>
        <v>9135.9199482938238</v>
      </c>
      <c r="D28" s="1"/>
      <c r="E28" s="5">
        <f>C28/'Annuity rates'!I25*100000+3*C28</f>
        <v>355820.09779223893</v>
      </c>
      <c r="F28" s="5">
        <f>C28/'Annuity rates'!J25*100000+C28*3</f>
        <v>411655.27116814203</v>
      </c>
      <c r="G28" s="5">
        <f>C28/'Annuity rates'!K25*100000+C28*3</f>
        <v>355820.09779223893</v>
      </c>
      <c r="H28" s="5">
        <f>C28/'Annuity rates'!L25*100000+3*C28</f>
        <v>373056.89411829069</v>
      </c>
      <c r="I28" s="5"/>
      <c r="J28" s="5">
        <f>Income!D26</f>
        <v>30000</v>
      </c>
      <c r="K28" s="86">
        <f>K27+J28/Inputs!B$30</f>
        <v>3272.7272727272734</v>
      </c>
      <c r="M28" s="5">
        <f>K28/'Annuity rates'!I25*100000+3*C28</f>
        <v>145053.71352918094</v>
      </c>
      <c r="N28" s="5">
        <f>K28/'Annuity rates'!J25*100000+C28*3</f>
        <v>165055.34398555334</v>
      </c>
      <c r="O28" s="5">
        <f>K28/'Annuity rates'!K25*100000+C28*3</f>
        <v>145053.71352918094</v>
      </c>
      <c r="P28" s="5">
        <f>K28/'Annuity rates'!L25*100000+3*C28</f>
        <v>151228.38819248619</v>
      </c>
      <c r="R28" s="5">
        <f>Income!B26</f>
        <v>44807.725414157605</v>
      </c>
      <c r="S28" s="5">
        <f t="shared" si="1"/>
        <v>13687.86905696115</v>
      </c>
      <c r="U28" s="5">
        <f>S28/'Annuity rates'!I25*100000</f>
        <v>492042.95833977987</v>
      </c>
      <c r="V28" s="5">
        <f>S28/'Annuity rates'!J25*100000+C28*3</f>
        <v>603105.62609405199</v>
      </c>
      <c r="W28" s="5">
        <f>S28/'Annuity rates'!K25*100000+C28*3</f>
        <v>519450.71818466135</v>
      </c>
      <c r="X28" s="5">
        <f>S28/'Annuity rates'!L25*100000+3*C28</f>
        <v>545275.70487541787</v>
      </c>
    </row>
    <row r="29" spans="1:24">
      <c r="A29">
        <f t="shared" si="0"/>
        <v>2040</v>
      </c>
      <c r="B29" s="1">
        <f>Income!C27</f>
        <v>45703.879922440756</v>
      </c>
      <c r="C29" s="1">
        <f>C28+B29/Inputs!B$24</f>
        <v>9745.3050139263669</v>
      </c>
      <c r="D29" s="1"/>
      <c r="E29" s="5">
        <f>C29/'Annuity rates'!I26*100000+3*C29</f>
        <v>381305.63695878477</v>
      </c>
      <c r="F29" s="5">
        <f>C29/'Annuity rates'!J26*100000+C29*3</f>
        <v>441162.93125688459</v>
      </c>
      <c r="G29" s="5">
        <f>C29/'Annuity rates'!K26*100000+C29*3</f>
        <v>381305.63695878477</v>
      </c>
      <c r="H29" s="5">
        <f>C29/'Annuity rates'!L26*100000+3*C29</f>
        <v>399784.09646850586</v>
      </c>
      <c r="I29" s="5"/>
      <c r="J29" s="5">
        <f>Income!D27</f>
        <v>30000</v>
      </c>
      <c r="K29" s="86">
        <f>K28+J29/Inputs!B$30</f>
        <v>3454.5454545454554</v>
      </c>
      <c r="M29" s="5">
        <f>K29/'Annuity rates'!I26*100000+3*C29</f>
        <v>154038.66424187346</v>
      </c>
      <c r="N29" s="5">
        <f>K29/'Annuity rates'!J26*100000+C29*3</f>
        <v>175257.0605510085</v>
      </c>
      <c r="O29" s="5">
        <f>K29/'Annuity rates'!K26*100000+C29*3</f>
        <v>154038.66424187346</v>
      </c>
      <c r="P29" s="5">
        <f>K29/'Annuity rates'!L26*100000+3*C29</f>
        <v>160588.96494719642</v>
      </c>
      <c r="R29" s="5">
        <f>Income!B27</f>
        <v>45703.879922440756</v>
      </c>
      <c r="S29" s="5">
        <f t="shared" si="1"/>
        <v>14708.69741665219</v>
      </c>
      <c r="U29" s="5">
        <f>S29/'Annuity rates'!I26*100000</f>
        <v>531382.75321725535</v>
      </c>
      <c r="V29" s="5">
        <f>S29/'Annuity rates'!J26*100000+C29*3</f>
        <v>650961.94933151978</v>
      </c>
      <c r="W29" s="5">
        <f>S29/'Annuity rates'!K26*100000+C29*3</f>
        <v>560618.6682590344</v>
      </c>
      <c r="X29" s="5">
        <f>S29/'Annuity rates'!L26*100000+3*C29</f>
        <v>588508.41304033622</v>
      </c>
    </row>
    <row r="30" spans="1:24">
      <c r="A30">
        <f t="shared" si="0"/>
        <v>2041</v>
      </c>
      <c r="B30" s="1">
        <f>Income!C28</f>
        <v>46617.957520889569</v>
      </c>
      <c r="C30" s="1">
        <f>C29+B30/Inputs!B$24</f>
        <v>10366.87778087156</v>
      </c>
      <c r="D30" s="1"/>
      <c r="E30" s="5">
        <f>C30/'Annuity rates'!I27*100000+3*C30</f>
        <v>407498.61073834257</v>
      </c>
      <c r="F30" s="5">
        <f>C30/'Annuity rates'!J27*100000+C30*3</f>
        <v>471492.08448413853</v>
      </c>
      <c r="G30" s="5">
        <f>C30/'Annuity rates'!K27*100000+C30*3</f>
        <v>407498.61073834257</v>
      </c>
      <c r="H30" s="5">
        <f>C30/'Annuity rates'!L27*100000+3*C30</f>
        <v>427253.94427562261</v>
      </c>
      <c r="I30" s="5"/>
      <c r="J30" s="5">
        <f>Income!D28</f>
        <v>30000</v>
      </c>
      <c r="K30" s="86">
        <f>K29+J30/Inputs!B$30</f>
        <v>3636.3636363636374</v>
      </c>
      <c r="M30" s="5">
        <f>K30/'Annuity rates'!I27*100000+3*C30</f>
        <v>163128.80486481977</v>
      </c>
      <c r="N30" s="5">
        <f>K30/'Annuity rates'!J27*100000+C30*3</f>
        <v>185575.63464448365</v>
      </c>
      <c r="O30" s="5">
        <f>K30/'Annuity rates'!K27*100000+C30*3</f>
        <v>163128.80486481977</v>
      </c>
      <c r="P30" s="5">
        <f>K30/'Annuity rates'!L27*100000+3*C30</f>
        <v>170058.33350571405</v>
      </c>
      <c r="R30" s="5">
        <f>Income!B28</f>
        <v>46617.957520889569</v>
      </c>
      <c r="S30" s="5">
        <f t="shared" si="1"/>
        <v>15761.895479193881</v>
      </c>
      <c r="U30" s="5">
        <f>S30/'Annuity rates'!I27*100000</f>
        <v>572278.91595657147</v>
      </c>
      <c r="V30" s="5">
        <f>S30/'Annuity rates'!J27*100000+C30*3</f>
        <v>700675.81012642372</v>
      </c>
      <c r="W30" s="5">
        <f>S30/'Annuity rates'!K27*100000+C30*3</f>
        <v>603379.5492991861</v>
      </c>
      <c r="X30" s="5">
        <f>S30/'Annuity rates'!L27*100000+3*C30</f>
        <v>633415.73849259655</v>
      </c>
    </row>
    <row r="31" spans="1:24">
      <c r="A31">
        <f t="shared" si="0"/>
        <v>2042</v>
      </c>
      <c r="B31" s="1">
        <f>Income!C29</f>
        <v>47550.316671307359</v>
      </c>
      <c r="C31" s="1">
        <f>C30+B31/Inputs!B$24</f>
        <v>11000.882003155659</v>
      </c>
      <c r="D31" s="1"/>
      <c r="E31" s="5">
        <f>C31/'Annuity rates'!I28*100000+3*C31</f>
        <v>434416.97462372598</v>
      </c>
      <c r="F31" s="5">
        <f>C31/'Annuity rates'!J28*100000+C31*3</f>
        <v>502663.61472815945</v>
      </c>
      <c r="G31" s="5">
        <f>C31/'Annuity rates'!K28*100000+C31*3</f>
        <v>434416.97462372598</v>
      </c>
      <c r="H31" s="5">
        <f>C31/'Annuity rates'!L28*100000+3*C31</f>
        <v>455485.29705012596</v>
      </c>
      <c r="I31" s="5"/>
      <c r="J31" s="5">
        <f>Income!D29</f>
        <v>30000</v>
      </c>
      <c r="K31" s="86">
        <f>K30+J31/Inputs!B$30</f>
        <v>3818.1818181818194</v>
      </c>
      <c r="M31" s="5">
        <f>K31/'Annuity rates'!I28*100000+3*C31</f>
        <v>172325.37400827388</v>
      </c>
      <c r="N31" s="5">
        <f>K31/'Annuity rates'!J28*100000+C31*3</f>
        <v>196012.39113326417</v>
      </c>
      <c r="O31" s="5">
        <f>K31/'Annuity rates'!K28*100000+C31*3</f>
        <v>172325.37400827388</v>
      </c>
      <c r="P31" s="5">
        <f>K31/'Annuity rates'!L28*100000+3*C31</f>
        <v>179637.75910657755</v>
      </c>
      <c r="R31" s="5">
        <f>Income!B29</f>
        <v>47550.316671307359</v>
      </c>
      <c r="S31" s="5">
        <f t="shared" si="1"/>
        <v>16848.301888813745</v>
      </c>
      <c r="U31" s="5">
        <f>S31/'Annuity rates'!I28*100000</f>
        <v>614782.50462539983</v>
      </c>
      <c r="V31" s="5">
        <f>S31/'Annuity rates'!J28*100000+C31*3</f>
        <v>752307.67846916954</v>
      </c>
      <c r="W31" s="5">
        <f>S31/'Annuity rates'!K28*100000+C31*3</f>
        <v>647785.15063486679</v>
      </c>
      <c r="X31" s="5">
        <f>S31/'Annuity rates'!L28*100000+3*C31</f>
        <v>680052.15035625536</v>
      </c>
    </row>
    <row r="32" spans="1:24">
      <c r="A32">
        <f t="shared" si="0"/>
        <v>2043</v>
      </c>
      <c r="B32" s="1">
        <f>Income!C30</f>
        <v>48501.323004733509</v>
      </c>
      <c r="C32" s="1">
        <f>C31+B32/Inputs!B$24</f>
        <v>11647.566309885438</v>
      </c>
      <c r="D32" s="1"/>
      <c r="E32" s="5">
        <f>C32/'Annuity rates'!I29*100000+3*C32</f>
        <v>462079.132987961</v>
      </c>
      <c r="F32" s="5">
        <f>C32/'Annuity rates'!J29*100000+C32*3</f>
        <v>534698.92857747187</v>
      </c>
      <c r="G32" s="5">
        <f>C32/'Annuity rates'!K29*100000+C32*3</f>
        <v>462079.132987961</v>
      </c>
      <c r="H32" s="5">
        <f>C32/'Annuity rates'!L29*100000+3*C32</f>
        <v>484497.48597468459</v>
      </c>
      <c r="I32" s="5"/>
      <c r="J32" s="5">
        <f>Income!D30</f>
        <v>30000</v>
      </c>
      <c r="K32" s="86">
        <f>K31+J32/Inputs!B$30</f>
        <v>4000.0000000000014</v>
      </c>
      <c r="M32" s="5">
        <f>K32/'Annuity rates'!I29*100000+3*C32</f>
        <v>181629.62826554297</v>
      </c>
      <c r="N32" s="5">
        <f>K32/'Annuity rates'!J29*100000+C32*3</f>
        <v>206568.67343856848</v>
      </c>
      <c r="O32" s="5">
        <f>K32/'Annuity rates'!K29*100000+C32*3</f>
        <v>181629.62826554297</v>
      </c>
      <c r="P32" s="5">
        <f>K32/'Annuity rates'!L29*100000+3*C32</f>
        <v>189328.52514761413</v>
      </c>
      <c r="R32" s="5">
        <f>Income!B30</f>
        <v>48501.323004733509</v>
      </c>
      <c r="S32" s="5">
        <f t="shared" si="1"/>
        <v>17968.775122626579</v>
      </c>
      <c r="U32" s="5">
        <f>S32/'Annuity rates'!I29*100000</f>
        <v>658946.11166629056</v>
      </c>
      <c r="V32" s="5">
        <f>S32/'Annuity rates'!J29*100000+C32*3</f>
        <v>805919.8342177273</v>
      </c>
      <c r="W32" s="5">
        <f>S32/'Annuity rates'!K29*100000+C32*3</f>
        <v>693888.81059594685</v>
      </c>
      <c r="X32" s="5">
        <f>S32/'Annuity rates'!L29*100000+3*C32</f>
        <v>728473.74728750379</v>
      </c>
    </row>
    <row r="33" spans="1:24">
      <c r="A33">
        <f t="shared" si="0"/>
        <v>2044</v>
      </c>
      <c r="B33" s="1">
        <f>Income!C31</f>
        <v>49471.349464828178</v>
      </c>
      <c r="C33" s="1">
        <f>C32+B33/Inputs!B$24</f>
        <v>12307.184302749814</v>
      </c>
      <c r="D33" s="1"/>
      <c r="E33" s="5">
        <f>C33/'Annuity rates'!I30*100000+3*C33</f>
        <v>490503.95028622466</v>
      </c>
      <c r="F33" s="5">
        <f>C33/'Annuity rates'!J30*100000+C33*3</f>
        <v>567619.96838758048</v>
      </c>
      <c r="G33" s="5">
        <f>C33/'Annuity rates'!K30*100000+C33*3</f>
        <v>490503.95028622466</v>
      </c>
      <c r="H33" s="5">
        <f>C33/'Annuity rates'!L30*100000+3*C33</f>
        <v>514310.32567867299</v>
      </c>
      <c r="I33" s="5"/>
      <c r="J33" s="5">
        <f>Income!D31</f>
        <v>30000</v>
      </c>
      <c r="K33" s="86">
        <f>K32+J33/Inputs!B$30</f>
        <v>4181.8181818181829</v>
      </c>
      <c r="M33" s="5">
        <f>K33/'Annuity rates'!I30*100000+3*C33</f>
        <v>191042.84252638672</v>
      </c>
      <c r="N33" s="5">
        <f>K33/'Annuity rates'!J30*100000+C33*3</f>
        <v>217245.84385249967</v>
      </c>
      <c r="O33" s="5">
        <f>K33/'Annuity rates'!K30*100000+C33*3</f>
        <v>191042.84252638672</v>
      </c>
      <c r="P33" s="5">
        <f>K33/'Annuity rates'!L30*100000+3*C33</f>
        <v>199131.93350043561</v>
      </c>
      <c r="R33" s="5">
        <f>Income!B31</f>
        <v>49471.349464828178</v>
      </c>
      <c r="S33" s="5">
        <f t="shared" si="1"/>
        <v>19124.193936252257</v>
      </c>
      <c r="U33" s="5">
        <f>S33/'Annuity rates'!I30*100000</f>
        <v>704823.90773887257</v>
      </c>
      <c r="V33" s="5">
        <f>S33/'Annuity rates'!J30*100000+C33*3</f>
        <v>861576.41868618829</v>
      </c>
      <c r="W33" s="5">
        <f>S33/'Annuity rates'!K30*100000+C33*3</f>
        <v>741745.460647122</v>
      </c>
      <c r="X33" s="5">
        <f>S33/'Annuity rates'!L30*100000+3*C33</f>
        <v>778738.30391044123</v>
      </c>
    </row>
    <row r="34" spans="1:24">
      <c r="A34">
        <f t="shared" si="0"/>
        <v>2045</v>
      </c>
      <c r="B34" s="1">
        <f>Income!C32</f>
        <v>50460.776454124745</v>
      </c>
      <c r="C34" s="1">
        <f>C33+B34/Inputs!B$24</f>
        <v>12979.994655471477</v>
      </c>
      <c r="D34" s="1"/>
      <c r="E34" s="5">
        <f>C34/'Annuity rates'!I31*100000+3*C34</f>
        <v>519710.76253750786</v>
      </c>
      <c r="F34" s="5">
        <f>C34/'Annuity rates'!J31*100000+C34*3</f>
        <v>601449.22566396883</v>
      </c>
      <c r="G34" s="5">
        <f>C34/'Annuity rates'!K31*100000+C34*3</f>
        <v>519710.76253750786</v>
      </c>
      <c r="H34" s="5">
        <f>C34/'Annuity rates'!L31*100000+3*C34</f>
        <v>544944.12630679354</v>
      </c>
      <c r="I34" s="5"/>
      <c r="J34" s="5">
        <f>Income!D32</f>
        <v>30000</v>
      </c>
      <c r="K34" s="86">
        <f>K33+J34/Inputs!B$30</f>
        <v>4363.6363636363649</v>
      </c>
      <c r="M34" s="5">
        <f>K34/'Annuity rates'!I31*100000+3*C34</f>
        <v>200566.31029639143</v>
      </c>
      <c r="N34" s="5">
        <f>K34/'Annuity rates'!J31*100000+C34*3</f>
        <v>228045.28386099334</v>
      </c>
      <c r="O34" s="5">
        <f>K34/'Annuity rates'!K31*100000+C34*3</f>
        <v>200566.31029639143</v>
      </c>
      <c r="P34" s="5">
        <f>K34/'Annuity rates'!L31*100000+3*C34</f>
        <v>209049.30483091573</v>
      </c>
      <c r="R34" s="5">
        <f>Income!B32</f>
        <v>50460.776454124745</v>
      </c>
      <c r="S34" s="5">
        <f t="shared" si="1"/>
        <v>20315.45781912922</v>
      </c>
      <c r="U34" s="5">
        <f>S34/'Annuity rates'!I31*100000</f>
        <v>752471.68677483476</v>
      </c>
      <c r="V34" s="5">
        <f>S34/'Annuity rates'!J31*100000+C34*3</f>
        <v>919343.48765814514</v>
      </c>
      <c r="W34" s="5">
        <f>S34/'Annuity rates'!K31*100000+C34*3</f>
        <v>791411.67074124923</v>
      </c>
      <c r="X34" s="5">
        <f>S34/'Annuity rates'!L31*100000+3*C34</f>
        <v>830905.31853513175</v>
      </c>
    </row>
    <row r="35" spans="1:24">
      <c r="A35">
        <f t="shared" si="0"/>
        <v>2046</v>
      </c>
      <c r="B35" s="1">
        <f>Income!C33</f>
        <v>51469.991983207241</v>
      </c>
      <c r="C35" s="1">
        <f>C34+B35/Inputs!B$24</f>
        <v>13666.261215247574</v>
      </c>
      <c r="D35" s="1"/>
      <c r="E35" s="5">
        <f>C35/'Annuity rates'!I32*100000+3*C35</f>
        <v>532860.31437677203</v>
      </c>
      <c r="F35" s="5">
        <f>C35/'Annuity rates'!J32*100000+C35*3</f>
        <v>613127.50892709743</v>
      </c>
      <c r="G35" s="5">
        <f>C35/'Annuity rates'!K32*100000+C35*3</f>
        <v>532860.31437677203</v>
      </c>
      <c r="H35" s="5">
        <f>C35/'Annuity rates'!L32*100000+3*C35</f>
        <v>554505.45234654483</v>
      </c>
      <c r="I35" s="5"/>
      <c r="J35" s="5">
        <f>Income!D33</f>
        <v>30000</v>
      </c>
      <c r="K35" s="86">
        <f>K34+J35/Inputs!B$30</f>
        <v>4545.4545454545469</v>
      </c>
      <c r="M35" s="5">
        <f>K35/'Annuity rates'!I32*100000+3*C35</f>
        <v>204593.94660817456</v>
      </c>
      <c r="N35" s="5">
        <f>K35/'Annuity rates'!J32*100000+C35*3</f>
        <v>231291.1448084104</v>
      </c>
      <c r="O35" s="5">
        <f>K35/'Annuity rates'!K32*100000+C35*3</f>
        <v>204593.94660817456</v>
      </c>
      <c r="P35" s="5">
        <f>K35/'Annuity rates'!L32*100000+3*C35</f>
        <v>211793.20829519129</v>
      </c>
      <c r="R35" s="5">
        <f>Income!B33</f>
        <v>51469.991983207241</v>
      </c>
      <c r="S35" s="5">
        <f t="shared" si="1"/>
        <v>21543.487459730153</v>
      </c>
      <c r="U35" s="5">
        <f>S35/'Annuity rates'!I32*100000</f>
        <v>775370.27518580516</v>
      </c>
      <c r="V35" s="5">
        <f>S35/'Annuity rates'!J32*100000+C35*3</f>
        <v>942902.22485162457</v>
      </c>
      <c r="W35" s="5">
        <f>S35/'Annuity rates'!K32*100000+C35*3</f>
        <v>816369.05883154785</v>
      </c>
      <c r="X35" s="5">
        <f>S35/'Annuity rates'!L32*100000+3*C35</f>
        <v>850490.44368373125</v>
      </c>
    </row>
    <row r="36" spans="1:24">
      <c r="A36">
        <f t="shared" si="0"/>
        <v>2047</v>
      </c>
      <c r="B36" s="1">
        <f>Income!C34</f>
        <v>52499.391822871388</v>
      </c>
      <c r="C36" s="1">
        <f>C35+B36/Inputs!B$24</f>
        <v>14366.253106219192</v>
      </c>
      <c r="D36" s="1"/>
      <c r="E36" s="5">
        <f>C36/'Annuity rates'!I33*100000+3*C36</f>
        <v>562738.92776425963</v>
      </c>
      <c r="F36" s="5">
        <f>C36/'Annuity rates'!J33*100000+C36*3</f>
        <v>647539.33578721562</v>
      </c>
      <c r="G36" s="5">
        <f>C36/'Annuity rates'!K33*100000+C36*3</f>
        <v>562738.92776425963</v>
      </c>
      <c r="H36" s="5">
        <f>C36/'Annuity rates'!L33*100000+3*C36</f>
        <v>585606.50824758015</v>
      </c>
      <c r="I36" s="5"/>
      <c r="J36" s="5">
        <f>Income!D34</f>
        <v>30000</v>
      </c>
      <c r="K36" s="86">
        <f>K35+J36/Inputs!B$30</f>
        <v>4727.2727272727288</v>
      </c>
      <c r="M36" s="5">
        <f>K36/'Annuity rates'!I33*100000+3*C36</f>
        <v>214088.42364699132</v>
      </c>
      <c r="N36" s="5">
        <f>K36/'Annuity rates'!J33*100000+C36*3</f>
        <v>241992.33520587784</v>
      </c>
      <c r="O36" s="5">
        <f>K36/'Annuity rates'!K33*100000+C36*3</f>
        <v>214088.42364699132</v>
      </c>
      <c r="P36" s="5">
        <f>K36/'Annuity rates'!L33*100000+3*C36</f>
        <v>221613.09196226121</v>
      </c>
      <c r="R36" s="5">
        <f>Income!B34</f>
        <v>52499.391822871388</v>
      </c>
      <c r="S36" s="5">
        <f t="shared" si="1"/>
        <v>22809.225220890596</v>
      </c>
      <c r="U36" s="5">
        <f>S36/'Annuity rates'!I33*100000</f>
        <v>825029.98856161349</v>
      </c>
      <c r="V36" s="5">
        <f>S36/'Annuity rates'!J33*100000+C36*3</f>
        <v>1002765.9139609444</v>
      </c>
      <c r="W36" s="5">
        <f>S36/'Annuity rates'!K33*100000+C36*3</f>
        <v>868128.74788027105</v>
      </c>
      <c r="X36" s="5">
        <f>S36/'Annuity rates'!L33*100000+3*C36</f>
        <v>904435.48629316327</v>
      </c>
    </row>
    <row r="37" spans="1:24">
      <c r="A37">
        <f t="shared" si="0"/>
        <v>2048</v>
      </c>
      <c r="B37" s="1">
        <f>Income!C35</f>
        <v>53549.379659328813</v>
      </c>
      <c r="C37" s="1">
        <f>C36+B37/Inputs!B$24</f>
        <v>15080.244835010242</v>
      </c>
      <c r="D37" s="1"/>
      <c r="E37" s="5">
        <f>C37/'Annuity rates'!I34*100000+3*C37</f>
        <v>593433.9490383073</v>
      </c>
      <c r="F37" s="5">
        <f>C37/'Annuity rates'!J34*100000+C37*3</f>
        <v>682893.94672650401</v>
      </c>
      <c r="G37" s="5">
        <f>C37/'Annuity rates'!K34*100000+C37*3</f>
        <v>593433.9490383073</v>
      </c>
      <c r="H37" s="5">
        <f>C37/'Annuity rates'!L34*100000+3*C37</f>
        <v>617558.05109001824</v>
      </c>
      <c r="I37" s="5"/>
      <c r="J37" s="5">
        <f>Income!D35</f>
        <v>30000</v>
      </c>
      <c r="K37" s="86">
        <f>K36+J37/Inputs!B$30</f>
        <v>4909.0909090909108</v>
      </c>
      <c r="M37" s="5">
        <f>K37/'Annuity rates'!I34*100000+3*C37</f>
        <v>223694.75533385132</v>
      </c>
      <c r="N37" s="5">
        <f>K37/'Annuity rates'!J34*100000+C37*3</f>
        <v>252816.77995502006</v>
      </c>
      <c r="O37" s="5">
        <f>K37/'Annuity rates'!K34*100000+C37*3</f>
        <v>223694.75533385132</v>
      </c>
      <c r="P37" s="5">
        <f>K37/'Annuity rates'!L34*100000+3*C37</f>
        <v>231547.90436211473</v>
      </c>
      <c r="R37" s="5">
        <f>Income!B35</f>
        <v>53549.379659328813</v>
      </c>
      <c r="S37" s="5">
        <f t="shared" si="1"/>
        <v>24113.6356254657</v>
      </c>
      <c r="U37" s="5">
        <f>S37/'Annuity rates'!I34*100000</f>
        <v>876572.7328855535</v>
      </c>
      <c r="V37" s="5">
        <f>S37/'Annuity rates'!J34*100000+C37*3</f>
        <v>1064861.9265442458</v>
      </c>
      <c r="W37" s="5">
        <f>S37/'Annuity rates'!K34*100000+C37*3</f>
        <v>921813.46739058418</v>
      </c>
      <c r="X37" s="5">
        <f>S37/'Annuity rates'!L34*100000+3*C37</f>
        <v>960388.42509392253</v>
      </c>
    </row>
    <row r="38" spans="1:24">
      <c r="A38">
        <f t="shared" si="0"/>
        <v>2049</v>
      </c>
      <c r="B38" s="1">
        <f>Income!C36</f>
        <v>54620.367252515389</v>
      </c>
      <c r="C38" s="1">
        <f>C37+B38/Inputs!B$24</f>
        <v>15808.516398377114</v>
      </c>
      <c r="D38" s="1"/>
      <c r="E38" s="5">
        <f>C38/'Annuity rates'!I35*100000+3*C38</f>
        <v>624966.04166218173</v>
      </c>
      <c r="F38" s="5">
        <f>C38/'Annuity rates'!J35*100000+C38*3</f>
        <v>719215.24021333619</v>
      </c>
      <c r="G38" s="5">
        <f>C38/'Annuity rates'!K35*100000+C38*3</f>
        <v>624966.04166218173</v>
      </c>
      <c r="H38" s="5">
        <f>C38/'Annuity rates'!L35*100000+3*C38</f>
        <v>650381.61670014076</v>
      </c>
      <c r="I38" s="5"/>
      <c r="J38" s="5">
        <f>Income!D36</f>
        <v>30000</v>
      </c>
      <c r="K38" s="86">
        <f>K37+J38/Inputs!B$30</f>
        <v>5090.9090909090928</v>
      </c>
      <c r="M38" s="5">
        <f>K38/'Annuity rates'!I35*100000+3*C38</f>
        <v>233414.29534783546</v>
      </c>
      <c r="N38" s="5">
        <f>K38/'Annuity rates'!J35*100000+C38*3</f>
        <v>263765.91656412021</v>
      </c>
      <c r="O38" s="5">
        <f>K38/'Annuity rates'!K35*100000+C38*3</f>
        <v>233414.29534783546</v>
      </c>
      <c r="P38" s="5">
        <f>K38/'Annuity rates'!L35*100000+3*C38</f>
        <v>241599.02177951444</v>
      </c>
      <c r="R38" s="5">
        <f>Income!B36</f>
        <v>54620.367252515389</v>
      </c>
      <c r="S38" s="5">
        <f t="shared" si="1"/>
        <v>25457.705852534826</v>
      </c>
      <c r="U38" s="5">
        <f>S38/'Annuity rates'!I35*100000</f>
        <v>930059.19117518549</v>
      </c>
      <c r="V38" s="5">
        <f>S38/'Annuity rates'!J35*100000+C38*3</f>
        <v>1129261.6885094068</v>
      </c>
      <c r="W38" s="5">
        <f>S38/'Annuity rates'!K35*100000+C38*3</f>
        <v>977484.7403703169</v>
      </c>
      <c r="X38" s="5">
        <f>S38/'Annuity rates'!L35*100000+3*C38</f>
        <v>1018413.4535451855</v>
      </c>
    </row>
    <row r="39" spans="1:24">
      <c r="A39">
        <f t="shared" si="0"/>
        <v>2050</v>
      </c>
      <c r="B39" s="1">
        <f>Income!C37</f>
        <v>55712.774597565694</v>
      </c>
      <c r="C39" s="1">
        <f>C38+B39/Inputs!B$24</f>
        <v>16551.353393011323</v>
      </c>
      <c r="D39" s="1"/>
      <c r="E39" s="5">
        <f>C39/'Annuity rates'!I36*100000+3*C39</f>
        <v>657356.38539724075</v>
      </c>
      <c r="F39" s="5">
        <f>C39/'Annuity rates'!J36*100000+C39*3</f>
        <v>756527.71252761793</v>
      </c>
      <c r="G39" s="5">
        <f>C39/'Annuity rates'!K36*100000+C39*3</f>
        <v>657356.38539724075</v>
      </c>
      <c r="H39" s="5">
        <f>C39/'Annuity rates'!L36*100000+3*C39</f>
        <v>684099.27918352652</v>
      </c>
      <c r="I39" s="5"/>
      <c r="J39" s="5">
        <f>Income!D37</f>
        <v>30000</v>
      </c>
      <c r="K39" s="86">
        <f>K38+J39/Inputs!B$30</f>
        <v>5272.7272727272748</v>
      </c>
      <c r="M39" s="5">
        <f>K39/'Annuity rates'!I36*100000+3*C39</f>
        <v>243248.41755833972</v>
      </c>
      <c r="N39" s="5">
        <f>K39/'Annuity rates'!J36*100000+C39*3</f>
        <v>274841.20328507607</v>
      </c>
      <c r="O39" s="5">
        <f>K39/'Annuity rates'!K36*100000+C39*3</f>
        <v>243248.41755833972</v>
      </c>
      <c r="P39" s="5">
        <f>K39/'Annuity rates'!L36*100000+3*C39</f>
        <v>251767.84083874268</v>
      </c>
      <c r="R39" s="5">
        <f>Income!B37</f>
        <v>55712.774597565694</v>
      </c>
      <c r="S39" s="5">
        <f t="shared" si="1"/>
        <v>26842.44624437829</v>
      </c>
      <c r="U39" s="5">
        <f>S39/'Annuity rates'!I36*100000</f>
        <v>985551.85246308101</v>
      </c>
      <c r="V39" s="5">
        <f>S39/'Annuity rates'!J36*100000+C39*3</f>
        <v>1196038.7433038547</v>
      </c>
      <c r="W39" s="5">
        <f>S39/'Annuity rates'!K36*100000+C39*3</f>
        <v>1035205.912642115</v>
      </c>
      <c r="X39" s="5">
        <f>S39/'Annuity rates'!L36*100000+3*C39</f>
        <v>1078576.667397469</v>
      </c>
    </row>
    <row r="40" spans="1:24">
      <c r="A40">
        <f t="shared" si="0"/>
        <v>2051</v>
      </c>
      <c r="B40" s="1">
        <f>Income!C38</f>
        <v>56827.030089517008</v>
      </c>
      <c r="C40" s="1">
        <f>C39+B40/Inputs!B$24</f>
        <v>17309.047127538215</v>
      </c>
      <c r="D40" s="1"/>
      <c r="E40" s="5">
        <f>C40/'Annuity rates'!I37*100000+3*C40</f>
        <v>690626.68918598292</v>
      </c>
      <c r="F40" s="5">
        <f>C40/'Annuity rates'!J37*100000+C40*3</f>
        <v>794856.47269139916</v>
      </c>
      <c r="G40" s="5">
        <f>C40/'Annuity rates'!K37*100000+C40*3</f>
        <v>690626.68918598292</v>
      </c>
      <c r="H40" s="5">
        <f>C40/'Annuity rates'!L37*100000+3*C40</f>
        <v>718733.66436025279</v>
      </c>
      <c r="I40" s="5"/>
      <c r="J40" s="5">
        <f>Income!D38</f>
        <v>30000</v>
      </c>
      <c r="K40" s="86">
        <f>K39+J40/Inputs!B$30</f>
        <v>5454.5454545454568</v>
      </c>
      <c r="M40" s="5">
        <f>K40/'Annuity rates'!I37*100000+3*C40</f>
        <v>253198.51638213423</v>
      </c>
      <c r="N40" s="5">
        <f>K40/'Annuity rates'!J37*100000+C40*3</f>
        <v>286044.11947389634</v>
      </c>
      <c r="O40" s="5">
        <f>K40/'Annuity rates'!K37*100000+C40*3</f>
        <v>253198.51638213423</v>
      </c>
      <c r="P40" s="5">
        <f>K40/'Annuity rates'!L37*100000+3*C40</f>
        <v>262055.77886158769</v>
      </c>
      <c r="R40" s="5">
        <f>Income!B38</f>
        <v>56827.030089517008</v>
      </c>
      <c r="S40" s="5">
        <f t="shared" si="1"/>
        <v>28268.890824455309</v>
      </c>
      <c r="U40" s="5">
        <f>S40/'Annuity rates'!I37*100000</f>
        <v>1043115.0630907272</v>
      </c>
      <c r="V40" s="5">
        <f>S40/'Annuity rates'!J37*100000+C40*3</f>
        <v>1265268.8119151508</v>
      </c>
      <c r="W40" s="5">
        <f>S40/'Annuity rates'!K37*100000+C40*3</f>
        <v>1095042.2044733418</v>
      </c>
      <c r="X40" s="5">
        <f>S40/'Annuity rates'!L37*100000+3*C40</f>
        <v>1140946.1185797974</v>
      </c>
    </row>
    <row r="41" spans="1:24">
      <c r="A41">
        <f t="shared" si="0"/>
        <v>2052</v>
      </c>
      <c r="B41" s="1">
        <f>Income!C39</f>
        <v>57963.570691307352</v>
      </c>
      <c r="C41" s="1">
        <f>C40+B41/Inputs!B$24</f>
        <v>18081.894736755647</v>
      </c>
      <c r="D41" s="1"/>
      <c r="E41" s="5">
        <f>C41/'Annuity rates'!I38*100000+3*C41</f>
        <v>724799.20435679541</v>
      </c>
      <c r="F41" s="5">
        <f>C41/'Annuity rates'!J38*100000+C41*3</f>
        <v>834227.25777258456</v>
      </c>
      <c r="G41" s="5">
        <f>C41/'Annuity rates'!K38*100000+C41*3</f>
        <v>724799.20435679541</v>
      </c>
      <c r="H41" s="5">
        <f>C41/'Annuity rates'!L38*100000+3*C41</f>
        <v>754307.96353565739</v>
      </c>
      <c r="I41" s="5"/>
      <c r="J41" s="5">
        <f>Income!D39</f>
        <v>30000</v>
      </c>
      <c r="K41" s="86">
        <f>K40+J41/Inputs!B$30</f>
        <v>5636.3636363636388</v>
      </c>
      <c r="M41" s="5">
        <f>K41/'Annuity rates'!I38*100000+3*C41</f>
        <v>263266.00714726798</v>
      </c>
      <c r="N41" s="5">
        <f>K41/'Annuity rates'!J38*100000+C41*3</f>
        <v>297376.16595806298</v>
      </c>
      <c r="O41" s="5">
        <f>K41/'Annuity rates'!K38*100000+C41*3</f>
        <v>263266.00714726798</v>
      </c>
      <c r="P41" s="5">
        <f>K41/'Annuity rates'!L38*100000+3*C41</f>
        <v>272464.27423218038</v>
      </c>
      <c r="R41" s="5">
        <f>Income!B39</f>
        <v>57963.570691307352</v>
      </c>
      <c r="S41" s="5">
        <f t="shared" si="1"/>
        <v>29738.0978266169</v>
      </c>
      <c r="U41" s="5">
        <f>S41/'Annuity rates'!I38*100000</f>
        <v>1102815.0794156052</v>
      </c>
      <c r="V41" s="5">
        <f>S41/'Annuity rates'!J38*100000+C41*3</f>
        <v>1337029.8545220885</v>
      </c>
      <c r="W41" s="5">
        <f>S41/'Annuity rates'!K38*100000+C41*3</f>
        <v>1157060.7636258721</v>
      </c>
      <c r="X41" s="5">
        <f>S41/'Annuity rates'!L38*100000+3*C41</f>
        <v>1205591.8705689562</v>
      </c>
    </row>
    <row r="42" spans="1:24">
      <c r="A42">
        <f t="shared" si="0"/>
        <v>2053</v>
      </c>
      <c r="B42" s="1">
        <f>Income!C40</f>
        <v>59122.842105133503</v>
      </c>
      <c r="C42" s="1">
        <f>C41+B42/Inputs!B$24</f>
        <v>18870.199298157426</v>
      </c>
      <c r="D42" s="1"/>
      <c r="E42" s="5">
        <f>C42/'Annuity rates'!I39*100000+3*C42</f>
        <v>759896.73815844057</v>
      </c>
      <c r="F42" s="5">
        <f>C42/'Annuity rates'!J39*100000+C42*3</f>
        <v>874666.4485710751</v>
      </c>
      <c r="G42" s="5">
        <f>C42/'Annuity rates'!K39*100000+C42*3</f>
        <v>759896.73815844057</v>
      </c>
      <c r="H42" s="5">
        <f>C42/'Annuity rates'!L39*100000+3*C42</f>
        <v>790845.94761504862</v>
      </c>
      <c r="I42" s="5"/>
      <c r="J42" s="5">
        <f>Income!D40</f>
        <v>30000</v>
      </c>
      <c r="K42" s="86">
        <f>K41+J42/Inputs!B$30</f>
        <v>5818.1818181818207</v>
      </c>
      <c r="M42" s="5">
        <f>K42/'Annuity rates'!I39*100000+3*C42</f>
        <v>273452.32646395464</v>
      </c>
      <c r="N42" s="5">
        <f>K42/'Annuity rates'!J39*100000+C42*3</f>
        <v>308838.86541089549</v>
      </c>
      <c r="O42" s="5">
        <f>K42/'Annuity rates'!K39*100000+C42*3</f>
        <v>273452.32646395464</v>
      </c>
      <c r="P42" s="5">
        <f>K42/'Annuity rates'!L39*100000+3*C42</f>
        <v>282994.78676881857</v>
      </c>
      <c r="R42" s="5">
        <f>Income!B40</f>
        <v>59122.842105133503</v>
      </c>
      <c r="S42" s="5">
        <f t="shared" si="1"/>
        <v>31251.15023579248</v>
      </c>
      <c r="U42" s="5">
        <f>S42/'Annuity rates'!I39*100000</f>
        <v>1164720.1219695639</v>
      </c>
      <c r="V42" s="5">
        <f>S42/'Annuity rates'!J39*100000+C42*3</f>
        <v>1411402.1338407747</v>
      </c>
      <c r="W42" s="5">
        <f>S42/'Annuity rates'!K39*100000+C42*3</f>
        <v>1221330.7198640362</v>
      </c>
      <c r="X42" s="5">
        <f>S42/'Annuity rates'!L39*100000+3*C42</f>
        <v>1272586.055280759</v>
      </c>
    </row>
    <row r="43" spans="1:24">
      <c r="A43" s="6">
        <f t="shared" si="0"/>
        <v>2054</v>
      </c>
      <c r="B43" s="7">
        <f>Income!C41</f>
        <v>59883.65</v>
      </c>
      <c r="C43" s="1">
        <f>C42+B43/Inputs!B$24</f>
        <v>19668.647964824093</v>
      </c>
      <c r="D43" s="1"/>
      <c r="E43" s="5">
        <f>C43/'Annuity rates'!I40*100000+3*C43</f>
        <v>795715.22445338464</v>
      </c>
      <c r="F43" s="5">
        <f>C43/'Annuity rates'!J40*100000+C43*3</f>
        <v>915939.27828773344</v>
      </c>
      <c r="G43" s="5">
        <f>C43/'Annuity rates'!K40*100000+C43*3</f>
        <v>795715.22445338464</v>
      </c>
      <c r="H43" s="5">
        <f>C43/'Annuity rates'!L40*100000+3*C43</f>
        <v>828135.27161098528</v>
      </c>
      <c r="I43" s="5"/>
      <c r="J43" s="5">
        <f>Income!D41</f>
        <v>30000</v>
      </c>
      <c r="K43" s="86">
        <f>K42+J43/Inputs!B$30</f>
        <v>6000.0000000000027</v>
      </c>
      <c r="M43" s="5">
        <f>K43/'Annuity rates'!I40*100000+3*C43</f>
        <v>283742.06664468738</v>
      </c>
      <c r="N43" s="5">
        <f>K43/'Annuity rates'!J40*100000+C43*3</f>
        <v>320416.89677516528</v>
      </c>
      <c r="O43" s="5">
        <f>K43/'Annuity rates'!K40*100000+C43*3</f>
        <v>283742.06664468738</v>
      </c>
      <c r="P43" s="5">
        <f>K43/'Annuity rates'!L40*100000+3*C43</f>
        <v>293631.93214502529</v>
      </c>
      <c r="R43" s="5">
        <f>Income!B41</f>
        <v>60305.298947236173</v>
      </c>
      <c r="S43" s="5">
        <f t="shared" si="1"/>
        <v>32809.156340393864</v>
      </c>
      <c r="U43" s="5">
        <f>S43/'Annuity rates'!I40*100000</f>
        <v>1228900.4311076251</v>
      </c>
      <c r="V43" s="5">
        <f>S43/'Annuity rates'!J40*100000+C43*3</f>
        <v>1488451.4142534698</v>
      </c>
      <c r="W43" s="5">
        <f>S43/'Annuity rates'!K40*100000+C43*3</f>
        <v>1287906.3750020973</v>
      </c>
      <c r="X43" s="5">
        <f>S43/'Annuity rates'!L40*100000+3*C43</f>
        <v>1341986.0655664394</v>
      </c>
    </row>
    <row r="44" spans="1:24">
      <c r="A44" s="6">
        <f t="shared" si="0"/>
        <v>2055</v>
      </c>
      <c r="B44" s="7">
        <f>Income!C42</f>
        <v>59883.65</v>
      </c>
      <c r="C44" s="1">
        <f>C43+B44/Inputs!B$24</f>
        <v>20467.09663149076</v>
      </c>
      <c r="D44" s="1"/>
      <c r="E44" s="5">
        <f>C44/'Annuity rates'!I41*100000+3*C44</f>
        <v>831850.35999777145</v>
      </c>
      <c r="F44" s="5">
        <f>C44/'Annuity rates'!J41*100000+C44*3</f>
        <v>957580.43144529127</v>
      </c>
      <c r="G44" s="5">
        <f>C44/'Annuity rates'!K41*100000+C44*3</f>
        <v>831850.35999777145</v>
      </c>
      <c r="H44" s="5">
        <f>C44/'Annuity rates'!L41*100000+3*C44</f>
        <v>865755.17950313841</v>
      </c>
      <c r="I44" s="5"/>
      <c r="J44" s="5">
        <f>Income!D42</f>
        <v>30000</v>
      </c>
      <c r="K44" s="86">
        <f>K43+J44/Inputs!B$30</f>
        <v>6181.8181818181847</v>
      </c>
      <c r="M44" s="5">
        <f>K44/'Annuity rates'!I41*100000+3*C44</f>
        <v>294105.32972401317</v>
      </c>
      <c r="N44" s="5">
        <f>K44/'Annuity rates'!J41*100000+C44*3</f>
        <v>332080.4492863898</v>
      </c>
      <c r="O44" s="5">
        <f>K44/'Annuity rates'!K41*100000+C44*3</f>
        <v>294105.32972401317</v>
      </c>
      <c r="P44" s="5">
        <f>K44/'Annuity rates'!L41*100000+3*C44</f>
        <v>304345.83591027209</v>
      </c>
      <c r="R44" s="5">
        <f>Income!B42</f>
        <v>61511.404926180898</v>
      </c>
      <c r="S44" s="5">
        <f t="shared" si="1"/>
        <v>34413.250296685452</v>
      </c>
      <c r="U44" s="5">
        <f>S44/'Annuity rates'!I41*100000</f>
        <v>1295428.324187387</v>
      </c>
      <c r="V44" s="5">
        <f>S44/'Annuity rates'!J41*100000+C44*3</f>
        <v>1568231.3823173423</v>
      </c>
      <c r="W44" s="5">
        <f>S44/'Annuity rates'!K41*100000+C44*3</f>
        <v>1356829.6140818594</v>
      </c>
      <c r="X44" s="5">
        <f>S44/'Annuity rates'!L41*100000+3*C44</f>
        <v>1413836.968906526</v>
      </c>
    </row>
    <row r="45" spans="1:24">
      <c r="A45" s="6">
        <f t="shared" si="0"/>
        <v>2056</v>
      </c>
      <c r="B45" s="7">
        <f>Income!C43</f>
        <v>59883.65</v>
      </c>
      <c r="C45" s="1">
        <f>C44+B45/Inputs!B$24</f>
        <v>21265.545298157427</v>
      </c>
      <c r="D45" s="1"/>
      <c r="E45" s="5">
        <f>C45/'Annuity rates'!I42*100000+3*C45</f>
        <v>868304.47570558824</v>
      </c>
      <c r="F45" s="5">
        <f>C45/'Annuity rates'!J42*100000+C45*3</f>
        <v>999592.61934106471</v>
      </c>
      <c r="G45" s="5">
        <f>C45/'Annuity rates'!K42*100000+C45*3</f>
        <v>868304.47570558824</v>
      </c>
      <c r="H45" s="5">
        <f>C45/'Annuity rates'!L42*100000+3*C45</f>
        <v>903708.10478101985</v>
      </c>
      <c r="I45" s="5"/>
      <c r="J45" s="5">
        <f>Income!D43</f>
        <v>30000</v>
      </c>
      <c r="K45" s="86">
        <f>K44+J45/Inputs!B$30</f>
        <v>6363.6363636363667</v>
      </c>
      <c r="M45" s="5">
        <f>K45/'Annuity rates'!I42*100000+3*C45</f>
        <v>304542.65357106348</v>
      </c>
      <c r="N45" s="5">
        <f>K45/'Annuity rates'!J42*100000+C45*3</f>
        <v>343830.14858890459</v>
      </c>
      <c r="O45" s="5">
        <f>K45/'Annuity rates'!K42*100000+C45*3</f>
        <v>304542.65357106348</v>
      </c>
      <c r="P45" s="5">
        <f>K45/'Annuity rates'!L42*100000+3*C45</f>
        <v>315137.05960346514</v>
      </c>
      <c r="R45" s="5">
        <f>Income!B43</f>
        <v>62741.633024704519</v>
      </c>
      <c r="S45" s="5">
        <f t="shared" si="1"/>
        <v>36064.592705374605</v>
      </c>
      <c r="U45" s="5">
        <f>S45/'Annuity rates'!I42*100000</f>
        <v>1364378.2543202699</v>
      </c>
      <c r="V45" s="5">
        <f>S45/'Annuity rates'!J42*100000+C45*3</f>
        <v>1650828.6411941934</v>
      </c>
      <c r="W45" s="5">
        <f>S45/'Annuity rates'!K42*100000+C45*3</f>
        <v>1428174.8902147422</v>
      </c>
      <c r="X45" s="5">
        <f>S45/'Annuity rates'!L42*100000+3*C45</f>
        <v>1488216.4948383598</v>
      </c>
    </row>
    <row r="46" spans="1:24">
      <c r="A46" s="6">
        <f t="shared" si="0"/>
        <v>2057</v>
      </c>
      <c r="B46" s="7">
        <f>Income!C44</f>
        <v>59883.65</v>
      </c>
      <c r="C46" s="1">
        <f>C45+B46/Inputs!B$24</f>
        <v>22063.993964824094</v>
      </c>
      <c r="D46" s="1"/>
      <c r="E46" s="5">
        <f>C46/'Annuity rates'!I43*100000+3*C46</f>
        <v>905079.91788373049</v>
      </c>
      <c r="F46" s="5">
        <f>C46/'Annuity rates'!J43*100000+C46*3</f>
        <v>1041978.5711772575</v>
      </c>
      <c r="G46" s="5">
        <f>C46/'Annuity rates'!K43*100000+C46*3</f>
        <v>905079.91788373049</v>
      </c>
      <c r="H46" s="5">
        <f>C46/'Annuity rates'!L43*100000+3*C46</f>
        <v>941996.49700444005</v>
      </c>
      <c r="I46" s="5"/>
      <c r="J46" s="5">
        <f>Income!D44</f>
        <v>30000</v>
      </c>
      <c r="K46" s="86">
        <f>K45+J46/Inputs!B$30</f>
        <v>6545.4545454545487</v>
      </c>
      <c r="M46" s="5">
        <f>K46/'Annuity rates'!I43*100000+3*C46</f>
        <v>315054.5795955885</v>
      </c>
      <c r="N46" s="5">
        <f>K46/'Annuity rates'!J43*100000+C46*3</f>
        <v>355666.62444545963</v>
      </c>
      <c r="O46" s="5">
        <f>K46/'Annuity rates'!K43*100000+C46*3</f>
        <v>315054.5795955885</v>
      </c>
      <c r="P46" s="5">
        <f>K46/'Annuity rates'!L43*100000+3*C46</f>
        <v>326006.16845993977</v>
      </c>
      <c r="R46" s="5">
        <f>Income!B44</f>
        <v>63996.465685198607</v>
      </c>
      <c r="S46" s="5">
        <f t="shared" si="1"/>
        <v>37764.371200681628</v>
      </c>
      <c r="U46" s="5">
        <f>S46/'Annuity rates'!I43*100000</f>
        <v>1435826.8707369349</v>
      </c>
      <c r="V46" s="5">
        <f>S46/'Annuity rates'!J43*100000+C46*3</f>
        <v>1736332.348551156</v>
      </c>
      <c r="W46" s="5">
        <f>S46/'Annuity rates'!K43*100000+C46*3</f>
        <v>1502018.8526314073</v>
      </c>
      <c r="X46" s="5">
        <f>S46/'Annuity rates'!L43*100000+3*C46</f>
        <v>1565204.6656621951</v>
      </c>
    </row>
    <row r="47" spans="1:24">
      <c r="A47" s="6">
        <f t="shared" si="0"/>
        <v>2058</v>
      </c>
      <c r="B47" s="7">
        <f>Income!C45</f>
        <v>59883.65</v>
      </c>
      <c r="C47" s="1">
        <f>C46+B47/Inputs!B$24</f>
        <v>22862.442631490761</v>
      </c>
      <c r="D47" s="1"/>
      <c r="E47" s="5">
        <f>C47/'Annuity rates'!I44*100000+3*C47</f>
        <v>942179.04832765902</v>
      </c>
      <c r="F47" s="5">
        <f>C47/'Annuity rates'!J44*100000+C47*3</f>
        <v>1084741.034172226</v>
      </c>
      <c r="G47" s="5">
        <f>C47/'Annuity rates'!K44*100000+C47*3</f>
        <v>942179.04832765902</v>
      </c>
      <c r="H47" s="5">
        <f>C47/'Annuity rates'!L44*100000+3*C47</f>
        <v>980622.82190337218</v>
      </c>
      <c r="I47" s="5"/>
      <c r="J47" s="5">
        <f>Income!D45</f>
        <v>30000</v>
      </c>
      <c r="K47" s="86">
        <f>K46+J47/Inputs!B$30</f>
        <v>6727.2727272727307</v>
      </c>
      <c r="M47" s="5">
        <f>K47/'Annuity rates'!I44*100000+3*C47</f>
        <v>325641.65276991692</v>
      </c>
      <c r="N47" s="5">
        <f>K47/'Annuity rates'!J44*100000+C47*3</f>
        <v>367590.51076276298</v>
      </c>
      <c r="O47" s="5">
        <f>K47/'Annuity rates'!K44*100000+C47*3</f>
        <v>325641.65276991692</v>
      </c>
      <c r="P47" s="5">
        <f>K47/'Annuity rates'!L44*100000+3*C47</f>
        <v>336953.73143438634</v>
      </c>
      <c r="R47" s="5">
        <f>Income!B45</f>
        <v>65276.394998902579</v>
      </c>
      <c r="S47" s="5">
        <f t="shared" si="1"/>
        <v>39513.801052153984</v>
      </c>
      <c r="U47" s="5">
        <f>S47/'Annuity rates'!I44*100000</f>
        <v>1509853.0808103348</v>
      </c>
      <c r="V47" s="5">
        <f>S47/'Annuity rates'!J44*100000+C47*3</f>
        <v>1824834.2887053227</v>
      </c>
      <c r="W47" s="5">
        <f>S47/'Annuity rates'!K44*100000+C47*3</f>
        <v>1578440.4087048071</v>
      </c>
      <c r="X47" s="5">
        <f>S47/'Annuity rates'!L44*100000+3*C47</f>
        <v>1644883.8611936688</v>
      </c>
    </row>
    <row r="48" spans="1:24">
      <c r="A48" s="6">
        <f t="shared" si="0"/>
        <v>2059</v>
      </c>
      <c r="B48" s="7">
        <f>Income!C46</f>
        <v>59883.65</v>
      </c>
      <c r="C48" s="1">
        <f>C47+B48/Inputs!B$24</f>
        <v>23660.891298157429</v>
      </c>
      <c r="D48" s="1"/>
      <c r="E48" s="5">
        <f>C48/'Annuity rates'!I45*100000+3*C48</f>
        <v>979604.24441762699</v>
      </c>
      <c r="F48" s="5">
        <f>C48/'Annuity rates'!J45*100000+C48*3</f>
        <v>1127882.7736724119</v>
      </c>
      <c r="G48" s="5">
        <f>C48/'Annuity rates'!K45*100000+C48*3</f>
        <v>979604.24441762699</v>
      </c>
      <c r="H48" s="5">
        <f>C48/'Annuity rates'!L45*100000+3*C48</f>
        <v>1019589.5614784159</v>
      </c>
      <c r="I48" s="5"/>
      <c r="J48" s="5">
        <f>Income!D46</f>
        <v>30000</v>
      </c>
      <c r="K48" s="86">
        <f>K47+J48/Inputs!B$30</f>
        <v>6909.0909090909126</v>
      </c>
      <c r="M48" s="5">
        <f>K48/'Annuity rates'!I45*100000+3*C48</f>
        <v>336304.42165104602</v>
      </c>
      <c r="N48" s="5">
        <f>K48/'Annuity rates'!J45*100000+C48*3</f>
        <v>379602.4456171756</v>
      </c>
      <c r="O48" s="5">
        <f>K48/'Annuity rates'!K45*100000+C48*3</f>
        <v>336304.42165104602</v>
      </c>
      <c r="P48" s="5">
        <f>K48/'Annuity rates'!L45*100000+3*C48</f>
        <v>347980.32122391328</v>
      </c>
      <c r="R48" s="5">
        <f>Income!B46</f>
        <v>66581.922898880628</v>
      </c>
      <c r="S48" s="5">
        <f t="shared" si="1"/>
        <v>41314.125779495131</v>
      </c>
      <c r="U48" s="5">
        <f>S48/'Annuity rates'!I45*100000</f>
        <v>1586538.1137810024</v>
      </c>
      <c r="V48" s="5">
        <f>S48/'Annuity rates'!J45*100000+C48*3</f>
        <v>1916428.9467484083</v>
      </c>
      <c r="W48" s="5">
        <f>S48/'Annuity rates'!K45*100000+C48*3</f>
        <v>1657520.7876754745</v>
      </c>
      <c r="X48" s="5">
        <f>S48/'Annuity rates'!L45*100000+3*C48</f>
        <v>1727338.885293423</v>
      </c>
    </row>
    <row r="49" spans="1:24">
      <c r="A49" s="6">
        <f t="shared" si="0"/>
        <v>2060</v>
      </c>
      <c r="B49" s="7">
        <f>Income!C47</f>
        <v>59883.65</v>
      </c>
      <c r="C49" s="1">
        <f>C48+B49/Inputs!B$24</f>
        <v>24459.339964824096</v>
      </c>
      <c r="D49" s="1"/>
      <c r="E49" s="5">
        <f>C49/'Annuity rates'!I46*100000+3*C49</f>
        <v>1017357.899215484</v>
      </c>
      <c r="F49" s="5">
        <f>C49/'Annuity rates'!J46*100000+C49*3</f>
        <v>1171406.573264943</v>
      </c>
      <c r="G49" s="5">
        <f>C49/'Annuity rates'!K46*100000+C49*3</f>
        <v>1017357.899215484</v>
      </c>
      <c r="H49" s="5">
        <f>C49/'Annuity rates'!L46*100000+3*C49</f>
        <v>1058899.2141018598</v>
      </c>
      <c r="I49" s="5"/>
      <c r="J49" s="5">
        <f>Income!D47</f>
        <v>30000</v>
      </c>
      <c r="K49" s="86">
        <f>K48+J49/Inputs!B$30</f>
        <v>7090.9090909090946</v>
      </c>
      <c r="M49" s="5">
        <f>K49/'Annuity rates'!I46*100000+3*C49</f>
        <v>347043.43840286462</v>
      </c>
      <c r="N49" s="5">
        <f>K49/'Annuity rates'!J46*100000+C49*3</f>
        <v>391703.07128056057</v>
      </c>
      <c r="O49" s="5">
        <f>K49/'Annuity rates'!K46*100000+C49*3</f>
        <v>347043.43840286462</v>
      </c>
      <c r="P49" s="5">
        <f>K49/'Annuity rates'!L46*100000+3*C49</f>
        <v>359086.514291247</v>
      </c>
      <c r="R49" s="5">
        <f>Income!B47</f>
        <v>67913.561356858248</v>
      </c>
      <c r="S49" s="5">
        <f t="shared" si="1"/>
        <v>43166.61778068386</v>
      </c>
      <c r="U49" s="5">
        <f>S49/'Annuity rates'!I46*100000</f>
        <v>1665965.5862303739</v>
      </c>
      <c r="V49" s="5">
        <f>S49/'Annuity rates'!J46*100000+C49*3</f>
        <v>2011213.5847047023</v>
      </c>
      <c r="W49" s="5">
        <f>S49/'Annuity rates'!K46*100000+C49*3</f>
        <v>1739343.6061248463</v>
      </c>
      <c r="X49" s="5">
        <f>S49/'Annuity rates'!L46*100000+3*C49</f>
        <v>1812657.0342216832</v>
      </c>
    </row>
    <row r="50" spans="1:24">
      <c r="A50" s="6">
        <f t="shared" si="0"/>
        <v>2061</v>
      </c>
      <c r="B50" s="7">
        <f>Income!C48</f>
        <v>59883.65</v>
      </c>
      <c r="C50" s="1">
        <f>C49+B50/Inputs!B$24</f>
        <v>25257.788631490763</v>
      </c>
      <c r="D50" s="1"/>
      <c r="E50" s="5">
        <f>C50/'Annuity rates'!I47*100000+3*C50</f>
        <v>1055442.4215620563</v>
      </c>
      <c r="F50" s="5">
        <f>C50/'Annuity rates'!J47*100000+C50*3</f>
        <v>1215315.2348909045</v>
      </c>
      <c r="G50" s="5">
        <f>C50/'Annuity rates'!K47*100000+C50*3</f>
        <v>1055442.4215620563</v>
      </c>
      <c r="H50" s="5">
        <f>C50/'Annuity rates'!L47*100000+3*C50</f>
        <v>1098554.2946193486</v>
      </c>
      <c r="I50" s="5"/>
      <c r="J50" s="5">
        <f>Income!D48</f>
        <v>30000</v>
      </c>
      <c r="K50" s="86">
        <f>K49+J50/Inputs!B$30</f>
        <v>7272.7272727272766</v>
      </c>
      <c r="M50" s="5">
        <f>K50/'Annuity rates'!I47*100000+3*C50</f>
        <v>357859.25881850743</v>
      </c>
      <c r="N50" s="5">
        <f>K50/'Annuity rates'!J47*100000+C50*3</f>
        <v>403893.03424628626</v>
      </c>
      <c r="O50" s="5">
        <f>K50/'Annuity rates'!K47*100000+C50*3</f>
        <v>357859.25881850743</v>
      </c>
      <c r="P50" s="5">
        <f>K50/'Annuity rates'!L47*100000+3*C50</f>
        <v>370272.89088807075</v>
      </c>
      <c r="R50" s="5">
        <f>Income!B48</f>
        <v>69271.83258399542</v>
      </c>
      <c r="S50" s="5">
        <f t="shared" si="1"/>
        <v>45072.57897366595</v>
      </c>
      <c r="U50" s="5">
        <f>S50/'Annuity rates'!I47*100000</f>
        <v>1748221.5693491509</v>
      </c>
      <c r="V50" s="5">
        <f>S50/'Annuity rates'!J47*100000+C50*3</f>
        <v>2109288.3197770007</v>
      </c>
      <c r="W50" s="5">
        <f>S50/'Annuity rates'!K47*100000+C50*3</f>
        <v>1823994.9352436231</v>
      </c>
      <c r="X50" s="5">
        <f>S50/'Annuity rates'!L47*100000+3*C50</f>
        <v>1900928.1668668692</v>
      </c>
    </row>
    <row r="51" spans="1:24">
      <c r="A51" s="6">
        <f t="shared" si="0"/>
        <v>2062</v>
      </c>
      <c r="B51" s="7">
        <f>Income!C49</f>
        <v>59883.65</v>
      </c>
      <c r="C51" s="1">
        <f>C50+B51/Inputs!B$24</f>
        <v>26056.23729815743</v>
      </c>
      <c r="D51" s="1"/>
      <c r="E51" s="5">
        <f>C51/'Annuity rates'!I48*100000+3*C51</f>
        <v>1093860.2361751113</v>
      </c>
      <c r="F51" s="5">
        <f>C51/'Annuity rates'!J48*100000+C51*3</f>
        <v>1259611.5789592916</v>
      </c>
      <c r="G51" s="5">
        <f>C51/'Annuity rates'!K48*100000+C51*3</f>
        <v>1093860.2361751113</v>
      </c>
      <c r="H51" s="5">
        <f>C51/'Annuity rates'!L48*100000+3*C51</f>
        <v>1138557.3344521571</v>
      </c>
      <c r="I51" s="5"/>
      <c r="J51" s="5">
        <f>Income!D49</f>
        <v>30000</v>
      </c>
      <c r="K51" s="86">
        <f>K50+J51/Inputs!B$30</f>
        <v>7454.5454545454586</v>
      </c>
      <c r="M51" s="5">
        <f>K51/'Annuity rates'!I48*100000+3*C51</f>
        <v>368752.44234284392</v>
      </c>
      <c r="N51" s="5">
        <f>K51/'Annuity rates'!J48*100000+C51*3</f>
        <v>416172.98525538464</v>
      </c>
      <c r="O51" s="5">
        <f>K51/'Annuity rates'!K48*100000+C51*3</f>
        <v>368752.44234284392</v>
      </c>
      <c r="P51" s="5">
        <f>K51/'Annuity rates'!L48*100000+3*C51</f>
        <v>381540.0350785029</v>
      </c>
      <c r="R51" s="5">
        <f>Income!B49</f>
        <v>70657.269235675325</v>
      </c>
      <c r="S51" s="5">
        <f t="shared" si="1"/>
        <v>47033.34145190558</v>
      </c>
      <c r="U51" s="5">
        <f>S51/'Annuity rates'!I48*100000</f>
        <v>1833394.6580489539</v>
      </c>
      <c r="V51" s="5">
        <f>S51/'Annuity rates'!J48*100000+C51*3</f>
        <v>2210756.2047366323</v>
      </c>
      <c r="W51" s="5">
        <f>S51/'Annuity rates'!K48*100000+C51*3</f>
        <v>1911563.3699434262</v>
      </c>
      <c r="X51" s="5">
        <f>S51/'Annuity rates'!L48*100000+3*C51</f>
        <v>1992244.7768986176</v>
      </c>
    </row>
    <row r="52" spans="1:24">
      <c r="A52" s="6">
        <f t="shared" si="0"/>
        <v>2063</v>
      </c>
      <c r="B52" s="7">
        <f>Income!C50</f>
        <v>59883.65</v>
      </c>
      <c r="C52" s="1">
        <f>C51+B52/Inputs!B$24</f>
        <v>26854.685964824097</v>
      </c>
      <c r="D52" s="1"/>
      <c r="E52" s="5">
        <f>C52/'Annuity rates'!I49*100000+3*C52</f>
        <v>1132613.7837479052</v>
      </c>
      <c r="F52" s="5">
        <f>C52/'Annuity rates'!J49*100000+C52*3</f>
        <v>1304298.4444616376</v>
      </c>
      <c r="G52" s="5">
        <f>C52/'Annuity rates'!K49*100000+C52*3</f>
        <v>1132613.7837479052</v>
      </c>
      <c r="H52" s="5">
        <f>C52/'Annuity rates'!L49*100000+3*C52</f>
        <v>1178910.8817000757</v>
      </c>
      <c r="I52" s="5"/>
      <c r="J52" s="5">
        <f>Income!D50</f>
        <v>30000</v>
      </c>
      <c r="K52" s="86">
        <f>K51+J52/Inputs!B$30</f>
        <v>7636.3636363636406</v>
      </c>
      <c r="M52" s="5">
        <f>K52/'Annuity rates'!I49*100000+3*C52</f>
        <v>379723.55209510075</v>
      </c>
      <c r="N52" s="5">
        <f>K52/'Annuity rates'!J49*100000+C52*3</f>
        <v>428543.57932286523</v>
      </c>
      <c r="O52" s="5">
        <f>K52/'Annuity rates'!K49*100000+C52*3</f>
        <v>379723.55209510075</v>
      </c>
      <c r="P52" s="5">
        <f>K52/'Annuity rates'!L49*100000+3*C52</f>
        <v>392888.53476271452</v>
      </c>
      <c r="R52" s="5">
        <f>Income!B50</f>
        <v>72070.414620388838</v>
      </c>
      <c r="S52" s="5">
        <f t="shared" si="1"/>
        <v>49050.268154090256</v>
      </c>
      <c r="U52" s="5">
        <f>S52/'Annuity rates'!I49*100000</f>
        <v>1921576.0419667982</v>
      </c>
      <c r="V52" s="5">
        <f>S52/'Annuity rates'!J49*100000+C52*3</f>
        <v>2315723.3105152017</v>
      </c>
      <c r="W52" s="5">
        <f>S52/'Annuity rates'!K49*100000+C52*3</f>
        <v>2002140.0998612705</v>
      </c>
      <c r="X52" s="5">
        <f>S52/'Annuity rates'!L49*100000+3*C52</f>
        <v>2086702.0668969194</v>
      </c>
    </row>
    <row r="53" spans="1:24">
      <c r="A53" s="6">
        <f t="shared" si="0"/>
        <v>2064</v>
      </c>
      <c r="B53" s="7">
        <f>Income!C51</f>
        <v>59883.65</v>
      </c>
      <c r="C53" s="1">
        <f>C52+B53/Inputs!B$24</f>
        <v>27653.134631490764</v>
      </c>
      <c r="D53" s="1"/>
      <c r="E53" s="5">
        <f>C53/'Annuity rates'!I50*100000+3*C53</f>
        <v>1171705.52104832</v>
      </c>
      <c r="F53" s="5">
        <f>C53/'Annuity rates'!J50*100000+C53*3</f>
        <v>1349378.6890873304</v>
      </c>
      <c r="G53" s="5">
        <f>C53/'Annuity rates'!K50*100000+C53*3</f>
        <v>1171705.52104832</v>
      </c>
      <c r="H53" s="5">
        <f>C53/'Annuity rates'!L50*100000+3*C53</f>
        <v>1219617.5012449096</v>
      </c>
      <c r="I53" s="5"/>
      <c r="J53" s="5">
        <f>Income!D51</f>
        <v>30000</v>
      </c>
      <c r="K53" s="86">
        <f>K52+J53/Inputs!B$30</f>
        <v>7818.1818181818226</v>
      </c>
      <c r="M53" s="5">
        <f>K53/'Annuity rates'!I50*100000+3*C53</f>
        <v>390773.15489161882</v>
      </c>
      <c r="N53" s="5">
        <f>K53/'Annuity rates'!J50*100000+C53*3</f>
        <v>441005.47576418653</v>
      </c>
      <c r="O53" s="5">
        <f>K53/'Annuity rates'!K50*100000+C53*3</f>
        <v>390773.15489161882</v>
      </c>
      <c r="P53" s="5">
        <f>K53/'Annuity rates'!L50*100000+3*C53</f>
        <v>404318.9817006886</v>
      </c>
      <c r="R53" s="5">
        <f>Income!B51</f>
        <v>73511.822912796619</v>
      </c>
      <c r="S53" s="5">
        <f t="shared" si="1"/>
        <v>51124.753548288973</v>
      </c>
      <c r="U53" s="5">
        <f>S53/'Annuity rates'!I50*100000</f>
        <v>2012859.5784132378</v>
      </c>
      <c r="V53" s="5">
        <f>S53/'Annuity rates'!J50*100000+C53*3</f>
        <v>2424298.8110571816</v>
      </c>
      <c r="W53" s="5">
        <f>S53/'Annuity rates'!K50*100000+C53*3</f>
        <v>2095818.9823077102</v>
      </c>
      <c r="X53" s="5">
        <f>S53/'Annuity rates'!L50*100000+3*C53</f>
        <v>2184398.02451046</v>
      </c>
    </row>
    <row r="54" spans="1:24">
      <c r="A54" s="6">
        <f t="shared" si="0"/>
        <v>2065</v>
      </c>
      <c r="B54" s="7">
        <f>Income!C52</f>
        <v>59883.65</v>
      </c>
      <c r="C54" s="1">
        <f>C53+B54/Inputs!B$24</f>
        <v>28451.583298157431</v>
      </c>
      <c r="D54" s="1"/>
      <c r="E54" s="5">
        <f>C54/'Annuity rates'!I51*100000+3*C54</f>
        <v>1211137.9210185923</v>
      </c>
      <c r="F54" s="5">
        <f>C54/'Annuity rates'!J51*100000+C54*3</f>
        <v>1394855.1893396163</v>
      </c>
      <c r="G54" s="5">
        <f>C54/'Annuity rates'!K51*100000+C54*3</f>
        <v>1211137.9210185923</v>
      </c>
      <c r="H54" s="5">
        <f>C54/'Annuity rates'!L51*100000+3*C54</f>
        <v>1260679.7748545962</v>
      </c>
      <c r="I54" s="5"/>
      <c r="J54" s="5">
        <f>Income!D52</f>
        <v>30000</v>
      </c>
      <c r="K54" s="86">
        <f>K53+J54/Inputs!B$30</f>
        <v>8000.0000000000045</v>
      </c>
      <c r="M54" s="5">
        <f>K54/'Annuity rates'!I51*100000+3*C54</f>
        <v>401901.82126874715</v>
      </c>
      <c r="N54" s="5">
        <f>K54/'Annuity rates'!J51*100000+C54*3</f>
        <v>453559.33822188538</v>
      </c>
      <c r="O54" s="5">
        <f>K54/'Annuity rates'!K51*100000+C54*3</f>
        <v>401901.82126874715</v>
      </c>
      <c r="P54" s="5">
        <f>K54/'Annuity rates'!L51*100000+3*C54</f>
        <v>415831.97153612075</v>
      </c>
      <c r="R54" s="5">
        <f>Income!B52</f>
        <v>74982.059371052557</v>
      </c>
      <c r="S54" s="5">
        <f t="shared" si="1"/>
        <v>53258.224330869532</v>
      </c>
      <c r="U54" s="5">
        <f>S54/'Annuity rates'!I51*100000</f>
        <v>2107341.8673163611</v>
      </c>
      <c r="V54" s="5">
        <f>S54/'Annuity rates'!J51*100000+C54*3</f>
        <v>2536595.0704940744</v>
      </c>
      <c r="W54" s="5">
        <f>S54/'Annuity rates'!K51*100000+C54*3</f>
        <v>2192696.6172108334</v>
      </c>
      <c r="X54" s="5">
        <f>S54/'Annuity rates'!L51*100000+3*C54</f>
        <v>2285433.5006986465</v>
      </c>
    </row>
    <row r="55" spans="1:24">
      <c r="A55" s="6">
        <f t="shared" si="0"/>
        <v>2066</v>
      </c>
      <c r="B55" s="7">
        <f>Income!C53</f>
        <v>59883.65</v>
      </c>
      <c r="C55" s="1">
        <f>C54+B55/Inputs!B$24</f>
        <v>29250.031964824098</v>
      </c>
      <c r="D55" s="1"/>
      <c r="E55" s="5">
        <f>C55/'Annuity rates'!I52*100000+3*C55</f>
        <v>1250913.4728756389</v>
      </c>
      <c r="F55" s="5">
        <f>C55/'Annuity rates'!J52*100000+C55*3</f>
        <v>1440730.8406522947</v>
      </c>
      <c r="G55" s="5">
        <f>C55/'Annuity rates'!K52*100000+C55*3</f>
        <v>1250913.4728756389</v>
      </c>
      <c r="H55" s="5">
        <f>C55/'Annuity rates'!L52*100000+3*C55</f>
        <v>1302100.3012879461</v>
      </c>
      <c r="I55" s="5"/>
      <c r="J55" s="5">
        <f>Income!D53</f>
        <v>30000</v>
      </c>
      <c r="K55" s="86">
        <f>K54+J55/Inputs!B$30</f>
        <v>8181.8181818181865</v>
      </c>
      <c r="M55" s="5">
        <f>K55/'Annuity rates'!I52*100000+3*C55</f>
        <v>413110.12550587184</v>
      </c>
      <c r="N55" s="5">
        <f>K55/'Annuity rates'!J52*100000+C55*3</f>
        <v>466205.83469236444</v>
      </c>
      <c r="O55" s="5">
        <f>K55/'Annuity rates'!K52*100000+C55*3</f>
        <v>413110.12550587184</v>
      </c>
      <c r="P55" s="5">
        <f>K55/'Annuity rates'!L52*100000+3*C55</f>
        <v>427428.10382046201</v>
      </c>
      <c r="R55" s="5">
        <f>Income!B53</f>
        <v>76481.700558473603</v>
      </c>
      <c r="S55" s="5">
        <f t="shared" si="1"/>
        <v>55452.140140487551</v>
      </c>
      <c r="U55" s="5">
        <f>S55/'Annuity rates'!I52*100000</f>
        <v>2205122.3282152163</v>
      </c>
      <c r="V55" s="5">
        <f>S55/'Annuity rates'!J52*100000+C55*3</f>
        <v>2652727.7327024387</v>
      </c>
      <c r="W55" s="5">
        <f>S55/'Annuity rates'!K52*100000+C55*3</f>
        <v>2292872.4241096885</v>
      </c>
      <c r="X55" s="5">
        <f>S55/'Annuity rates'!L52*100000+3*C55</f>
        <v>2389912.290113247</v>
      </c>
    </row>
    <row r="56" spans="1:24">
      <c r="A56" s="6">
        <f t="shared" si="0"/>
        <v>2067</v>
      </c>
      <c r="B56" s="7">
        <f>Income!C54</f>
        <v>59883.65</v>
      </c>
      <c r="C56" s="1">
        <f>C55+B56/Inputs!B$24</f>
        <v>30048.480631490766</v>
      </c>
      <c r="D56" s="1"/>
      <c r="E56" s="5">
        <f>C56/'Annuity rates'!I53*100000+3*C56</f>
        <v>1291034.6822119779</v>
      </c>
      <c r="F56" s="5">
        <f>C56/'Annuity rates'!J53*100000+C56*3</f>
        <v>1487008.557507114</v>
      </c>
      <c r="G56" s="5">
        <f>C56/'Annuity rates'!K53*100000+C56*3</f>
        <v>1291034.6822119779</v>
      </c>
      <c r="H56" s="5">
        <f>C56/'Annuity rates'!L53*100000+3*C56</f>
        <v>1343881.6964000056</v>
      </c>
      <c r="I56" s="5"/>
      <c r="J56" s="5">
        <f>Income!D54</f>
        <v>30000</v>
      </c>
      <c r="K56" s="86">
        <f>K55+J56/Inputs!B$30</f>
        <v>8363.6363636363676</v>
      </c>
      <c r="M56" s="5">
        <f>K56/'Annuity rates'!I53*100000+3*C56</f>
        <v>424398.64564858336</v>
      </c>
      <c r="N56" s="5">
        <f>K56/'Annuity rates'!J53*100000+C56*3</f>
        <v>478945.63755283999</v>
      </c>
      <c r="O56" s="5">
        <f>K56/'Annuity rates'!K53*100000+C56*3</f>
        <v>424398.64564858336</v>
      </c>
      <c r="P56" s="5">
        <f>K56/'Annuity rates'!L53*100000+3*C56</f>
        <v>439107.98203710566</v>
      </c>
      <c r="R56" s="5">
        <f>Income!B54</f>
        <v>78011.334569643077</v>
      </c>
      <c r="S56" s="5">
        <f t="shared" si="1"/>
        <v>57707.994287465932</v>
      </c>
      <c r="U56" s="5">
        <f>S56/'Annuity rates'!I53*100000</f>
        <v>2306303.279357648</v>
      </c>
      <c r="V56" s="5">
        <f>S56/'Annuity rates'!J53*100000+C56*3</f>
        <v>2772815.8133097528</v>
      </c>
      <c r="W56" s="5">
        <f>S56/'Annuity rates'!K53*100000+C56*3</f>
        <v>2396448.7212521201</v>
      </c>
      <c r="X56" s="5">
        <f>S56/'Annuity rates'!L53*100000+3*C56</f>
        <v>2497941.2136770533</v>
      </c>
    </row>
    <row r="57" spans="1:24">
      <c r="A57" s="6">
        <f t="shared" si="0"/>
        <v>2068</v>
      </c>
      <c r="B57" s="7">
        <f>Income!C55</f>
        <v>59883.65</v>
      </c>
      <c r="C57" s="1">
        <f>C56+B57/Inputs!B$24</f>
        <v>30846.929298157433</v>
      </c>
      <c r="D57" s="1"/>
      <c r="E57" s="5">
        <f>C57/'Annuity rates'!I54*100000+3*C57</f>
        <v>1331504.0710972555</v>
      </c>
      <c r="F57" s="5">
        <f>C57/'Annuity rates'!J54*100000+C57*3</f>
        <v>1533691.2735518625</v>
      </c>
      <c r="G57" s="5">
        <f>C57/'Annuity rates'!K54*100000+C57*3</f>
        <v>1331504.0710972555</v>
      </c>
      <c r="H57" s="5">
        <f>C57/'Annuity rates'!L54*100000+3*C57</f>
        <v>1386026.5932480509</v>
      </c>
      <c r="I57" s="5"/>
      <c r="J57" s="5">
        <f>Income!D55</f>
        <v>30000</v>
      </c>
      <c r="K57" s="86">
        <f>K56+J57/Inputs!B$30</f>
        <v>8545.4545454545496</v>
      </c>
      <c r="M57" s="5">
        <f>K57/'Annuity rates'!I54*100000+3*C57</f>
        <v>435767.96353198175</v>
      </c>
      <c r="N57" s="5">
        <f>K57/'Annuity rates'!J54*100000+C57*3</f>
        <v>491779.42358845047</v>
      </c>
      <c r="O57" s="5">
        <f>K57/'Annuity rates'!K54*100000+C57*3</f>
        <v>435767.96353198175</v>
      </c>
      <c r="P57" s="5">
        <f>K57/'Annuity rates'!L54*100000+3*C57</f>
        <v>450872.21362571768</v>
      </c>
      <c r="R57" s="5">
        <f>Income!B55</f>
        <v>79571.561261035939</v>
      </c>
      <c r="S57" s="5">
        <f t="shared" si="1"/>
        <v>60027.314498890584</v>
      </c>
      <c r="U57" s="5">
        <f>S57/'Annuity rates'!I54*100000</f>
        <v>2410990.0189589998</v>
      </c>
      <c r="V57" s="5">
        <f>S57/'Annuity rates'!J54*100000+C57*3</f>
        <v>2896981.7942137769</v>
      </c>
      <c r="W57" s="5">
        <f>S57/'Annuity rates'!K54*100000+C57*3</f>
        <v>2503530.8068534723</v>
      </c>
      <c r="X57" s="5">
        <f>S57/'Annuity rates'!L54*100000+3*C57</f>
        <v>2609630.2034184979</v>
      </c>
    </row>
    <row r="58" spans="1:24">
      <c r="A58" s="6">
        <f t="shared" si="0"/>
        <v>2069</v>
      </c>
      <c r="B58" s="7">
        <f>Income!C56</f>
        <v>59883.65</v>
      </c>
      <c r="C58" s="1">
        <f>C57+B58/Inputs!B$24</f>
        <v>31645.3779648241</v>
      </c>
      <c r="D58" s="1"/>
      <c r="E58" s="5">
        <f>C58/'Annuity rates'!I55*100000+3*C58</f>
        <v>1372324.1781803782</v>
      </c>
      <c r="F58" s="5">
        <f>C58/'Annuity rates'!J55*100000+C58*3</f>
        <v>1580781.9417191683</v>
      </c>
      <c r="G58" s="5">
        <f>C58/'Annuity rates'!K55*100000+C58*3</f>
        <v>1372324.1781803782</v>
      </c>
      <c r="H58" s="5">
        <f>C58/'Annuity rates'!L55*100000+3*C58</f>
        <v>1428537.6421982138</v>
      </c>
      <c r="I58" s="5"/>
      <c r="J58" s="5">
        <f>Income!D56</f>
        <v>30000</v>
      </c>
      <c r="K58" s="86">
        <f>K57+J58/Inputs!B$30</f>
        <v>8727.2727272727316</v>
      </c>
      <c r="M58" s="5">
        <f>K58/'Annuity rates'!I55*100000+3*C58</f>
        <v>447218.6648041202</v>
      </c>
      <c r="N58" s="5">
        <f>K58/'Annuity rates'!J55*100000+C58*3</f>
        <v>504707.8740195256</v>
      </c>
      <c r="O58" s="5">
        <f>K58/'Annuity rates'!K55*100000+C58*3</f>
        <v>447218.6648041202</v>
      </c>
      <c r="P58" s="5">
        <f>K58/'Annuity rates'!L55*100000+3*C58</f>
        <v>462721.41000671219</v>
      </c>
      <c r="R58" s="5">
        <f>Income!B56</f>
        <v>81162.992486256655</v>
      </c>
      <c r="S58" s="5">
        <f t="shared" si="1"/>
        <v>62411.663679754529</v>
      </c>
      <c r="U58" s="5">
        <f>S58/'Annuity rates'!I55*100000</f>
        <v>2519290.9086796073</v>
      </c>
      <c r="V58" s="5">
        <f>S58/'Annuity rates'!J55*100000+C58*3</f>
        <v>3025351.72068279</v>
      </c>
      <c r="W58" s="5">
        <f>S58/'Annuity rates'!K55*100000+C58*3</f>
        <v>2614227.0425740797</v>
      </c>
      <c r="X58" s="5">
        <f>S58/'Annuity rates'!L55*100000+3*C58</f>
        <v>2725092.3896227055</v>
      </c>
    </row>
    <row r="59" spans="1:24">
      <c r="A59" s="6">
        <f t="shared" si="0"/>
        <v>2070</v>
      </c>
      <c r="B59" s="7">
        <f>Income!C57</f>
        <v>59883.65</v>
      </c>
      <c r="C59" s="1">
        <f>C58+B59/Inputs!B$24</f>
        <v>32443.826631490767</v>
      </c>
      <c r="D59" s="1"/>
      <c r="E59" s="5">
        <f>C59/'Annuity rates'!I56*100000+3*C59</f>
        <v>1413497.5587922516</v>
      </c>
      <c r="F59" s="5">
        <f>C59/'Annuity rates'!J56*100000+C59*3</f>
        <v>1628283.5343460056</v>
      </c>
      <c r="G59" s="5">
        <f>C59/'Annuity rates'!K56*100000+C59*3</f>
        <v>1413497.5587922516</v>
      </c>
      <c r="H59" s="5">
        <f>C59/'Annuity rates'!L56*100000+3*C59</f>
        <v>1471417.5110327448</v>
      </c>
      <c r="I59" s="5"/>
      <c r="J59" s="5">
        <f>Income!D57</f>
        <v>30000</v>
      </c>
      <c r="K59" s="86">
        <f>K58+J59/Inputs!B$30</f>
        <v>8909.0909090909136</v>
      </c>
      <c r="M59" s="5">
        <f>K59/'Annuity rates'!I56*100000+3*C59</f>
        <v>458751.33894958918</v>
      </c>
      <c r="N59" s="5">
        <f>K59/'Annuity rates'!J56*100000+C59*3</f>
        <v>517731.67452901916</v>
      </c>
      <c r="O59" s="5">
        <f>K59/'Annuity rates'!K56*100000+C59*3</f>
        <v>458751.33894958918</v>
      </c>
      <c r="P59" s="5">
        <f>K59/'Annuity rates'!L56*100000+3*C59</f>
        <v>474656.18660587334</v>
      </c>
      <c r="R59" s="5">
        <f>Income!B57</f>
        <v>82786.252335981786</v>
      </c>
      <c r="S59" s="5">
        <f t="shared" si="1"/>
        <v>64862.640690489927</v>
      </c>
      <c r="U59" s="5">
        <f>S59/'Annuity rates'!I56*100000</f>
        <v>2631317.4593805615</v>
      </c>
      <c r="V59" s="5">
        <f>S59/'Annuity rates'!J56*100000+C59*3</f>
        <v>3158055.30110589</v>
      </c>
      <c r="W59" s="5">
        <f>S59/'Annuity rates'!K56*100000+C59*3</f>
        <v>2728648.9392750338</v>
      </c>
      <c r="X59" s="5">
        <f>S59/'Annuity rates'!L56*100000+3*C59</f>
        <v>2844444.1903610742</v>
      </c>
    </row>
    <row r="65" spans="5:7">
      <c r="E65">
        <f>1984+65</f>
        <v>2049</v>
      </c>
      <c r="G65">
        <f>2049-2018</f>
        <v>31</v>
      </c>
    </row>
    <row r="66" spans="5:7">
      <c r="G66">
        <f>G65/75*55550</f>
        <v>22960.666666666668</v>
      </c>
    </row>
    <row r="67" spans="5:7">
      <c r="G67" s="5" t="e">
        <f>G66/'Annuity rates'!B13*100000</f>
        <v>#DIV/0!</v>
      </c>
    </row>
    <row r="68" spans="5:7">
      <c r="G68" s="5"/>
    </row>
  </sheetData>
  <mergeCells count="6">
    <mergeCell ref="R7:X7"/>
    <mergeCell ref="U8:X8"/>
    <mergeCell ref="E8:H8"/>
    <mergeCell ref="E7:H7"/>
    <mergeCell ref="M8:P8"/>
    <mergeCell ref="J7:Q7"/>
  </mergeCell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7"/>
  <sheetViews>
    <sheetView workbookViewId="0">
      <selection activeCell="G13" sqref="G13"/>
    </sheetView>
  </sheetViews>
  <sheetFormatPr baseColWidth="10" defaultRowHeight="16"/>
  <cols>
    <col min="1" max="1" width="17.6640625" bestFit="1" customWidth="1"/>
    <col min="2" max="2" width="12.5" bestFit="1" customWidth="1"/>
    <col min="3" max="3" width="15.1640625" customWidth="1"/>
    <col min="4" max="4" width="18.1640625" bestFit="1" customWidth="1"/>
  </cols>
  <sheetData>
    <row r="1" spans="1:4">
      <c r="A1" s="3" t="s">
        <v>21</v>
      </c>
    </row>
    <row r="3" spans="1:4">
      <c r="A3" t="s">
        <v>116</v>
      </c>
    </row>
    <row r="4" spans="1:4">
      <c r="A4" t="s">
        <v>126</v>
      </c>
    </row>
    <row r="5" spans="1:4">
      <c r="D5" s="5">
        <f>Inputs!B10</f>
        <v>32000</v>
      </c>
    </row>
    <row r="7" spans="1:4">
      <c r="A7" t="s">
        <v>100</v>
      </c>
      <c r="C7" s="22">
        <f>Inputs!B17+1</f>
        <v>1.02</v>
      </c>
    </row>
    <row r="8" spans="1:4">
      <c r="B8" t="s">
        <v>21</v>
      </c>
      <c r="C8" t="s">
        <v>226</v>
      </c>
      <c r="D8" t="s">
        <v>227</v>
      </c>
    </row>
    <row r="9" spans="1:4">
      <c r="A9">
        <v>2022</v>
      </c>
      <c r="B9" s="5">
        <f>C9</f>
        <v>32000</v>
      </c>
      <c r="C9" s="1">
        <f>IF(Inputs!B10&lt;Inputs!B$23,Inputs!B10,Inputs!B$23)</f>
        <v>32000</v>
      </c>
      <c r="D9" s="1">
        <f>IF(Inputs!B10&lt;Inputs!B$29,Inputs!B10,Inputs!B$29)</f>
        <v>30000</v>
      </c>
    </row>
    <row r="10" spans="1:4">
      <c r="A10">
        <f>A9+1</f>
        <v>2023</v>
      </c>
      <c r="B10" s="5">
        <f t="shared" ref="B10:B57" si="0">B9*C$7</f>
        <v>32640</v>
      </c>
      <c r="C10" s="1">
        <f>IF(C9*Income!C$7&lt;Inputs!B$23,C9*Income!C$7,Inputs!B$23)</f>
        <v>32640</v>
      </c>
      <c r="D10" s="1">
        <f>IF(C9*Income!C$7&lt;Inputs!B$29,C9*Income!C$7,Inputs!B$29)</f>
        <v>30000</v>
      </c>
    </row>
    <row r="11" spans="1:4">
      <c r="A11">
        <f t="shared" ref="A11:A57" si="1">A10+1</f>
        <v>2024</v>
      </c>
      <c r="B11" s="5">
        <f t="shared" si="0"/>
        <v>33292.800000000003</v>
      </c>
      <c r="C11" s="1">
        <f>IF(C10*Income!C$7&lt;Inputs!B$23,C10*Income!C$7,Inputs!B$23)</f>
        <v>33292.800000000003</v>
      </c>
      <c r="D11" s="1">
        <f>IF(C10*Income!C$7&lt;Inputs!B$29,C10*Income!C$7,Inputs!B$29)</f>
        <v>30000</v>
      </c>
    </row>
    <row r="12" spans="1:4">
      <c r="A12">
        <f t="shared" si="1"/>
        <v>2025</v>
      </c>
      <c r="B12" s="5">
        <f t="shared" si="0"/>
        <v>33958.656000000003</v>
      </c>
      <c r="C12" s="1">
        <f>IF(C11*Income!C$7&lt;Inputs!B$23,C11*Income!C$7,Inputs!B$23)</f>
        <v>33958.656000000003</v>
      </c>
      <c r="D12" s="1">
        <f>IF(C11*Income!C$7&lt;Inputs!B$29,C11*Income!C$7,Inputs!B$29)</f>
        <v>30000</v>
      </c>
    </row>
    <row r="13" spans="1:4">
      <c r="A13">
        <f t="shared" si="1"/>
        <v>2026</v>
      </c>
      <c r="B13" s="5">
        <f t="shared" si="0"/>
        <v>34637.829120000002</v>
      </c>
      <c r="C13" s="1">
        <f>IF(C12*Income!C$7&lt;Inputs!B$23,C12*Income!C$7,Inputs!B$23)</f>
        <v>34637.829120000002</v>
      </c>
      <c r="D13" s="1">
        <f>IF(C12*Income!C$7&lt;Inputs!B$29,C12*Income!C$7,Inputs!B$29)</f>
        <v>30000</v>
      </c>
    </row>
    <row r="14" spans="1:4">
      <c r="A14">
        <f t="shared" si="1"/>
        <v>2027</v>
      </c>
      <c r="B14" s="5">
        <f t="shared" si="0"/>
        <v>35330.5857024</v>
      </c>
      <c r="C14" s="1">
        <f>IF(C13*Income!C$7&lt;Inputs!B$23,C13*Income!C$7,Inputs!B$23)</f>
        <v>35330.5857024</v>
      </c>
      <c r="D14" s="1">
        <f>IF(C13*Income!C$7&lt;Inputs!B$29,C13*Income!C$7,Inputs!B$29)</f>
        <v>30000</v>
      </c>
    </row>
    <row r="15" spans="1:4">
      <c r="A15">
        <f t="shared" si="1"/>
        <v>2028</v>
      </c>
      <c r="B15" s="5">
        <f t="shared" si="0"/>
        <v>36037.197416447998</v>
      </c>
      <c r="C15" s="1">
        <f>IF(C14*Income!C$7&lt;Inputs!B$23,C14*Income!C$7,Inputs!B$23)</f>
        <v>36037.197416447998</v>
      </c>
      <c r="D15" s="1">
        <f>IF(C14*Income!C$7&lt;Inputs!B$29,C14*Income!C$7,Inputs!B$29)</f>
        <v>30000</v>
      </c>
    </row>
    <row r="16" spans="1:4">
      <c r="A16">
        <f t="shared" si="1"/>
        <v>2029</v>
      </c>
      <c r="B16" s="5">
        <f t="shared" si="0"/>
        <v>36757.941364776962</v>
      </c>
      <c r="C16" s="1">
        <f>IF(C15*Income!C$7&lt;Inputs!B$23,C15*Income!C$7,Inputs!B$23)</f>
        <v>36757.941364776962</v>
      </c>
      <c r="D16" s="1">
        <f>IF(C15*Income!C$7&lt;Inputs!B$29,C15*Income!C$7,Inputs!B$29)</f>
        <v>30000</v>
      </c>
    </row>
    <row r="17" spans="1:4">
      <c r="A17">
        <f t="shared" si="1"/>
        <v>2030</v>
      </c>
      <c r="B17" s="5">
        <f t="shared" si="0"/>
        <v>37493.100192072503</v>
      </c>
      <c r="C17" s="1">
        <f>IF(C16*Income!C$7&lt;Inputs!B$23,C16*Income!C$7,Inputs!B$23)</f>
        <v>37493.100192072503</v>
      </c>
      <c r="D17" s="1">
        <f>IF(C16*Income!C$7&lt;Inputs!B$29,C16*Income!C$7,Inputs!B$29)</f>
        <v>30000</v>
      </c>
    </row>
    <row r="18" spans="1:4">
      <c r="A18">
        <f t="shared" si="1"/>
        <v>2031</v>
      </c>
      <c r="B18" s="5">
        <f t="shared" si="0"/>
        <v>38242.962195913955</v>
      </c>
      <c r="C18" s="1">
        <f>IF(C17*Income!C$7&lt;Inputs!B$23,C17*Income!C$7,Inputs!B$23)</f>
        <v>38242.962195913955</v>
      </c>
      <c r="D18" s="1">
        <f>IF(C17*Income!C$7&lt;Inputs!B$29,C17*Income!C$7,Inputs!B$29)</f>
        <v>30000</v>
      </c>
    </row>
    <row r="19" spans="1:4">
      <c r="A19">
        <f t="shared" si="1"/>
        <v>2032</v>
      </c>
      <c r="B19" s="5">
        <f t="shared" si="0"/>
        <v>39007.821439832238</v>
      </c>
      <c r="C19" s="1">
        <f>IF(C18*Income!C$7&lt;Inputs!B$23,C18*Income!C$7,Inputs!B$23)</f>
        <v>39007.821439832238</v>
      </c>
      <c r="D19" s="1">
        <f>IF(C18*Income!C$7&lt;Inputs!B$29,C18*Income!C$7,Inputs!B$29)</f>
        <v>30000</v>
      </c>
    </row>
    <row r="20" spans="1:4">
      <c r="A20">
        <f t="shared" si="1"/>
        <v>2033</v>
      </c>
      <c r="B20" s="5">
        <f t="shared" si="0"/>
        <v>39787.977868628885</v>
      </c>
      <c r="C20" s="1">
        <f>IF(C19*Income!C$7&lt;Inputs!B$23,C19*Income!C$7,Inputs!B$23)</f>
        <v>39787.977868628885</v>
      </c>
      <c r="D20" s="1">
        <f>IF(C19*Income!C$7&lt;Inputs!B$29,C19*Income!C$7,Inputs!B$29)</f>
        <v>30000</v>
      </c>
    </row>
    <row r="21" spans="1:4">
      <c r="A21">
        <f t="shared" si="1"/>
        <v>2034</v>
      </c>
      <c r="B21" s="5">
        <f t="shared" si="0"/>
        <v>40583.737426001462</v>
      </c>
      <c r="C21" s="1">
        <f>IF(C20*Income!C$7&lt;Inputs!B$23,C20*Income!C$7,Inputs!B$23)</f>
        <v>40583.737426001462</v>
      </c>
      <c r="D21" s="1">
        <f>IF(C20*Income!C$7&lt;Inputs!B$29,C20*Income!C$7,Inputs!B$29)</f>
        <v>30000</v>
      </c>
    </row>
    <row r="22" spans="1:4">
      <c r="A22">
        <f t="shared" si="1"/>
        <v>2035</v>
      </c>
      <c r="B22" s="5">
        <f t="shared" si="0"/>
        <v>41395.412174521494</v>
      </c>
      <c r="C22" s="1">
        <f>IF(C21*Income!C$7&lt;Inputs!B$23,C21*Income!C$7,Inputs!B$23)</f>
        <v>41395.412174521494</v>
      </c>
      <c r="D22" s="1">
        <f>IF(C21*Income!C$7&lt;Inputs!B$29,C21*Income!C$7,Inputs!B$29)</f>
        <v>30000</v>
      </c>
    </row>
    <row r="23" spans="1:4">
      <c r="A23">
        <f t="shared" si="1"/>
        <v>2036</v>
      </c>
      <c r="B23" s="5">
        <f t="shared" si="0"/>
        <v>42223.320418011928</v>
      </c>
      <c r="C23" s="1">
        <f>IF(C22*Income!C$7&lt;Inputs!B$23,C22*Income!C$7,Inputs!B$23)</f>
        <v>42223.320418011928</v>
      </c>
      <c r="D23" s="1">
        <f>IF(C22*Income!C$7&lt;Inputs!B$29,C22*Income!C$7,Inputs!B$29)</f>
        <v>30000</v>
      </c>
    </row>
    <row r="24" spans="1:4">
      <c r="A24">
        <f t="shared" si="1"/>
        <v>2037</v>
      </c>
      <c r="B24" s="5">
        <f t="shared" si="0"/>
        <v>43067.786826372168</v>
      </c>
      <c r="C24" s="1">
        <f>IF(C23*Income!C$7&lt;Inputs!B$23,C23*Income!C$7,Inputs!B$23)</f>
        <v>43067.786826372168</v>
      </c>
      <c r="D24" s="1">
        <f>IF(C23*Income!C$7&lt;Inputs!B$29,C23*Income!C$7,Inputs!B$29)</f>
        <v>30000</v>
      </c>
    </row>
    <row r="25" spans="1:4">
      <c r="A25">
        <f t="shared" si="1"/>
        <v>2038</v>
      </c>
      <c r="B25" s="5">
        <f t="shared" si="0"/>
        <v>43929.142562899615</v>
      </c>
      <c r="C25" s="1">
        <f>IF(C24*Income!C$7&lt;Inputs!B$23,C24*Income!C$7,Inputs!B$23)</f>
        <v>43929.142562899615</v>
      </c>
      <c r="D25" s="1">
        <f>IF(C24*Income!C$7&lt;Inputs!B$29,C24*Income!C$7,Inputs!B$29)</f>
        <v>30000</v>
      </c>
    </row>
    <row r="26" spans="1:4">
      <c r="A26">
        <f t="shared" si="1"/>
        <v>2039</v>
      </c>
      <c r="B26" s="5">
        <f t="shared" si="0"/>
        <v>44807.725414157605</v>
      </c>
      <c r="C26" s="1">
        <f>IF(C25*Income!C$7&lt;Inputs!B$23,C25*Income!C$7,Inputs!B$23)</f>
        <v>44807.725414157605</v>
      </c>
      <c r="D26" s="1">
        <f>IF(C25*Income!C$7&lt;Inputs!B$29,C25*Income!C$7,Inputs!B$29)</f>
        <v>30000</v>
      </c>
    </row>
    <row r="27" spans="1:4">
      <c r="A27">
        <f t="shared" si="1"/>
        <v>2040</v>
      </c>
      <c r="B27" s="5">
        <f t="shared" si="0"/>
        <v>45703.879922440756</v>
      </c>
      <c r="C27" s="1">
        <f>IF(C26*Income!C$7&lt;Inputs!B$23,C26*Income!C$7,Inputs!B$23)</f>
        <v>45703.879922440756</v>
      </c>
      <c r="D27" s="1">
        <f>IF(C26*Income!C$7&lt;Inputs!B$29,C26*Income!C$7,Inputs!B$29)</f>
        <v>30000</v>
      </c>
    </row>
    <row r="28" spans="1:4">
      <c r="A28">
        <f t="shared" si="1"/>
        <v>2041</v>
      </c>
      <c r="B28" s="5">
        <f t="shared" si="0"/>
        <v>46617.957520889569</v>
      </c>
      <c r="C28" s="1">
        <f>IF(C27*Income!C$7&lt;Inputs!B$23,C27*Income!C$7,Inputs!B$23)</f>
        <v>46617.957520889569</v>
      </c>
      <c r="D28" s="1">
        <f>IF(C27*Income!C$7&lt;Inputs!B$29,C27*Income!C$7,Inputs!B$29)</f>
        <v>30000</v>
      </c>
    </row>
    <row r="29" spans="1:4">
      <c r="A29">
        <f t="shared" si="1"/>
        <v>2042</v>
      </c>
      <c r="B29" s="5">
        <f t="shared" si="0"/>
        <v>47550.316671307359</v>
      </c>
      <c r="C29" s="1">
        <f>IF(C28*Income!C$7&lt;Inputs!B$23,C28*Income!C$7,Inputs!B$23)</f>
        <v>47550.316671307359</v>
      </c>
      <c r="D29" s="1">
        <f>IF(C28*Income!C$7&lt;Inputs!B$29,C28*Income!C$7,Inputs!B$29)</f>
        <v>30000</v>
      </c>
    </row>
    <row r="30" spans="1:4">
      <c r="A30">
        <f t="shared" si="1"/>
        <v>2043</v>
      </c>
      <c r="B30" s="5">
        <f t="shared" si="0"/>
        <v>48501.323004733509</v>
      </c>
      <c r="C30" s="1">
        <f>IF(C29*Income!C$7&lt;Inputs!B$23,C29*Income!C$7,Inputs!B$23)</f>
        <v>48501.323004733509</v>
      </c>
      <c r="D30" s="1">
        <f>IF(C29*Income!C$7&lt;Inputs!B$29,C29*Income!C$7,Inputs!B$29)</f>
        <v>30000</v>
      </c>
    </row>
    <row r="31" spans="1:4">
      <c r="A31">
        <f t="shared" si="1"/>
        <v>2044</v>
      </c>
      <c r="B31" s="5">
        <f t="shared" si="0"/>
        <v>49471.349464828178</v>
      </c>
      <c r="C31" s="1">
        <f>IF(C30*Income!C$7&lt;Inputs!B$23,C30*Income!C$7,Inputs!B$23)</f>
        <v>49471.349464828178</v>
      </c>
      <c r="D31" s="1">
        <f>IF(C30*Income!C$7&lt;Inputs!B$29,C30*Income!C$7,Inputs!B$29)</f>
        <v>30000</v>
      </c>
    </row>
    <row r="32" spans="1:4">
      <c r="A32">
        <f t="shared" si="1"/>
        <v>2045</v>
      </c>
      <c r="B32" s="5">
        <f t="shared" si="0"/>
        <v>50460.776454124745</v>
      </c>
      <c r="C32" s="1">
        <f>IF(C31*Income!C$7&lt;Inputs!B$23,C31*Income!C$7,Inputs!B$23)</f>
        <v>50460.776454124745</v>
      </c>
      <c r="D32" s="1">
        <f>IF(C31*Income!C$7&lt;Inputs!B$29,C31*Income!C$7,Inputs!B$29)</f>
        <v>30000</v>
      </c>
    </row>
    <row r="33" spans="1:4">
      <c r="A33">
        <f t="shared" si="1"/>
        <v>2046</v>
      </c>
      <c r="B33" s="5">
        <f t="shared" si="0"/>
        <v>51469.991983207241</v>
      </c>
      <c r="C33" s="1">
        <f>IF(C32*Income!C$7&lt;Inputs!B$23,C32*Income!C$7,Inputs!B$23)</f>
        <v>51469.991983207241</v>
      </c>
      <c r="D33" s="1">
        <f>IF(C32*Income!C$7&lt;Inputs!B$29,C32*Income!C$7,Inputs!B$29)</f>
        <v>30000</v>
      </c>
    </row>
    <row r="34" spans="1:4">
      <c r="A34">
        <f t="shared" si="1"/>
        <v>2047</v>
      </c>
      <c r="B34" s="5">
        <f t="shared" si="0"/>
        <v>52499.391822871388</v>
      </c>
      <c r="C34" s="1">
        <f>IF(C33*Income!C$7&lt;Inputs!B$23,C33*Income!C$7,Inputs!B$23)</f>
        <v>52499.391822871388</v>
      </c>
      <c r="D34" s="1">
        <f>IF(C33*Income!C$7&lt;Inputs!B$29,C33*Income!C$7,Inputs!B$29)</f>
        <v>30000</v>
      </c>
    </row>
    <row r="35" spans="1:4">
      <c r="A35">
        <f t="shared" si="1"/>
        <v>2048</v>
      </c>
      <c r="B35" s="5">
        <f t="shared" si="0"/>
        <v>53549.379659328813</v>
      </c>
      <c r="C35" s="1">
        <f>IF(C34*Income!C$7&lt;Inputs!B$23,C34*Income!C$7,Inputs!B$23)</f>
        <v>53549.379659328813</v>
      </c>
      <c r="D35" s="1">
        <f>IF(C34*Income!C$7&lt;Inputs!B$29,C34*Income!C$7,Inputs!B$29)</f>
        <v>30000</v>
      </c>
    </row>
    <row r="36" spans="1:4">
      <c r="A36">
        <f t="shared" si="1"/>
        <v>2049</v>
      </c>
      <c r="B36" s="5">
        <f t="shared" si="0"/>
        <v>54620.367252515389</v>
      </c>
      <c r="C36" s="1">
        <f>IF(C35*Income!C$7&lt;Inputs!B$23,C35*Income!C$7,Inputs!B$23)</f>
        <v>54620.367252515389</v>
      </c>
      <c r="D36" s="1">
        <f>IF(C35*Income!C$7&lt;Inputs!B$29,C35*Income!C$7,Inputs!B$29)</f>
        <v>30000</v>
      </c>
    </row>
    <row r="37" spans="1:4">
      <c r="A37">
        <f t="shared" si="1"/>
        <v>2050</v>
      </c>
      <c r="B37" s="5">
        <f t="shared" si="0"/>
        <v>55712.774597565694</v>
      </c>
      <c r="C37" s="1">
        <f>IF(C36*Income!C$7&lt;Inputs!B$23,C36*Income!C$7,Inputs!B$23)</f>
        <v>55712.774597565694</v>
      </c>
      <c r="D37" s="1">
        <f>IF(C36*Income!C$7&lt;Inputs!B$29,C36*Income!C$7,Inputs!B$29)</f>
        <v>30000</v>
      </c>
    </row>
    <row r="38" spans="1:4">
      <c r="A38">
        <f t="shared" si="1"/>
        <v>2051</v>
      </c>
      <c r="B38" s="5">
        <f t="shared" si="0"/>
        <v>56827.030089517008</v>
      </c>
      <c r="C38" s="1">
        <f>IF(C37*Income!C$7&lt;Inputs!B$23,C37*Income!C$7,Inputs!B$23)</f>
        <v>56827.030089517008</v>
      </c>
      <c r="D38" s="1">
        <f>IF(C37*Income!C$7&lt;Inputs!B$29,C37*Income!C$7,Inputs!B$29)</f>
        <v>30000</v>
      </c>
    </row>
    <row r="39" spans="1:4">
      <c r="A39">
        <f t="shared" si="1"/>
        <v>2052</v>
      </c>
      <c r="B39" s="5">
        <f t="shared" si="0"/>
        <v>57963.570691307352</v>
      </c>
      <c r="C39" s="1">
        <f>IF(C38*Income!C$7&lt;Inputs!B$23,C38*Income!C$7,Inputs!B$23)</f>
        <v>57963.570691307352</v>
      </c>
      <c r="D39" s="1">
        <f>IF(C38*Income!C$7&lt;Inputs!B$29,C38*Income!C$7,Inputs!B$29)</f>
        <v>30000</v>
      </c>
    </row>
    <row r="40" spans="1:4">
      <c r="A40">
        <f t="shared" si="1"/>
        <v>2053</v>
      </c>
      <c r="B40" s="5">
        <f t="shared" si="0"/>
        <v>59122.842105133503</v>
      </c>
      <c r="C40" s="1">
        <f>IF(C39*Income!C$7&lt;Inputs!B$23,C39*Income!C$7,Inputs!B$23)</f>
        <v>59122.842105133503</v>
      </c>
      <c r="D40" s="1">
        <f>IF(C39*Income!C$7&lt;Inputs!B$29,C39*Income!C$7,Inputs!B$29)</f>
        <v>30000</v>
      </c>
    </row>
    <row r="41" spans="1:4">
      <c r="A41" s="6">
        <f t="shared" si="1"/>
        <v>2054</v>
      </c>
      <c r="B41" s="5">
        <f t="shared" si="0"/>
        <v>60305.298947236173</v>
      </c>
      <c r="C41" s="1">
        <f>IF(C40*Income!C$7&lt;Inputs!B$23,C40*Income!C$7,Inputs!B$23)</f>
        <v>59883.65</v>
      </c>
      <c r="D41" s="1">
        <f>IF(C40*Income!C$7&lt;Inputs!B$29,C40*Income!C$7,Inputs!B$29)</f>
        <v>30000</v>
      </c>
    </row>
    <row r="42" spans="1:4">
      <c r="A42" s="6">
        <f t="shared" si="1"/>
        <v>2055</v>
      </c>
      <c r="B42" s="5">
        <f t="shared" si="0"/>
        <v>61511.404926180898</v>
      </c>
      <c r="C42" s="1">
        <f>IF(C41*Income!C$7&lt;Inputs!B$23,C41*Income!C$7,Inputs!B$23)</f>
        <v>59883.65</v>
      </c>
      <c r="D42" s="1">
        <f>IF(C41*Income!C$7&lt;Inputs!B$29,C41*Income!C$7,Inputs!B$29)</f>
        <v>30000</v>
      </c>
    </row>
    <row r="43" spans="1:4">
      <c r="A43" s="6">
        <f t="shared" si="1"/>
        <v>2056</v>
      </c>
      <c r="B43" s="5">
        <f t="shared" si="0"/>
        <v>62741.633024704519</v>
      </c>
      <c r="C43" s="1">
        <f>IF(C42*Income!C$7&lt;Inputs!B$23,C42*Income!C$7,Inputs!B$23)</f>
        <v>59883.65</v>
      </c>
      <c r="D43" s="1">
        <f>IF(C42*Income!C$7&lt;Inputs!B$29,C42*Income!C$7,Inputs!B$29)</f>
        <v>30000</v>
      </c>
    </row>
    <row r="44" spans="1:4">
      <c r="A44" s="6">
        <f t="shared" si="1"/>
        <v>2057</v>
      </c>
      <c r="B44" s="5">
        <f t="shared" si="0"/>
        <v>63996.465685198607</v>
      </c>
      <c r="C44" s="1">
        <f>IF(C43*Income!C$7&lt;Inputs!B$23,C43*Income!C$7,Inputs!B$23)</f>
        <v>59883.65</v>
      </c>
      <c r="D44" s="1">
        <f>IF(C43*Income!C$7&lt;Inputs!B$29,C43*Income!C$7,Inputs!B$29)</f>
        <v>30000</v>
      </c>
    </row>
    <row r="45" spans="1:4">
      <c r="A45" s="6">
        <f t="shared" si="1"/>
        <v>2058</v>
      </c>
      <c r="B45" s="5">
        <f t="shared" si="0"/>
        <v>65276.394998902579</v>
      </c>
      <c r="C45" s="1">
        <f>IF(C44*Income!C$7&lt;Inputs!B$23,C44*Income!C$7,Inputs!B$23)</f>
        <v>59883.65</v>
      </c>
      <c r="D45" s="1">
        <f>IF(C44*Income!C$7&lt;Inputs!B$29,C44*Income!C$7,Inputs!B$29)</f>
        <v>30000</v>
      </c>
    </row>
    <row r="46" spans="1:4">
      <c r="A46" s="6">
        <f t="shared" si="1"/>
        <v>2059</v>
      </c>
      <c r="B46" s="5">
        <f t="shared" si="0"/>
        <v>66581.922898880628</v>
      </c>
      <c r="C46" s="1">
        <f>IF(C45*Income!C$7&lt;Inputs!B$23,C45*Income!C$7,Inputs!B$23)</f>
        <v>59883.65</v>
      </c>
      <c r="D46" s="1">
        <f>IF(C45*Income!C$7&lt;Inputs!B$29,C45*Income!C$7,Inputs!B$29)</f>
        <v>30000</v>
      </c>
    </row>
    <row r="47" spans="1:4">
      <c r="A47" s="6">
        <f t="shared" si="1"/>
        <v>2060</v>
      </c>
      <c r="B47" s="5">
        <f t="shared" si="0"/>
        <v>67913.561356858248</v>
      </c>
      <c r="C47" s="1">
        <f>IF(C46*Income!C$7&lt;Inputs!B$23,C46*Income!C$7,Inputs!B$23)</f>
        <v>59883.65</v>
      </c>
      <c r="D47" s="1">
        <f>IF(C46*Income!C$7&lt;Inputs!B$29,C46*Income!C$7,Inputs!B$29)</f>
        <v>30000</v>
      </c>
    </row>
    <row r="48" spans="1:4">
      <c r="A48" s="6">
        <f t="shared" si="1"/>
        <v>2061</v>
      </c>
      <c r="B48" s="5">
        <f t="shared" si="0"/>
        <v>69271.83258399542</v>
      </c>
      <c r="C48" s="1">
        <f>IF(C47*Income!C$7&lt;Inputs!B$23,C47*Income!C$7,Inputs!B$23)</f>
        <v>59883.65</v>
      </c>
      <c r="D48" s="1">
        <f>IF(C47*Income!C$7&lt;Inputs!B$29,C47*Income!C$7,Inputs!B$29)</f>
        <v>30000</v>
      </c>
    </row>
    <row r="49" spans="1:4">
      <c r="A49" s="6">
        <f t="shared" si="1"/>
        <v>2062</v>
      </c>
      <c r="B49" s="5">
        <f t="shared" si="0"/>
        <v>70657.269235675325</v>
      </c>
      <c r="C49" s="1">
        <f>IF(C48*Income!C$7&lt;Inputs!B$23,C48*Income!C$7,Inputs!B$23)</f>
        <v>59883.65</v>
      </c>
      <c r="D49" s="1">
        <f>IF(C48*Income!C$7&lt;Inputs!B$29,C48*Income!C$7,Inputs!B$29)</f>
        <v>30000</v>
      </c>
    </row>
    <row r="50" spans="1:4">
      <c r="A50" s="6">
        <f t="shared" si="1"/>
        <v>2063</v>
      </c>
      <c r="B50" s="5">
        <f t="shared" si="0"/>
        <v>72070.414620388838</v>
      </c>
      <c r="C50" s="1">
        <f>IF(C49*Income!C$7&lt;Inputs!B$23,C49*Income!C$7,Inputs!B$23)</f>
        <v>59883.65</v>
      </c>
      <c r="D50" s="1">
        <f>IF(C49*Income!C$7&lt;Inputs!B$29,C49*Income!C$7,Inputs!B$29)</f>
        <v>30000</v>
      </c>
    </row>
    <row r="51" spans="1:4">
      <c r="A51" s="6">
        <f t="shared" si="1"/>
        <v>2064</v>
      </c>
      <c r="B51" s="5">
        <f t="shared" si="0"/>
        <v>73511.822912796619</v>
      </c>
      <c r="C51" s="1">
        <f>IF(C50*Income!C$7&lt;Inputs!B$23,C50*Income!C$7,Inputs!B$23)</f>
        <v>59883.65</v>
      </c>
      <c r="D51" s="1">
        <f>IF(C50*Income!C$7&lt;Inputs!B$29,C50*Income!C$7,Inputs!B$29)</f>
        <v>30000</v>
      </c>
    </row>
    <row r="52" spans="1:4">
      <c r="A52" s="6">
        <f t="shared" si="1"/>
        <v>2065</v>
      </c>
      <c r="B52" s="5">
        <f t="shared" si="0"/>
        <v>74982.059371052557</v>
      </c>
      <c r="C52" s="1">
        <f>IF(C51*Income!C$7&lt;Inputs!B$23,C51*Income!C$7,Inputs!B$23)</f>
        <v>59883.65</v>
      </c>
      <c r="D52" s="1">
        <f>IF(C51*Income!C$7&lt;Inputs!B$29,C51*Income!C$7,Inputs!B$29)</f>
        <v>30000</v>
      </c>
    </row>
    <row r="53" spans="1:4">
      <c r="A53" s="6">
        <f t="shared" si="1"/>
        <v>2066</v>
      </c>
      <c r="B53" s="5">
        <f t="shared" si="0"/>
        <v>76481.700558473603</v>
      </c>
      <c r="C53" s="1">
        <f>IF(C52*Income!C$7&lt;Inputs!B$23,C52*Income!C$7,Inputs!B$23)</f>
        <v>59883.65</v>
      </c>
      <c r="D53" s="1">
        <f>IF(C52*Income!C$7&lt;Inputs!B$29,C52*Income!C$7,Inputs!B$29)</f>
        <v>30000</v>
      </c>
    </row>
    <row r="54" spans="1:4">
      <c r="A54" s="6">
        <f t="shared" si="1"/>
        <v>2067</v>
      </c>
      <c r="B54" s="5">
        <f t="shared" si="0"/>
        <v>78011.334569643077</v>
      </c>
      <c r="C54" s="1">
        <f>IF(C53*Income!C$7&lt;Inputs!B$23,C53*Income!C$7,Inputs!B$23)</f>
        <v>59883.65</v>
      </c>
      <c r="D54" s="1">
        <f>IF(C53*Income!C$7&lt;Inputs!B$29,C53*Income!C$7,Inputs!B$29)</f>
        <v>30000</v>
      </c>
    </row>
    <row r="55" spans="1:4">
      <c r="A55" s="6">
        <f t="shared" si="1"/>
        <v>2068</v>
      </c>
      <c r="B55" s="5">
        <f t="shared" si="0"/>
        <v>79571.561261035939</v>
      </c>
      <c r="C55" s="1">
        <f>IF(C54*Income!C$7&lt;Inputs!B$23,C54*Income!C$7,Inputs!B$23)</f>
        <v>59883.65</v>
      </c>
      <c r="D55" s="1">
        <f>IF(C54*Income!C$7&lt;Inputs!B$29,C54*Income!C$7,Inputs!B$29)</f>
        <v>30000</v>
      </c>
    </row>
    <row r="56" spans="1:4">
      <c r="A56" s="6">
        <f t="shared" si="1"/>
        <v>2069</v>
      </c>
      <c r="B56" s="5">
        <f t="shared" si="0"/>
        <v>81162.992486256655</v>
      </c>
      <c r="C56" s="1">
        <f>IF(C55*Income!C$7&lt;Inputs!B$23,C55*Income!C$7,Inputs!B$23)</f>
        <v>59883.65</v>
      </c>
      <c r="D56" s="1">
        <f>IF(C55*Income!C$7&lt;Inputs!B$29,C55*Income!C$7,Inputs!B$29)</f>
        <v>30000</v>
      </c>
    </row>
    <row r="57" spans="1:4">
      <c r="A57" s="6">
        <f t="shared" si="1"/>
        <v>2070</v>
      </c>
      <c r="B57" s="5">
        <f t="shared" si="0"/>
        <v>82786.252335981786</v>
      </c>
      <c r="C57" s="1">
        <f>IF(C56*Income!C$7&lt;Inputs!B$23,C56*Income!C$7,Inputs!B$23)</f>
        <v>59883.65</v>
      </c>
      <c r="D57" s="1">
        <f>IF(C56*Income!C$7&lt;Inputs!B$29,C56*Income!C$7,Inputs!B$29)</f>
        <v>30000</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67"/>
  <sheetViews>
    <sheetView workbookViewId="0">
      <selection activeCell="A11" sqref="A11"/>
    </sheetView>
  </sheetViews>
  <sheetFormatPr baseColWidth="10" defaultRowHeight="16"/>
  <cols>
    <col min="2" max="2" width="11.5" bestFit="1" customWidth="1"/>
    <col min="3" max="3" width="20.83203125" bestFit="1" customWidth="1"/>
    <col min="4" max="4" width="12.5" bestFit="1" customWidth="1"/>
    <col min="5" max="5" width="7" customWidth="1"/>
    <col min="6" max="6" width="13.83203125" bestFit="1" customWidth="1"/>
    <col min="7" max="7" width="11.5" bestFit="1" customWidth="1"/>
    <col min="8" max="8" width="12.5" bestFit="1" customWidth="1"/>
    <col min="9" max="9" width="11.5" bestFit="1" customWidth="1"/>
    <col min="11" max="11" width="15.33203125" customWidth="1"/>
    <col min="12" max="12" width="12.5" bestFit="1" customWidth="1"/>
    <col min="15" max="15" width="12.5" bestFit="1" customWidth="1"/>
    <col min="17" max="17" width="12.5" bestFit="1" customWidth="1"/>
  </cols>
  <sheetData>
    <row r="1" spans="1:22">
      <c r="A1" s="3" t="s">
        <v>203</v>
      </c>
      <c r="K1" s="3" t="s">
        <v>204</v>
      </c>
    </row>
    <row r="3" spans="1:22">
      <c r="A3" t="s">
        <v>122</v>
      </c>
    </row>
    <row r="6" spans="1:22" ht="17">
      <c r="K6" s="87"/>
    </row>
    <row r="7" spans="1:22">
      <c r="F7" t="s">
        <v>23</v>
      </c>
      <c r="K7" s="3" t="s">
        <v>209</v>
      </c>
      <c r="N7" s="3" t="s">
        <v>207</v>
      </c>
      <c r="Q7" s="3" t="s">
        <v>210</v>
      </c>
      <c r="S7" s="3" t="s">
        <v>211</v>
      </c>
    </row>
    <row r="8" spans="1:22">
      <c r="F8" t="s">
        <v>24</v>
      </c>
      <c r="H8" t="s">
        <v>26</v>
      </c>
      <c r="I8" t="s">
        <v>11</v>
      </c>
      <c r="S8" t="s">
        <v>24</v>
      </c>
      <c r="U8" t="s">
        <v>26</v>
      </c>
      <c r="V8" t="s">
        <v>11</v>
      </c>
    </row>
    <row r="9" spans="1:22">
      <c r="B9" t="s">
        <v>21</v>
      </c>
      <c r="C9" t="s">
        <v>22</v>
      </c>
      <c r="D9" t="s">
        <v>1</v>
      </c>
      <c r="F9" t="s">
        <v>25</v>
      </c>
      <c r="G9" t="s">
        <v>11</v>
      </c>
      <c r="H9" t="s">
        <v>25</v>
      </c>
      <c r="I9" t="s">
        <v>11</v>
      </c>
      <c r="K9" t="s">
        <v>22</v>
      </c>
      <c r="L9" t="s">
        <v>1</v>
      </c>
      <c r="N9" t="s">
        <v>22</v>
      </c>
      <c r="O9" t="s">
        <v>1</v>
      </c>
      <c r="S9" t="s">
        <v>25</v>
      </c>
      <c r="T9" t="s">
        <v>11</v>
      </c>
      <c r="U9" t="s">
        <v>25</v>
      </c>
      <c r="V9" t="s">
        <v>11</v>
      </c>
    </row>
    <row r="10" spans="1:22">
      <c r="A10">
        <v>2022</v>
      </c>
      <c r="B10" s="1">
        <f>Income!B9</f>
        <v>32000</v>
      </c>
      <c r="C10" s="1">
        <f>IF(Income!B9&gt;Inputs!B$29,(Income!B9-Inputs!B$29)*(Inputs!B$27+Inputs!B$28),0)</f>
        <v>240</v>
      </c>
      <c r="D10" s="1">
        <f>C10+N10*0.5</f>
        <v>240</v>
      </c>
      <c r="E10" s="1"/>
      <c r="F10" s="5">
        <f>(D10/100000)*'Annuity rates'!I8</f>
        <v>6.8999999999999995</v>
      </c>
      <c r="G10" s="5">
        <f>(D10/100000)*'Annuity rates'!J8</f>
        <v>5.9255999999999993</v>
      </c>
      <c r="H10" s="5">
        <f>(D10/100000)*'Annuity rates'!K8</f>
        <v>6.8999999999999995</v>
      </c>
      <c r="I10" s="5">
        <f>(D10/100000)*'Annuity rates'!L8</f>
        <v>6.5279999999999996</v>
      </c>
      <c r="K10" s="5">
        <f>IF(Income!B9&gt;Inputs!B$23,(Income!B9-Inputs!B$23)*(Inputs!B$21+Inputs!B$22),0)</f>
        <v>0</v>
      </c>
      <c r="L10" s="5">
        <f>K10</f>
        <v>0</v>
      </c>
      <c r="N10" s="1">
        <f>IF(Inputs!B$14="Yes",Income!B9*0.02,0)</f>
        <v>0</v>
      </c>
      <c r="O10" s="5">
        <f>N10</f>
        <v>0</v>
      </c>
      <c r="Q10" s="5">
        <f>L10+O10</f>
        <v>0</v>
      </c>
      <c r="S10" s="5">
        <f>(Q10/100000)*'Annuity rates'!I8</f>
        <v>0</v>
      </c>
      <c r="T10" s="5">
        <f>(Q10/100000)*'Annuity rates'!J8</f>
        <v>0</v>
      </c>
      <c r="U10" s="5">
        <f>(Q10/100000)*'Annuity rates'!K8</f>
        <v>0</v>
      </c>
      <c r="V10" s="5">
        <f>(Q10/100000)*'Annuity rates'!L8</f>
        <v>0</v>
      </c>
    </row>
    <row r="11" spans="1:22">
      <c r="A11">
        <f>A10+1</f>
        <v>2023</v>
      </c>
      <c r="B11" s="1">
        <f>Income!B10</f>
        <v>32640</v>
      </c>
      <c r="C11" s="1">
        <f>IF(Income!B10&gt;Inputs!B$29,(Income!B10-Inputs!B$29)*(Inputs!B$27+Inputs!B$28),0)</f>
        <v>316.8</v>
      </c>
      <c r="D11" s="1">
        <f>D10*(1+'Investment returns'!B23)+C11+N11*0.5</f>
        <v>557.04</v>
      </c>
      <c r="E11" s="1"/>
      <c r="F11" s="5">
        <f>(D11/100000)*'Annuity rates'!I9</f>
        <v>15.935223880597015</v>
      </c>
      <c r="G11" s="5">
        <f>(D11/100000)*'Annuity rates'!J9</f>
        <v>13.684893134328359</v>
      </c>
      <c r="H11" s="5">
        <f>(D11/100000)*'Annuity rates'!K9</f>
        <v>15.935223880597015</v>
      </c>
      <c r="I11" s="5">
        <f>(D11/100000)*'Annuity rates'!L9</f>
        <v>15.076107462686569</v>
      </c>
      <c r="K11" s="5">
        <f>IF(Income!B10&gt;Inputs!B$23,(Income!B10-Inputs!B$23)*(Inputs!B$21+Inputs!B$22),0)</f>
        <v>0</v>
      </c>
      <c r="L11" s="5">
        <f>L10*(1+'Investment returns'!B23)+K11</f>
        <v>0</v>
      </c>
      <c r="N11" s="1">
        <f>IF(Inputs!B$14="Yes",Income!B10*0.02,0)</f>
        <v>0</v>
      </c>
      <c r="O11" s="5">
        <f>O10*(1+'Investment returns'!B23)+N11</f>
        <v>0</v>
      </c>
      <c r="Q11" s="5">
        <f t="shared" ref="Q11:Q58" si="0">L11+O11</f>
        <v>0</v>
      </c>
      <c r="S11" s="5">
        <f>(Q11/100000)*'Annuity rates'!I9</f>
        <v>0</v>
      </c>
      <c r="T11" s="5">
        <f>(Q11/100000)*'Annuity rates'!J9</f>
        <v>0</v>
      </c>
      <c r="U11" s="5">
        <f>(Q11/100000)*'Annuity rates'!K9</f>
        <v>0</v>
      </c>
      <c r="V11" s="5">
        <f>(Q11/100000)*'Annuity rates'!L9</f>
        <v>0</v>
      </c>
    </row>
    <row r="12" spans="1:22">
      <c r="A12">
        <f t="shared" ref="A12:A58" si="1">A11+1</f>
        <v>2024</v>
      </c>
      <c r="B12" s="1">
        <f>Income!B11</f>
        <v>33292.800000000003</v>
      </c>
      <c r="C12" s="1">
        <f>IF(Income!B11&gt;Inputs!B$29,(Income!B11-Inputs!B$29)*(Inputs!B$27+Inputs!B$28),0)</f>
        <v>395.13600000000031</v>
      </c>
      <c r="D12" s="1">
        <f>D11*(1+'Investment returns'!B24)+C12+N12*0.5</f>
        <v>952.73304000000019</v>
      </c>
      <c r="E12" s="1"/>
      <c r="F12" s="5">
        <f>(D12/100000)*'Annuity rates'!I10</f>
        <v>27.11920487116657</v>
      </c>
      <c r="G12" s="5">
        <f>(D12/100000)*'Annuity rates'!J10</f>
        <v>23.289501505012264</v>
      </c>
      <c r="H12" s="5">
        <f>(D12/100000)*'Annuity rates'!K10</f>
        <v>27.11920487116657</v>
      </c>
      <c r="I12" s="5">
        <f>(D12/100000)*'Annuity rates'!L10</f>
        <v>25.657125999851502</v>
      </c>
      <c r="K12" s="5">
        <f>IF(Income!B11&gt;Inputs!B$23,(Income!B11-Inputs!B$23)*(Inputs!B$21+Inputs!B$22),0)</f>
        <v>0</v>
      </c>
      <c r="L12" s="5">
        <f>L11*(1+'Investment returns'!B24)+K12</f>
        <v>0</v>
      </c>
      <c r="N12" s="1">
        <f>IF(Inputs!B$14="Yes",Income!B11*0.02,0)</f>
        <v>0</v>
      </c>
      <c r="O12" s="5">
        <f>O11*(1+'Investment returns'!B24)+N12</f>
        <v>0</v>
      </c>
      <c r="Q12" s="5">
        <f t="shared" si="0"/>
        <v>0</v>
      </c>
      <c r="S12" s="5">
        <f>(Q12/100000)*'Annuity rates'!I10</f>
        <v>0</v>
      </c>
      <c r="T12" s="5">
        <f>(Q12/100000)*'Annuity rates'!J10</f>
        <v>0</v>
      </c>
      <c r="U12" s="5">
        <f>(Q12/100000)*'Annuity rates'!K10</f>
        <v>0</v>
      </c>
      <c r="V12" s="5">
        <f>(Q12/100000)*'Annuity rates'!L10</f>
        <v>0</v>
      </c>
    </row>
    <row r="13" spans="1:22">
      <c r="A13">
        <f t="shared" si="1"/>
        <v>2025</v>
      </c>
      <c r="B13" s="1">
        <f>Income!B12</f>
        <v>33958.656000000003</v>
      </c>
      <c r="C13" s="1">
        <f>IF(Income!B12&gt;Inputs!B$29,(Income!B12-Inputs!B$29)*(Inputs!B$27+Inputs!B$28),0)</f>
        <v>475.0387200000003</v>
      </c>
      <c r="D13" s="1">
        <f>D12*(1+'Investment returns'!B25)+C13+N13*0.5</f>
        <v>1428.7244930400004</v>
      </c>
      <c r="E13" s="1"/>
      <c r="F13" s="5">
        <f>(D13/100000)*'Annuity rates'!I11</f>
        <v>40.465802149274445</v>
      </c>
      <c r="G13" s="5">
        <f>(D13/100000)*'Annuity rates'!J11</f>
        <v>34.751327132716042</v>
      </c>
      <c r="H13" s="5">
        <f>(D13/100000)*'Annuity rates'!K11</f>
        <v>40.465802149274445</v>
      </c>
      <c r="I13" s="5">
        <f>(D13/100000)*'Annuity rates'!L11</f>
        <v>38.284167598617913</v>
      </c>
      <c r="K13" s="5">
        <f>IF(Income!B12&gt;Inputs!B$23,(Income!B12-Inputs!B$23)*(Inputs!B$21+Inputs!B$22),0)</f>
        <v>0</v>
      </c>
      <c r="L13" s="5">
        <f>L12*(1+'Investment returns'!B25)+K13</f>
        <v>0</v>
      </c>
      <c r="N13" s="1">
        <f>IF(Inputs!B$14="Yes",Income!B12*0.02,0)</f>
        <v>0</v>
      </c>
      <c r="O13" s="5">
        <f>O12*(1+'Investment returns'!B25)+N13</f>
        <v>0</v>
      </c>
      <c r="Q13" s="5">
        <f t="shared" si="0"/>
        <v>0</v>
      </c>
      <c r="S13" s="5">
        <f>(Q13/100000)*'Annuity rates'!I11</f>
        <v>0</v>
      </c>
      <c r="T13" s="5">
        <f>(Q13/100000)*'Annuity rates'!J11</f>
        <v>0</v>
      </c>
      <c r="U13" s="5">
        <f>(Q13/100000)*'Annuity rates'!K11</f>
        <v>0</v>
      </c>
      <c r="V13" s="5">
        <f>(Q13/100000)*'Annuity rates'!L11</f>
        <v>0</v>
      </c>
    </row>
    <row r="14" spans="1:22">
      <c r="A14">
        <f t="shared" si="1"/>
        <v>2026</v>
      </c>
      <c r="B14" s="1">
        <f>Income!B13</f>
        <v>34637.829120000002</v>
      </c>
      <c r="C14" s="1">
        <f>IF(Income!B13&gt;Inputs!B$29,(Income!B13-Inputs!B$29)*(Inputs!B$27+Inputs!B$28),0)</f>
        <v>556.53949440000019</v>
      </c>
      <c r="D14" s="1">
        <f>D13*(1+'Investment returns'!B26)+C14+N14*0.5</f>
        <v>1986.6927119330405</v>
      </c>
      <c r="E14" s="1"/>
      <c r="F14" s="5">
        <f>(D14/100000)*'Annuity rates'!I12</f>
        <v>55.989204958564137</v>
      </c>
      <c r="G14" s="5">
        <f>(D14/100000)*'Annuity rates'!J12</f>
        <v>48.082555493111265</v>
      </c>
      <c r="H14" s="5">
        <f>(D14/100000)*'Annuity rates'!K12</f>
        <v>55.989204958564137</v>
      </c>
      <c r="I14" s="5">
        <f>(D14/100000)*'Annuity rates'!L12</f>
        <v>52.970656517319817</v>
      </c>
      <c r="K14" s="5">
        <f>IF(Income!B13&gt;Inputs!B$23,(Income!B13-Inputs!B$23)*(Inputs!B$21+Inputs!B$22),0)</f>
        <v>0</v>
      </c>
      <c r="L14" s="5">
        <f>L13*(1+'Investment returns'!B26)+K14</f>
        <v>0</v>
      </c>
      <c r="N14" s="1">
        <f>IF(Inputs!B$14="Yes",Income!B13*0.02,0)</f>
        <v>0</v>
      </c>
      <c r="O14" s="5">
        <f>O13*(1+'Investment returns'!B26)+N14</f>
        <v>0</v>
      </c>
      <c r="Q14" s="5">
        <f t="shared" si="0"/>
        <v>0</v>
      </c>
      <c r="S14" s="5">
        <f>(Q14/100000)*'Annuity rates'!I12</f>
        <v>0</v>
      </c>
      <c r="T14" s="5">
        <f>(Q14/100000)*'Annuity rates'!J12</f>
        <v>0</v>
      </c>
      <c r="U14" s="5">
        <f>(Q14/100000)*'Annuity rates'!K12</f>
        <v>0</v>
      </c>
      <c r="V14" s="5">
        <f>(Q14/100000)*'Annuity rates'!L12</f>
        <v>0</v>
      </c>
    </row>
    <row r="15" spans="1:22">
      <c r="A15">
        <f t="shared" si="1"/>
        <v>2027</v>
      </c>
      <c r="B15" s="1">
        <f>Income!B14</f>
        <v>35330.5857024</v>
      </c>
      <c r="C15" s="1">
        <f>IF(Income!B14&gt;Inputs!B$29,(Income!B14-Inputs!B$29)*(Inputs!B$27+Inputs!B$28),0)</f>
        <v>639.67028428799995</v>
      </c>
      <c r="D15" s="1">
        <f>D14*(1+'Investment returns'!B27)+C15+N15*0.5</f>
        <v>2628.3496889329735</v>
      </c>
      <c r="E15" s="1"/>
      <c r="F15" s="5">
        <f>(D15/100000)*'Annuity rates'!I13</f>
        <v>73.703936792340315</v>
      </c>
      <c r="G15" s="5">
        <f>(D15/100000)*'Annuity rates'!J13</f>
        <v>63.295659109665486</v>
      </c>
      <c r="H15" s="5">
        <f>(D15/100000)*'Annuity rates'!K13</f>
        <v>73.703936792340315</v>
      </c>
      <c r="I15" s="5">
        <f>(D15/100000)*'Annuity rates'!L13</f>
        <v>69.730333243535881</v>
      </c>
      <c r="K15" s="5">
        <f>IF(Income!B14&gt;Inputs!B$23,(Income!B14-Inputs!B$23)*(Inputs!B$21+Inputs!B$22),0)</f>
        <v>0</v>
      </c>
      <c r="L15" s="5">
        <f>L14*(1+'Investment returns'!B27)+K15</f>
        <v>0</v>
      </c>
      <c r="N15" s="1">
        <f>IF(Inputs!B$14="Yes",Income!B14*0.02,0)</f>
        <v>0</v>
      </c>
      <c r="O15" s="5">
        <f>O14*(1+'Investment returns'!B27)+N15</f>
        <v>0</v>
      </c>
      <c r="Q15" s="5">
        <f t="shared" si="0"/>
        <v>0</v>
      </c>
      <c r="S15" s="5">
        <f>(Q15/100000)*'Annuity rates'!I13</f>
        <v>0</v>
      </c>
      <c r="T15" s="5">
        <f>(Q15/100000)*'Annuity rates'!J13</f>
        <v>0</v>
      </c>
      <c r="U15" s="5">
        <f>(Q15/100000)*'Annuity rates'!K13</f>
        <v>0</v>
      </c>
      <c r="V15" s="5">
        <f>(Q15/100000)*'Annuity rates'!L13</f>
        <v>0</v>
      </c>
    </row>
    <row r="16" spans="1:22">
      <c r="A16">
        <f t="shared" si="1"/>
        <v>2028</v>
      </c>
      <c r="B16" s="1">
        <f>Income!B15</f>
        <v>36037.197416447998</v>
      </c>
      <c r="C16" s="1">
        <f>IF(Income!B15&gt;Inputs!B$29,(Income!B15-Inputs!B$29)*(Inputs!B$27+Inputs!B$28),0)</f>
        <v>724.46368997375976</v>
      </c>
      <c r="D16" s="1">
        <f>D15*(1+'Investment returns'!B28)+C16+N16*0.5</f>
        <v>3355.4417285956661</v>
      </c>
      <c r="E16" s="1"/>
      <c r="F16" s="5">
        <f>(D16/100000)*'Annuity rates'!I14</f>
        <v>98.607330435284837</v>
      </c>
      <c r="G16" s="5">
        <f>(D16/100000)*'Annuity rates'!J14</f>
        <v>84.278656263711099</v>
      </c>
      <c r="H16" s="5">
        <f>(D16/100000)*'Annuity rates'!K14</f>
        <v>98.607330435284837</v>
      </c>
      <c r="I16" s="5">
        <f>(D16/100000)*'Annuity rates'!L14</f>
        <v>93.689989980949306</v>
      </c>
      <c r="K16" s="5">
        <f>IF(Income!B15&gt;Inputs!B$23,(Income!B15-Inputs!B$23)*(Inputs!B$21+Inputs!B$22),0)</f>
        <v>0</v>
      </c>
      <c r="L16" s="5">
        <f>L15*(1+'Investment returns'!B28)+K16</f>
        <v>0</v>
      </c>
      <c r="N16" s="1">
        <f>IF(Inputs!B$14="Yes",Income!B15*0.02,0)</f>
        <v>0</v>
      </c>
      <c r="O16" s="5">
        <f>O15*(1+'Investment returns'!B28)+N16</f>
        <v>0</v>
      </c>
      <c r="Q16" s="5">
        <f t="shared" si="0"/>
        <v>0</v>
      </c>
      <c r="S16" s="5">
        <f>(Q16/100000)*'Annuity rates'!I14</f>
        <v>0</v>
      </c>
      <c r="T16" s="5">
        <f>(Q16/100000)*'Annuity rates'!J14</f>
        <v>0</v>
      </c>
      <c r="U16" s="5">
        <f>(Q16/100000)*'Annuity rates'!K14</f>
        <v>0</v>
      </c>
      <c r="V16" s="5">
        <f>(Q16/100000)*'Annuity rates'!L14</f>
        <v>0</v>
      </c>
    </row>
    <row r="17" spans="1:22">
      <c r="A17">
        <f t="shared" si="1"/>
        <v>2029</v>
      </c>
      <c r="B17" s="1">
        <f>Income!B16</f>
        <v>36757.941364776962</v>
      </c>
      <c r="C17" s="1">
        <f>IF(Income!B16&gt;Inputs!B$29,(Income!B16-Inputs!B$29)*(Inputs!B$27+Inputs!B$28),0)</f>
        <v>810.95296377323541</v>
      </c>
      <c r="D17" s="1">
        <f>D16*(1+'Investment returns'!B29)+C17+N17*0.5</f>
        <v>4169.7501340974968</v>
      </c>
      <c r="E17" s="1"/>
      <c r="F17" s="5">
        <f>(D17/100000)*'Annuity rates'!I15</f>
        <v>121.92800555298815</v>
      </c>
      <c r="G17" s="5">
        <f>(D17/100000)*'Annuity rates'!J15</f>
        <v>104.21059391384853</v>
      </c>
      <c r="H17" s="5">
        <f>(D17/100000)*'Annuity rates'!K15</f>
        <v>121.92800555298815</v>
      </c>
      <c r="I17" s="5">
        <f>(D17/100000)*'Annuity rates'!L15</f>
        <v>115.84771201319251</v>
      </c>
      <c r="K17" s="5">
        <f>IF(Income!B16&gt;Inputs!B$23,(Income!B16-Inputs!B$23)*(Inputs!B$21+Inputs!B$22),0)</f>
        <v>0</v>
      </c>
      <c r="L17" s="5">
        <f>L16*(1+'Investment returns'!B29)+K17</f>
        <v>0</v>
      </c>
      <c r="N17" s="1">
        <f>IF(Inputs!B$14="Yes",Income!B16*0.02,0)</f>
        <v>0</v>
      </c>
      <c r="O17" s="5">
        <f>O16*(1+'Investment returns'!B29)+N17</f>
        <v>0</v>
      </c>
      <c r="Q17" s="5">
        <f t="shared" si="0"/>
        <v>0</v>
      </c>
      <c r="S17" s="5">
        <f>(Q17/100000)*'Annuity rates'!I15</f>
        <v>0</v>
      </c>
      <c r="T17" s="5">
        <f>(Q17/100000)*'Annuity rates'!J15</f>
        <v>0</v>
      </c>
      <c r="U17" s="5">
        <f>(Q17/100000)*'Annuity rates'!K15</f>
        <v>0</v>
      </c>
      <c r="V17" s="5">
        <f>(Q17/100000)*'Annuity rates'!L15</f>
        <v>0</v>
      </c>
    </row>
    <row r="18" spans="1:22">
      <c r="A18">
        <f t="shared" si="1"/>
        <v>2030</v>
      </c>
      <c r="B18" s="1">
        <f>Income!B17</f>
        <v>37493.100192072503</v>
      </c>
      <c r="C18" s="1">
        <f>IF(Income!B17&gt;Inputs!B$29,(Income!B17-Inputs!B$29)*(Inputs!B$27+Inputs!B$28),0)</f>
        <v>899.17202304870034</v>
      </c>
      <c r="D18" s="1">
        <f>D17*(1+'Investment returns'!B30)+C18+N18*0.5</f>
        <v>5073.0919072802935</v>
      </c>
      <c r="E18" s="1"/>
      <c r="F18" s="5">
        <f>(D18/100000)*'Annuity rates'!I16</f>
        <v>147.60467304327497</v>
      </c>
      <c r="G18" s="5">
        <f>(D18/100000)*'Annuity rates'!J16</f>
        <v>126.15617365785853</v>
      </c>
      <c r="H18" s="5">
        <f>(D18/100000)*'Annuity rates'!K16</f>
        <v>147.60467304327497</v>
      </c>
      <c r="I18" s="5">
        <f>(D18/100000)*'Annuity rates'!L16</f>
        <v>140.24393802691614</v>
      </c>
      <c r="K18" s="5">
        <f>IF(Income!B17&gt;Inputs!B$23,(Income!B17-Inputs!B$23)*(Inputs!B$21+Inputs!B$22),0)</f>
        <v>0</v>
      </c>
      <c r="L18" s="5">
        <f>L17*(1+'Investment returns'!B30)+K18</f>
        <v>0</v>
      </c>
      <c r="N18" s="1">
        <f>IF(Inputs!B$14="Yes",Income!B17*0.02,0)</f>
        <v>0</v>
      </c>
      <c r="O18" s="5">
        <f>O17*(1+'Investment returns'!B30)+N18</f>
        <v>0</v>
      </c>
      <c r="Q18" s="5">
        <f t="shared" si="0"/>
        <v>0</v>
      </c>
      <c r="S18" s="5">
        <f>(Q18/100000)*'Annuity rates'!I16</f>
        <v>0</v>
      </c>
      <c r="T18" s="5">
        <f>(Q18/100000)*'Annuity rates'!J16</f>
        <v>0</v>
      </c>
      <c r="U18" s="5">
        <f>(Q18/100000)*'Annuity rates'!K16</f>
        <v>0</v>
      </c>
      <c r="V18" s="5">
        <f>(Q18/100000)*'Annuity rates'!L16</f>
        <v>0</v>
      </c>
    </row>
    <row r="19" spans="1:22">
      <c r="A19">
        <f t="shared" si="1"/>
        <v>2031</v>
      </c>
      <c r="B19" s="1">
        <f>Income!B18</f>
        <v>38242.962195913955</v>
      </c>
      <c r="C19" s="1">
        <f>IF(Income!B18&gt;Inputs!B$29,(Income!B18-Inputs!B$29)*(Inputs!B$27+Inputs!B$28),0)</f>
        <v>989.15546350967452</v>
      </c>
      <c r="D19" s="1">
        <f>D18*(1+'Investment returns'!B31)+C19+N19*0.5</f>
        <v>6067.3204626972474</v>
      </c>
      <c r="E19" s="1"/>
      <c r="F19" s="5">
        <f>(D19/100000)*'Annuity rates'!I17</f>
        <v>175.65408293378738</v>
      </c>
      <c r="G19" s="5">
        <f>(D19/100000)*'Annuity rates'!J17</f>
        <v>150.12971156956465</v>
      </c>
      <c r="H19" s="5">
        <f>(D19/100000)*'Annuity rates'!K17</f>
        <v>175.65408293378738</v>
      </c>
      <c r="I19" s="5">
        <f>(D19/100000)*'Annuity rates'!L17</f>
        <v>166.89458276106549</v>
      </c>
      <c r="K19" s="5">
        <f>IF(Income!B18&gt;Inputs!B$23,(Income!B18-Inputs!B$23)*(Inputs!B$21+Inputs!B$22),0)</f>
        <v>0</v>
      </c>
      <c r="L19" s="5">
        <f>L18*(1+'Investment returns'!B31)+K19</f>
        <v>0</v>
      </c>
      <c r="N19" s="1">
        <f>IF(Inputs!B$14="Yes",Income!B18*0.02,0)</f>
        <v>0</v>
      </c>
      <c r="O19" s="5">
        <f>O18*(1+'Investment returns'!B31)+N19</f>
        <v>0</v>
      </c>
      <c r="Q19" s="5">
        <f t="shared" si="0"/>
        <v>0</v>
      </c>
      <c r="S19" s="5">
        <f>(Q19/100000)*'Annuity rates'!I17</f>
        <v>0</v>
      </c>
      <c r="T19" s="5">
        <f>(Q19/100000)*'Annuity rates'!J17</f>
        <v>0</v>
      </c>
      <c r="U19" s="5">
        <f>(Q19/100000)*'Annuity rates'!K17</f>
        <v>0</v>
      </c>
      <c r="V19" s="5">
        <f>(Q19/100000)*'Annuity rates'!L17</f>
        <v>0</v>
      </c>
    </row>
    <row r="20" spans="1:22">
      <c r="A20">
        <f t="shared" si="1"/>
        <v>2032</v>
      </c>
      <c r="B20" s="1">
        <f>Income!B19</f>
        <v>39007.821439832238</v>
      </c>
      <c r="C20" s="1">
        <f>IF(Income!B19&gt;Inputs!B$29,(Income!B19-Inputs!B$29)*(Inputs!B$27+Inputs!B$28),0)</f>
        <v>1080.9385727798685</v>
      </c>
      <c r="D20" s="1">
        <f>D19*(1+'Investment returns'!B32)+C20+N20*0.5</f>
        <v>7154.3263559398129</v>
      </c>
      <c r="E20" s="1"/>
      <c r="F20" s="5">
        <f>(D20/100000)*'Annuity rates'!I18</f>
        <v>206.0933603945503</v>
      </c>
      <c r="G20" s="5">
        <f>(D20/100000)*'Annuity rates'!J18</f>
        <v>176.14584435307006</v>
      </c>
      <c r="H20" s="5">
        <f>(D20/100000)*'Annuity rates'!K18</f>
        <v>206.0933603945503</v>
      </c>
      <c r="I20" s="5">
        <f>(D20/100000)*'Annuity rates'!L18</f>
        <v>195.81591738940594</v>
      </c>
      <c r="K20" s="5">
        <f>IF(Income!B19&gt;Inputs!B$23,(Income!B19-Inputs!B$23)*(Inputs!B$21+Inputs!B$22),0)</f>
        <v>0</v>
      </c>
      <c r="L20" s="5">
        <f>L19*(1+'Investment returns'!B32)+K20</f>
        <v>0</v>
      </c>
      <c r="N20" s="1">
        <f>IF(Inputs!B$14="Yes",Income!B19*0.02,0)</f>
        <v>0</v>
      </c>
      <c r="O20" s="5">
        <f>O19*(1+'Investment returns'!B32)+N20</f>
        <v>0</v>
      </c>
      <c r="Q20" s="5">
        <f t="shared" si="0"/>
        <v>0</v>
      </c>
      <c r="S20" s="5">
        <f>(Q20/100000)*'Annuity rates'!I18</f>
        <v>0</v>
      </c>
      <c r="T20" s="5">
        <f>(Q20/100000)*'Annuity rates'!J18</f>
        <v>0</v>
      </c>
      <c r="U20" s="5">
        <f>(Q20/100000)*'Annuity rates'!K18</f>
        <v>0</v>
      </c>
      <c r="V20" s="5">
        <f>(Q20/100000)*'Annuity rates'!L18</f>
        <v>0</v>
      </c>
    </row>
    <row r="21" spans="1:22">
      <c r="A21">
        <f t="shared" si="1"/>
        <v>2033</v>
      </c>
      <c r="B21" s="1">
        <f>Income!B20</f>
        <v>39787.977868628885</v>
      </c>
      <c r="C21" s="1">
        <f>IF(Income!B20&gt;Inputs!B$29,(Income!B20-Inputs!B$29)*(Inputs!B$27+Inputs!B$28),0)</f>
        <v>1174.5573442354662</v>
      </c>
      <c r="D21" s="1">
        <f>D20*(1+'Investment returns'!B33)+C21+N21*0.5</f>
        <v>8336.0380265312178</v>
      </c>
      <c r="E21" s="1"/>
      <c r="F21" s="5">
        <f>(D21/100000)*'Annuity rates'!I19</f>
        <v>238.94001058106218</v>
      </c>
      <c r="G21" s="5">
        <f>(D21/100000)*'Annuity rates'!J19</f>
        <v>204.21953348209675</v>
      </c>
      <c r="H21" s="5">
        <f>(D21/100000)*'Annuity rates'!K19</f>
        <v>238.94001058106218</v>
      </c>
      <c r="I21" s="5">
        <f>(D21/100000)*'Annuity rates'!L19</f>
        <v>227.02457412209904</v>
      </c>
      <c r="K21" s="5">
        <f>IF(Income!B20&gt;Inputs!B$23,(Income!B20-Inputs!B$23)*(Inputs!B$21+Inputs!B$22),0)</f>
        <v>0</v>
      </c>
      <c r="L21" s="5">
        <f>L20*(1+'Investment returns'!B33)+K21</f>
        <v>0</v>
      </c>
      <c r="N21" s="1">
        <f>IF(Inputs!B$14="Yes",Income!B20*0.02,0)</f>
        <v>0</v>
      </c>
      <c r="O21" s="5">
        <f>O20*(1+'Investment returns'!B33)+N21</f>
        <v>0</v>
      </c>
      <c r="Q21" s="5">
        <f t="shared" si="0"/>
        <v>0</v>
      </c>
      <c r="S21" s="5">
        <f>(Q21/100000)*'Annuity rates'!I19</f>
        <v>0</v>
      </c>
      <c r="T21" s="5">
        <f>(Q21/100000)*'Annuity rates'!J19</f>
        <v>0</v>
      </c>
      <c r="U21" s="5">
        <f>(Q21/100000)*'Annuity rates'!K19</f>
        <v>0</v>
      </c>
      <c r="V21" s="5">
        <f>(Q21/100000)*'Annuity rates'!L19</f>
        <v>0</v>
      </c>
    </row>
    <row r="22" spans="1:22">
      <c r="A22">
        <f t="shared" si="1"/>
        <v>2034</v>
      </c>
      <c r="B22" s="1">
        <f>Income!B21</f>
        <v>40583.737426001462</v>
      </c>
      <c r="C22" s="1">
        <f>IF(Income!B21&gt;Inputs!B$29,(Income!B21-Inputs!B$29)*(Inputs!B$27+Inputs!B$28),0)</f>
        <v>1270.0484911201754</v>
      </c>
      <c r="D22" s="1">
        <f>D21*(1+'Investment returns'!B34)+C22+N22*0.5</f>
        <v>9614.422555677922</v>
      </c>
      <c r="E22" s="1"/>
      <c r="F22" s="5">
        <f>(D22/100000)*'Annuity rates'!I20</f>
        <v>274.21192355396403</v>
      </c>
      <c r="G22" s="5">
        <f>(D22/100000)*'Annuity rates'!J20</f>
        <v>234.36606940477506</v>
      </c>
      <c r="H22" s="5">
        <f>(D22/100000)*'Annuity rates'!K20</f>
        <v>274.21192355396403</v>
      </c>
      <c r="I22" s="5">
        <f>(D22/100000)*'Annuity rates'!L20</f>
        <v>260.53755088003777</v>
      </c>
      <c r="K22" s="5">
        <f>IF(Income!B21&gt;Inputs!B$23,(Income!B21-Inputs!B$23)*(Inputs!B$21+Inputs!B$22),0)</f>
        <v>0</v>
      </c>
      <c r="L22" s="5">
        <f>L21*(1+'Investment returns'!B34)+K22</f>
        <v>0</v>
      </c>
      <c r="N22" s="1">
        <f>IF(Inputs!B$14="Yes",Income!B21*0.02,0)</f>
        <v>0</v>
      </c>
      <c r="O22" s="5">
        <f>O21*(1+'Investment returns'!B34)+N22</f>
        <v>0</v>
      </c>
      <c r="Q22" s="5">
        <f t="shared" si="0"/>
        <v>0</v>
      </c>
      <c r="S22" s="5">
        <f>(Q22/100000)*'Annuity rates'!I20</f>
        <v>0</v>
      </c>
      <c r="T22" s="5">
        <f>(Q22/100000)*'Annuity rates'!J20</f>
        <v>0</v>
      </c>
      <c r="U22" s="5">
        <f>(Q22/100000)*'Annuity rates'!K20</f>
        <v>0</v>
      </c>
      <c r="V22" s="5">
        <f>(Q22/100000)*'Annuity rates'!L20</f>
        <v>0</v>
      </c>
    </row>
    <row r="23" spans="1:22">
      <c r="A23">
        <f t="shared" si="1"/>
        <v>2035</v>
      </c>
      <c r="B23" s="1">
        <f>Income!B22</f>
        <v>41395.412174521494</v>
      </c>
      <c r="C23" s="1">
        <f>IF(Income!B22&gt;Inputs!B$29,(Income!B22-Inputs!B$29)*(Inputs!B$27+Inputs!B$28),0)</f>
        <v>1367.4494609425792</v>
      </c>
      <c r="D23" s="1">
        <f>D22*(1+'Investment returns'!B35)+C23+N23*0.5</f>
        <v>10991.486439176177</v>
      </c>
      <c r="E23" s="1"/>
      <c r="F23" s="5">
        <f>(D23/100000)*'Annuity rates'!I21</f>
        <v>311.92737927640468</v>
      </c>
      <c r="G23" s="5">
        <f>(D23/100000)*'Annuity rates'!J21</f>
        <v>266.60107581483993</v>
      </c>
      <c r="H23" s="5">
        <f>(D23/100000)*'Annuity rates'!K21</f>
        <v>311.92737927640468</v>
      </c>
      <c r="I23" s="5">
        <f>(D23/100000)*'Annuity rates'!L21</f>
        <v>296.37221604300402</v>
      </c>
      <c r="K23" s="5">
        <f>IF(Income!B22&gt;Inputs!B$23,(Income!B22-Inputs!B$23)*(Inputs!B$21+Inputs!B$22),0)</f>
        <v>0</v>
      </c>
      <c r="L23" s="5">
        <f>L22*(1+'Investment returns'!B35)+K23</f>
        <v>0</v>
      </c>
      <c r="N23" s="1">
        <f>IF(Inputs!B$14="Yes",Income!B22*0.02,0)</f>
        <v>0</v>
      </c>
      <c r="O23" s="5">
        <f>O22*(1+'Investment returns'!B35)+N23</f>
        <v>0</v>
      </c>
      <c r="Q23" s="5">
        <f>L23+O23</f>
        <v>0</v>
      </c>
      <c r="S23" s="5">
        <f>(Q23/100000)*'Annuity rates'!I21</f>
        <v>0</v>
      </c>
      <c r="T23" s="5">
        <f>(Q23/100000)*'Annuity rates'!J21</f>
        <v>0</v>
      </c>
      <c r="U23" s="5">
        <f>(Q23/100000)*'Annuity rates'!K21</f>
        <v>0</v>
      </c>
      <c r="V23" s="5">
        <f>(Q23/100000)*'Annuity rates'!L21</f>
        <v>0</v>
      </c>
    </row>
    <row r="24" spans="1:22">
      <c r="A24">
        <f t="shared" si="1"/>
        <v>2036</v>
      </c>
      <c r="B24" s="1">
        <f>Income!B23</f>
        <v>42223.320418011928</v>
      </c>
      <c r="C24" s="1">
        <f>IF(Income!B23&gt;Inputs!B$29,(Income!B23-Inputs!B$29)*(Inputs!B$27+Inputs!B$28),0)</f>
        <v>1466.7984501614314</v>
      </c>
      <c r="D24" s="1">
        <f>D23*(1+'Investment returns'!B36)+C24+N24*0.5</f>
        <v>12469.276375776784</v>
      </c>
      <c r="E24" s="1"/>
      <c r="F24" s="5">
        <f>(D24/100000)*'Annuity rates'!I22</f>
        <v>352.10505269024014</v>
      </c>
      <c r="G24" s="5">
        <f>(D24/100000)*'Annuity rates'!J22</f>
        <v>300.9405139902052</v>
      </c>
      <c r="H24" s="5">
        <f>(D24/100000)*'Annuity rates'!K22</f>
        <v>352.10505269024014</v>
      </c>
      <c r="I24" s="5">
        <f>(D24/100000)*'Annuity rates'!L22</f>
        <v>334.54631327272813</v>
      </c>
      <c r="K24" s="5">
        <f>IF(Income!B23&gt;Inputs!B$23,(Income!B23-Inputs!B$23)*(Inputs!B$21+Inputs!B$22),0)</f>
        <v>0</v>
      </c>
      <c r="L24" s="5">
        <f>L23*(1+'Investment returns'!B36)+K24</f>
        <v>0</v>
      </c>
      <c r="N24" s="1">
        <f>IF(Inputs!B$14="Yes",Income!B23*0.02,0)</f>
        <v>0</v>
      </c>
      <c r="O24" s="5">
        <f>O23*(1+'Investment returns'!B36)+N24</f>
        <v>0</v>
      </c>
      <c r="Q24" s="5">
        <f t="shared" si="0"/>
        <v>0</v>
      </c>
      <c r="S24" s="5">
        <f>(Q24/100000)*'Annuity rates'!I22</f>
        <v>0</v>
      </c>
      <c r="T24" s="5">
        <f>(Q24/100000)*'Annuity rates'!J22</f>
        <v>0</v>
      </c>
      <c r="U24" s="5">
        <f>(Q24/100000)*'Annuity rates'!K22</f>
        <v>0</v>
      </c>
      <c r="V24" s="5">
        <f>(Q24/100000)*'Annuity rates'!L22</f>
        <v>0</v>
      </c>
    </row>
    <row r="25" spans="1:22">
      <c r="A25">
        <f t="shared" si="1"/>
        <v>2037</v>
      </c>
      <c r="B25" s="1">
        <f>Income!B24</f>
        <v>43067.786826372168</v>
      </c>
      <c r="C25" s="1">
        <f>IF(Income!B24&gt;Inputs!B$29,(Income!B24-Inputs!B$29)*(Inputs!B$27+Inputs!B$28),0)</f>
        <v>1568.1344191646601</v>
      </c>
      <c r="D25" s="1">
        <f>D24*(1+'Investment returns'!B37)+C25+N25*0.5</f>
        <v>14049.88007131722</v>
      </c>
      <c r="E25" s="1"/>
      <c r="F25" s="5">
        <f>(D25/100000)*'Annuity rates'!I23</f>
        <v>394.76401887221846</v>
      </c>
      <c r="G25" s="5">
        <f>(D25/100000)*'Annuity rates'!J23</f>
        <v>337.40068719990137</v>
      </c>
      <c r="H25" s="5">
        <f>(D25/100000)*'Annuity rates'!K23</f>
        <v>394.76401887221846</v>
      </c>
      <c r="I25" s="5">
        <f>(D25/100000)*'Annuity rates'!L23</f>
        <v>375.07796641194602</v>
      </c>
      <c r="K25" s="5">
        <f>IF(Income!B24&gt;Inputs!B$23,(Income!B24-Inputs!B$23)*(Inputs!B$21+Inputs!B$22),0)</f>
        <v>0</v>
      </c>
      <c r="L25" s="5">
        <f>L24*(1+'Investment returns'!B37)+K25</f>
        <v>0</v>
      </c>
      <c r="N25" s="1">
        <f>IF(Inputs!B$14="Yes",Income!B24*0.02,0)</f>
        <v>0</v>
      </c>
      <c r="O25" s="5">
        <f>O24*(1+'Investment returns'!B37)+N25</f>
        <v>0</v>
      </c>
      <c r="Q25" s="5">
        <f t="shared" si="0"/>
        <v>0</v>
      </c>
      <c r="S25" s="5">
        <f>(Q25/100000)*'Annuity rates'!I23</f>
        <v>0</v>
      </c>
      <c r="T25" s="5">
        <f>(Q25/100000)*'Annuity rates'!J23</f>
        <v>0</v>
      </c>
      <c r="U25" s="5">
        <f>(Q25/100000)*'Annuity rates'!K23</f>
        <v>0</v>
      </c>
      <c r="V25" s="5">
        <f>(Q25/100000)*'Annuity rates'!L23</f>
        <v>0</v>
      </c>
    </row>
    <row r="26" spans="1:22">
      <c r="A26">
        <f t="shared" si="1"/>
        <v>2038</v>
      </c>
      <c r="B26" s="1">
        <f>Income!B25</f>
        <v>43929.142562899615</v>
      </c>
      <c r="C26" s="1">
        <f>IF(Income!B25&gt;Inputs!B$29,(Income!B25-Inputs!B$29)*(Inputs!B$27+Inputs!B$28),0)</f>
        <v>1671.4971075479536</v>
      </c>
      <c r="D26" s="1">
        <f>D25*(1+'Investment returns'!B38)+C26+N26*0.5</f>
        <v>15735.42705893649</v>
      </c>
      <c r="E26" s="1"/>
      <c r="F26" s="5">
        <f>(D26/100000)*'Annuity rates'!I24</f>
        <v>439.92375827132383</v>
      </c>
      <c r="G26" s="5">
        <f>(D26/100000)*'Annuity rates'!J24</f>
        <v>375.99824518037849</v>
      </c>
      <c r="H26" s="5">
        <f>(D26/100000)*'Annuity rates'!K24</f>
        <v>439.92375827132383</v>
      </c>
      <c r="I26" s="5">
        <f>(D26/100000)*'Annuity rates'!L24</f>
        <v>417.98568446056765</v>
      </c>
      <c r="K26" s="5">
        <f>IF(Income!B25&gt;Inputs!B$23,(Income!B25-Inputs!B$23)*(Inputs!B$21+Inputs!B$22),0)</f>
        <v>0</v>
      </c>
      <c r="L26" s="5">
        <f>L25*(1+'Investment returns'!B38)+K26</f>
        <v>0</v>
      </c>
      <c r="N26" s="1">
        <f>IF(Inputs!B$14="Yes",Income!B25*0.02,0)</f>
        <v>0</v>
      </c>
      <c r="O26" s="5">
        <f>O25*(1+'Investment returns'!B38)+N26</f>
        <v>0</v>
      </c>
      <c r="Q26" s="5">
        <f t="shared" si="0"/>
        <v>0</v>
      </c>
      <c r="S26" s="5">
        <f>(Q26/100000)*'Annuity rates'!I24</f>
        <v>0</v>
      </c>
      <c r="T26" s="5">
        <f>(Q26/100000)*'Annuity rates'!J24</f>
        <v>0</v>
      </c>
      <c r="U26" s="5">
        <f>(Q26/100000)*'Annuity rates'!K24</f>
        <v>0</v>
      </c>
      <c r="V26" s="5">
        <f>(Q26/100000)*'Annuity rates'!L24</f>
        <v>0</v>
      </c>
    </row>
    <row r="27" spans="1:22">
      <c r="A27">
        <f t="shared" si="1"/>
        <v>2039</v>
      </c>
      <c r="B27" s="1">
        <f>Income!B26</f>
        <v>44807.725414157605</v>
      </c>
      <c r="C27" s="1">
        <f>IF(Income!B26&gt;Inputs!B$29,(Income!B26-Inputs!B$29)*(Inputs!B$27+Inputs!B$28),0)</f>
        <v>1776.9270496989125</v>
      </c>
      <c r="D27" s="1">
        <f>D26*(1+'Investment returns'!B39)+C27+N27*0.5</f>
        <v>17528.089535694337</v>
      </c>
      <c r="E27" s="1"/>
      <c r="F27" s="5">
        <f>(D27/100000)*'Annuity rates'!I25</f>
        <v>487.60416202846443</v>
      </c>
      <c r="G27" s="5">
        <f>(D27/100000)*'Annuity rates'!J25</f>
        <v>416.75018868218831</v>
      </c>
      <c r="H27" s="5">
        <f>(D27/100000)*'Annuity rates'!K25</f>
        <v>487.60416202846443</v>
      </c>
      <c r="I27" s="5">
        <f>(D27/100000)*'Annuity rates'!L25</f>
        <v>463.28836663008332</v>
      </c>
      <c r="K27" s="5">
        <f>IF(Income!B26&gt;Inputs!B$23,(Income!B26-Inputs!B$23)*(Inputs!B$21+Inputs!B$22),0)</f>
        <v>0</v>
      </c>
      <c r="L27" s="5">
        <f>L26*(1+'Investment returns'!B39)+K27</f>
        <v>0</v>
      </c>
      <c r="N27" s="1">
        <f>IF(Inputs!B$14="Yes",Income!B26*0.02,0)</f>
        <v>0</v>
      </c>
      <c r="O27" s="5">
        <f>O26*(1+'Investment returns'!B39)+N27</f>
        <v>0</v>
      </c>
      <c r="Q27" s="5">
        <f t="shared" si="0"/>
        <v>0</v>
      </c>
      <c r="S27" s="5">
        <f>(Q27/100000)*'Annuity rates'!I25</f>
        <v>0</v>
      </c>
      <c r="T27" s="5">
        <f>(Q27/100000)*'Annuity rates'!J25</f>
        <v>0</v>
      </c>
      <c r="U27" s="5">
        <f>(Q27/100000)*'Annuity rates'!K25</f>
        <v>0</v>
      </c>
      <c r="V27" s="5">
        <f>(Q27/100000)*'Annuity rates'!L25</f>
        <v>0</v>
      </c>
    </row>
    <row r="28" spans="1:22">
      <c r="A28">
        <f t="shared" si="1"/>
        <v>2040</v>
      </c>
      <c r="B28" s="1">
        <f>Income!B27</f>
        <v>45703.879922440756</v>
      </c>
      <c r="C28" s="1">
        <f>IF(Income!B27&gt;Inputs!B$29,(Income!B27-Inputs!B$29)*(Inputs!B$27+Inputs!B$28),0)</f>
        <v>1884.4655906928906</v>
      </c>
      <c r="D28" s="1">
        <f>D27*(1+'Investment returns'!B40)+C28+N28*0.5</f>
        <v>19430.083215922918</v>
      </c>
      <c r="E28" s="1"/>
      <c r="F28" s="5">
        <f>(D28/100000)*'Annuity rates'!I26</f>
        <v>537.82553737971432</v>
      </c>
      <c r="G28" s="5">
        <f>(D28/100000)*'Annuity rates'!J26</f>
        <v>459.67387408807821</v>
      </c>
      <c r="H28" s="5">
        <f>(D28/100000)*'Annuity rates'!K26</f>
        <v>537.82553737971432</v>
      </c>
      <c r="I28" s="5">
        <f>(D28/100000)*'Annuity rates'!L26</f>
        <v>511.00530747735741</v>
      </c>
      <c r="K28" s="5">
        <f>IF(Income!B27&gt;Inputs!B$23,(Income!B27-Inputs!B$23)*(Inputs!B$21+Inputs!B$22),0)</f>
        <v>0</v>
      </c>
      <c r="L28" s="5">
        <f>L27*(1+'Investment returns'!B40)+K28</f>
        <v>0</v>
      </c>
      <c r="N28" s="1">
        <f>IF(Inputs!B$14="Yes",Income!B27*0.02,0)</f>
        <v>0</v>
      </c>
      <c r="O28" s="5">
        <f>O27*(1+'Investment returns'!B40)+N28</f>
        <v>0</v>
      </c>
      <c r="Q28" s="5">
        <f t="shared" si="0"/>
        <v>0</v>
      </c>
      <c r="S28" s="5">
        <f>(Q28/100000)*'Annuity rates'!I26</f>
        <v>0</v>
      </c>
      <c r="T28" s="5">
        <f>(Q28/100000)*'Annuity rates'!J26</f>
        <v>0</v>
      </c>
      <c r="U28" s="5">
        <f>(Q28/100000)*'Annuity rates'!K26</f>
        <v>0</v>
      </c>
      <c r="V28" s="5">
        <f>(Q28/100000)*'Annuity rates'!L26</f>
        <v>0</v>
      </c>
    </row>
    <row r="29" spans="1:22">
      <c r="A29">
        <f t="shared" si="1"/>
        <v>2041</v>
      </c>
      <c r="B29" s="1">
        <f>Income!B28</f>
        <v>46617.957520889569</v>
      </c>
      <c r="C29" s="1">
        <f>IF(Income!B28&gt;Inputs!B$29,(Income!B28-Inputs!B$29)*(Inputs!B$27+Inputs!B$28),0)</f>
        <v>1994.1549025067482</v>
      </c>
      <c r="D29" s="1">
        <f>D28*(1+'Investment returns'!B41)+C29+N29*0.5</f>
        <v>21443.668201645585</v>
      </c>
      <c r="E29" s="1"/>
      <c r="F29" s="5">
        <f>(D29/100000)*'Annuity rates'!I27</f>
        <v>590.60861314432987</v>
      </c>
      <c r="G29" s="5">
        <f>(D29/100000)*'Annuity rates'!J27</f>
        <v>504.78701810354221</v>
      </c>
      <c r="H29" s="5">
        <f>(D29/100000)*'Annuity rates'!K27</f>
        <v>590.60861314432987</v>
      </c>
      <c r="I29" s="5">
        <f>(D29/100000)*'Annuity rates'!L27</f>
        <v>561.15620211896874</v>
      </c>
      <c r="K29" s="5">
        <f>IF(Income!B28&gt;Inputs!B$23,(Income!B28-Inputs!B$23)*(Inputs!B$21+Inputs!B$22),0)</f>
        <v>0</v>
      </c>
      <c r="L29" s="5">
        <f>L28*(1+'Investment returns'!B41)+K29</f>
        <v>0</v>
      </c>
      <c r="N29" s="1">
        <f>IF(Inputs!B$14="Yes",Income!B28*0.02,0)</f>
        <v>0</v>
      </c>
      <c r="O29" s="5">
        <f>O28*(1+'Investment returns'!B41)+N29</f>
        <v>0</v>
      </c>
      <c r="Q29" s="5">
        <f t="shared" si="0"/>
        <v>0</v>
      </c>
      <c r="S29" s="5">
        <f>(Q29/100000)*'Annuity rates'!I27</f>
        <v>0</v>
      </c>
      <c r="T29" s="5">
        <f>(Q29/100000)*'Annuity rates'!J27</f>
        <v>0</v>
      </c>
      <c r="U29" s="5">
        <f>(Q29/100000)*'Annuity rates'!K27</f>
        <v>0</v>
      </c>
      <c r="V29" s="5">
        <f>(Q29/100000)*'Annuity rates'!L27</f>
        <v>0</v>
      </c>
    </row>
    <row r="30" spans="1:22">
      <c r="A30">
        <f t="shared" si="1"/>
        <v>2042</v>
      </c>
      <c r="B30" s="1">
        <f>Income!B29</f>
        <v>47550.316671307359</v>
      </c>
      <c r="C30" s="1">
        <f>IF(Income!B29&gt;Inputs!B$29,(Income!B29-Inputs!B$29)*(Inputs!B$27+Inputs!B$28),0)</f>
        <v>2106.0380005568832</v>
      </c>
      <c r="D30" s="1">
        <f>D29*(1+'Investment returns'!B42)+C30+N30*0.5</f>
        <v>23571.149870404111</v>
      </c>
      <c r="E30" s="1"/>
      <c r="F30" s="5">
        <f>(D30/100000)*'Annuity rates'!I28</f>
        <v>645.9745452987861</v>
      </c>
      <c r="G30" s="5">
        <f>(D30/100000)*'Annuity rates'!J28</f>
        <v>552.10770252089117</v>
      </c>
      <c r="H30" s="5">
        <f>(D30/100000)*'Annuity rates'!K28</f>
        <v>645.9745452987861</v>
      </c>
      <c r="I30" s="5">
        <f>(D30/100000)*'Annuity rates'!L28</f>
        <v>613.7611515272813</v>
      </c>
      <c r="K30" s="5">
        <f>IF(Income!B29&gt;Inputs!B$23,(Income!B29-Inputs!B$23)*(Inputs!B$21+Inputs!B$22),0)</f>
        <v>0</v>
      </c>
      <c r="L30" s="5">
        <f>L29*(1+'Investment returns'!B42)+K30</f>
        <v>0</v>
      </c>
      <c r="N30" s="1">
        <f>IF(Inputs!B$14="Yes",Income!B29*0.02,0)</f>
        <v>0</v>
      </c>
      <c r="O30" s="5">
        <f>O29*(1+'Investment returns'!B42)+N30</f>
        <v>0</v>
      </c>
      <c r="Q30" s="5">
        <f t="shared" si="0"/>
        <v>0</v>
      </c>
      <c r="S30" s="5">
        <f>(Q30/100000)*'Annuity rates'!I28</f>
        <v>0</v>
      </c>
      <c r="T30" s="5">
        <f>(Q30/100000)*'Annuity rates'!J28</f>
        <v>0</v>
      </c>
      <c r="U30" s="5">
        <f>(Q30/100000)*'Annuity rates'!K28</f>
        <v>0</v>
      </c>
      <c r="V30" s="5">
        <f>(Q30/100000)*'Annuity rates'!L28</f>
        <v>0</v>
      </c>
    </row>
    <row r="31" spans="1:22">
      <c r="A31">
        <f t="shared" si="1"/>
        <v>2043</v>
      </c>
      <c r="B31" s="1">
        <f>Income!B30</f>
        <v>48501.323004733509</v>
      </c>
      <c r="C31" s="1">
        <f>IF(Income!B30&gt;Inputs!B$29,(Income!B30-Inputs!B$29)*(Inputs!B$27+Inputs!B$28),0)</f>
        <v>2220.1587605680211</v>
      </c>
      <c r="D31" s="1">
        <f>D30*(1+'Investment returns'!B43)+C31+N31*0.5</f>
        <v>25814.879780842533</v>
      </c>
      <c r="E31" s="1"/>
      <c r="F31" s="5">
        <f>(D31/100000)*'Annuity rates'!I29</f>
        <v>703.94492263809298</v>
      </c>
      <c r="G31" s="5">
        <f>(D31/100000)*'Annuity rates'!J29</f>
        <v>601.65437905792112</v>
      </c>
      <c r="H31" s="5">
        <f>(D31/100000)*'Annuity rates'!K29</f>
        <v>703.94492263809298</v>
      </c>
      <c r="I31" s="5">
        <f>(D31/100000)*'Annuity rates'!L29</f>
        <v>668.84066790944325</v>
      </c>
      <c r="K31" s="5">
        <f>IF(Income!B30&gt;Inputs!B$23,(Income!B30-Inputs!B$23)*(Inputs!B$21+Inputs!B$22),0)</f>
        <v>0</v>
      </c>
      <c r="L31" s="5">
        <f>L30*(1+'Investment returns'!B43)+K31</f>
        <v>0</v>
      </c>
      <c r="N31" s="1">
        <f>IF(Inputs!B$14="Yes",Income!B30*0.02,0)</f>
        <v>0</v>
      </c>
      <c r="O31" s="5">
        <f>O30*(1+'Investment returns'!B43)+N31</f>
        <v>0</v>
      </c>
      <c r="Q31" s="5">
        <f t="shared" si="0"/>
        <v>0</v>
      </c>
      <c r="S31" s="5">
        <f>(Q31/100000)*'Annuity rates'!I29</f>
        <v>0</v>
      </c>
      <c r="T31" s="5">
        <f>(Q31/100000)*'Annuity rates'!J29</f>
        <v>0</v>
      </c>
      <c r="U31" s="5">
        <f>(Q31/100000)*'Annuity rates'!K29</f>
        <v>0</v>
      </c>
      <c r="V31" s="5">
        <f>(Q31/100000)*'Annuity rates'!L29</f>
        <v>0</v>
      </c>
    </row>
    <row r="32" spans="1:22">
      <c r="A32">
        <f t="shared" si="1"/>
        <v>2044</v>
      </c>
      <c r="B32" s="1">
        <f>Income!B31</f>
        <v>49471.349464828178</v>
      </c>
      <c r="C32" s="1">
        <f>IF(Income!B31&gt;Inputs!B$29,(Income!B31-Inputs!B$29)*(Inputs!B$27+Inputs!B$28),0)</f>
        <v>2336.5619357793812</v>
      </c>
      <c r="D32" s="1">
        <f>D31*(1+'Investment returns'!B44)+C32+N32*0.5</f>
        <v>28177.256596402753</v>
      </c>
      <c r="E32" s="1"/>
      <c r="F32" s="5">
        <f>(D32/100000)*'Annuity rates'!I30</f>
        <v>764.54177252567354</v>
      </c>
      <c r="G32" s="5">
        <f>(D32/100000)*'Annuity rates'!J30</f>
        <v>653.44587427227327</v>
      </c>
      <c r="H32" s="5">
        <f>(D32/100000)*'Annuity rates'!K30</f>
        <v>764.54177252567354</v>
      </c>
      <c r="I32" s="5">
        <f>(D32/100000)*'Annuity rates'!L30</f>
        <v>726.41568017052941</v>
      </c>
      <c r="K32" s="5">
        <f>IF(Income!B31&gt;Inputs!B$23,(Income!B31-Inputs!B$23)*(Inputs!B$21+Inputs!B$22),0)</f>
        <v>0</v>
      </c>
      <c r="L32" s="5">
        <f>L31*(1+'Investment returns'!B44)+K32</f>
        <v>0</v>
      </c>
      <c r="N32" s="1">
        <f>IF(Inputs!B$14="Yes",Income!B31*0.02,0)</f>
        <v>0</v>
      </c>
      <c r="O32" s="5">
        <f>O31*(1+'Investment returns'!B44)+N32</f>
        <v>0</v>
      </c>
      <c r="Q32" s="5">
        <f t="shared" si="0"/>
        <v>0</v>
      </c>
      <c r="S32" s="5">
        <f>(Q32/100000)*'Annuity rates'!I30</f>
        <v>0</v>
      </c>
      <c r="T32" s="5">
        <f>(Q32/100000)*'Annuity rates'!J30</f>
        <v>0</v>
      </c>
      <c r="U32" s="5">
        <f>(Q32/100000)*'Annuity rates'!K30</f>
        <v>0</v>
      </c>
      <c r="V32" s="5">
        <f>(Q32/100000)*'Annuity rates'!L30</f>
        <v>0</v>
      </c>
    </row>
    <row r="33" spans="1:22">
      <c r="A33">
        <f t="shared" si="1"/>
        <v>2045</v>
      </c>
      <c r="B33" s="1">
        <f>Income!B32</f>
        <v>50460.776454124745</v>
      </c>
      <c r="C33" s="1">
        <f>IF(Income!B32&gt;Inputs!B$29,(Income!B32-Inputs!B$29)*(Inputs!B$27+Inputs!B$28),0)</f>
        <v>2455.2931744949692</v>
      </c>
      <c r="D33" s="1">
        <f>D32*(1+'Investment returns'!B45)+C33+N33*0.5</f>
        <v>30660.727027494118</v>
      </c>
      <c r="E33" s="1"/>
      <c r="F33" s="5">
        <f>(D33/100000)*'Annuity rates'!I31</f>
        <v>827.78756673310011</v>
      </c>
      <c r="G33" s="5">
        <f>(D33/100000)*'Annuity rates'!J31</f>
        <v>707.50139455259693</v>
      </c>
      <c r="H33" s="5">
        <f>(D33/100000)*'Annuity rates'!K31</f>
        <v>827.78756673310011</v>
      </c>
      <c r="I33" s="5">
        <f>(D33/100000)*'Annuity rates'!L31</f>
        <v>786.50753946206385</v>
      </c>
      <c r="K33" s="5">
        <f>IF(Income!B32&gt;Inputs!B$23,(Income!B32-Inputs!B$23)*(Inputs!B$21+Inputs!B$22),0)</f>
        <v>0</v>
      </c>
      <c r="L33" s="5">
        <f>L32*(1+'Investment returns'!B45)+K33</f>
        <v>0</v>
      </c>
      <c r="N33" s="1">
        <f>IF(Inputs!B$14="Yes",Income!B32*0.02,0)</f>
        <v>0</v>
      </c>
      <c r="O33" s="5">
        <f>O32*(1+'Investment returns'!B45)+N33</f>
        <v>0</v>
      </c>
      <c r="Q33" s="5">
        <f t="shared" si="0"/>
        <v>0</v>
      </c>
      <c r="S33" s="5">
        <f>(Q33/100000)*'Annuity rates'!I31</f>
        <v>0</v>
      </c>
      <c r="T33" s="5">
        <f>(Q33/100000)*'Annuity rates'!J31</f>
        <v>0</v>
      </c>
      <c r="U33" s="5">
        <f>(Q33/100000)*'Annuity rates'!K31</f>
        <v>0</v>
      </c>
      <c r="V33" s="5">
        <f>(Q33/100000)*'Annuity rates'!L31</f>
        <v>0</v>
      </c>
    </row>
    <row r="34" spans="1:22">
      <c r="A34">
        <f t="shared" si="1"/>
        <v>2046</v>
      </c>
      <c r="B34" s="1">
        <f>Income!B33</f>
        <v>51469.991983207241</v>
      </c>
      <c r="C34" s="1">
        <f>IF(Income!B33&gt;Inputs!B$29,(Income!B33-Inputs!B$29)*(Inputs!B$27+Inputs!B$28),0)</f>
        <v>2576.3990379848688</v>
      </c>
      <c r="D34" s="1">
        <f>D33*(1+'Investment returns'!B46)+C34+N34*0.5</f>
        <v>33267.786792506478</v>
      </c>
      <c r="E34" s="1"/>
      <c r="F34" s="5">
        <f>(D34/100000)*'Annuity rates'!I32</f>
        <v>924.33792023506817</v>
      </c>
      <c r="G34" s="5">
        <f>(D34/100000)*'Annuity rates'!J32</f>
        <v>794.6572934892863</v>
      </c>
      <c r="H34" s="5">
        <f>(D34/100000)*'Annuity rates'!K32</f>
        <v>924.33792023506817</v>
      </c>
      <c r="I34" s="5">
        <f>(D34/100000)*'Annuity rates'!L32</f>
        <v>885.37557946391394</v>
      </c>
      <c r="K34" s="5">
        <f>IF(Income!B33&gt;Inputs!B$23,(Income!B33-Inputs!B$23)*(Inputs!B$21+Inputs!B$22),0)</f>
        <v>0</v>
      </c>
      <c r="L34" s="5">
        <f>L33*(1+'Investment returns'!B46)+K34</f>
        <v>0</v>
      </c>
      <c r="N34" s="1">
        <f>IF(Inputs!B$14="Yes",Income!B33*0.02,0)</f>
        <v>0</v>
      </c>
      <c r="O34" s="5">
        <f>O33*(1+'Investment returns'!B46)+N34</f>
        <v>0</v>
      </c>
      <c r="Q34" s="5">
        <f t="shared" si="0"/>
        <v>0</v>
      </c>
      <c r="S34" s="5">
        <f>(Q34/100000)*'Annuity rates'!I32</f>
        <v>0</v>
      </c>
      <c r="T34" s="5">
        <f>(Q34/100000)*'Annuity rates'!J32</f>
        <v>0</v>
      </c>
      <c r="U34" s="5">
        <f>(Q34/100000)*'Annuity rates'!K32</f>
        <v>0</v>
      </c>
      <c r="V34" s="5">
        <f>(Q34/100000)*'Annuity rates'!L32</f>
        <v>0</v>
      </c>
    </row>
    <row r="35" spans="1:22">
      <c r="A35">
        <f t="shared" si="1"/>
        <v>2047</v>
      </c>
      <c r="B35" s="1">
        <f>Income!B34</f>
        <v>52499.391822871388</v>
      </c>
      <c r="C35" s="1">
        <f>IF(Income!B34&gt;Inputs!B$29,(Income!B34-Inputs!B$29)*(Inputs!B$27+Inputs!B$28),0)</f>
        <v>2699.9270187445663</v>
      </c>
      <c r="D35" s="1">
        <f>D34*(1+'Investment returns'!B47)+C35+N35*0.5</f>
        <v>36000.981598043545</v>
      </c>
      <c r="E35" s="1"/>
      <c r="F35" s="5">
        <f>(D35/100000)*'Annuity rates'!I33</f>
        <v>995.30260575684395</v>
      </c>
      <c r="G35" s="5">
        <f>(D35/100000)*'Annuity rates'!J33</f>
        <v>855.66593945689021</v>
      </c>
      <c r="H35" s="5">
        <f>(D35/100000)*'Annuity rates'!K33</f>
        <v>995.30260575684395</v>
      </c>
      <c r="I35" s="5">
        <f>(D35/100000)*'Annuity rates'!L33</f>
        <v>953.34898852770982</v>
      </c>
      <c r="K35" s="5">
        <f>IF(Income!B34&gt;Inputs!B$23,(Income!B34-Inputs!B$23)*(Inputs!B$21+Inputs!B$22),0)</f>
        <v>0</v>
      </c>
      <c r="L35" s="5">
        <f>L34*(1+'Investment returns'!B47)+K35</f>
        <v>0</v>
      </c>
      <c r="N35" s="1">
        <f>IF(Inputs!B$14="Yes",Income!B34*0.02,0)</f>
        <v>0</v>
      </c>
      <c r="O35" s="5">
        <f>O34*(1+'Investment returns'!B47)+N35</f>
        <v>0</v>
      </c>
      <c r="Q35" s="5">
        <f t="shared" si="0"/>
        <v>0</v>
      </c>
      <c r="S35" s="5">
        <f>(Q35/100000)*'Annuity rates'!I33</f>
        <v>0</v>
      </c>
      <c r="T35" s="5">
        <f>(Q35/100000)*'Annuity rates'!J33</f>
        <v>0</v>
      </c>
      <c r="U35" s="5">
        <f>(Q35/100000)*'Annuity rates'!K33</f>
        <v>0</v>
      </c>
      <c r="V35" s="5">
        <f>(Q35/100000)*'Annuity rates'!L33</f>
        <v>0</v>
      </c>
    </row>
    <row r="36" spans="1:22">
      <c r="A36">
        <f t="shared" si="1"/>
        <v>2048</v>
      </c>
      <c r="B36" s="1">
        <f>Income!B35</f>
        <v>53549.379659328813</v>
      </c>
      <c r="C36" s="1">
        <f>IF(Income!B35&gt;Inputs!B$29,(Income!B35-Inputs!B$29)*(Inputs!B$27+Inputs!B$28),0)</f>
        <v>2825.9255591194574</v>
      </c>
      <c r="D36" s="1">
        <f>D35*(1+'Investment returns'!B48)+C36+N36*0.5</f>
        <v>38862.908138761042</v>
      </c>
      <c r="E36" s="1"/>
      <c r="F36" s="5">
        <f>(D36/100000)*'Annuity rates'!I34</f>
        <v>1069.0795766817237</v>
      </c>
      <c r="G36" s="5">
        <f>(D36/100000)*'Annuity rates'!J34</f>
        <v>919.09231930517467</v>
      </c>
      <c r="H36" s="5">
        <f>(D36/100000)*'Annuity rates'!K34</f>
        <v>1069.0795766817237</v>
      </c>
      <c r="I36" s="5">
        <f>(D36/100000)*'Annuity rates'!L34</f>
        <v>1024.0161406089485</v>
      </c>
      <c r="K36" s="5">
        <f>IF(Income!B35&gt;Inputs!B$23,(Income!B35-Inputs!B$23)*(Inputs!B$21+Inputs!B$22),0)</f>
        <v>0</v>
      </c>
      <c r="L36" s="5">
        <f>L35*(1+'Investment returns'!B48)+K36</f>
        <v>0</v>
      </c>
      <c r="N36" s="1">
        <f>IF(Inputs!B$14="Yes",Income!B35*0.02,0)</f>
        <v>0</v>
      </c>
      <c r="O36" s="5">
        <f>O35*(1+'Investment returns'!B48)+N36</f>
        <v>0</v>
      </c>
      <c r="Q36" s="5">
        <f t="shared" si="0"/>
        <v>0</v>
      </c>
      <c r="S36" s="5">
        <f>(Q36/100000)*'Annuity rates'!I34</f>
        <v>0</v>
      </c>
      <c r="T36" s="5">
        <f>(Q36/100000)*'Annuity rates'!J34</f>
        <v>0</v>
      </c>
      <c r="U36" s="5">
        <f>(Q36/100000)*'Annuity rates'!K34</f>
        <v>0</v>
      </c>
      <c r="V36" s="5">
        <f>(Q36/100000)*'Annuity rates'!L34</f>
        <v>0</v>
      </c>
    </row>
    <row r="37" spans="1:22">
      <c r="A37">
        <f t="shared" si="1"/>
        <v>2049</v>
      </c>
      <c r="B37" s="1">
        <f>Income!B36</f>
        <v>54620.367252515389</v>
      </c>
      <c r="C37" s="1">
        <f>IF(Income!B36&gt;Inputs!B$29,(Income!B36-Inputs!B$29)*(Inputs!B$27+Inputs!B$28),0)</f>
        <v>2954.4440703018468</v>
      </c>
      <c r="D37" s="1">
        <f>D36*(1+'Investment returns'!B49)+C37+N37*0.5</f>
        <v>41856.215117201646</v>
      </c>
      <c r="E37" s="1"/>
      <c r="F37" s="5">
        <f>(D37/100000)*'Annuity rates'!I35</f>
        <v>1145.6939758938763</v>
      </c>
      <c r="G37" s="5">
        <f>(D37/100000)*'Annuity rates'!J35</f>
        <v>984.95804848001353</v>
      </c>
      <c r="H37" s="5">
        <f>(D37/100000)*'Annuity rates'!K35</f>
        <v>1145.6939758938763</v>
      </c>
      <c r="I37" s="5">
        <f>(D37/100000)*'Annuity rates'!L35</f>
        <v>1097.4011187785002</v>
      </c>
      <c r="K37" s="5">
        <f>IF(Income!B36&gt;Inputs!B$23,(Income!B36-Inputs!B$23)*(Inputs!B$21+Inputs!B$22),0)</f>
        <v>0</v>
      </c>
      <c r="L37" s="5">
        <f>L36*(1+'Investment returns'!B49)+K37</f>
        <v>0</v>
      </c>
      <c r="N37" s="1">
        <f>IF(Inputs!B$14="Yes",Income!B36*0.02,0)</f>
        <v>0</v>
      </c>
      <c r="O37" s="5">
        <f>O36*(1+'Investment returns'!B49)+N37</f>
        <v>0</v>
      </c>
      <c r="Q37" s="5">
        <f t="shared" si="0"/>
        <v>0</v>
      </c>
      <c r="S37" s="5">
        <f>(Q37/100000)*'Annuity rates'!I35</f>
        <v>0</v>
      </c>
      <c r="T37" s="5">
        <f>(Q37/100000)*'Annuity rates'!J35</f>
        <v>0</v>
      </c>
      <c r="U37" s="5">
        <f>(Q37/100000)*'Annuity rates'!K35</f>
        <v>0</v>
      </c>
      <c r="V37" s="5">
        <f>(Q37/100000)*'Annuity rates'!L35</f>
        <v>0</v>
      </c>
    </row>
    <row r="38" spans="1:22">
      <c r="A38">
        <f t="shared" si="1"/>
        <v>2050</v>
      </c>
      <c r="B38" s="1">
        <f>Income!B37</f>
        <v>55712.774597565694</v>
      </c>
      <c r="C38" s="1">
        <f>IF(Income!B37&gt;Inputs!B$29,(Income!B37-Inputs!B$29)*(Inputs!B$27+Inputs!B$28),0)</f>
        <v>3085.5329517078831</v>
      </c>
      <c r="D38" s="1">
        <f>D37*(1+'Investment returns'!B50)+C38+N38*0.5</f>
        <v>44983.604284026726</v>
      </c>
      <c r="E38" s="1"/>
      <c r="F38" s="5">
        <f>(D38/100000)*'Annuity rates'!I36</f>
        <v>1225.1714375602621</v>
      </c>
      <c r="G38" s="5">
        <f>(D38/100000)*'Annuity rates'!J36</f>
        <v>1053.2851647852142</v>
      </c>
      <c r="H38" s="5">
        <f>(D38/100000)*'Annuity rates'!K36</f>
        <v>1225.1714375602621</v>
      </c>
      <c r="I38" s="5">
        <f>(D38/100000)*'Annuity rates'!L36</f>
        <v>1173.5284766816601</v>
      </c>
      <c r="K38" s="5">
        <f>IF(Income!B37&gt;Inputs!B$23,(Income!B37-Inputs!B$23)*(Inputs!B$21+Inputs!B$22),0)</f>
        <v>0</v>
      </c>
      <c r="L38" s="5">
        <f>L37*(1+'Investment returns'!B50)+K38</f>
        <v>0</v>
      </c>
      <c r="N38" s="1">
        <f>IF(Inputs!B$14="Yes",Income!B37*0.02,0)</f>
        <v>0</v>
      </c>
      <c r="O38" s="5">
        <f>O37*(1+'Investment returns'!B50)+N38</f>
        <v>0</v>
      </c>
      <c r="Q38" s="5">
        <f t="shared" si="0"/>
        <v>0</v>
      </c>
      <c r="S38" s="5">
        <f>(Q38/100000)*'Annuity rates'!I36</f>
        <v>0</v>
      </c>
      <c r="T38" s="5">
        <f>(Q38/100000)*'Annuity rates'!J36</f>
        <v>0</v>
      </c>
      <c r="U38" s="5">
        <f>(Q38/100000)*'Annuity rates'!K36</f>
        <v>0</v>
      </c>
      <c r="V38" s="5">
        <f>(Q38/100000)*'Annuity rates'!L36</f>
        <v>0</v>
      </c>
    </row>
    <row r="39" spans="1:22">
      <c r="A39">
        <f t="shared" si="1"/>
        <v>2051</v>
      </c>
      <c r="B39" s="1">
        <f>Income!B38</f>
        <v>56827.030089517008</v>
      </c>
      <c r="C39" s="1">
        <f>IF(Income!B38&gt;Inputs!B$29,(Income!B38-Inputs!B$29)*(Inputs!B$27+Inputs!B$28),0)</f>
        <v>3219.2436107420408</v>
      </c>
      <c r="D39" s="1">
        <f>D38*(1+'Investment returns'!B51)+C39+N39*0.5</f>
        <v>48247.831499052794</v>
      </c>
      <c r="E39" s="1"/>
      <c r="F39" s="5">
        <f>(D39/100000)*'Annuity rates'!I37</f>
        <v>1307.5380937575533</v>
      </c>
      <c r="G39" s="5">
        <f>(D39/100000)*'Annuity rates'!J37</f>
        <v>1124.0961340797085</v>
      </c>
      <c r="H39" s="5">
        <f>(D39/100000)*'Annuity rates'!K37</f>
        <v>1307.5380937575533</v>
      </c>
      <c r="I39" s="5">
        <f>(D39/100000)*'Annuity rates'!L37</f>
        <v>1252.4232448857344</v>
      </c>
      <c r="K39" s="5">
        <f>IF(Income!B38&gt;Inputs!B$23,(Income!B38-Inputs!B$23)*(Inputs!B$21+Inputs!B$22),0)</f>
        <v>0</v>
      </c>
      <c r="L39" s="5">
        <f>L38*(1+'Investment returns'!B51)+K39</f>
        <v>0</v>
      </c>
      <c r="N39" s="1">
        <f>IF(Inputs!B$14="Yes",Income!B38*0.02,0)</f>
        <v>0</v>
      </c>
      <c r="O39" s="5">
        <f>O38*(1+'Investment returns'!B51)+N39</f>
        <v>0</v>
      </c>
      <c r="Q39" s="5">
        <f t="shared" si="0"/>
        <v>0</v>
      </c>
      <c r="S39" s="5">
        <f>(Q39/100000)*'Annuity rates'!I37</f>
        <v>0</v>
      </c>
      <c r="T39" s="5">
        <f>(Q39/100000)*'Annuity rates'!J37</f>
        <v>0</v>
      </c>
      <c r="U39" s="5">
        <f>(Q39/100000)*'Annuity rates'!K37</f>
        <v>0</v>
      </c>
      <c r="V39" s="5">
        <f>(Q39/100000)*'Annuity rates'!L37</f>
        <v>0</v>
      </c>
    </row>
    <row r="40" spans="1:22">
      <c r="A40">
        <f t="shared" si="1"/>
        <v>2052</v>
      </c>
      <c r="B40" s="1">
        <f>Income!B39</f>
        <v>57963.570691307352</v>
      </c>
      <c r="C40" s="1">
        <f>IF(Income!B39&gt;Inputs!B$29,(Income!B39-Inputs!B$29)*(Inputs!B$27+Inputs!B$28),0)</f>
        <v>3355.6284829568822</v>
      </c>
      <c r="D40" s="1">
        <f>D39*(1+'Investment returns'!B52)+C40+N40*0.5</f>
        <v>51651.707813508721</v>
      </c>
      <c r="E40" s="1"/>
      <c r="F40" s="5">
        <f>(D40/100000)*'Annuity rates'!I38</f>
        <v>1392.8205812019837</v>
      </c>
      <c r="G40" s="5">
        <f>(D40/100000)*'Annuity rates'!J38</f>
        <v>1197.4138560632341</v>
      </c>
      <c r="H40" s="5">
        <f>(D40/100000)*'Annuity rates'!K38</f>
        <v>1392.8205812019837</v>
      </c>
      <c r="I40" s="5">
        <f>(D40/100000)*'Annuity rates'!L38</f>
        <v>1334.1109373262159</v>
      </c>
      <c r="K40" s="5">
        <f>IF(Income!B39&gt;Inputs!B$23,(Income!B39-Inputs!B$23)*(Inputs!B$21+Inputs!B$22),0)</f>
        <v>0</v>
      </c>
      <c r="L40" s="5">
        <f>L39*(1+'Investment returns'!B52)+K40</f>
        <v>0</v>
      </c>
      <c r="N40" s="1">
        <f>IF(Inputs!B$14="Yes",Income!B39*0.02,0)</f>
        <v>0</v>
      </c>
      <c r="O40" s="5">
        <f>O39*(1+'Investment returns'!B52)+N40</f>
        <v>0</v>
      </c>
      <c r="Q40" s="5">
        <f t="shared" si="0"/>
        <v>0</v>
      </c>
      <c r="S40" s="5">
        <f>(Q40/100000)*'Annuity rates'!I38</f>
        <v>0</v>
      </c>
      <c r="T40" s="5">
        <f>(Q40/100000)*'Annuity rates'!J38</f>
        <v>0</v>
      </c>
      <c r="U40" s="5">
        <f>(Q40/100000)*'Annuity rates'!K38</f>
        <v>0</v>
      </c>
      <c r="V40" s="5">
        <f>(Q40/100000)*'Annuity rates'!L38</f>
        <v>0</v>
      </c>
    </row>
    <row r="41" spans="1:22">
      <c r="A41">
        <f t="shared" si="1"/>
        <v>2053</v>
      </c>
      <c r="B41" s="1">
        <f>Income!B40</f>
        <v>59122.842105133503</v>
      </c>
      <c r="C41" s="1">
        <f>IF(Income!B40&gt;Inputs!B$29,(Income!B40-Inputs!B$29)*(Inputs!B$27+Inputs!B$28),0)</f>
        <v>3494.7410526160202</v>
      </c>
      <c r="D41" s="1">
        <f>D40*(1+'Investment returns'!B53)+C41+N41*0.5</f>
        <v>55198.100573938238</v>
      </c>
      <c r="E41" s="1"/>
      <c r="F41" s="5">
        <f>(D41/100000)*'Annuity rates'!I39</f>
        <v>1481.046048083648</v>
      </c>
      <c r="G41" s="5">
        <f>(D41/100000)*'Annuity rates'!J39</f>
        <v>1273.2616701518116</v>
      </c>
      <c r="H41" s="5">
        <f>(D41/100000)*'Annuity rates'!K39</f>
        <v>1481.046048083648</v>
      </c>
      <c r="I41" s="5">
        <f>(D41/100000)*'Annuity rates'!L39</f>
        <v>1418.6175578530067</v>
      </c>
      <c r="K41" s="5">
        <f>IF(Income!B40&gt;Inputs!B$23,(Income!B40-Inputs!B$23)*(Inputs!B$21+Inputs!B$22),0)</f>
        <v>0</v>
      </c>
      <c r="L41" s="5">
        <f>L40*(1+'Investment returns'!B53)+K41</f>
        <v>0</v>
      </c>
      <c r="N41" s="1">
        <f>IF(Inputs!B$14="Yes",Income!B40*0.02,0)</f>
        <v>0</v>
      </c>
      <c r="O41" s="5">
        <f>O40*(1+'Investment returns'!B53)+N41</f>
        <v>0</v>
      </c>
      <c r="Q41" s="5">
        <f t="shared" si="0"/>
        <v>0</v>
      </c>
      <c r="S41" s="5">
        <f>(Q41/100000)*'Annuity rates'!I39</f>
        <v>0</v>
      </c>
      <c r="T41" s="5">
        <f>(Q41/100000)*'Annuity rates'!J39</f>
        <v>0</v>
      </c>
      <c r="U41" s="5">
        <f>(Q41/100000)*'Annuity rates'!K39</f>
        <v>0</v>
      </c>
      <c r="V41" s="5">
        <f>(Q41/100000)*'Annuity rates'!L39</f>
        <v>0</v>
      </c>
    </row>
    <row r="42" spans="1:22">
      <c r="A42" s="6">
        <f t="shared" si="1"/>
        <v>2054</v>
      </c>
      <c r="B42" s="1">
        <f>Income!B41</f>
        <v>60305.298947236173</v>
      </c>
      <c r="C42" s="1">
        <f>IF(Income!B41&gt;Inputs!B$29,(Income!B41-Inputs!B$29)*(Inputs!B$27+Inputs!B$28),0)</f>
        <v>3636.6358736683405</v>
      </c>
      <c r="D42" s="1">
        <f>D41*(1+'Investment returns'!B54)+C42+N42*0.5</f>
        <v>58889.934548180507</v>
      </c>
      <c r="E42" s="7"/>
      <c r="F42" s="5">
        <f>(D42/100000)*'Annuity rates'!I40</f>
        <v>1572.2421610067802</v>
      </c>
      <c r="G42" s="5">
        <f>(D42/100000)*'Annuity rates'!J40</f>
        <v>1351.6633614443315</v>
      </c>
      <c r="H42" s="5">
        <f>(D42/100000)*'Annuity rates'!K40</f>
        <v>1572.2421610067802</v>
      </c>
      <c r="I42" s="5">
        <f>(D42/100000)*'Annuity rates'!L40</f>
        <v>1505.9696068781523</v>
      </c>
      <c r="K42" s="5">
        <f>IF(Income!B41&gt;Inputs!B$23,(Income!B41-Inputs!B$23)*(Inputs!B$21+Inputs!B$22),0)</f>
        <v>84.329789447234361</v>
      </c>
      <c r="L42" s="5">
        <f>L41*(1+'Investment returns'!B54)+K42</f>
        <v>84.329789447234361</v>
      </c>
      <c r="N42" s="1">
        <f>IF(Inputs!B$14="Yes",Income!B41*0.02,0)</f>
        <v>0</v>
      </c>
      <c r="O42" s="5">
        <f>O41*(1+'Investment returns'!B54)+N42</f>
        <v>0</v>
      </c>
      <c r="Q42" s="5">
        <f t="shared" si="0"/>
        <v>84.329789447234361</v>
      </c>
      <c r="S42" s="5">
        <f>(Q42/100000)*'Annuity rates'!I40</f>
        <v>2.2514348405208575</v>
      </c>
      <c r="T42" s="5">
        <f>(Q42/100000)*'Annuity rates'!J40</f>
        <v>1.9355682350246943</v>
      </c>
      <c r="U42" s="5">
        <f>(Q42/100000)*'Annuity rates'!K40</f>
        <v>2.2514348405208575</v>
      </c>
      <c r="V42" s="5">
        <f>(Q42/100000)*'Annuity rates'!L40</f>
        <v>2.1565332146542975</v>
      </c>
    </row>
    <row r="43" spans="1:22">
      <c r="A43" s="6">
        <f t="shared" si="1"/>
        <v>2055</v>
      </c>
      <c r="B43" s="1">
        <f>Income!B42</f>
        <v>61511.404926180898</v>
      </c>
      <c r="C43" s="1">
        <f>IF(Income!B42&gt;Inputs!B$29,(Income!B42-Inputs!B$29)*(Inputs!B$27+Inputs!B$28),0)</f>
        <v>3781.3685911417074</v>
      </c>
      <c r="D43" s="1">
        <f>D42*(1+'Investment returns'!B55)+C43+N43*0.5</f>
        <v>62730.193073870389</v>
      </c>
      <c r="E43" s="7"/>
      <c r="F43" s="5">
        <f>(D43/100000)*'Annuity rates'!I41</f>
        <v>1666.4371120375758</v>
      </c>
      <c r="G43" s="5">
        <f>(D43/100000)*'Annuity rates'!J41</f>
        <v>1432.6431667815962</v>
      </c>
      <c r="H43" s="5">
        <f>(D43/100000)*'Annuity rates'!K41</f>
        <v>1666.4371120375758</v>
      </c>
      <c r="I43" s="5">
        <f>(D43/100000)*'Annuity rates'!L41</f>
        <v>1596.1940881265864</v>
      </c>
      <c r="K43" s="5">
        <f>IF(Income!B42&gt;Inputs!B$23,(Income!B42-Inputs!B$23)*(Inputs!B$21+Inputs!B$22),0)</f>
        <v>325.55098523617926</v>
      </c>
      <c r="L43" s="5">
        <f>L42*(1+'Investment returns'!B55)+K43</f>
        <v>409.96510447286084</v>
      </c>
      <c r="N43" s="1">
        <f>IF(Inputs!B$14="Yes",Income!B42*0.02,0)</f>
        <v>0</v>
      </c>
      <c r="O43" s="5">
        <f>O42*(1+'Investment returns'!B55)+N43</f>
        <v>0</v>
      </c>
      <c r="Q43" s="5">
        <f t="shared" si="0"/>
        <v>409.96510447286084</v>
      </c>
      <c r="S43" s="5">
        <f>(Q43/100000)*'Annuity rates'!I41</f>
        <v>10.890785302213731</v>
      </c>
      <c r="T43" s="5">
        <f>(Q43/100000)*'Annuity rates'!J41</f>
        <v>9.3628550584932757</v>
      </c>
      <c r="U43" s="5">
        <f>(Q43/100000)*'Annuity rates'!K41</f>
        <v>10.890785302213731</v>
      </c>
      <c r="V43" s="5">
        <f>(Q43/100000)*'Annuity rates'!L41</f>
        <v>10.431721058584715</v>
      </c>
    </row>
    <row r="44" spans="1:22">
      <c r="A44" s="6">
        <f t="shared" si="1"/>
        <v>2056</v>
      </c>
      <c r="B44" s="1">
        <f>Income!B43</f>
        <v>62741.633024704519</v>
      </c>
      <c r="C44" s="1">
        <f>IF(Income!B43&gt;Inputs!B$29,(Income!B43-Inputs!B$29)*(Inputs!B$27+Inputs!B$28),0)</f>
        <v>3928.9959629645423</v>
      </c>
      <c r="D44" s="1">
        <f>D43*(1+'Investment returns'!B56)+C44+N44*0.5</f>
        <v>66721.919229908788</v>
      </c>
      <c r="E44" s="7"/>
      <c r="F44" s="5">
        <f>(D44/100000)*'Annuity rates'!I42</f>
        <v>1763.6596258611396</v>
      </c>
      <c r="G44" s="5">
        <f>(D44/100000)*'Annuity rates'!J42</f>
        <v>1516.2257808991806</v>
      </c>
      <c r="H44" s="5">
        <f>(D44/100000)*'Annuity rates'!K42</f>
        <v>1763.6596258611396</v>
      </c>
      <c r="I44" s="5">
        <f>(D44/100000)*'Annuity rates'!L42</f>
        <v>1689.3185154914033</v>
      </c>
      <c r="K44" s="5">
        <f>IF(Income!B43&gt;Inputs!B$23,(Income!B43-Inputs!B$23)*(Inputs!B$21+Inputs!B$22),0)</f>
        <v>571.59660494090349</v>
      </c>
      <c r="L44" s="5">
        <f>L43*(1+'Investment returns'!B56)+K44</f>
        <v>981.97167451823714</v>
      </c>
      <c r="N44" s="1">
        <f>IF(Inputs!B$14="Yes",Income!B43*0.02,0)</f>
        <v>0</v>
      </c>
      <c r="O44" s="5">
        <f>O43*(1+'Investment returns'!B56)+N44</f>
        <v>0</v>
      </c>
      <c r="Q44" s="5">
        <f t="shared" si="0"/>
        <v>981.97167451823714</v>
      </c>
      <c r="S44" s="5">
        <f>(Q44/100000)*'Annuity rates'!I42</f>
        <v>25.956444539903838</v>
      </c>
      <c r="T44" s="5">
        <f>(Q44/100000)*'Annuity rates'!J42</f>
        <v>22.314867231065492</v>
      </c>
      <c r="U44" s="5">
        <f>(Q44/100000)*'Annuity rates'!K42</f>
        <v>25.956444539903838</v>
      </c>
      <c r="V44" s="5">
        <f>(Q44/100000)*'Annuity rates'!L42</f>
        <v>24.862338352943443</v>
      </c>
    </row>
    <row r="45" spans="1:22">
      <c r="A45" s="6">
        <f t="shared" si="1"/>
        <v>2057</v>
      </c>
      <c r="B45" s="1">
        <f>Income!B44</f>
        <v>63996.465685198607</v>
      </c>
      <c r="C45" s="1">
        <f>IF(Income!B44&gt;Inputs!B$29,(Income!B44-Inputs!B$29)*(Inputs!B$27+Inputs!B$28),0)</f>
        <v>4079.5758822238327</v>
      </c>
      <c r="D45" s="1">
        <f>D44*(1+'Investment returns'!B57)+C45+N45*0.5</f>
        <v>70868.21703136251</v>
      </c>
      <c r="E45" s="7"/>
      <c r="F45" s="5">
        <f>(D45/100000)*'Annuity rates'!I43</f>
        <v>1863.938967049168</v>
      </c>
      <c r="G45" s="5">
        <f>(D45/100000)*'Annuity rates'!J43</f>
        <v>1602.436362675488</v>
      </c>
      <c r="H45" s="5">
        <f>(D45/100000)*'Annuity rates'!K43</f>
        <v>1863.938967049168</v>
      </c>
      <c r="I45" s="5">
        <f>(D45/100000)*'Annuity rates'!L43</f>
        <v>1785.3709199951925</v>
      </c>
      <c r="K45" s="5">
        <f>IF(Income!B44&gt;Inputs!B$23,(Income!B44-Inputs!B$23)*(Inputs!B$21+Inputs!B$22),0)</f>
        <v>822.56313703972125</v>
      </c>
      <c r="L45" s="5">
        <f>L44*(1+'Investment returns'!B57)+K45</f>
        <v>1805.5167832324764</v>
      </c>
      <c r="N45" s="1">
        <f>IF(Inputs!B$14="Yes",Income!B44*0.02,0)</f>
        <v>0</v>
      </c>
      <c r="O45" s="5">
        <f>O44*(1+'Investment returns'!B57)+N45</f>
        <v>0</v>
      </c>
      <c r="Q45" s="5">
        <f t="shared" si="0"/>
        <v>1805.5167832324764</v>
      </c>
      <c r="S45" s="5">
        <f>(Q45/100000)*'Annuity rates'!I43</f>
        <v>47.487762905604683</v>
      </c>
      <c r="T45" s="5">
        <f>(Q45/100000)*'Annuity rates'!J43</f>
        <v>40.825434419948913</v>
      </c>
      <c r="U45" s="5">
        <f>(Q45/100000)*'Annuity rates'!K43</f>
        <v>47.487762905604683</v>
      </c>
      <c r="V45" s="5">
        <f>(Q45/100000)*'Annuity rates'!L43</f>
        <v>45.486076768658783</v>
      </c>
    </row>
    <row r="46" spans="1:22">
      <c r="A46" s="6">
        <f t="shared" si="1"/>
        <v>2058</v>
      </c>
      <c r="B46" s="1">
        <f>Income!B45</f>
        <v>65276.394998902579</v>
      </c>
      <c r="C46" s="1">
        <f>IF(Income!B45&gt;Inputs!B$29,(Income!B45-Inputs!B$29)*(Inputs!B$27+Inputs!B$28),0)</f>
        <v>4233.1673998683091</v>
      </c>
      <c r="D46" s="1">
        <f>D45*(1+'Investment returns'!B58)+C46+N46*0.5</f>
        <v>75172.252648262176</v>
      </c>
      <c r="E46" s="7"/>
      <c r="F46" s="5">
        <f>(D46/100000)*'Annuity rates'!I44</f>
        <v>1967.3049474399929</v>
      </c>
      <c r="G46" s="5">
        <f>(D46/100000)*'Annuity rates'!J44</f>
        <v>1691.3005414764077</v>
      </c>
      <c r="H46" s="5">
        <f>(D46/100000)*'Annuity rates'!K44</f>
        <v>1967.3049474399929</v>
      </c>
      <c r="I46" s="5">
        <f>(D46/100000)*'Annuity rates'!L44</f>
        <v>1884.3798568590057</v>
      </c>
      <c r="K46" s="5">
        <f>IF(Income!B45&gt;Inputs!B$23,(Income!B45-Inputs!B$23)*(Inputs!B$21+Inputs!B$22),0)</f>
        <v>1078.5489997805155</v>
      </c>
      <c r="L46" s="5">
        <f>L45*(1+'Investment returns'!B58)+K46</f>
        <v>2885.8712997962239</v>
      </c>
      <c r="N46" s="1">
        <f>IF(Inputs!B$14="Yes",Income!B45*0.02,0)</f>
        <v>0</v>
      </c>
      <c r="O46" s="5">
        <f>O45*(1+'Investment returns'!B58)+N46</f>
        <v>0</v>
      </c>
      <c r="Q46" s="5">
        <f t="shared" si="0"/>
        <v>2885.8712997962239</v>
      </c>
      <c r="S46" s="5">
        <f>(Q46/100000)*'Annuity rates'!I44</f>
        <v>75.52505992243195</v>
      </c>
      <c r="T46" s="5">
        <f>(Q46/100000)*'Annuity rates'!J44</f>
        <v>64.929219492924346</v>
      </c>
      <c r="U46" s="5">
        <f>(Q46/100000)*'Annuity rates'!K44</f>
        <v>75.52505992243195</v>
      </c>
      <c r="V46" s="5">
        <f>(Q46/100000)*'Annuity rates'!L44</f>
        <v>72.341556295629232</v>
      </c>
    </row>
    <row r="47" spans="1:22">
      <c r="A47" s="6">
        <f t="shared" si="1"/>
        <v>2059</v>
      </c>
      <c r="B47" s="1">
        <f>Income!B46</f>
        <v>66581.922898880628</v>
      </c>
      <c r="C47" s="1">
        <f>IF(Income!B46&gt;Inputs!B$29,(Income!B46-Inputs!B$29)*(Inputs!B$27+Inputs!B$28),0)</f>
        <v>4389.8307478656752</v>
      </c>
      <c r="D47" s="1">
        <f>D46*(1+'Investment returns'!B59)+C47+N47*0.5</f>
        <v>79637.255648776103</v>
      </c>
      <c r="E47" s="7"/>
      <c r="F47" s="5">
        <f>(D47/100000)*'Annuity rates'!I45</f>
        <v>2073.7879336326487</v>
      </c>
      <c r="G47" s="5">
        <f>(D47/100000)*'Annuity rates'!J45</f>
        <v>1782.8444235979957</v>
      </c>
      <c r="H47" s="5">
        <f>(D47/100000)*'Annuity rates'!K45</f>
        <v>2073.7879336326487</v>
      </c>
      <c r="I47" s="5">
        <f>(D47/100000)*'Annuity rates'!L45</f>
        <v>1986.3744126805339</v>
      </c>
      <c r="K47" s="5">
        <f>IF(Income!B46&gt;Inputs!B$23,(Income!B46-Inputs!B$23)*(Inputs!B$21+Inputs!B$22),0)</f>
        <v>1339.6545797761255</v>
      </c>
      <c r="L47" s="5">
        <f>L46*(1+'Investment returns'!B59)+K47</f>
        <v>4228.4117508721447</v>
      </c>
      <c r="N47" s="1">
        <f>IF(Inputs!B$14="Yes",Income!B46*0.02,0)</f>
        <v>0</v>
      </c>
      <c r="O47" s="5">
        <f>O46*(1+'Investment returns'!B59)+N47</f>
        <v>0</v>
      </c>
      <c r="Q47" s="5">
        <f t="shared" si="0"/>
        <v>4228.4117508721447</v>
      </c>
      <c r="S47" s="5">
        <f>(Q47/100000)*'Annuity rates'!I45</f>
        <v>110.10963645033539</v>
      </c>
      <c r="T47" s="5">
        <f>(Q47/100000)*'Annuity rates'!J45</f>
        <v>94.661728977277946</v>
      </c>
      <c r="U47" s="5">
        <f>(Q47/100000)*'Annuity rates'!K45</f>
        <v>110.10963645033539</v>
      </c>
      <c r="V47" s="5">
        <f>(Q47/100000)*'Annuity rates'!L45</f>
        <v>105.46833689565</v>
      </c>
    </row>
    <row r="48" spans="1:22">
      <c r="A48" s="6">
        <f t="shared" si="1"/>
        <v>2060</v>
      </c>
      <c r="B48" s="1">
        <f>Income!B47</f>
        <v>67913.561356858248</v>
      </c>
      <c r="C48" s="1">
        <f>IF(Income!B47&gt;Inputs!B$29,(Income!B47-Inputs!B$29)*(Inputs!B$27+Inputs!B$28),0)</f>
        <v>4549.6273628229892</v>
      </c>
      <c r="D48" s="1">
        <f>D47*(1+'Investment returns'!B60)+C48+N48*0.5</f>
        <v>84266.520267247848</v>
      </c>
      <c r="E48" s="7"/>
      <c r="F48" s="5">
        <f>(D48/100000)*'Annuity rates'!I46</f>
        <v>2183.4188545966367</v>
      </c>
      <c r="G48" s="5">
        <f>(D48/100000)*'Annuity rates'!J46</f>
        <v>1877.0945988086216</v>
      </c>
      <c r="H48" s="5">
        <f>(D48/100000)*'Annuity rates'!K46</f>
        <v>2183.4188545966367</v>
      </c>
      <c r="I48" s="5">
        <f>(D48/100000)*'Annuity rates'!L46</f>
        <v>2091.3842127231082</v>
      </c>
      <c r="K48" s="5">
        <f>IF(Income!B47&gt;Inputs!B$23,(Income!B47-Inputs!B$23)*(Inputs!B$21+Inputs!B$22),0)</f>
        <v>1605.9822713716494</v>
      </c>
      <c r="L48" s="5">
        <f>L47*(1+'Investment returns'!B60)+K48</f>
        <v>5838.6224339946657</v>
      </c>
      <c r="N48" s="1">
        <f>IF(Inputs!B$14="Yes",Income!B47*0.02,0)</f>
        <v>0</v>
      </c>
      <c r="O48" s="5">
        <f>O47*(1+'Investment returns'!B60)+N48</f>
        <v>0</v>
      </c>
      <c r="Q48" s="5">
        <f t="shared" si="0"/>
        <v>5838.6224339946657</v>
      </c>
      <c r="S48" s="5">
        <f>(Q48/100000)*'Annuity rates'!I46</f>
        <v>151.28378704644021</v>
      </c>
      <c r="T48" s="5">
        <f>(Q48/100000)*'Annuity rates'!J46</f>
        <v>130.05932368603996</v>
      </c>
      <c r="U48" s="5">
        <f>(Q48/100000)*'Annuity rates'!K46</f>
        <v>151.28378704644021</v>
      </c>
      <c r="V48" s="5">
        <f>(Q48/100000)*'Annuity rates'!L46</f>
        <v>144.906930341746</v>
      </c>
    </row>
    <row r="49" spans="1:22">
      <c r="A49" s="6">
        <f t="shared" si="1"/>
        <v>2061</v>
      </c>
      <c r="B49" s="1">
        <f>Income!B48</f>
        <v>69271.83258399542</v>
      </c>
      <c r="C49" s="1">
        <f>IF(Income!B48&gt;Inputs!B$29,(Income!B48-Inputs!B$29)*(Inputs!B$27+Inputs!B$28),0)</f>
        <v>4712.6199100794502</v>
      </c>
      <c r="D49" s="1">
        <f>D48*(1+'Investment returns'!B61)+C49+N49*0.5</f>
        <v>89063.406697594532</v>
      </c>
      <c r="E49" s="7"/>
      <c r="F49" s="5">
        <f>(D49/100000)*'Annuity rates'!I47</f>
        <v>2296.2292093991023</v>
      </c>
      <c r="G49" s="5">
        <f>(D49/100000)*'Annuity rates'!J47</f>
        <v>1974.078146992056</v>
      </c>
      <c r="H49" s="5">
        <f>(D49/100000)*'Annuity rates'!K47</f>
        <v>2296.2292093991023</v>
      </c>
      <c r="I49" s="5">
        <f>(D49/100000)*'Annuity rates'!L47</f>
        <v>2199.439428317165</v>
      </c>
      <c r="K49" s="5">
        <f>IF(Income!B48&gt;Inputs!B$23,(Income!B48-Inputs!B$23)*(Inputs!B$21+Inputs!B$22),0)</f>
        <v>1877.6365167990837</v>
      </c>
      <c r="L49" s="5">
        <f>L48*(1+'Investment returns'!B61)+K49</f>
        <v>7722.0975732277429</v>
      </c>
      <c r="N49" s="1">
        <f>IF(Inputs!B$14="Yes",Income!B48*0.02,0)</f>
        <v>0</v>
      </c>
      <c r="O49" s="5">
        <f>O48*(1+'Investment returns'!B61)+N49</f>
        <v>0</v>
      </c>
      <c r="Q49" s="5">
        <f t="shared" si="0"/>
        <v>7722.0975732277429</v>
      </c>
      <c r="S49" s="5">
        <f>(Q49/100000)*'Annuity rates'!I47</f>
        <v>199.09081252283124</v>
      </c>
      <c r="T49" s="5">
        <f>(Q49/100000)*'Annuity rates'!J47</f>
        <v>171.15922951396598</v>
      </c>
      <c r="U49" s="5">
        <f>(Q49/100000)*'Annuity rates'!K47</f>
        <v>199.09081252283124</v>
      </c>
      <c r="V49" s="5">
        <f>(Q49/100000)*'Annuity rates'!L47</f>
        <v>190.69881224662515</v>
      </c>
    </row>
    <row r="50" spans="1:22">
      <c r="A50" s="6">
        <f t="shared" si="1"/>
        <v>2062</v>
      </c>
      <c r="B50" s="1">
        <f>Income!B49</f>
        <v>70657.269235675325</v>
      </c>
      <c r="C50" s="1">
        <f>IF(Income!B49&gt;Inputs!B$29,(Income!B49-Inputs!B$29)*(Inputs!B$27+Inputs!B$28),0)</f>
        <v>4878.8723082810384</v>
      </c>
      <c r="D50" s="1">
        <f>D49*(1+'Investment returns'!B62)+C50+N50*0.5</f>
        <v>94031.342412573154</v>
      </c>
      <c r="E50" s="7"/>
      <c r="F50" s="5">
        <f>(D50/100000)*'Annuity rates'!I48</f>
        <v>2412.2510750511387</v>
      </c>
      <c r="G50" s="5">
        <f>(D50/100000)*'Annuity rates'!J48</f>
        <v>2073.8226448929736</v>
      </c>
      <c r="H50" s="5">
        <f>(D50/100000)*'Annuity rates'!K48</f>
        <v>2412.2510750511387</v>
      </c>
      <c r="I50" s="5">
        <f>(D50/100000)*'Annuity rates'!L48</f>
        <v>2310.5707843758159</v>
      </c>
      <c r="K50" s="5">
        <f>IF(Income!B49&gt;Inputs!B$23,(Income!B49-Inputs!B$23)*(Inputs!B$21+Inputs!B$22),0)</f>
        <v>2154.7238471350647</v>
      </c>
      <c r="L50" s="5">
        <f>L49*(1+'Investment returns'!B62)+K50</f>
        <v>9884.5435179360356</v>
      </c>
      <c r="N50" s="1">
        <f>IF(Inputs!B$14="Yes",Income!B49*0.02,0)</f>
        <v>0</v>
      </c>
      <c r="O50" s="5">
        <f>O49*(1+'Investment returns'!B62)+N50</f>
        <v>0</v>
      </c>
      <c r="Q50" s="5">
        <f t="shared" si="0"/>
        <v>9884.5435179360356</v>
      </c>
      <c r="S50" s="5">
        <f>(Q50/100000)*'Annuity rates'!I48</f>
        <v>253.57503270465625</v>
      </c>
      <c r="T50" s="5">
        <f>(Q50/100000)*'Annuity rates'!J48</f>
        <v>217.99954840573312</v>
      </c>
      <c r="U50" s="5">
        <f>(Q50/100000)*'Annuity rates'!K48</f>
        <v>253.57503270465625</v>
      </c>
      <c r="V50" s="5">
        <f>(Q50/100000)*'Annuity rates'!L48</f>
        <v>242.88643428300676</v>
      </c>
    </row>
    <row r="51" spans="1:22">
      <c r="A51" s="6">
        <f t="shared" si="1"/>
        <v>2063</v>
      </c>
      <c r="B51" s="1">
        <f>Income!B50</f>
        <v>72070.414620388838</v>
      </c>
      <c r="C51" s="1">
        <f>IF(Income!B50&gt;Inputs!B$29,(Income!B50-Inputs!B$29)*(Inputs!B$27+Inputs!B$28),0)</f>
        <v>5048.4497544466603</v>
      </c>
      <c r="D51" s="1">
        <f>D50*(1+'Investment returns'!B63)+C51+N51*0.5</f>
        <v>99173.823509432375</v>
      </c>
      <c r="E51" s="7"/>
      <c r="F51" s="5">
        <f>(D51/100000)*'Annuity rates'!I49</f>
        <v>2531.5171144749988</v>
      </c>
      <c r="G51" s="5">
        <f>(D51/100000)*'Annuity rates'!J49</f>
        <v>2176.3561729663957</v>
      </c>
      <c r="H51" s="5">
        <f>(D51/100000)*'Annuity rates'!K49</f>
        <v>2531.5171144749988</v>
      </c>
      <c r="I51" s="5">
        <f>(D51/100000)*'Annuity rates'!L49</f>
        <v>2424.809567026226</v>
      </c>
      <c r="K51" s="5">
        <f>IF(Income!B50&gt;Inputs!B$23,(Income!B50-Inputs!B$23)*(Inputs!B$21+Inputs!B$22),0)</f>
        <v>2437.3529240777675</v>
      </c>
      <c r="L51" s="5">
        <f>L50*(1+'Investment returns'!B63)+K51</f>
        <v>12331.780985531739</v>
      </c>
      <c r="N51" s="1">
        <f>IF(Inputs!B$14="Yes",Income!B50*0.02,0)</f>
        <v>0</v>
      </c>
      <c r="O51" s="5">
        <f>O50*(1+'Investment returns'!B63)+N51</f>
        <v>0</v>
      </c>
      <c r="Q51" s="5">
        <f t="shared" si="0"/>
        <v>12331.780985531739</v>
      </c>
      <c r="S51" s="5">
        <f>(Q51/100000)*'Annuity rates'!I49</f>
        <v>314.78179939146764</v>
      </c>
      <c r="T51" s="5">
        <f>(Q51/100000)*'Annuity rates'!J49</f>
        <v>270.61926949886163</v>
      </c>
      <c r="U51" s="5">
        <f>(Q51/100000)*'Annuity rates'!K49</f>
        <v>314.78179939146764</v>
      </c>
      <c r="V51" s="5">
        <f>(Q51/100000)*'Annuity rates'!L49</f>
        <v>301.51323659862197</v>
      </c>
    </row>
    <row r="52" spans="1:22">
      <c r="A52" s="6">
        <f t="shared" si="1"/>
        <v>2064</v>
      </c>
      <c r="B52" s="1">
        <f>Income!B51</f>
        <v>73511.822912796619</v>
      </c>
      <c r="C52" s="1">
        <f>IF(Income!B51&gt;Inputs!B$29,(Income!B51-Inputs!B$29)*(Inputs!B$27+Inputs!B$28),0)</f>
        <v>5221.4187495355936</v>
      </c>
      <c r="D52" s="1">
        <f>D51*(1+'Investment returns'!B64)+C52+N52*0.5</f>
        <v>104494.41608247739</v>
      </c>
      <c r="E52" s="7"/>
      <c r="F52" s="5">
        <f>(D52/100000)*'Annuity rates'!I50</f>
        <v>2654.0605845939745</v>
      </c>
      <c r="G52" s="5">
        <f>(D52/100000)*'Annuity rates'!J50</f>
        <v>2281.7073223325992</v>
      </c>
      <c r="H52" s="5">
        <f>(D52/100000)*'Annuity rates'!K50</f>
        <v>2654.0605845939745</v>
      </c>
      <c r="I52" s="5">
        <f>(D52/100000)*'Annuity rates'!L50</f>
        <v>2542.1876313584944</v>
      </c>
      <c r="K52" s="5">
        <f>IF(Income!B51&gt;Inputs!B$23,(Income!B51-Inputs!B$23)*(Inputs!B$21+Inputs!B$22),0)</f>
        <v>2725.6345825593235</v>
      </c>
      <c r="L52" s="5">
        <f>L51*(1+'Investment returns'!B64)+K52</f>
        <v>15069.747349076593</v>
      </c>
      <c r="N52" s="1">
        <f>IF(Inputs!B$14="Yes",Income!B51*0.02,0)</f>
        <v>0</v>
      </c>
      <c r="O52" s="5">
        <f>O51*(1+'Investment returns'!B64)+N52</f>
        <v>0</v>
      </c>
      <c r="Q52" s="5">
        <f t="shared" si="0"/>
        <v>15069.747349076593</v>
      </c>
      <c r="S52" s="5">
        <f>(Q52/100000)*'Annuity rates'!I50</f>
        <v>382.75750952476619</v>
      </c>
      <c r="T52" s="5">
        <f>(Q52/100000)*'Annuity rates'!J50</f>
        <v>329.05828044390876</v>
      </c>
      <c r="U52" s="5">
        <f>(Q52/100000)*'Annuity rates'!K50</f>
        <v>382.75750952476619</v>
      </c>
      <c r="V52" s="5">
        <f>(Q52/100000)*'Annuity rates'!L50</f>
        <v>366.62366042872395</v>
      </c>
    </row>
    <row r="53" spans="1:22">
      <c r="A53" s="6">
        <f t="shared" si="1"/>
        <v>2065</v>
      </c>
      <c r="B53" s="1">
        <f>Income!B52</f>
        <v>74982.059371052557</v>
      </c>
      <c r="C53" s="1">
        <f>IF(Income!B52&gt;Inputs!B$29,(Income!B52-Inputs!B$29)*(Inputs!B$27+Inputs!B$28),0)</f>
        <v>5397.8471245263063</v>
      </c>
      <c r="D53" s="1">
        <f>D52*(1+'Investment returns'!B65)+C53+N53*0.5</f>
        <v>109996.75762308616</v>
      </c>
      <c r="E53" s="7"/>
      <c r="F53" s="5">
        <f>(D53/100000)*'Annuity rates'!I51</f>
        <v>2779.915344546775</v>
      </c>
      <c r="G53" s="5">
        <f>(D53/100000)*'Annuity rates'!J51</f>
        <v>2389.9052018390485</v>
      </c>
      <c r="H53" s="5">
        <f>(D53/100000)*'Annuity rates'!K51</f>
        <v>2779.915344546775</v>
      </c>
      <c r="I53" s="5">
        <f>(D53/100000)*'Annuity rates'!L51</f>
        <v>2662.7374092937816</v>
      </c>
      <c r="K53" s="5">
        <f>IF(Income!B52&gt;Inputs!B$23,(Income!B52-Inputs!B$23)*(Inputs!B$21+Inputs!B$22),0)</f>
        <v>3019.6818742105115</v>
      </c>
      <c r="L53" s="5">
        <f>L52*(1+'Investment returns'!B65)+K53</f>
        <v>18104.498970636181</v>
      </c>
      <c r="N53" s="1">
        <f>IF(Inputs!B$14="Yes",Income!B52*0.02,0)</f>
        <v>0</v>
      </c>
      <c r="O53" s="5">
        <f>O52*(1+'Investment returns'!B65)+N53</f>
        <v>0</v>
      </c>
      <c r="Q53" s="5">
        <f t="shared" si="0"/>
        <v>18104.498970636181</v>
      </c>
      <c r="S53" s="5">
        <f>(Q53/100000)*'Annuity rates'!I51</f>
        <v>457.54961856475438</v>
      </c>
      <c r="T53" s="5">
        <f>(Q53/100000)*'Annuity rates'!J51</f>
        <v>393.3573789045214</v>
      </c>
      <c r="U53" s="5">
        <f>(Q53/100000)*'Annuity rates'!K51</f>
        <v>457.54961856475438</v>
      </c>
      <c r="V53" s="5">
        <f>(Q53/100000)*'Annuity rates'!L51</f>
        <v>438.26316090898945</v>
      </c>
    </row>
    <row r="54" spans="1:22">
      <c r="A54" s="6">
        <f t="shared" si="1"/>
        <v>2066</v>
      </c>
      <c r="B54" s="1">
        <f>Income!B53</f>
        <v>76481.700558473603</v>
      </c>
      <c r="C54" s="1">
        <f>IF(Income!B53&gt;Inputs!B$29,(Income!B53-Inputs!B$29)*(Inputs!B$27+Inputs!B$28),0)</f>
        <v>5577.8040670168321</v>
      </c>
      <c r="D54" s="1">
        <f>D53*(1+'Investment returns'!B66)+C54+N54*0.5</f>
        <v>115684.55844772606</v>
      </c>
      <c r="E54" s="7"/>
      <c r="F54" s="5">
        <f>(D54/100000)*'Annuity rates'!I52</f>
        <v>2909.1158640282197</v>
      </c>
      <c r="G54" s="5">
        <f>(D54/100000)*'Annuity rates'!J52</f>
        <v>2500.9794452309293</v>
      </c>
      <c r="H54" s="5">
        <f>(D54/100000)*'Annuity rates'!K52</f>
        <v>2909.1158640282197</v>
      </c>
      <c r="I54" s="5">
        <f>(D54/100000)*'Annuity rates'!L52</f>
        <v>2786.4919175734294</v>
      </c>
      <c r="K54" s="5">
        <f>IF(Income!B53&gt;Inputs!B$23,(Income!B53-Inputs!B$23)*(Inputs!B$21+Inputs!B$22),0)</f>
        <v>3319.6101116947207</v>
      </c>
      <c r="L54" s="5">
        <f>L53*(1+'Investment returns'!B66)+K54</f>
        <v>21442.213581301537</v>
      </c>
      <c r="N54" s="1">
        <f>IF(Inputs!B$14="Yes",Income!B53*0.02,0)</f>
        <v>0</v>
      </c>
      <c r="O54" s="5">
        <f>O53*(1+'Investment returns'!B66)+N54</f>
        <v>0</v>
      </c>
      <c r="Q54" s="5">
        <f t="shared" si="0"/>
        <v>21442.213581301537</v>
      </c>
      <c r="S54" s="5">
        <f>(Q54/100000)*'Annuity rates'!I52</f>
        <v>539.20665407935246</v>
      </c>
      <c r="T54" s="5">
        <f>(Q54/100000)*'Annuity rates'!J52</f>
        <v>463.55828423997173</v>
      </c>
      <c r="U54" s="5">
        <f>(Q54/100000)*'Annuity rates'!K52</f>
        <v>539.20665407935246</v>
      </c>
      <c r="V54" s="5">
        <f>(Q54/100000)*'Annuity rates'!L52</f>
        <v>516.47822009173592</v>
      </c>
    </row>
    <row r="55" spans="1:22">
      <c r="A55" s="6">
        <f t="shared" si="1"/>
        <v>2067</v>
      </c>
      <c r="B55" s="1">
        <f>Income!B54</f>
        <v>78011.334569643077</v>
      </c>
      <c r="C55" s="1">
        <f>IF(Income!B54&gt;Inputs!B$29,(Income!B54-Inputs!B$29)*(Inputs!B$27+Inputs!B$28),0)</f>
        <v>5761.3601483571692</v>
      </c>
      <c r="D55" s="1">
        <f>D54*(1+'Investment returns'!B67)+C55+N55*0.5</f>
        <v>121561.60315453094</v>
      </c>
      <c r="E55" s="7"/>
      <c r="F55" s="5">
        <f>(D55/100000)*'Annuity rates'!I53</f>
        <v>3041.6972317581376</v>
      </c>
      <c r="G55" s="5">
        <f>(D55/100000)*'Annuity rates'!J53</f>
        <v>2614.9602184318937</v>
      </c>
      <c r="H55" s="5">
        <f>(D55/100000)*'Annuity rates'!K53</f>
        <v>3041.6972317581376</v>
      </c>
      <c r="I55" s="5">
        <f>(D55/100000)*'Annuity rates'!L53</f>
        <v>2913.4847658708813</v>
      </c>
      <c r="K55" s="5">
        <f>IF(Income!B54&gt;Inputs!B$23,(Income!B54-Inputs!B$23)*(Inputs!B$21+Inputs!B$22),0)</f>
        <v>3625.5369139286154</v>
      </c>
      <c r="L55" s="5">
        <f>L54*(1+'Investment returns'!B67)+K55</f>
        <v>25089.192708811453</v>
      </c>
      <c r="N55" s="1">
        <f>IF(Inputs!B$14="Yes",Income!B54*0.02,0)</f>
        <v>0</v>
      </c>
      <c r="O55" s="5">
        <f>O54*(1+'Investment returns'!B67)+N55</f>
        <v>0</v>
      </c>
      <c r="Q55" s="5">
        <f t="shared" si="0"/>
        <v>25089.192708811453</v>
      </c>
      <c r="S55" s="5">
        <f>(Q55/100000)*'Annuity rates'!I53</f>
        <v>627.77822954857788</v>
      </c>
      <c r="T55" s="5">
        <f>(Q55/100000)*'Annuity rates'!J53</f>
        <v>539.7036493728416</v>
      </c>
      <c r="U55" s="5">
        <f>(Q55/100000)*'Annuity rates'!K53</f>
        <v>627.77822954857788</v>
      </c>
      <c r="V55" s="5">
        <f>(Q55/100000)*'Annuity rates'!L53</f>
        <v>601.31636016842413</v>
      </c>
    </row>
    <row r="56" spans="1:22">
      <c r="A56" s="6">
        <f t="shared" si="1"/>
        <v>2068</v>
      </c>
      <c r="B56" s="1">
        <f>Income!B55</f>
        <v>79571.561261035939</v>
      </c>
      <c r="C56" s="1">
        <f>IF(Income!B55&gt;Inputs!B$29,(Income!B55-Inputs!B$29)*(Inputs!B$27+Inputs!B$28),0)</f>
        <v>5948.5873513243123</v>
      </c>
      <c r="D56" s="1">
        <f>D55*(1+'Investment returns'!B68)+C56+N56*0.5</f>
        <v>127631.75210900977</v>
      </c>
      <c r="E56" s="7"/>
      <c r="F56" s="5">
        <f>(D56/100000)*'Annuity rates'!I54</f>
        <v>3177.6951640803359</v>
      </c>
      <c r="G56" s="5">
        <f>(D56/100000)*'Annuity rates'!J54</f>
        <v>2731.8782269366338</v>
      </c>
      <c r="H56" s="5">
        <f>(D56/100000)*'Annuity rates'!K54</f>
        <v>3177.6951640803359</v>
      </c>
      <c r="I56" s="5">
        <f>(D56/100000)*'Annuity rates'!L54</f>
        <v>3043.7501650281929</v>
      </c>
      <c r="K56" s="5">
        <f>IF(Income!B55&gt;Inputs!B$23,(Income!B55-Inputs!B$23)*(Inputs!B$21+Inputs!B$22),0)</f>
        <v>3937.5822522071876</v>
      </c>
      <c r="L56" s="5">
        <f>L55*(1+'Investment returns'!B68)+K56</f>
        <v>29051.864153727449</v>
      </c>
      <c r="N56" s="1">
        <f>IF(Inputs!B$14="Yes",Income!B55*0.02,0)</f>
        <v>0</v>
      </c>
      <c r="O56" s="5">
        <f>O55*(1+'Investment returns'!B68)+N56</f>
        <v>0</v>
      </c>
      <c r="Q56" s="5">
        <f t="shared" si="0"/>
        <v>29051.864153727449</v>
      </c>
      <c r="S56" s="5">
        <f>(Q56/100000)*'Annuity rates'!I54</f>
        <v>723.31505838743135</v>
      </c>
      <c r="T56" s="5">
        <f>(Q56/100000)*'Annuity rates'!J54</f>
        <v>621.83707284455807</v>
      </c>
      <c r="U56" s="5">
        <f>(Q56/100000)*'Annuity rates'!K54</f>
        <v>723.31505838743135</v>
      </c>
      <c r="V56" s="5">
        <f>(Q56/100000)*'Annuity rates'!L54</f>
        <v>692.82615690145622</v>
      </c>
    </row>
    <row r="57" spans="1:22">
      <c r="A57" s="6">
        <f t="shared" si="1"/>
        <v>2069</v>
      </c>
      <c r="B57" s="1">
        <f>Income!B56</f>
        <v>81162.992486256655</v>
      </c>
      <c r="C57" s="1">
        <f>IF(Income!B56&gt;Inputs!B$29,(Income!B56-Inputs!B$29)*(Inputs!B$27+Inputs!B$28),0)</f>
        <v>6139.5590983507982</v>
      </c>
      <c r="D57" s="1">
        <f>D56*(1+'Investment returns'!B69)+C57+N57*0.5</f>
        <v>133898.94295946957</v>
      </c>
      <c r="E57" s="7"/>
      <c r="F57" s="5">
        <f>(D57/100000)*'Annuity rates'!I55</f>
        <v>3317.1460136935852</v>
      </c>
      <c r="G57" s="5">
        <f>(D57/100000)*'Annuity rates'!J55</f>
        <v>2851.764723316945</v>
      </c>
      <c r="H57" s="5">
        <f>(D57/100000)*'Annuity rates'!K55</f>
        <v>3317.1460136935852</v>
      </c>
      <c r="I57" s="5">
        <f>(D57/100000)*'Annuity rates'!L55</f>
        <v>3177.3229354189903</v>
      </c>
      <c r="K57" s="5">
        <f>IF(Income!B56&gt;Inputs!B$23,(Income!B56-Inputs!B$23)*(Inputs!B$21+Inputs!B$22),0)</f>
        <v>4255.8684972513311</v>
      </c>
      <c r="L57" s="5">
        <f>L56*(1+'Investment returns'!B69)+K57</f>
        <v>33336.784515132502</v>
      </c>
      <c r="N57" s="1">
        <f>IF(Inputs!B$14="Yes",Income!B56*0.02,0)</f>
        <v>0</v>
      </c>
      <c r="O57" s="5">
        <f>O56*(1+'Investment returns'!B69)+N57</f>
        <v>0</v>
      </c>
      <c r="Q57" s="5">
        <f t="shared" si="0"/>
        <v>33336.784515132502</v>
      </c>
      <c r="S57" s="5">
        <f>(Q57/100000)*'Annuity rates'!I55</f>
        <v>825.86896819048559</v>
      </c>
      <c r="T57" s="5">
        <f>(Q57/100000)*'Annuity rates'!J55</f>
        <v>710.00311106152787</v>
      </c>
      <c r="U57" s="5">
        <f>(Q57/100000)*'Annuity rates'!K55</f>
        <v>825.86896819048559</v>
      </c>
      <c r="V57" s="5">
        <f>(Q57/100000)*'Annuity rates'!L55</f>
        <v>791.0572532683326</v>
      </c>
    </row>
    <row r="58" spans="1:22">
      <c r="A58" s="6">
        <f t="shared" si="1"/>
        <v>2070</v>
      </c>
      <c r="B58" s="1">
        <f>Income!B57</f>
        <v>82786.252335981786</v>
      </c>
      <c r="C58" s="1">
        <f>IF(Income!B57&gt;Inputs!B$29,(Income!B57-Inputs!B$29)*(Inputs!B$27+Inputs!B$28),0)</f>
        <v>6334.3502803178144</v>
      </c>
      <c r="D58" s="1">
        <f>D57*(1+'Investment returns'!B70)+C58+N58*0.5</f>
        <v>140367.19218274686</v>
      </c>
      <c r="E58" s="7"/>
      <c r="F58" s="5">
        <f>(D58/100000)*'Annuity rates'!I56</f>
        <v>3460.0867785165565</v>
      </c>
      <c r="G58" s="5">
        <f>(D58/100000)*'Annuity rates'!J56</f>
        <v>2974.6515148429535</v>
      </c>
      <c r="H58" s="5">
        <f>(D58/100000)*'Annuity rates'!K56</f>
        <v>3460.0867785165565</v>
      </c>
      <c r="I58" s="5">
        <f>(D58/100000)*'Annuity rates'!L56</f>
        <v>3314.2385154397348</v>
      </c>
      <c r="K58" s="5">
        <f>IF(Income!B57&gt;Inputs!B$23,(Income!B57-Inputs!B$23)*(Inputs!B$21+Inputs!B$22),0)</f>
        <v>4580.5204671963575</v>
      </c>
      <c r="L58" s="5">
        <f>L57*(1+'Investment returns'!B70)+K58</f>
        <v>37950.64176684399</v>
      </c>
      <c r="N58" s="1">
        <f>IF(Inputs!B$14="Yes",Income!B57*0.02,0)</f>
        <v>0</v>
      </c>
      <c r="O58" s="5">
        <f>O57*(1+'Investment returns'!B70)+N58</f>
        <v>0</v>
      </c>
      <c r="Q58" s="5">
        <f t="shared" si="0"/>
        <v>37950.64176684399</v>
      </c>
      <c r="S58" s="5">
        <f>(Q58/100000)*'Annuity rates'!I56</f>
        <v>935.49291520141469</v>
      </c>
      <c r="T58" s="5">
        <f>(Q58/100000)*'Annuity rates'!J56</f>
        <v>804.24729073465448</v>
      </c>
      <c r="U58" s="5">
        <f>(Q58/100000)*'Annuity rates'!K56</f>
        <v>935.49291520141469</v>
      </c>
      <c r="V58" s="5">
        <f>(Q58/100000)*'Annuity rates'!L56</f>
        <v>896.06037332126721</v>
      </c>
    </row>
    <row r="66" spans="8:8">
      <c r="H66" s="5"/>
    </row>
    <row r="67" spans="8:8">
      <c r="H67"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Inputs</vt:lpstr>
      <vt:lpstr>2020 scenarios</vt:lpstr>
      <vt:lpstr>Notes</vt:lpstr>
      <vt:lpstr>Difference in benefits</vt:lpstr>
      <vt:lpstr>Difference in benefits TPS</vt:lpstr>
      <vt:lpstr>Annuity rates</vt:lpstr>
      <vt:lpstr>DB pension</vt:lpstr>
      <vt:lpstr>Income</vt:lpstr>
      <vt:lpstr>DC pension</vt:lpstr>
      <vt:lpstr>Investment returns</vt:lpstr>
      <vt:lpstr>Investment returns (2)</vt:lpstr>
      <vt:lpstr>State pension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NM Davies</dc:creator>
  <cp:lastModifiedBy>NM Davies</cp:lastModifiedBy>
  <dcterms:created xsi:type="dcterms:W3CDTF">2018-01-25T11:21:09Z</dcterms:created>
  <dcterms:modified xsi:type="dcterms:W3CDTF">2021-04-18T20:44:24Z</dcterms:modified>
</cp:coreProperties>
</file>