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gh13047/repo/uss-pensions/misc/"/>
    </mc:Choice>
  </mc:AlternateContent>
  <bookViews>
    <workbookView xWindow="80" yWindow="460" windowWidth="28720" windowHeight="17540" xr2:uid="{00000000-000D-0000-FFFF-FFFF00000000}"/>
  </bookViews>
  <sheets>
    <sheet name="Inputs" sheetId="7" r:id="rId1"/>
    <sheet name="Notes" sheetId="10" r:id="rId2"/>
    <sheet name="Difference in benefits" sheetId="5" r:id="rId3"/>
    <sheet name="Difference in benefits TPS" sheetId="11" r:id="rId4"/>
    <sheet name="Annuity rates" sheetId="1" r:id="rId5"/>
    <sheet name="DB pension" sheetId="4" r:id="rId6"/>
    <sheet name="Income" sheetId="6" r:id="rId7"/>
    <sheet name="DC pension" sheetId="3" r:id="rId8"/>
    <sheet name="Investment returns (2)" sheetId="9" r:id="rId9"/>
    <sheet name="State pension age" sheetId="8" r:id="rId10"/>
    <sheet name="Investment returns" sheetId="2" r:id="rId1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3" i="2" l="1"/>
  <c r="B21" i="2"/>
  <c r="G10" i="8"/>
  <c r="C76" i="11" l="1"/>
  <c r="G5" i="11"/>
  <c r="G6" i="11" s="1"/>
  <c r="G7" i="11" s="1"/>
  <c r="G8" i="11" s="1"/>
  <c r="G9" i="11" s="1"/>
  <c r="G10" i="11" s="1"/>
  <c r="G11" i="11" s="1"/>
  <c r="G12" i="11" s="1"/>
  <c r="G13" i="11" s="1"/>
  <c r="G14" i="11" s="1"/>
  <c r="G15" i="11" s="1"/>
  <c r="G16" i="11" s="1"/>
  <c r="G17" i="11" s="1"/>
  <c r="G18" i="11" s="1"/>
  <c r="G19" i="11" s="1"/>
  <c r="G20" i="11" s="1"/>
  <c r="G21" i="11" s="1"/>
  <c r="G22" i="11" s="1"/>
  <c r="G23" i="11" s="1"/>
  <c r="G24" i="11" s="1"/>
  <c r="G25" i="11" s="1"/>
  <c r="G26" i="11" s="1"/>
  <c r="G27" i="11" s="1"/>
  <c r="G28" i="11" s="1"/>
  <c r="G29" i="11" s="1"/>
  <c r="G30" i="11" s="1"/>
  <c r="G31" i="11" s="1"/>
  <c r="G32" i="11" s="1"/>
  <c r="G33" i="11" s="1"/>
  <c r="G34" i="11" s="1"/>
  <c r="G35" i="11" s="1"/>
  <c r="G36" i="11" s="1"/>
  <c r="G37" i="11" s="1"/>
  <c r="G38" i="11" s="1"/>
  <c r="G39" i="11" s="1"/>
  <c r="G40" i="11" s="1"/>
  <c r="G41" i="11" s="1"/>
  <c r="G42" i="11" s="1"/>
  <c r="G43" i="11" s="1"/>
  <c r="G44" i="11" s="1"/>
  <c r="G45" i="11" s="1"/>
  <c r="G46" i="11" s="1"/>
  <c r="G47" i="11" s="1"/>
  <c r="G48" i="11" s="1"/>
  <c r="G49" i="11" s="1"/>
  <c r="G50" i="11" s="1"/>
  <c r="G51" i="11" s="1"/>
  <c r="G52" i="11" s="1"/>
  <c r="A5" i="1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R9" i="9" l="1"/>
  <c r="B66" i="2"/>
  <c r="D21" i="2"/>
  <c r="C21" i="2"/>
  <c r="U23" i="2"/>
  <c r="O23" i="2"/>
  <c r="M19" i="2"/>
  <c r="N19" i="2"/>
  <c r="O19" i="2"/>
  <c r="M23" i="2"/>
  <c r="N23" i="2"/>
  <c r="M24" i="2"/>
  <c r="N24" i="2"/>
  <c r="O24" i="2"/>
  <c r="M25" i="2"/>
  <c r="N25" i="2"/>
  <c r="O25" i="2"/>
  <c r="M26" i="2"/>
  <c r="N26" i="2"/>
  <c r="O26" i="2"/>
  <c r="M27" i="2"/>
  <c r="N27" i="2"/>
  <c r="O27" i="2"/>
  <c r="M28" i="2"/>
  <c r="N28" i="2"/>
  <c r="O28" i="2"/>
  <c r="M29" i="2"/>
  <c r="N29" i="2"/>
  <c r="O29" i="2"/>
  <c r="M30" i="2"/>
  <c r="N30" i="2"/>
  <c r="O30" i="2"/>
  <c r="M31" i="2"/>
  <c r="N31" i="2"/>
  <c r="O31" i="2"/>
  <c r="M32" i="2"/>
  <c r="N32" i="2"/>
  <c r="O32" i="2"/>
  <c r="M33" i="2"/>
  <c r="N33" i="2"/>
  <c r="O33" i="2"/>
  <c r="M34" i="2"/>
  <c r="N34" i="2"/>
  <c r="O34" i="2"/>
  <c r="M35" i="2"/>
  <c r="N35" i="2"/>
  <c r="O35" i="2"/>
  <c r="M36" i="2"/>
  <c r="N36" i="2"/>
  <c r="O36" i="2"/>
  <c r="M37" i="2"/>
  <c r="N37" i="2"/>
  <c r="O37" i="2"/>
  <c r="M38" i="2"/>
  <c r="N38" i="2"/>
  <c r="O38" i="2"/>
  <c r="M39" i="2"/>
  <c r="N39" i="2"/>
  <c r="O39" i="2"/>
  <c r="M40" i="2"/>
  <c r="N40" i="2"/>
  <c r="O40" i="2"/>
  <c r="M41" i="2"/>
  <c r="N41" i="2"/>
  <c r="O41" i="2"/>
  <c r="M42" i="2"/>
  <c r="N42" i="2"/>
  <c r="O42" i="2"/>
  <c r="M43" i="2"/>
  <c r="N43" i="2"/>
  <c r="O43" i="2"/>
  <c r="M44" i="2"/>
  <c r="N44" i="2"/>
  <c r="O44" i="2"/>
  <c r="M45" i="2"/>
  <c r="N45" i="2"/>
  <c r="O45" i="2"/>
  <c r="M46" i="2"/>
  <c r="N46" i="2"/>
  <c r="O46" i="2"/>
  <c r="M47" i="2"/>
  <c r="N47" i="2"/>
  <c r="O47" i="2"/>
  <c r="M48" i="2"/>
  <c r="N48" i="2"/>
  <c r="O48" i="2"/>
  <c r="M49" i="2"/>
  <c r="N49" i="2"/>
  <c r="O49" i="2"/>
  <c r="M50" i="2"/>
  <c r="N50" i="2"/>
  <c r="O50" i="2"/>
  <c r="M51" i="2"/>
  <c r="N51" i="2"/>
  <c r="O51" i="2"/>
  <c r="M52" i="2"/>
  <c r="N52" i="2"/>
  <c r="O52" i="2"/>
  <c r="M53" i="2"/>
  <c r="N53" i="2"/>
  <c r="O53" i="2"/>
  <c r="M54" i="2"/>
  <c r="N54" i="2"/>
  <c r="O54" i="2"/>
  <c r="M55" i="2"/>
  <c r="N55" i="2"/>
  <c r="O55" i="2"/>
  <c r="M56" i="2"/>
  <c r="N56" i="2"/>
  <c r="O56" i="2"/>
  <c r="M57" i="2"/>
  <c r="N57" i="2"/>
  <c r="O57" i="2"/>
  <c r="M58" i="2"/>
  <c r="N58" i="2"/>
  <c r="O58" i="2"/>
  <c r="M59" i="2"/>
  <c r="N59" i="2"/>
  <c r="O59" i="2"/>
  <c r="M60" i="2"/>
  <c r="N60" i="2"/>
  <c r="O60" i="2"/>
  <c r="M61" i="2"/>
  <c r="N61" i="2"/>
  <c r="O61" i="2"/>
  <c r="M62" i="2"/>
  <c r="N62" i="2"/>
  <c r="O62" i="2"/>
  <c r="M63" i="2"/>
  <c r="N63" i="2"/>
  <c r="O63" i="2"/>
  <c r="M64" i="2"/>
  <c r="N64" i="2"/>
  <c r="O64" i="2"/>
  <c r="M65" i="2"/>
  <c r="N65" i="2"/>
  <c r="O65" i="2"/>
  <c r="M66" i="2"/>
  <c r="N66" i="2"/>
  <c r="O66" i="2"/>
  <c r="M67" i="2"/>
  <c r="N67" i="2"/>
  <c r="O67" i="2"/>
  <c r="M68" i="2"/>
  <c r="N68" i="2"/>
  <c r="O68" i="2"/>
  <c r="M69" i="2"/>
  <c r="N69" i="2"/>
  <c r="O69" i="2"/>
  <c r="M70" i="2"/>
  <c r="N70" i="2"/>
  <c r="O70" i="2"/>
  <c r="M71" i="2"/>
  <c r="N71" i="2"/>
  <c r="O71"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19" i="2"/>
  <c r="G23" i="2"/>
  <c r="H23" i="2"/>
  <c r="J23" i="2"/>
  <c r="G24" i="2"/>
  <c r="H24" i="2"/>
  <c r="J24" i="2"/>
  <c r="G25" i="2"/>
  <c r="H25" i="2"/>
  <c r="J25" i="2"/>
  <c r="G26" i="2"/>
  <c r="H26" i="2"/>
  <c r="J26" i="2"/>
  <c r="G27" i="2"/>
  <c r="H27" i="2"/>
  <c r="J27" i="2"/>
  <c r="G28" i="2"/>
  <c r="H28" i="2"/>
  <c r="J28" i="2"/>
  <c r="G29" i="2"/>
  <c r="H29" i="2"/>
  <c r="J29" i="2"/>
  <c r="G30" i="2"/>
  <c r="H30" i="2"/>
  <c r="J30" i="2"/>
  <c r="G31" i="2"/>
  <c r="H31" i="2"/>
  <c r="J31" i="2"/>
  <c r="G32" i="2"/>
  <c r="H32" i="2"/>
  <c r="J32" i="2"/>
  <c r="G33" i="2"/>
  <c r="H33" i="2"/>
  <c r="I33" i="2"/>
  <c r="J33" i="2"/>
  <c r="G34" i="2"/>
  <c r="H34" i="2"/>
  <c r="I34" i="2"/>
  <c r="J34" i="2"/>
  <c r="G35" i="2"/>
  <c r="H35" i="2"/>
  <c r="I35" i="2"/>
  <c r="J35" i="2"/>
  <c r="G36" i="2"/>
  <c r="H36" i="2"/>
  <c r="I36" i="2"/>
  <c r="J36" i="2"/>
  <c r="G37" i="2"/>
  <c r="H37" i="2"/>
  <c r="I37" i="2"/>
  <c r="J37" i="2"/>
  <c r="G38" i="2"/>
  <c r="H38" i="2"/>
  <c r="I38" i="2"/>
  <c r="J38" i="2"/>
  <c r="G39" i="2"/>
  <c r="H39" i="2"/>
  <c r="I39" i="2"/>
  <c r="J39" i="2"/>
  <c r="G40" i="2"/>
  <c r="H40" i="2"/>
  <c r="I40" i="2"/>
  <c r="J40" i="2"/>
  <c r="G41" i="2"/>
  <c r="H41" i="2"/>
  <c r="I41" i="2"/>
  <c r="J41" i="2"/>
  <c r="G42" i="2"/>
  <c r="H42" i="2"/>
  <c r="I42" i="2"/>
  <c r="J42" i="2"/>
  <c r="G43" i="2"/>
  <c r="H43" i="2"/>
  <c r="I43" i="2"/>
  <c r="J43" i="2"/>
  <c r="G44" i="2"/>
  <c r="H44" i="2"/>
  <c r="I44" i="2"/>
  <c r="J44" i="2"/>
  <c r="G45" i="2"/>
  <c r="H45" i="2"/>
  <c r="I45" i="2"/>
  <c r="J45" i="2"/>
  <c r="G46" i="2"/>
  <c r="H46" i="2"/>
  <c r="I46" i="2"/>
  <c r="J46" i="2"/>
  <c r="G47" i="2"/>
  <c r="H47" i="2"/>
  <c r="I47" i="2"/>
  <c r="J47" i="2"/>
  <c r="G48" i="2"/>
  <c r="H48" i="2"/>
  <c r="I48" i="2"/>
  <c r="J48" i="2"/>
  <c r="G49" i="2"/>
  <c r="H49" i="2"/>
  <c r="I49" i="2"/>
  <c r="J49" i="2"/>
  <c r="G50" i="2"/>
  <c r="H50" i="2"/>
  <c r="I50" i="2"/>
  <c r="J50" i="2"/>
  <c r="G51" i="2"/>
  <c r="H51" i="2"/>
  <c r="I51" i="2"/>
  <c r="J51" i="2"/>
  <c r="G52" i="2"/>
  <c r="H52" i="2"/>
  <c r="I52" i="2"/>
  <c r="J52" i="2"/>
  <c r="G53" i="2"/>
  <c r="H53" i="2"/>
  <c r="I53" i="2"/>
  <c r="J53" i="2"/>
  <c r="G54" i="2"/>
  <c r="H54" i="2"/>
  <c r="I54" i="2"/>
  <c r="J54" i="2"/>
  <c r="G55" i="2"/>
  <c r="H55" i="2"/>
  <c r="I55" i="2"/>
  <c r="J55" i="2"/>
  <c r="G56" i="2"/>
  <c r="H56" i="2"/>
  <c r="I56" i="2"/>
  <c r="J56" i="2"/>
  <c r="G57" i="2"/>
  <c r="H57" i="2"/>
  <c r="I57" i="2"/>
  <c r="J57" i="2"/>
  <c r="G58" i="2"/>
  <c r="H58" i="2"/>
  <c r="I58" i="2"/>
  <c r="J58" i="2"/>
  <c r="G59" i="2"/>
  <c r="H59" i="2"/>
  <c r="I59" i="2"/>
  <c r="J59" i="2"/>
  <c r="G60" i="2"/>
  <c r="H60" i="2"/>
  <c r="I60" i="2"/>
  <c r="J60" i="2"/>
  <c r="G61" i="2"/>
  <c r="H61" i="2"/>
  <c r="I61" i="2"/>
  <c r="J61" i="2"/>
  <c r="G62" i="2"/>
  <c r="H62" i="2"/>
  <c r="I62" i="2"/>
  <c r="J62" i="2"/>
  <c r="G63" i="2"/>
  <c r="H63" i="2"/>
  <c r="I63" i="2"/>
  <c r="J63" i="2"/>
  <c r="G64" i="2"/>
  <c r="H64" i="2"/>
  <c r="I64" i="2"/>
  <c r="J64" i="2"/>
  <c r="G65" i="2"/>
  <c r="H65" i="2"/>
  <c r="I65" i="2"/>
  <c r="J65" i="2"/>
  <c r="G66" i="2"/>
  <c r="H66" i="2"/>
  <c r="I66" i="2"/>
  <c r="J66" i="2"/>
  <c r="G67" i="2"/>
  <c r="H67" i="2"/>
  <c r="I67" i="2"/>
  <c r="J67" i="2"/>
  <c r="G68" i="2"/>
  <c r="H68" i="2"/>
  <c r="I68" i="2"/>
  <c r="J68" i="2"/>
  <c r="G69" i="2"/>
  <c r="H69" i="2"/>
  <c r="I69" i="2"/>
  <c r="J69" i="2"/>
  <c r="G70" i="2"/>
  <c r="H70" i="2"/>
  <c r="I70" i="2"/>
  <c r="J70" i="2"/>
  <c r="G71" i="2"/>
  <c r="H71" i="2"/>
  <c r="I71" i="2"/>
  <c r="J71" i="2"/>
  <c r="H19" i="2"/>
  <c r="I19" i="2"/>
  <c r="J19" i="2"/>
  <c r="G19" i="2"/>
  <c r="AC17" i="9"/>
  <c r="AC18" i="9"/>
  <c r="AC19" i="9"/>
  <c r="AC20" i="9"/>
  <c r="AC21" i="9"/>
  <c r="AC22" i="9"/>
  <c r="AC23" i="9"/>
  <c r="AC24" i="9"/>
  <c r="AC25" i="9"/>
  <c r="AC26" i="9"/>
  <c r="AC7" i="9"/>
  <c r="AC8" i="9"/>
  <c r="AC9" i="9"/>
  <c r="AC10" i="9"/>
  <c r="AC11" i="9"/>
  <c r="AC12" i="9"/>
  <c r="AC13" i="9"/>
  <c r="AC14" i="9"/>
  <c r="AC15" i="9"/>
  <c r="AC16" i="9"/>
  <c r="Y8" i="9"/>
  <c r="Y9" i="9"/>
  <c r="Y10" i="9"/>
  <c r="Y11" i="9"/>
  <c r="Y12" i="9"/>
  <c r="Y13" i="9"/>
  <c r="Y14" i="9"/>
  <c r="Y15" i="9"/>
  <c r="Y16" i="9"/>
  <c r="Y17" i="9"/>
  <c r="Y18" i="9"/>
  <c r="Y19" i="9"/>
  <c r="Y20" i="9"/>
  <c r="Y21" i="9"/>
  <c r="Y22" i="9"/>
  <c r="Y23" i="9"/>
  <c r="Y24" i="9"/>
  <c r="Y25" i="9"/>
  <c r="Y26" i="9"/>
  <c r="Y27" i="9"/>
  <c r="Y28" i="9"/>
  <c r="Y29" i="9"/>
  <c r="Y30" i="9"/>
  <c r="Y31" i="9"/>
  <c r="Y32" i="9"/>
  <c r="Y33" i="9"/>
  <c r="Y34" i="9"/>
  <c r="Y35" i="9"/>
  <c r="Y36" i="9"/>
  <c r="Y37" i="9"/>
  <c r="Y38" i="9"/>
  <c r="Y39" i="9"/>
  <c r="Y40" i="9"/>
  <c r="Y41" i="9"/>
  <c r="Y42" i="9"/>
  <c r="Y43" i="9"/>
  <c r="Y44" i="9"/>
  <c r="Y45" i="9"/>
  <c r="Y46" i="9"/>
  <c r="Y47" i="9"/>
  <c r="Y48" i="9"/>
  <c r="Y49" i="9"/>
  <c r="Y50" i="9"/>
  <c r="Y51" i="9"/>
  <c r="Y52" i="9"/>
  <c r="Y53" i="9"/>
  <c r="Y54" i="9"/>
  <c r="Y55" i="9"/>
  <c r="D12" i="9"/>
  <c r="S7" i="9"/>
  <c r="Z17" i="9"/>
  <c r="Z18" i="9"/>
  <c r="Z19" i="9"/>
  <c r="Z20" i="9"/>
  <c r="Z21" i="9"/>
  <c r="Z22" i="9"/>
  <c r="Z23" i="9"/>
  <c r="Z24" i="9"/>
  <c r="Z25" i="9"/>
  <c r="Z26" i="9"/>
  <c r="R10" i="9"/>
  <c r="S10" i="9"/>
  <c r="U10" i="9"/>
  <c r="AC37" i="9"/>
  <c r="AC38" i="9"/>
  <c r="AC39" i="9"/>
  <c r="AC40" i="9"/>
  <c r="AC41" i="9"/>
  <c r="AC42" i="9"/>
  <c r="AC43" i="9"/>
  <c r="AC44" i="9"/>
  <c r="AC45" i="9"/>
  <c r="AC46" i="9"/>
  <c r="AC47" i="9"/>
  <c r="AC48" i="9"/>
  <c r="AC49" i="9"/>
  <c r="AC50" i="9"/>
  <c r="AC51" i="9"/>
  <c r="AC52" i="9"/>
  <c r="AC53" i="9"/>
  <c r="AC54" i="9"/>
  <c r="AC55" i="9"/>
  <c r="N10" i="9"/>
  <c r="M10" i="9"/>
  <c r="N9" i="9"/>
  <c r="M9" i="9"/>
  <c r="N8" i="9"/>
  <c r="M8" i="9"/>
  <c r="L8" i="9"/>
  <c r="N6" i="9"/>
  <c r="U9" i="9"/>
  <c r="AB37" i="9"/>
  <c r="AB38" i="9"/>
  <c r="AB39" i="9"/>
  <c r="AB40" i="9"/>
  <c r="AB41" i="9"/>
  <c r="AB42" i="9"/>
  <c r="AB43" i="9"/>
  <c r="AB44" i="9"/>
  <c r="AB45" i="9"/>
  <c r="AB46" i="9"/>
  <c r="AB47" i="9"/>
  <c r="AB48" i="9"/>
  <c r="AB49" i="9"/>
  <c r="AB50" i="9"/>
  <c r="AB51" i="9"/>
  <c r="AB52" i="9"/>
  <c r="AB53" i="9"/>
  <c r="AB54" i="9"/>
  <c r="AB55" i="9"/>
  <c r="M6" i="9"/>
  <c r="S8" i="9"/>
  <c r="AA17" i="9"/>
  <c r="AA18" i="9"/>
  <c r="AA19" i="9"/>
  <c r="AA20" i="9"/>
  <c r="AA21" i="9"/>
  <c r="AA22" i="9"/>
  <c r="AA23" i="9"/>
  <c r="AA24" i="9"/>
  <c r="AA25" i="9"/>
  <c r="AA26" i="9"/>
  <c r="L6" i="9"/>
  <c r="D17" i="9"/>
  <c r="F17" i="9"/>
  <c r="D18" i="9"/>
  <c r="F18" i="9"/>
  <c r="D19" i="9"/>
  <c r="F19" i="9"/>
  <c r="D20" i="9"/>
  <c r="F20" i="9"/>
  <c r="D21" i="9"/>
  <c r="F21" i="9"/>
  <c r="C18" i="9"/>
  <c r="C19" i="9"/>
  <c r="C20" i="9"/>
  <c r="C21" i="9"/>
  <c r="C17" i="9"/>
  <c r="R21" i="9"/>
  <c r="AG7" i="9"/>
  <c r="AG8" i="9"/>
  <c r="AG9" i="9"/>
  <c r="AG10" i="9"/>
  <c r="AG11" i="9"/>
  <c r="AG12" i="9"/>
  <c r="AG13" i="9"/>
  <c r="AG14" i="9"/>
  <c r="AG15" i="9"/>
  <c r="AG16" i="9"/>
  <c r="B48" i="2"/>
  <c r="B46" i="2"/>
  <c r="B45" i="2"/>
  <c r="B63" i="2"/>
  <c r="B31" i="2"/>
  <c r="B27" i="2"/>
  <c r="B67" i="2"/>
  <c r="B51" i="2"/>
  <c r="R7" i="9"/>
  <c r="Z7" i="9"/>
  <c r="Z8" i="9"/>
  <c r="Z9" i="9"/>
  <c r="Z10" i="9"/>
  <c r="Z11" i="9"/>
  <c r="Z12" i="9"/>
  <c r="Z13" i="9"/>
  <c r="Z14" i="9"/>
  <c r="Z15" i="9"/>
  <c r="Z16" i="9"/>
  <c r="U21" i="9"/>
  <c r="AG37" i="9"/>
  <c r="AG38" i="9"/>
  <c r="AG39" i="9"/>
  <c r="AG40" i="9"/>
  <c r="AG41" i="9"/>
  <c r="AG42" i="9"/>
  <c r="AG43" i="9"/>
  <c r="AG44" i="9"/>
  <c r="AG45" i="9"/>
  <c r="AG46" i="9"/>
  <c r="AG47" i="9"/>
  <c r="AG48" i="9"/>
  <c r="AG49" i="9"/>
  <c r="AG50" i="9"/>
  <c r="AG51" i="9"/>
  <c r="AG52" i="9"/>
  <c r="AG53" i="9"/>
  <c r="AG54" i="9"/>
  <c r="AG55" i="9"/>
  <c r="R19" i="9"/>
  <c r="AE7" i="9"/>
  <c r="AE8" i="9"/>
  <c r="AE9" i="9"/>
  <c r="AE10" i="9"/>
  <c r="AE11" i="9"/>
  <c r="AE12" i="9"/>
  <c r="AE13" i="9"/>
  <c r="AE14" i="9"/>
  <c r="AE15" i="9"/>
  <c r="AE16" i="9"/>
  <c r="S21" i="9"/>
  <c r="AG17" i="9"/>
  <c r="AG18" i="9"/>
  <c r="AG19" i="9"/>
  <c r="AG20" i="9"/>
  <c r="AG21" i="9"/>
  <c r="AG22" i="9"/>
  <c r="AG23" i="9"/>
  <c r="AG24" i="9"/>
  <c r="AG25" i="9"/>
  <c r="AG26" i="9"/>
  <c r="AB7" i="9"/>
  <c r="R18" i="9"/>
  <c r="AD7" i="9"/>
  <c r="AD8" i="9"/>
  <c r="AD9" i="9"/>
  <c r="AD10" i="9"/>
  <c r="AD11" i="9"/>
  <c r="AD12" i="9"/>
  <c r="AD13" i="9"/>
  <c r="AD14" i="9"/>
  <c r="AD15" i="9"/>
  <c r="AD16" i="9"/>
  <c r="S18" i="9"/>
  <c r="AD17" i="9"/>
  <c r="AD18" i="9"/>
  <c r="AD19" i="9"/>
  <c r="AD20" i="9"/>
  <c r="AD21" i="9"/>
  <c r="AD22" i="9"/>
  <c r="AD23" i="9"/>
  <c r="AD24" i="9"/>
  <c r="AD25" i="9"/>
  <c r="AD26" i="9"/>
  <c r="U7" i="9"/>
  <c r="Z37" i="9"/>
  <c r="Z38" i="9"/>
  <c r="Z39" i="9"/>
  <c r="Z40" i="9"/>
  <c r="Z41" i="9"/>
  <c r="Z42" i="9"/>
  <c r="Z43" i="9"/>
  <c r="Z44" i="9"/>
  <c r="Z45" i="9"/>
  <c r="Z46" i="9"/>
  <c r="Z47" i="9"/>
  <c r="Z48" i="9"/>
  <c r="Z49" i="9"/>
  <c r="Z50" i="9"/>
  <c r="Z51" i="9"/>
  <c r="Z52" i="9"/>
  <c r="Z53" i="9"/>
  <c r="Z54" i="9"/>
  <c r="Z55" i="9"/>
  <c r="S20" i="9"/>
  <c r="AF17" i="9"/>
  <c r="AF18" i="9"/>
  <c r="AF19" i="9"/>
  <c r="AF20" i="9"/>
  <c r="AF21" i="9"/>
  <c r="AF22" i="9"/>
  <c r="AF23" i="9"/>
  <c r="AF24" i="9"/>
  <c r="AF25" i="9"/>
  <c r="AF26" i="9"/>
  <c r="S9" i="9"/>
  <c r="AB17" i="9"/>
  <c r="AB18" i="9"/>
  <c r="AB19" i="9"/>
  <c r="AB20" i="9"/>
  <c r="AB21" i="9"/>
  <c r="AB22" i="9"/>
  <c r="AB23" i="9"/>
  <c r="AB24" i="9"/>
  <c r="AB25" i="9"/>
  <c r="AB26" i="9"/>
  <c r="U19" i="9"/>
  <c r="AE37" i="9"/>
  <c r="AE38" i="9"/>
  <c r="AE39" i="9"/>
  <c r="AE40" i="9"/>
  <c r="AE41" i="9"/>
  <c r="AE42" i="9"/>
  <c r="AE43" i="9"/>
  <c r="AE44" i="9"/>
  <c r="AE45" i="9"/>
  <c r="AE46" i="9"/>
  <c r="AE47" i="9"/>
  <c r="AE48" i="9"/>
  <c r="AE49" i="9"/>
  <c r="AE50" i="9"/>
  <c r="AE51" i="9"/>
  <c r="AE52" i="9"/>
  <c r="AE53" i="9"/>
  <c r="AE54" i="9"/>
  <c r="AE55" i="9"/>
  <c r="R8" i="9"/>
  <c r="AA7" i="9"/>
  <c r="AA8" i="9"/>
  <c r="AA9" i="9"/>
  <c r="AA10" i="9"/>
  <c r="AA11" i="9"/>
  <c r="AA12" i="9"/>
  <c r="AA13" i="9"/>
  <c r="AA14" i="9"/>
  <c r="AA15" i="9"/>
  <c r="AA16" i="9"/>
  <c r="S19" i="9"/>
  <c r="AE17" i="9"/>
  <c r="AE18" i="9"/>
  <c r="AE19" i="9"/>
  <c r="AE20" i="9"/>
  <c r="AE21" i="9"/>
  <c r="AE22" i="9"/>
  <c r="AE23" i="9"/>
  <c r="AE24" i="9"/>
  <c r="AE25" i="9"/>
  <c r="AE26" i="9"/>
  <c r="R20" i="9"/>
  <c r="AF7" i="9"/>
  <c r="AF8" i="9"/>
  <c r="AF9" i="9"/>
  <c r="AF10" i="9"/>
  <c r="AF11" i="9"/>
  <c r="AF12" i="9"/>
  <c r="AF13" i="9"/>
  <c r="AF14" i="9"/>
  <c r="AF15" i="9"/>
  <c r="AF16" i="9"/>
  <c r="D23" i="9"/>
  <c r="U8" i="9"/>
  <c r="AA37" i="9"/>
  <c r="AA38" i="9"/>
  <c r="AA39" i="9"/>
  <c r="AA40" i="9"/>
  <c r="AA41" i="9"/>
  <c r="AA42" i="9"/>
  <c r="AA43" i="9"/>
  <c r="AA44" i="9"/>
  <c r="AA45" i="9"/>
  <c r="AA46" i="9"/>
  <c r="AA47" i="9"/>
  <c r="AA48" i="9"/>
  <c r="AA49" i="9"/>
  <c r="AA50" i="9"/>
  <c r="AA51" i="9"/>
  <c r="AA52" i="9"/>
  <c r="AA53" i="9"/>
  <c r="AA54" i="9"/>
  <c r="AA55" i="9"/>
  <c r="U18" i="9"/>
  <c r="AD37" i="9"/>
  <c r="AD38" i="9"/>
  <c r="AD39" i="9"/>
  <c r="AD40" i="9"/>
  <c r="AD41" i="9"/>
  <c r="AD42" i="9"/>
  <c r="AD43" i="9"/>
  <c r="AD44" i="9"/>
  <c r="AD45" i="9"/>
  <c r="AD46" i="9"/>
  <c r="AD47" i="9"/>
  <c r="AD48" i="9"/>
  <c r="AD49" i="9"/>
  <c r="AD50" i="9"/>
  <c r="AD51" i="9"/>
  <c r="AD52" i="9"/>
  <c r="AD53" i="9"/>
  <c r="AD54" i="9"/>
  <c r="AD55" i="9"/>
  <c r="U20" i="9"/>
  <c r="AF37" i="9"/>
  <c r="AF38" i="9"/>
  <c r="AF39" i="9"/>
  <c r="AF40" i="9"/>
  <c r="AF41" i="9"/>
  <c r="AF42" i="9"/>
  <c r="AF43" i="9"/>
  <c r="AF44" i="9"/>
  <c r="AF45" i="9"/>
  <c r="AF46" i="9"/>
  <c r="AF47" i="9"/>
  <c r="AF48" i="9"/>
  <c r="AF49" i="9"/>
  <c r="AF50" i="9"/>
  <c r="AF51" i="9"/>
  <c r="AF52" i="9"/>
  <c r="AF53" i="9"/>
  <c r="AF54" i="9"/>
  <c r="AF55" i="9"/>
  <c r="F23" i="9"/>
  <c r="C23" i="9"/>
  <c r="AB8" i="9"/>
  <c r="I23" i="2"/>
  <c r="AB9" i="9"/>
  <c r="I24" i="2"/>
  <c r="AB10" i="9"/>
  <c r="I25" i="2"/>
  <c r="AB11" i="9"/>
  <c r="I26" i="2"/>
  <c r="AB12" i="9"/>
  <c r="I27" i="2"/>
  <c r="AB13" i="9"/>
  <c r="I28" i="2"/>
  <c r="F12" i="9"/>
  <c r="C12" i="9"/>
  <c r="E10" i="9"/>
  <c r="E21" i="9"/>
  <c r="E9" i="9"/>
  <c r="E20" i="9"/>
  <c r="E8" i="9"/>
  <c r="E19" i="9"/>
  <c r="E7" i="9"/>
  <c r="E18" i="9"/>
  <c r="E6" i="9"/>
  <c r="AB14" i="9"/>
  <c r="I29" i="2"/>
  <c r="T7" i="9"/>
  <c r="Z27" i="9"/>
  <c r="Z28" i="9"/>
  <c r="Z29" i="9"/>
  <c r="Z30" i="9"/>
  <c r="Z31" i="9"/>
  <c r="Z32" i="9"/>
  <c r="Z33" i="9"/>
  <c r="Z34" i="9"/>
  <c r="Z35" i="9"/>
  <c r="Z36" i="9"/>
  <c r="T10" i="9"/>
  <c r="AC27" i="9"/>
  <c r="AC28" i="9"/>
  <c r="AC29" i="9"/>
  <c r="AC30" i="9"/>
  <c r="AC31" i="9"/>
  <c r="AC32" i="9"/>
  <c r="AC33" i="9"/>
  <c r="AC34" i="9"/>
  <c r="AC35" i="9"/>
  <c r="AC36" i="9"/>
  <c r="T9" i="9"/>
  <c r="AB27" i="9"/>
  <c r="AB28" i="9"/>
  <c r="AB29" i="9"/>
  <c r="AB30" i="9"/>
  <c r="AB31" i="9"/>
  <c r="AB32" i="9"/>
  <c r="AB33" i="9"/>
  <c r="AB34" i="9"/>
  <c r="AB35" i="9"/>
  <c r="AB36" i="9"/>
  <c r="T8" i="9"/>
  <c r="AA27" i="9"/>
  <c r="AA28" i="9"/>
  <c r="AA29" i="9"/>
  <c r="AA30" i="9"/>
  <c r="AA31" i="9"/>
  <c r="AA32" i="9"/>
  <c r="AA33" i="9"/>
  <c r="AA34" i="9"/>
  <c r="AA35" i="9"/>
  <c r="AA36" i="9"/>
  <c r="E12" i="9"/>
  <c r="E17" i="9"/>
  <c r="AB15" i="9"/>
  <c r="I30" i="2"/>
  <c r="E23" i="9"/>
  <c r="T21" i="9"/>
  <c r="AG27" i="9"/>
  <c r="AG28" i="9"/>
  <c r="AG29" i="9"/>
  <c r="AG30" i="9"/>
  <c r="AG31" i="9"/>
  <c r="AG32" i="9"/>
  <c r="AG33" i="9"/>
  <c r="AG34" i="9"/>
  <c r="AG35" i="9"/>
  <c r="AG36" i="9"/>
  <c r="T20" i="9"/>
  <c r="AF27" i="9"/>
  <c r="AF28" i="9"/>
  <c r="AF29" i="9"/>
  <c r="AF30" i="9"/>
  <c r="AF31" i="9"/>
  <c r="AF32" i="9"/>
  <c r="AF33" i="9"/>
  <c r="AF34" i="9"/>
  <c r="AF35" i="9"/>
  <c r="AF36" i="9"/>
  <c r="T18" i="9"/>
  <c r="AD27" i="9"/>
  <c r="AD28" i="9"/>
  <c r="AD29" i="9"/>
  <c r="AD30" i="9"/>
  <c r="AD31" i="9"/>
  <c r="AD32" i="9"/>
  <c r="AD33" i="9"/>
  <c r="AD34" i="9"/>
  <c r="AD35" i="9"/>
  <c r="AD36" i="9"/>
  <c r="T19" i="9"/>
  <c r="AE27" i="9"/>
  <c r="AE28" i="9"/>
  <c r="AE29" i="9"/>
  <c r="AE30" i="9"/>
  <c r="AE31" i="9"/>
  <c r="AE32" i="9"/>
  <c r="AE33" i="9"/>
  <c r="AE34" i="9"/>
  <c r="AE35" i="9"/>
  <c r="AE36" i="9"/>
  <c r="AB16" i="9"/>
  <c r="I32" i="2"/>
  <c r="I31" i="2"/>
  <c r="C76" i="5"/>
  <c r="C38" i="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K17" i="1"/>
  <c r="K18" i="1" s="1"/>
  <c r="K19" i="1" s="1"/>
  <c r="K20" i="1" s="1"/>
  <c r="K21" i="1" s="1"/>
  <c r="K22" i="1" s="1"/>
  <c r="K23" i="1" s="1"/>
  <c r="K24" i="1" s="1"/>
  <c r="K25" i="1" s="1"/>
  <c r="K26" i="1" s="1"/>
  <c r="K27" i="1" s="1"/>
  <c r="K28" i="1" s="1"/>
  <c r="K29" i="1" s="1"/>
  <c r="K30" i="1" s="1"/>
  <c r="K31" i="1" s="1"/>
  <c r="K32" i="1" s="1"/>
  <c r="K33" i="1" s="1"/>
  <c r="K34" i="1" s="1"/>
  <c r="B7" i="6"/>
  <c r="D62" i="8"/>
  <c r="B12" i="7" s="1"/>
  <c r="D48" i="8"/>
  <c r="D31" i="8"/>
  <c r="D37" i="8"/>
  <c r="D38" i="8"/>
  <c r="D39" i="8"/>
  <c r="D40" i="8"/>
  <c r="D41" i="8"/>
  <c r="D42" i="8"/>
  <c r="D43" i="8"/>
  <c r="D44" i="8"/>
  <c r="D45" i="8"/>
  <c r="D46" i="8"/>
  <c r="D47" i="8"/>
  <c r="E39" i="8"/>
  <c r="E40" i="8"/>
  <c r="E41" i="8"/>
  <c r="E42" i="8"/>
  <c r="E43" i="8"/>
  <c r="E44" i="8"/>
  <c r="E45" i="8"/>
  <c r="E46" i="8"/>
  <c r="E47" i="8"/>
  <c r="E48" i="8"/>
  <c r="E38" i="8"/>
  <c r="K34" i="2"/>
  <c r="B9" i="6"/>
  <c r="K35" i="1"/>
  <c r="K36" i="1" s="1"/>
  <c r="K37" i="1" s="1"/>
  <c r="K38" i="1" s="1"/>
  <c r="K39" i="1" s="1"/>
  <c r="K40" i="1" s="1"/>
  <c r="K41" i="1" s="1"/>
  <c r="K42" i="1" s="1"/>
  <c r="K43" i="1" s="1"/>
  <c r="K44" i="1" s="1"/>
  <c r="K45" i="1" s="1"/>
  <c r="K46" i="1" s="1"/>
  <c r="K47" i="1" s="1"/>
  <c r="K48" i="1" s="1"/>
  <c r="K49" i="1" s="1"/>
  <c r="K50" i="1" s="1"/>
  <c r="K51" i="1" s="1"/>
  <c r="K52" i="1" s="1"/>
  <c r="K53" i="1" s="1"/>
  <c r="K54" i="1" s="1"/>
  <c r="K55" i="1" s="1"/>
  <c r="K56" i="1" s="1"/>
  <c r="I10" i="1"/>
  <c r="I11" i="1" s="1"/>
  <c r="I12" i="1" s="1"/>
  <c r="I13" i="1" s="1"/>
  <c r="I14" i="1" s="1"/>
  <c r="I15" i="1" s="1"/>
  <c r="I16" i="1" s="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9" i="1"/>
  <c r="C6" i="1"/>
  <c r="C8" i="1"/>
  <c r="C9" i="1"/>
  <c r="C7" i="1"/>
  <c r="B62" i="8"/>
  <c r="B50" i="8"/>
  <c r="C50" i="8"/>
  <c r="C51" i="8"/>
  <c r="C52" i="8"/>
  <c r="C53" i="8"/>
  <c r="C54" i="8"/>
  <c r="C55" i="8"/>
  <c r="C56" i="8"/>
  <c r="C57" i="8"/>
  <c r="C58" i="8"/>
  <c r="C59" i="8"/>
  <c r="C60" i="8"/>
  <c r="B61" i="8"/>
  <c r="B60" i="8"/>
  <c r="B59" i="8"/>
  <c r="B58" i="8"/>
  <c r="B57" i="8"/>
  <c r="B56" i="8"/>
  <c r="B55" i="8"/>
  <c r="B54" i="8"/>
  <c r="B53" i="8"/>
  <c r="B52" i="8"/>
  <c r="B51" i="8"/>
  <c r="B37" i="8"/>
  <c r="C37" i="8"/>
  <c r="C38" i="8"/>
  <c r="C39" i="8"/>
  <c r="C40" i="8"/>
  <c r="C41" i="8"/>
  <c r="C42" i="8"/>
  <c r="C43" i="8"/>
  <c r="C44" i="8"/>
  <c r="C45" i="8"/>
  <c r="C46" i="8"/>
  <c r="C47" i="8"/>
  <c r="B39" i="8"/>
  <c r="B40" i="8"/>
  <c r="B41" i="8"/>
  <c r="B42" i="8"/>
  <c r="B43" i="8"/>
  <c r="B44" i="8"/>
  <c r="B45" i="8"/>
  <c r="B46" i="8"/>
  <c r="B47" i="8"/>
  <c r="B48" i="8"/>
  <c r="B38" i="8"/>
  <c r="C21" i="8"/>
  <c r="C22" i="8"/>
  <c r="C23" i="8"/>
  <c r="C24" i="8"/>
  <c r="C25" i="8"/>
  <c r="C26" i="8"/>
  <c r="C27" i="8"/>
  <c r="C28" i="8"/>
  <c r="C29" i="8"/>
  <c r="C30" i="8"/>
  <c r="B24" i="8"/>
  <c r="B25" i="8"/>
  <c r="B26" i="8"/>
  <c r="B27" i="8"/>
  <c r="B28" i="8"/>
  <c r="B29" i="8"/>
  <c r="B30" i="8"/>
  <c r="B31" i="8"/>
  <c r="B23" i="8"/>
  <c r="B21" i="8"/>
  <c r="B22" i="8"/>
  <c r="J8" i="1"/>
  <c r="K8" i="1"/>
  <c r="L8" i="1"/>
  <c r="I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G65" i="4"/>
  <c r="G66" i="4"/>
  <c r="G67" i="4"/>
  <c r="E65"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K35" i="2"/>
  <c r="B35" i="2"/>
  <c r="K36" i="2"/>
  <c r="B36" i="2"/>
  <c r="K37" i="2"/>
  <c r="B37" i="2"/>
  <c r="K38" i="2"/>
  <c r="B38" i="2"/>
  <c r="K39" i="2"/>
  <c r="B39" i="2"/>
  <c r="K40" i="2"/>
  <c r="B40" i="2"/>
  <c r="K41" i="2"/>
  <c r="B41" i="2"/>
  <c r="K42" i="2"/>
  <c r="B42" i="2"/>
  <c r="B52" i="2" l="1"/>
  <c r="B29" i="2"/>
  <c r="B54" i="2"/>
  <c r="B50" i="2"/>
  <c r="J35" i="1"/>
  <c r="J36" i="1" s="1"/>
  <c r="J37" i="1" s="1"/>
  <c r="J38" i="1" s="1"/>
  <c r="J39" i="1" s="1"/>
  <c r="J40" i="1" s="1"/>
  <c r="J41" i="1" s="1"/>
  <c r="J42" i="1" s="1"/>
  <c r="J43" i="1" s="1"/>
  <c r="J44" i="1" s="1"/>
  <c r="J45" i="1" s="1"/>
  <c r="J46" i="1" s="1"/>
  <c r="J47" i="1" s="1"/>
  <c r="J48" i="1" s="1"/>
  <c r="J49" i="1" s="1"/>
  <c r="J50" i="1" s="1"/>
  <c r="J51" i="1" s="1"/>
  <c r="J52" i="1" s="1"/>
  <c r="J53" i="1" s="1"/>
  <c r="J54" i="1" s="1"/>
  <c r="J55" i="1" s="1"/>
  <c r="J56" i="1" s="1"/>
  <c r="B47" i="2"/>
  <c r="B33" i="2"/>
  <c r="B62" i="2"/>
  <c r="B56" i="2"/>
  <c r="B55" i="2"/>
  <c r="B28" i="2"/>
  <c r="B34" i="2"/>
  <c r="B30" i="2"/>
  <c r="B44" i="2"/>
  <c r="B24" i="2"/>
  <c r="B70" i="2"/>
  <c r="B57" i="2"/>
  <c r="B25" i="2"/>
  <c r="L17" i="1"/>
  <c r="L18" i="1" s="1"/>
  <c r="L19" i="1" s="1"/>
  <c r="L20" i="1" s="1"/>
  <c r="L21" i="1" s="1"/>
  <c r="L22" i="1" s="1"/>
  <c r="L23" i="1" s="1"/>
  <c r="L24" i="1" s="1"/>
  <c r="L25" i="1" s="1"/>
  <c r="L26" i="1" s="1"/>
  <c r="L27" i="1" s="1"/>
  <c r="L28" i="1" s="1"/>
  <c r="L29" i="1" s="1"/>
  <c r="L30" i="1" s="1"/>
  <c r="L31" i="1" s="1"/>
  <c r="L32" i="1" s="1"/>
  <c r="L33" i="1" s="1"/>
  <c r="L34" i="1" s="1"/>
  <c r="B53" i="2"/>
  <c r="I35" i="1"/>
  <c r="I36" i="1" s="1"/>
  <c r="I37" i="1" s="1"/>
  <c r="I38" i="1" s="1"/>
  <c r="I39" i="1" s="1"/>
  <c r="I40" i="1" s="1"/>
  <c r="I41" i="1" s="1"/>
  <c r="I42" i="1" s="1"/>
  <c r="I43" i="1" s="1"/>
  <c r="I44" i="1" s="1"/>
  <c r="I45" i="1" s="1"/>
  <c r="I46" i="1" s="1"/>
  <c r="I47" i="1" s="1"/>
  <c r="I48" i="1" s="1"/>
  <c r="I49" i="1" s="1"/>
  <c r="I50" i="1" s="1"/>
  <c r="I51" i="1" s="1"/>
  <c r="I52" i="1" s="1"/>
  <c r="I53" i="1" s="1"/>
  <c r="I54" i="1" s="1"/>
  <c r="I55" i="1" s="1"/>
  <c r="I56" i="1" s="1"/>
  <c r="I17" i="1"/>
  <c r="I18" i="1" s="1"/>
  <c r="I19" i="1" s="1"/>
  <c r="I20" i="1" s="1"/>
  <c r="I21" i="1" s="1"/>
  <c r="I22" i="1" s="1"/>
  <c r="I23" i="1" s="1"/>
  <c r="I24" i="1" s="1"/>
  <c r="I25" i="1" s="1"/>
  <c r="I26" i="1" s="1"/>
  <c r="I27" i="1" s="1"/>
  <c r="I28" i="1" s="1"/>
  <c r="I29" i="1" s="1"/>
  <c r="I30" i="1" s="1"/>
  <c r="I31" i="1" s="1"/>
  <c r="I32" i="1" s="1"/>
  <c r="I33" i="1" s="1"/>
  <c r="I34" i="1" s="1"/>
  <c r="L9" i="1"/>
  <c r="K9" i="1"/>
  <c r="K10" i="1"/>
  <c r="K11" i="1" s="1"/>
  <c r="K12" i="1" s="1"/>
  <c r="K13" i="1" s="1"/>
  <c r="K14" i="1" s="1"/>
  <c r="K15" i="1" s="1"/>
  <c r="K16" i="1" s="1"/>
  <c r="L10" i="1"/>
  <c r="L11" i="1" s="1"/>
  <c r="L12" i="1" s="1"/>
  <c r="L13" i="1" s="1"/>
  <c r="L14" i="1" s="1"/>
  <c r="L15" i="1" s="1"/>
  <c r="L16" i="1" s="1"/>
  <c r="J9" i="1"/>
  <c r="J10" i="1"/>
  <c r="J11" i="1" s="1"/>
  <c r="J12" i="1" s="1"/>
  <c r="J13" i="1" s="1"/>
  <c r="J14" i="1" s="1"/>
  <c r="J15" i="1" s="1"/>
  <c r="J16" i="1" s="1"/>
  <c r="J17" i="1"/>
  <c r="J18" i="1" s="1"/>
  <c r="J19" i="1" s="1"/>
  <c r="J20" i="1" s="1"/>
  <c r="J21" i="1" s="1"/>
  <c r="J22" i="1" s="1"/>
  <c r="J23" i="1" s="1"/>
  <c r="J24" i="1" s="1"/>
  <c r="J25" i="1" s="1"/>
  <c r="J26" i="1" s="1"/>
  <c r="J27" i="1" s="1"/>
  <c r="J28" i="1" s="1"/>
  <c r="J29" i="1" s="1"/>
  <c r="J30" i="1" s="1"/>
  <c r="J31" i="1" s="1"/>
  <c r="J32" i="1" s="1"/>
  <c r="J33" i="1" s="1"/>
  <c r="J34" i="1" s="1"/>
  <c r="I9" i="1"/>
  <c r="B26" i="2"/>
  <c r="B60" i="2"/>
  <c r="B69" i="2"/>
  <c r="B58" i="2"/>
  <c r="B43" i="2"/>
  <c r="B65" i="2"/>
  <c r="B32" i="2"/>
  <c r="B71" i="2"/>
  <c r="B61" i="2"/>
  <c r="B10" i="6"/>
  <c r="B11" i="6" s="1"/>
  <c r="B12" i="3" s="1"/>
  <c r="C12" i="3" s="1"/>
  <c r="C9" i="6"/>
  <c r="B59" i="2"/>
  <c r="B49" i="2"/>
  <c r="B68" i="2"/>
  <c r="B64" i="2"/>
  <c r="B10" i="3"/>
  <c r="C10" i="3" s="1"/>
  <c r="D10" i="3" s="1"/>
  <c r="I10" i="3" s="1"/>
  <c r="B11" i="4"/>
  <c r="C11" i="4" s="1"/>
  <c r="H10" i="3" l="1"/>
  <c r="B12" i="4"/>
  <c r="C12" i="4" s="1"/>
  <c r="F12" i="4" s="1"/>
  <c r="B13" i="4"/>
  <c r="B12" i="6"/>
  <c r="B14" i="4" s="1"/>
  <c r="B11" i="3"/>
  <c r="C11" i="3" s="1"/>
  <c r="D11" i="3" s="1"/>
  <c r="G11" i="3" s="1"/>
  <c r="I5" i="5" s="1"/>
  <c r="J11" i="4"/>
  <c r="K11" i="4" s="1"/>
  <c r="C10" i="6"/>
  <c r="H11" i="4"/>
  <c r="E4" i="5" s="1"/>
  <c r="G11" i="4"/>
  <c r="D4" i="5" s="1"/>
  <c r="F11" i="4"/>
  <c r="C4" i="5" s="1"/>
  <c r="J4" i="5"/>
  <c r="G10" i="3"/>
  <c r="I4" i="5" s="1"/>
  <c r="F10" i="3"/>
  <c r="H4" i="5" s="1"/>
  <c r="E11" i="4"/>
  <c r="B4" i="5" s="1"/>
  <c r="K4" i="5"/>
  <c r="I11" i="3"/>
  <c r="K5" i="5" s="1"/>
  <c r="B13" i="3" l="1"/>
  <c r="C13" i="3" s="1"/>
  <c r="B13" i="6"/>
  <c r="B14" i="3" s="1"/>
  <c r="C14" i="3" s="1"/>
  <c r="G12" i="4"/>
  <c r="C13" i="4"/>
  <c r="E13" i="4" s="1"/>
  <c r="E12" i="4"/>
  <c r="H12" i="4"/>
  <c r="E5" i="5" s="1"/>
  <c r="H11" i="3"/>
  <c r="J5" i="5" s="1"/>
  <c r="B5" i="5"/>
  <c r="K4" i="11"/>
  <c r="J4" i="11"/>
  <c r="I4" i="11"/>
  <c r="H4" i="11"/>
  <c r="C5" i="5"/>
  <c r="D12" i="3"/>
  <c r="I12" i="3" s="1"/>
  <c r="K6" i="5" s="1"/>
  <c r="F11" i="3"/>
  <c r="H5" i="5" s="1"/>
  <c r="D5" i="5"/>
  <c r="J12" i="4"/>
  <c r="K12" i="4" s="1"/>
  <c r="C11" i="6"/>
  <c r="P11" i="4"/>
  <c r="E4" i="11" s="1"/>
  <c r="O11" i="4"/>
  <c r="D4" i="11" s="1"/>
  <c r="N11" i="4"/>
  <c r="C4" i="11" s="1"/>
  <c r="M11" i="4"/>
  <c r="B4" i="11" s="1"/>
  <c r="B14" i="6"/>
  <c r="B15" i="4"/>
  <c r="G13" i="4" l="1"/>
  <c r="H13" i="4"/>
  <c r="C14" i="4"/>
  <c r="C15" i="4" s="1"/>
  <c r="F13" i="4"/>
  <c r="C6" i="5"/>
  <c r="B6" i="5"/>
  <c r="F12" i="3"/>
  <c r="H6" i="5" s="1"/>
  <c r="G12" i="3"/>
  <c r="I6" i="5" s="1"/>
  <c r="D13" i="3"/>
  <c r="H13" i="3" s="1"/>
  <c r="I5" i="11"/>
  <c r="J5" i="11"/>
  <c r="K5" i="11"/>
  <c r="H5" i="11"/>
  <c r="E6" i="5"/>
  <c r="D6" i="5"/>
  <c r="H12" i="3"/>
  <c r="J6" i="5" s="1"/>
  <c r="P12" i="4"/>
  <c r="E5" i="11" s="1"/>
  <c r="M12" i="4"/>
  <c r="B5" i="11" s="1"/>
  <c r="O12" i="4"/>
  <c r="D5" i="11" s="1"/>
  <c r="N12" i="4"/>
  <c r="C5" i="11" s="1"/>
  <c r="C12" i="6"/>
  <c r="J13" i="4"/>
  <c r="K13" i="4" s="1"/>
  <c r="G14" i="4"/>
  <c r="H14" i="4"/>
  <c r="B15" i="3"/>
  <c r="C15" i="3" s="1"/>
  <c r="B16" i="4"/>
  <c r="B15" i="6"/>
  <c r="E14" i="4" l="1"/>
  <c r="B7" i="5" s="1"/>
  <c r="F14" i="4"/>
  <c r="C7" i="5" s="1"/>
  <c r="J7" i="5"/>
  <c r="I13" i="3"/>
  <c r="K7" i="5" s="1"/>
  <c r="G13" i="3"/>
  <c r="I7" i="5" s="1"/>
  <c r="F13" i="3"/>
  <c r="H7" i="5" s="1"/>
  <c r="J6" i="11"/>
  <c r="H6" i="11"/>
  <c r="K6" i="11"/>
  <c r="I6" i="11"/>
  <c r="D14" i="3"/>
  <c r="I14" i="3" s="1"/>
  <c r="K8" i="5" s="1"/>
  <c r="E7" i="5"/>
  <c r="D7" i="5"/>
  <c r="P13" i="4"/>
  <c r="E6" i="11" s="1"/>
  <c r="O13" i="4"/>
  <c r="D6" i="11" s="1"/>
  <c r="N13" i="4"/>
  <c r="C6" i="11" s="1"/>
  <c r="M13" i="4"/>
  <c r="B6" i="11" s="1"/>
  <c r="C13" i="6"/>
  <c r="J14" i="4"/>
  <c r="K14" i="4" s="1"/>
  <c r="F15" i="4"/>
  <c r="C16" i="4"/>
  <c r="H15" i="4"/>
  <c r="E15" i="4"/>
  <c r="G15" i="4"/>
  <c r="B16" i="6"/>
  <c r="B17" i="4"/>
  <c r="B16" i="3"/>
  <c r="C16" i="3" s="1"/>
  <c r="G14" i="3" l="1"/>
  <c r="I8" i="5" s="1"/>
  <c r="D8" i="5"/>
  <c r="B8" i="5"/>
  <c r="E8" i="5"/>
  <c r="D15" i="3"/>
  <c r="F15" i="3" s="1"/>
  <c r="H9" i="5" s="1"/>
  <c r="F14" i="3"/>
  <c r="H8" i="5" s="1"/>
  <c r="K7" i="11"/>
  <c r="H7" i="11"/>
  <c r="I7" i="11"/>
  <c r="J7" i="11"/>
  <c r="C8" i="5"/>
  <c r="H14" i="3"/>
  <c r="J8" i="5" s="1"/>
  <c r="M14" i="4"/>
  <c r="B7" i="11" s="1"/>
  <c r="N14" i="4"/>
  <c r="C7" i="11" s="1"/>
  <c r="P14" i="4"/>
  <c r="E7" i="11" s="1"/>
  <c r="O14" i="4"/>
  <c r="D7" i="11" s="1"/>
  <c r="J15" i="4"/>
  <c r="K15" i="4" s="1"/>
  <c r="C14" i="6"/>
  <c r="B17" i="6"/>
  <c r="B18" i="4"/>
  <c r="B17" i="3"/>
  <c r="C17" i="3" s="1"/>
  <c r="G16" i="4"/>
  <c r="F16" i="4"/>
  <c r="H16" i="4"/>
  <c r="E9" i="5" s="1"/>
  <c r="C17" i="4"/>
  <c r="E16" i="4"/>
  <c r="B9" i="5" l="1"/>
  <c r="G15" i="3"/>
  <c r="I9" i="5" s="1"/>
  <c r="I15" i="3"/>
  <c r="K9" i="5" s="1"/>
  <c r="H15" i="3"/>
  <c r="J9" i="5" s="1"/>
  <c r="C9" i="5"/>
  <c r="D16" i="3"/>
  <c r="D17" i="3" s="1"/>
  <c r="D9" i="5"/>
  <c r="H8" i="11"/>
  <c r="I8" i="11"/>
  <c r="J8" i="11"/>
  <c r="K8" i="11"/>
  <c r="O15" i="4"/>
  <c r="D8" i="11" s="1"/>
  <c r="M15" i="4"/>
  <c r="B8" i="11" s="1"/>
  <c r="P15" i="4"/>
  <c r="E8" i="11" s="1"/>
  <c r="N15" i="4"/>
  <c r="C8" i="11" s="1"/>
  <c r="C15" i="6"/>
  <c r="J16" i="4"/>
  <c r="K16" i="4" s="1"/>
  <c r="E17" i="4"/>
  <c r="G17" i="4"/>
  <c r="F17" i="4"/>
  <c r="C18" i="4"/>
  <c r="H17" i="4"/>
  <c r="E10" i="5" s="1"/>
  <c r="B18" i="6"/>
  <c r="B19" i="4"/>
  <c r="B18" i="3"/>
  <c r="C18" i="3" s="1"/>
  <c r="I16" i="3" l="1"/>
  <c r="K10" i="5" s="1"/>
  <c r="F16" i="3"/>
  <c r="H10" i="5" s="1"/>
  <c r="B10" i="5"/>
  <c r="H16" i="3"/>
  <c r="J10" i="5" s="1"/>
  <c r="G16" i="3"/>
  <c r="I10" i="5" s="1"/>
  <c r="C10" i="5"/>
  <c r="D10" i="5"/>
  <c r="I9" i="11"/>
  <c r="J9" i="11"/>
  <c r="K9" i="11"/>
  <c r="H9" i="11"/>
  <c r="N16" i="4"/>
  <c r="C9" i="11" s="1"/>
  <c r="O16" i="4"/>
  <c r="D9" i="11" s="1"/>
  <c r="M16" i="4"/>
  <c r="B9" i="11" s="1"/>
  <c r="P16" i="4"/>
  <c r="E9" i="11" s="1"/>
  <c r="J17" i="4"/>
  <c r="K17" i="4" s="1"/>
  <c r="C16" i="6"/>
  <c r="F18" i="4"/>
  <c r="C11" i="5" s="1"/>
  <c r="H18" i="4"/>
  <c r="E11" i="5" s="1"/>
  <c r="C19" i="4"/>
  <c r="E18" i="4"/>
  <c r="B11" i="5" s="1"/>
  <c r="G18" i="4"/>
  <c r="D11" i="5" s="1"/>
  <c r="B19" i="3"/>
  <c r="C19" i="3" s="1"/>
  <c r="B19" i="6"/>
  <c r="B20" i="4"/>
  <c r="D18" i="3"/>
  <c r="F17" i="3"/>
  <c r="H11" i="5" s="1"/>
  <c r="G17" i="3"/>
  <c r="I11" i="5" s="1"/>
  <c r="H17" i="3"/>
  <c r="J11" i="5" s="1"/>
  <c r="I17" i="3"/>
  <c r="K11" i="5" s="1"/>
  <c r="K10" i="11" l="1"/>
  <c r="J10" i="11"/>
  <c r="H10" i="11"/>
  <c r="I10" i="11"/>
  <c r="P17" i="4"/>
  <c r="E10" i="11" s="1"/>
  <c r="O17" i="4"/>
  <c r="D10" i="11" s="1"/>
  <c r="N17" i="4"/>
  <c r="C10" i="11" s="1"/>
  <c r="M17" i="4"/>
  <c r="B10" i="11" s="1"/>
  <c r="J18" i="4"/>
  <c r="K18" i="4" s="1"/>
  <c r="C17" i="6"/>
  <c r="G18" i="3"/>
  <c r="I12" i="5" s="1"/>
  <c r="I18" i="3"/>
  <c r="K12" i="5" s="1"/>
  <c r="D19" i="3"/>
  <c r="H18" i="3"/>
  <c r="J12" i="5" s="1"/>
  <c r="F18" i="3"/>
  <c r="H12" i="5" s="1"/>
  <c r="C20" i="4"/>
  <c r="F19" i="4"/>
  <c r="C12" i="5" s="1"/>
  <c r="H19" i="4"/>
  <c r="E12" i="5" s="1"/>
  <c r="G19" i="4"/>
  <c r="D12" i="5" s="1"/>
  <c r="E19" i="4"/>
  <c r="B12" i="5" s="1"/>
  <c r="B21" i="4"/>
  <c r="B20" i="6"/>
  <c r="B20" i="3"/>
  <c r="C20" i="3" s="1"/>
  <c r="K11" i="11" l="1"/>
  <c r="H11" i="11"/>
  <c r="I11" i="11"/>
  <c r="J11" i="11"/>
  <c r="M18" i="4"/>
  <c r="B11" i="11" s="1"/>
  <c r="N18" i="4"/>
  <c r="C11" i="11" s="1"/>
  <c r="P18" i="4"/>
  <c r="E11" i="11" s="1"/>
  <c r="O18" i="4"/>
  <c r="D11" i="11" s="1"/>
  <c r="J19" i="4"/>
  <c r="K19" i="4" s="1"/>
  <c r="C18" i="6"/>
  <c r="B22" i="4"/>
  <c r="B21" i="6"/>
  <c r="B21" i="3"/>
  <c r="C21" i="3" s="1"/>
  <c r="G20" i="4"/>
  <c r="D13" i="5" s="1"/>
  <c r="F20" i="4"/>
  <c r="C13" i="5" s="1"/>
  <c r="C21" i="4"/>
  <c r="H20" i="4"/>
  <c r="E13" i="5" s="1"/>
  <c r="E20" i="4"/>
  <c r="B13" i="5" s="1"/>
  <c r="D20" i="3"/>
  <c r="F19" i="3"/>
  <c r="H13" i="5" s="1"/>
  <c r="I19" i="3"/>
  <c r="K13" i="5" s="1"/>
  <c r="H19" i="3"/>
  <c r="J13" i="5" s="1"/>
  <c r="G19" i="3"/>
  <c r="I13" i="5" s="1"/>
  <c r="I12" i="11" l="1"/>
  <c r="J12" i="11"/>
  <c r="K12" i="11"/>
  <c r="H12" i="11"/>
  <c r="O19" i="4"/>
  <c r="D12" i="11" s="1"/>
  <c r="N19" i="4"/>
  <c r="C12" i="11" s="1"/>
  <c r="M19" i="4"/>
  <c r="B12" i="11" s="1"/>
  <c r="P19" i="4"/>
  <c r="E12" i="11" s="1"/>
  <c r="C19" i="6"/>
  <c r="J20" i="4"/>
  <c r="K20" i="4" s="1"/>
  <c r="H21" i="4"/>
  <c r="E14" i="5" s="1"/>
  <c r="F21" i="4"/>
  <c r="C14" i="5" s="1"/>
  <c r="C22" i="4"/>
  <c r="G21" i="4"/>
  <c r="D14" i="5" s="1"/>
  <c r="E21" i="4"/>
  <c r="B14" i="5" s="1"/>
  <c r="F20" i="3"/>
  <c r="H14" i="5" s="1"/>
  <c r="H20" i="3"/>
  <c r="J14" i="5" s="1"/>
  <c r="I20" i="3"/>
  <c r="K14" i="5" s="1"/>
  <c r="G20" i="3"/>
  <c r="I14" i="5" s="1"/>
  <c r="D21" i="3"/>
  <c r="B22" i="3"/>
  <c r="C22" i="3" s="1"/>
  <c r="B22" i="6"/>
  <c r="B23" i="4"/>
  <c r="J13" i="11" l="1"/>
  <c r="I13" i="11"/>
  <c r="K13" i="11"/>
  <c r="H13" i="11"/>
  <c r="P20" i="4"/>
  <c r="E13" i="11" s="1"/>
  <c r="N20" i="4"/>
  <c r="C13" i="11" s="1"/>
  <c r="O20" i="4"/>
  <c r="D13" i="11" s="1"/>
  <c r="M20" i="4"/>
  <c r="B13" i="11" s="1"/>
  <c r="C20" i="6"/>
  <c r="J21" i="4"/>
  <c r="K21" i="4" s="1"/>
  <c r="I21" i="3"/>
  <c r="K15" i="5" s="1"/>
  <c r="F21" i="3"/>
  <c r="H15" i="5" s="1"/>
  <c r="H21" i="3"/>
  <c r="D22" i="3"/>
  <c r="G21" i="3"/>
  <c r="B24" i="4"/>
  <c r="B23" i="6"/>
  <c r="B23" i="3"/>
  <c r="C23" i="3" s="1"/>
  <c r="C23" i="4"/>
  <c r="E22" i="4"/>
  <c r="B15" i="5" s="1"/>
  <c r="F22" i="4"/>
  <c r="C15" i="5" s="1"/>
  <c r="H22" i="4"/>
  <c r="E15" i="5" s="1"/>
  <c r="J15" i="5"/>
  <c r="I15" i="5"/>
  <c r="G22" i="4"/>
  <c r="D15" i="5" s="1"/>
  <c r="J14" i="11" l="1"/>
  <c r="H14" i="11"/>
  <c r="K14" i="11"/>
  <c r="I14" i="11"/>
  <c r="O21" i="4"/>
  <c r="D14" i="11" s="1"/>
  <c r="P21" i="4"/>
  <c r="E14" i="11" s="1"/>
  <c r="N21" i="4"/>
  <c r="C14" i="11" s="1"/>
  <c r="M21" i="4"/>
  <c r="B14" i="11" s="1"/>
  <c r="C21" i="6"/>
  <c r="J22" i="4"/>
  <c r="K22" i="4" s="1"/>
  <c r="B25" i="4"/>
  <c r="B24" i="6"/>
  <c r="B24" i="3"/>
  <c r="C24" i="3" s="1"/>
  <c r="H22" i="3"/>
  <c r="J16" i="5" s="1"/>
  <c r="D23" i="3"/>
  <c r="I22" i="3"/>
  <c r="K16" i="5" s="1"/>
  <c r="F22" i="3"/>
  <c r="H16" i="5" s="1"/>
  <c r="G22" i="3"/>
  <c r="I16" i="5" s="1"/>
  <c r="F23" i="4"/>
  <c r="C16" i="5" s="1"/>
  <c r="H23" i="4"/>
  <c r="E16" i="5" s="1"/>
  <c r="E23" i="4"/>
  <c r="B16" i="5" s="1"/>
  <c r="C24" i="4"/>
  <c r="G23" i="4"/>
  <c r="D16" i="5" s="1"/>
  <c r="K15" i="11" l="1"/>
  <c r="H15" i="11"/>
  <c r="I15" i="11"/>
  <c r="J15" i="11"/>
  <c r="M22" i="4"/>
  <c r="B15" i="11" s="1"/>
  <c r="P22" i="4"/>
  <c r="E15" i="11" s="1"/>
  <c r="O22" i="4"/>
  <c r="D15" i="11" s="1"/>
  <c r="N22" i="4"/>
  <c r="C15" i="11" s="1"/>
  <c r="C22" i="6"/>
  <c r="J23" i="4"/>
  <c r="K23" i="4" s="1"/>
  <c r="H24" i="4"/>
  <c r="E17" i="5" s="1"/>
  <c r="G24" i="4"/>
  <c r="D17" i="5" s="1"/>
  <c r="F24" i="4"/>
  <c r="C17" i="5" s="1"/>
  <c r="C25" i="4"/>
  <c r="E24" i="4"/>
  <c r="B17" i="5" s="1"/>
  <c r="D24" i="3"/>
  <c r="G23" i="3"/>
  <c r="I17" i="5" s="1"/>
  <c r="F23" i="3"/>
  <c r="H17" i="5" s="1"/>
  <c r="I23" i="3"/>
  <c r="K17" i="5" s="1"/>
  <c r="H23" i="3"/>
  <c r="J17" i="5" s="1"/>
  <c r="B26" i="4"/>
  <c r="B25" i="3"/>
  <c r="C25" i="3" s="1"/>
  <c r="B25" i="6"/>
  <c r="I16" i="11" l="1"/>
  <c r="H16" i="11"/>
  <c r="J16" i="11"/>
  <c r="K16" i="11"/>
  <c r="P23" i="4"/>
  <c r="E16" i="11" s="1"/>
  <c r="M23" i="4"/>
  <c r="B16" i="11" s="1"/>
  <c r="O23" i="4"/>
  <c r="D16" i="11" s="1"/>
  <c r="N23" i="4"/>
  <c r="C16" i="11" s="1"/>
  <c r="C23" i="6"/>
  <c r="J24" i="4"/>
  <c r="K24" i="4" s="1"/>
  <c r="E25" i="4"/>
  <c r="B18" i="5" s="1"/>
  <c r="C26" i="4"/>
  <c r="F25" i="4"/>
  <c r="C18" i="5" s="1"/>
  <c r="G25" i="4"/>
  <c r="D18" i="5" s="1"/>
  <c r="H25" i="4"/>
  <c r="E18" i="5" s="1"/>
  <c r="F24" i="3"/>
  <c r="H18" i="5" s="1"/>
  <c r="H24" i="3"/>
  <c r="J18" i="5" s="1"/>
  <c r="D25" i="3"/>
  <c r="G24" i="3"/>
  <c r="I18" i="5" s="1"/>
  <c r="I24" i="3"/>
  <c r="K18" i="5" s="1"/>
  <c r="B27" i="4"/>
  <c r="B26" i="6"/>
  <c r="B26" i="3"/>
  <c r="C26" i="3" s="1"/>
  <c r="I17" i="11" l="1"/>
  <c r="J17" i="11"/>
  <c r="K17" i="11"/>
  <c r="H17" i="11"/>
  <c r="N24" i="4"/>
  <c r="C17" i="11" s="1"/>
  <c r="M24" i="4"/>
  <c r="B17" i="11" s="1"/>
  <c r="P24" i="4"/>
  <c r="E17" i="11" s="1"/>
  <c r="O24" i="4"/>
  <c r="D17" i="11" s="1"/>
  <c r="C24" i="6"/>
  <c r="J25" i="4"/>
  <c r="K25" i="4" s="1"/>
  <c r="B27" i="6"/>
  <c r="B27" i="3"/>
  <c r="C27" i="3" s="1"/>
  <c r="B28" i="4"/>
  <c r="I25" i="3"/>
  <c r="D26" i="3"/>
  <c r="G25" i="3"/>
  <c r="I19" i="5" s="1"/>
  <c r="F25" i="3"/>
  <c r="H19" i="5" s="1"/>
  <c r="H25" i="3"/>
  <c r="J19" i="5" s="1"/>
  <c r="E26" i="4"/>
  <c r="B19" i="5" s="1"/>
  <c r="F26" i="4"/>
  <c r="C19" i="5" s="1"/>
  <c r="G26" i="4"/>
  <c r="D19" i="5" s="1"/>
  <c r="C27" i="4"/>
  <c r="K19" i="5"/>
  <c r="H26" i="4"/>
  <c r="E19" i="5" s="1"/>
  <c r="H18" i="11" l="1"/>
  <c r="J18" i="11"/>
  <c r="I18" i="11"/>
  <c r="K18" i="11"/>
  <c r="N25" i="4"/>
  <c r="C18" i="11" s="1"/>
  <c r="M25" i="4"/>
  <c r="B18" i="11" s="1"/>
  <c r="P25" i="4"/>
  <c r="E18" i="11" s="1"/>
  <c r="O25" i="4"/>
  <c r="D18" i="11" s="1"/>
  <c r="C25" i="6"/>
  <c r="J26" i="4"/>
  <c r="K26" i="4" s="1"/>
  <c r="G27" i="4"/>
  <c r="D20" i="5" s="1"/>
  <c r="E27" i="4"/>
  <c r="B20" i="5" s="1"/>
  <c r="F27" i="4"/>
  <c r="C20" i="5" s="1"/>
  <c r="H27" i="4"/>
  <c r="E20" i="5" s="1"/>
  <c r="C28" i="4"/>
  <c r="D27" i="3"/>
  <c r="G26" i="3"/>
  <c r="I20" i="5" s="1"/>
  <c r="H26" i="3"/>
  <c r="J20" i="5" s="1"/>
  <c r="I26" i="3"/>
  <c r="K20" i="5" s="1"/>
  <c r="F26" i="3"/>
  <c r="H20" i="5" s="1"/>
  <c r="B29" i="4"/>
  <c r="B28" i="3"/>
  <c r="C28" i="3" s="1"/>
  <c r="B28" i="6"/>
  <c r="K19" i="11" l="1"/>
  <c r="I19" i="11"/>
  <c r="J19" i="11"/>
  <c r="H19" i="11"/>
  <c r="N26" i="4"/>
  <c r="C19" i="11" s="1"/>
  <c r="P26" i="4"/>
  <c r="E19" i="11" s="1"/>
  <c r="M26" i="4"/>
  <c r="B19" i="11" s="1"/>
  <c r="O26" i="4"/>
  <c r="D19" i="11" s="1"/>
  <c r="C26" i="6"/>
  <c r="J27" i="4"/>
  <c r="K27" i="4" s="1"/>
  <c r="I27" i="3"/>
  <c r="K21" i="5" s="1"/>
  <c r="G27" i="3"/>
  <c r="I21" i="5" s="1"/>
  <c r="D28" i="3"/>
  <c r="F27" i="3"/>
  <c r="H21" i="5" s="1"/>
  <c r="H27" i="3"/>
  <c r="J21" i="5" s="1"/>
  <c r="B29" i="3"/>
  <c r="C29" i="3" s="1"/>
  <c r="B30" i="4"/>
  <c r="B29" i="6"/>
  <c r="E28" i="4"/>
  <c r="B21" i="5" s="1"/>
  <c r="H28" i="4"/>
  <c r="E21" i="5" s="1"/>
  <c r="C29" i="4"/>
  <c r="F28" i="4"/>
  <c r="C21" i="5" s="1"/>
  <c r="G28" i="4"/>
  <c r="D21" i="5" s="1"/>
  <c r="I20" i="11" l="1"/>
  <c r="J20" i="11"/>
  <c r="K20" i="11"/>
  <c r="H20" i="11"/>
  <c r="O27" i="4"/>
  <c r="D20" i="11" s="1"/>
  <c r="M27" i="4"/>
  <c r="B20" i="11" s="1"/>
  <c r="N27" i="4"/>
  <c r="C20" i="11" s="1"/>
  <c r="P27" i="4"/>
  <c r="E20" i="11" s="1"/>
  <c r="C27" i="6"/>
  <c r="J28" i="4"/>
  <c r="K28" i="4" s="1"/>
  <c r="C30" i="4"/>
  <c r="H29" i="4"/>
  <c r="E22" i="5" s="1"/>
  <c r="G29" i="4"/>
  <c r="D22" i="5" s="1"/>
  <c r="E29" i="4"/>
  <c r="B22" i="5" s="1"/>
  <c r="F29" i="4"/>
  <c r="C22" i="5" s="1"/>
  <c r="H28" i="3"/>
  <c r="J22" i="5" s="1"/>
  <c r="F28" i="3"/>
  <c r="H22" i="5" s="1"/>
  <c r="G28" i="3"/>
  <c r="I22" i="5" s="1"/>
  <c r="I28" i="3"/>
  <c r="K22" i="5" s="1"/>
  <c r="D29" i="3"/>
  <c r="B30" i="3"/>
  <c r="C30" i="3" s="1"/>
  <c r="B31" i="4"/>
  <c r="B30" i="6"/>
  <c r="I21" i="11" l="1"/>
  <c r="J21" i="11"/>
  <c r="H21" i="11"/>
  <c r="K21" i="11"/>
  <c r="P28" i="4"/>
  <c r="E21" i="11" s="1"/>
  <c r="O28" i="4"/>
  <c r="D21" i="11" s="1"/>
  <c r="N28" i="4"/>
  <c r="C21" i="11" s="1"/>
  <c r="M28" i="4"/>
  <c r="B21" i="11" s="1"/>
  <c r="C28" i="6"/>
  <c r="J29" i="4"/>
  <c r="K29" i="4" s="1"/>
  <c r="F30" i="4"/>
  <c r="C23" i="5" s="1"/>
  <c r="H30" i="4"/>
  <c r="E23" i="5" s="1"/>
  <c r="G30" i="4"/>
  <c r="D23" i="5" s="1"/>
  <c r="C31" i="4"/>
  <c r="E30" i="4"/>
  <c r="B23" i="5" s="1"/>
  <c r="H29" i="3"/>
  <c r="J23" i="5" s="1"/>
  <c r="D30" i="3"/>
  <c r="F29" i="3"/>
  <c r="H23" i="5" s="1"/>
  <c r="I29" i="3"/>
  <c r="K23" i="5" s="1"/>
  <c r="G29" i="3"/>
  <c r="I23" i="5" s="1"/>
  <c r="B31" i="6"/>
  <c r="B31" i="3"/>
  <c r="C31" i="3" s="1"/>
  <c r="B32" i="4"/>
  <c r="J22" i="11" l="1"/>
  <c r="H22" i="11"/>
  <c r="K22" i="11"/>
  <c r="I22" i="11"/>
  <c r="N29" i="4"/>
  <c r="C22" i="11" s="1"/>
  <c r="P29" i="4"/>
  <c r="E22" i="11" s="1"/>
  <c r="O29" i="4"/>
  <c r="D22" i="11" s="1"/>
  <c r="M29" i="4"/>
  <c r="B22" i="11" s="1"/>
  <c r="C29" i="6"/>
  <c r="J30" i="4"/>
  <c r="K30" i="4" s="1"/>
  <c r="B33" i="4"/>
  <c r="B32" i="6"/>
  <c r="B32" i="3"/>
  <c r="C32" i="3" s="1"/>
  <c r="G31" i="4"/>
  <c r="D24" i="5" s="1"/>
  <c r="H31" i="4"/>
  <c r="E24" i="5" s="1"/>
  <c r="E31" i="4"/>
  <c r="B24" i="5" s="1"/>
  <c r="C32" i="4"/>
  <c r="F31" i="4"/>
  <c r="C24" i="5" s="1"/>
  <c r="I30" i="3"/>
  <c r="K24" i="5" s="1"/>
  <c r="D31" i="3"/>
  <c r="F30" i="3"/>
  <c r="H24" i="5" s="1"/>
  <c r="H30" i="3"/>
  <c r="J24" i="5" s="1"/>
  <c r="G30" i="3"/>
  <c r="I24" i="5" s="1"/>
  <c r="H23" i="11" l="1"/>
  <c r="I23" i="11"/>
  <c r="K23" i="11"/>
  <c r="J23" i="11"/>
  <c r="M30" i="4"/>
  <c r="B23" i="11" s="1"/>
  <c r="O30" i="4"/>
  <c r="D23" i="11" s="1"/>
  <c r="N30" i="4"/>
  <c r="C23" i="11" s="1"/>
  <c r="P30" i="4"/>
  <c r="E23" i="11" s="1"/>
  <c r="C30" i="6"/>
  <c r="J31" i="4"/>
  <c r="K31" i="4" s="1"/>
  <c r="I31" i="3"/>
  <c r="K25" i="5" s="1"/>
  <c r="D32" i="3"/>
  <c r="H31" i="3"/>
  <c r="J25" i="5" s="1"/>
  <c r="F31" i="3"/>
  <c r="H25" i="5" s="1"/>
  <c r="G31" i="3"/>
  <c r="I25" i="5" s="1"/>
  <c r="F32" i="4"/>
  <c r="C25" i="5" s="1"/>
  <c r="E32" i="4"/>
  <c r="B25" i="5" s="1"/>
  <c r="C33" i="4"/>
  <c r="H32" i="4"/>
  <c r="E25" i="5" s="1"/>
  <c r="G32" i="4"/>
  <c r="D25" i="5" s="1"/>
  <c r="B34" i="4"/>
  <c r="B33" i="3"/>
  <c r="C33" i="3" s="1"/>
  <c r="B33" i="6"/>
  <c r="H24" i="11" l="1"/>
  <c r="I24" i="11"/>
  <c r="J24" i="11"/>
  <c r="K24" i="11"/>
  <c r="M31" i="4"/>
  <c r="B24" i="11" s="1"/>
  <c r="P31" i="4"/>
  <c r="E24" i="11" s="1"/>
  <c r="O31" i="4"/>
  <c r="D24" i="11" s="1"/>
  <c r="N31" i="4"/>
  <c r="C24" i="11" s="1"/>
  <c r="C31" i="6"/>
  <c r="J32" i="4"/>
  <c r="K32" i="4" s="1"/>
  <c r="G33" i="4"/>
  <c r="D26" i="5" s="1"/>
  <c r="F33" i="4"/>
  <c r="C26" i="5" s="1"/>
  <c r="C34" i="4"/>
  <c r="H33" i="4"/>
  <c r="E26" i="5" s="1"/>
  <c r="J26" i="5"/>
  <c r="E33" i="4"/>
  <c r="B26" i="5" s="1"/>
  <c r="I32" i="3"/>
  <c r="K26" i="5" s="1"/>
  <c r="F32" i="3"/>
  <c r="H26" i="5" s="1"/>
  <c r="G32" i="3"/>
  <c r="I26" i="5" s="1"/>
  <c r="D33" i="3"/>
  <c r="H32" i="3"/>
  <c r="B34" i="6"/>
  <c r="B34" i="3"/>
  <c r="C34" i="3" s="1"/>
  <c r="B35" i="4"/>
  <c r="I25" i="11" l="1"/>
  <c r="J25" i="11"/>
  <c r="K25" i="11"/>
  <c r="H25" i="11"/>
  <c r="N32" i="4"/>
  <c r="C25" i="11" s="1"/>
  <c r="P32" i="4"/>
  <c r="E25" i="11" s="1"/>
  <c r="O32" i="4"/>
  <c r="D25" i="11" s="1"/>
  <c r="M32" i="4"/>
  <c r="B25" i="11" s="1"/>
  <c r="C32" i="6"/>
  <c r="J33" i="4"/>
  <c r="K33" i="4" s="1"/>
  <c r="H34" i="4"/>
  <c r="E27" i="5" s="1"/>
  <c r="F34" i="4"/>
  <c r="C27" i="5" s="1"/>
  <c r="G34" i="4"/>
  <c r="D27" i="5" s="1"/>
  <c r="E34" i="4"/>
  <c r="B27" i="5" s="1"/>
  <c r="C35" i="4"/>
  <c r="B35" i="6"/>
  <c r="B35" i="3"/>
  <c r="C35" i="3" s="1"/>
  <c r="B36" i="4"/>
  <c r="H33" i="3"/>
  <c r="J27" i="5" s="1"/>
  <c r="I33" i="3"/>
  <c r="K27" i="5" s="1"/>
  <c r="D34" i="3"/>
  <c r="F33" i="3"/>
  <c r="H27" i="5" s="1"/>
  <c r="G33" i="3"/>
  <c r="I27" i="5" s="1"/>
  <c r="I26" i="11" l="1"/>
  <c r="J26" i="11"/>
  <c r="H26" i="11"/>
  <c r="K26" i="11"/>
  <c r="N33" i="4"/>
  <c r="C26" i="11" s="1"/>
  <c r="M33" i="4"/>
  <c r="B26" i="11" s="1"/>
  <c r="P33" i="4"/>
  <c r="E26" i="11" s="1"/>
  <c r="O33" i="4"/>
  <c r="D26" i="11" s="1"/>
  <c r="C33" i="6"/>
  <c r="J34" i="4"/>
  <c r="K34" i="4" s="1"/>
  <c r="H35" i="4"/>
  <c r="E28" i="5" s="1"/>
  <c r="F35" i="4"/>
  <c r="C28" i="5" s="1"/>
  <c r="C36" i="4"/>
  <c r="G35" i="4"/>
  <c r="D28" i="5" s="1"/>
  <c r="E35" i="4"/>
  <c r="B28" i="5" s="1"/>
  <c r="H34" i="3"/>
  <c r="J28" i="5" s="1"/>
  <c r="F34" i="3"/>
  <c r="H28" i="5" s="1"/>
  <c r="D35" i="3"/>
  <c r="G34" i="3"/>
  <c r="I28" i="5" s="1"/>
  <c r="I34" i="3"/>
  <c r="K28" i="5" s="1"/>
  <c r="B36" i="6"/>
  <c r="B36" i="3"/>
  <c r="C36" i="3" s="1"/>
  <c r="B37" i="4"/>
  <c r="K27" i="11" l="1"/>
  <c r="I27" i="11"/>
  <c r="J27" i="11"/>
  <c r="H27" i="11"/>
  <c r="M34" i="4"/>
  <c r="B27" i="11" s="1"/>
  <c r="P34" i="4"/>
  <c r="E27" i="11" s="1"/>
  <c r="N34" i="4"/>
  <c r="C27" i="11" s="1"/>
  <c r="O34" i="4"/>
  <c r="D27" i="11" s="1"/>
  <c r="C34" i="6"/>
  <c r="J35" i="4"/>
  <c r="K35" i="4" s="1"/>
  <c r="F35" i="3"/>
  <c r="H29" i="5" s="1"/>
  <c r="D36" i="3"/>
  <c r="G35" i="3"/>
  <c r="I29" i="5" s="1"/>
  <c r="H35" i="3"/>
  <c r="J29" i="5" s="1"/>
  <c r="I35" i="3"/>
  <c r="K29" i="5" s="1"/>
  <c r="B38" i="4"/>
  <c r="B37" i="6"/>
  <c r="B37" i="3"/>
  <c r="C37" i="3" s="1"/>
  <c r="E36" i="4"/>
  <c r="B29" i="5" s="1"/>
  <c r="G36" i="4"/>
  <c r="D29" i="5" s="1"/>
  <c r="F36" i="4"/>
  <c r="C29" i="5" s="1"/>
  <c r="C37" i="4"/>
  <c r="H36" i="4"/>
  <c r="E29" i="5" s="1"/>
  <c r="I28" i="11" l="1"/>
  <c r="J28" i="11"/>
  <c r="K28" i="11"/>
  <c r="H28" i="11"/>
  <c r="O35" i="4"/>
  <c r="D28" i="11" s="1"/>
  <c r="N35" i="4"/>
  <c r="C28" i="11" s="1"/>
  <c r="M35" i="4"/>
  <c r="B28" i="11" s="1"/>
  <c r="P35" i="4"/>
  <c r="E28" i="11" s="1"/>
  <c r="C35" i="6"/>
  <c r="J36" i="4"/>
  <c r="K36" i="4" s="1"/>
  <c r="E37" i="4"/>
  <c r="B30" i="5" s="1"/>
  <c r="G37" i="4"/>
  <c r="D30" i="5" s="1"/>
  <c r="C38" i="4"/>
  <c r="H37" i="4"/>
  <c r="E30" i="5" s="1"/>
  <c r="F37" i="4"/>
  <c r="C30" i="5" s="1"/>
  <c r="B39" i="4"/>
  <c r="B38" i="6"/>
  <c r="B38" i="3"/>
  <c r="C38" i="3" s="1"/>
  <c r="I36" i="3"/>
  <c r="K30" i="5" s="1"/>
  <c r="F36" i="3"/>
  <c r="H30" i="5" s="1"/>
  <c r="G36" i="3"/>
  <c r="I30" i="5" s="1"/>
  <c r="H36" i="3"/>
  <c r="J30" i="5" s="1"/>
  <c r="D37" i="3"/>
  <c r="J29" i="11" l="1"/>
  <c r="I29" i="11"/>
  <c r="K29" i="11"/>
  <c r="H29" i="11"/>
  <c r="P36" i="4"/>
  <c r="E29" i="11" s="1"/>
  <c r="O36" i="4"/>
  <c r="D29" i="11" s="1"/>
  <c r="N36" i="4"/>
  <c r="C29" i="11" s="1"/>
  <c r="M36" i="4"/>
  <c r="B29" i="11" s="1"/>
  <c r="C36" i="6"/>
  <c r="J37" i="4"/>
  <c r="K37" i="4" s="1"/>
  <c r="G38" i="4"/>
  <c r="D31" i="5" s="1"/>
  <c r="C39" i="4"/>
  <c r="E38" i="4"/>
  <c r="B31" i="5" s="1"/>
  <c r="F38" i="4"/>
  <c r="C31" i="5" s="1"/>
  <c r="H38" i="4"/>
  <c r="E31" i="5" s="1"/>
  <c r="B40" i="4"/>
  <c r="B39" i="3"/>
  <c r="C39" i="3" s="1"/>
  <c r="B39" i="6"/>
  <c r="H37" i="3"/>
  <c r="J31" i="5" s="1"/>
  <c r="I37" i="3"/>
  <c r="K31" i="5" s="1"/>
  <c r="G37" i="3"/>
  <c r="I31" i="5" s="1"/>
  <c r="D38" i="3"/>
  <c r="F37" i="3"/>
  <c r="H31" i="5" s="1"/>
  <c r="J30" i="11" l="1"/>
  <c r="H30" i="11"/>
  <c r="K30" i="11"/>
  <c r="I30" i="11"/>
  <c r="P37" i="4"/>
  <c r="E30" i="11" s="1"/>
  <c r="O37" i="4"/>
  <c r="D30" i="11" s="1"/>
  <c r="N37" i="4"/>
  <c r="C30" i="11" s="1"/>
  <c r="M37" i="4"/>
  <c r="B30" i="11" s="1"/>
  <c r="C37" i="6"/>
  <c r="J38" i="4"/>
  <c r="K38" i="4" s="1"/>
  <c r="I38" i="3"/>
  <c r="G38" i="3"/>
  <c r="I32" i="5" s="1"/>
  <c r="D39" i="3"/>
  <c r="F38" i="3"/>
  <c r="H38" i="3"/>
  <c r="J32" i="5" s="1"/>
  <c r="B40" i="6"/>
  <c r="B41" i="4"/>
  <c r="B40" i="3"/>
  <c r="C40" i="3" s="1"/>
  <c r="K32" i="5"/>
  <c r="C40" i="4"/>
  <c r="F39" i="4"/>
  <c r="C32" i="5" s="1"/>
  <c r="G39" i="4"/>
  <c r="D32" i="5" s="1"/>
  <c r="H39" i="4"/>
  <c r="E32" i="5" s="1"/>
  <c r="H32" i="5"/>
  <c r="E39" i="4"/>
  <c r="B32" i="5" s="1"/>
  <c r="K31" i="11" l="1"/>
  <c r="H31" i="11"/>
  <c r="I31" i="11"/>
  <c r="J31" i="11"/>
  <c r="M38" i="4"/>
  <c r="B31" i="11" s="1"/>
  <c r="P38" i="4"/>
  <c r="E31" i="11" s="1"/>
  <c r="O38" i="4"/>
  <c r="D31" i="11" s="1"/>
  <c r="N38" i="4"/>
  <c r="C31" i="11" s="1"/>
  <c r="C38" i="6"/>
  <c r="J39" i="4"/>
  <c r="K39" i="4" s="1"/>
  <c r="B41" i="3"/>
  <c r="C41" i="3" s="1"/>
  <c r="B42" i="4"/>
  <c r="B41" i="6"/>
  <c r="G39" i="3"/>
  <c r="I33" i="5" s="1"/>
  <c r="H39" i="3"/>
  <c r="J33" i="5" s="1"/>
  <c r="I39" i="3"/>
  <c r="K33" i="5" s="1"/>
  <c r="F39" i="3"/>
  <c r="H33" i="5" s="1"/>
  <c r="D40" i="3"/>
  <c r="F40" i="4"/>
  <c r="C33" i="5" s="1"/>
  <c r="G40" i="4"/>
  <c r="D33" i="5" s="1"/>
  <c r="H40" i="4"/>
  <c r="E33" i="5" s="1"/>
  <c r="C41" i="4"/>
  <c r="E40" i="4"/>
  <c r="B33" i="5" s="1"/>
  <c r="H32" i="11" l="1"/>
  <c r="I32" i="11"/>
  <c r="J32" i="11"/>
  <c r="K32" i="11"/>
  <c r="O39" i="4"/>
  <c r="D32" i="11" s="1"/>
  <c r="M39" i="4"/>
  <c r="B32" i="11" s="1"/>
  <c r="P39" i="4"/>
  <c r="E32" i="11" s="1"/>
  <c r="N39" i="4"/>
  <c r="C32" i="11" s="1"/>
  <c r="C39" i="6"/>
  <c r="J40" i="4"/>
  <c r="K40" i="4" s="1"/>
  <c r="G40" i="3"/>
  <c r="I34" i="5" s="1"/>
  <c r="I40" i="3"/>
  <c r="K34" i="5" s="1"/>
  <c r="D41" i="3"/>
  <c r="F40" i="3"/>
  <c r="H34" i="5" s="1"/>
  <c r="H40" i="3"/>
  <c r="J34" i="5" s="1"/>
  <c r="F41" i="4"/>
  <c r="C34" i="5" s="1"/>
  <c r="G41" i="4"/>
  <c r="D34" i="5" s="1"/>
  <c r="H41" i="4"/>
  <c r="E34" i="5" s="1"/>
  <c r="C42" i="4"/>
  <c r="E41" i="4"/>
  <c r="B34" i="5" s="1"/>
  <c r="B43" i="4"/>
  <c r="B42" i="6"/>
  <c r="B42" i="3"/>
  <c r="C42" i="3" s="1"/>
  <c r="I33" i="11" l="1"/>
  <c r="J33" i="11"/>
  <c r="K33" i="11"/>
  <c r="H33" i="11"/>
  <c r="N40" i="4"/>
  <c r="C33" i="11" s="1"/>
  <c r="O40" i="4"/>
  <c r="D33" i="11" s="1"/>
  <c r="M40" i="4"/>
  <c r="B33" i="11" s="1"/>
  <c r="P40" i="4"/>
  <c r="E33" i="11" s="1"/>
  <c r="C40" i="6"/>
  <c r="J41" i="4"/>
  <c r="K41" i="4" s="1"/>
  <c r="B44" i="4"/>
  <c r="B43" i="3"/>
  <c r="C43" i="3" s="1"/>
  <c r="B43" i="6"/>
  <c r="E42" i="4"/>
  <c r="B35" i="5" s="1"/>
  <c r="H42" i="4"/>
  <c r="E35" i="5" s="1"/>
  <c r="C43" i="4"/>
  <c r="F42" i="4"/>
  <c r="C35" i="5" s="1"/>
  <c r="G42" i="4"/>
  <c r="D35" i="5" s="1"/>
  <c r="D42" i="3"/>
  <c r="G41" i="3"/>
  <c r="I35" i="5" s="1"/>
  <c r="H41" i="3"/>
  <c r="J35" i="5" s="1"/>
  <c r="I41" i="3"/>
  <c r="K35" i="5" s="1"/>
  <c r="F41" i="3"/>
  <c r="H35" i="5" s="1"/>
  <c r="H34" i="11" l="1"/>
  <c r="J34" i="11"/>
  <c r="I34" i="11"/>
  <c r="K34" i="11"/>
  <c r="M41" i="4"/>
  <c r="B34" i="11" s="1"/>
  <c r="P41" i="4"/>
  <c r="E34" i="11" s="1"/>
  <c r="O41" i="4"/>
  <c r="D34" i="11" s="1"/>
  <c r="N41" i="4"/>
  <c r="C34" i="11" s="1"/>
  <c r="C41" i="6"/>
  <c r="J42" i="4"/>
  <c r="K42" i="4" s="1"/>
  <c r="G42" i="3"/>
  <c r="I36" i="5" s="1"/>
  <c r="H42" i="3"/>
  <c r="J36" i="5" s="1"/>
  <c r="I42" i="3"/>
  <c r="D43" i="3"/>
  <c r="F42" i="3"/>
  <c r="H36" i="5" s="1"/>
  <c r="B44" i="6"/>
  <c r="B44" i="3"/>
  <c r="C44" i="3" s="1"/>
  <c r="B45" i="4"/>
  <c r="G43" i="4"/>
  <c r="D36" i="5" s="1"/>
  <c r="C44" i="4"/>
  <c r="E43" i="4"/>
  <c r="B36" i="5" s="1"/>
  <c r="H43" i="4"/>
  <c r="E36" i="5" s="1"/>
  <c r="K36" i="5"/>
  <c r="F43" i="4"/>
  <c r="C36" i="5" s="1"/>
  <c r="K35" i="11" l="1"/>
  <c r="H35" i="11"/>
  <c r="I35" i="11"/>
  <c r="J35" i="11"/>
  <c r="N42" i="4"/>
  <c r="C35" i="11" s="1"/>
  <c r="M42" i="4"/>
  <c r="B35" i="11" s="1"/>
  <c r="P42" i="4"/>
  <c r="E35" i="11" s="1"/>
  <c r="O42" i="4"/>
  <c r="D35" i="11" s="1"/>
  <c r="C42" i="6"/>
  <c r="J43" i="4"/>
  <c r="K43" i="4" s="1"/>
  <c r="B45" i="6"/>
  <c r="B46" i="4"/>
  <c r="B45" i="3"/>
  <c r="C45" i="3" s="1"/>
  <c r="C45" i="4"/>
  <c r="E44" i="4"/>
  <c r="B37" i="5" s="1"/>
  <c r="H44" i="4"/>
  <c r="E37" i="5" s="1"/>
  <c r="F44" i="4"/>
  <c r="C37" i="5" s="1"/>
  <c r="G44" i="4"/>
  <c r="D37" i="5" s="1"/>
  <c r="G43" i="3"/>
  <c r="I37" i="5" s="1"/>
  <c r="H43" i="3"/>
  <c r="J37" i="5" s="1"/>
  <c r="I43" i="3"/>
  <c r="K37" i="5" s="1"/>
  <c r="D44" i="3"/>
  <c r="F43" i="3"/>
  <c r="H37" i="5" s="1"/>
  <c r="I36" i="11" l="1"/>
  <c r="J36" i="11"/>
  <c r="K36" i="11"/>
  <c r="H36" i="11"/>
  <c r="O43" i="4"/>
  <c r="D36" i="11" s="1"/>
  <c r="M43" i="4"/>
  <c r="B36" i="11" s="1"/>
  <c r="N43" i="4"/>
  <c r="C36" i="11" s="1"/>
  <c r="P43" i="4"/>
  <c r="E36" i="11" s="1"/>
  <c r="C43" i="6"/>
  <c r="J44" i="4"/>
  <c r="K44" i="4" s="1"/>
  <c r="G44" i="3"/>
  <c r="I38" i="5" s="1"/>
  <c r="F44" i="3"/>
  <c r="H44" i="3"/>
  <c r="D45" i="3"/>
  <c r="I44" i="3"/>
  <c r="G45" i="4"/>
  <c r="D38" i="5" s="1"/>
  <c r="E45" i="4"/>
  <c r="B38" i="5" s="1"/>
  <c r="C46" i="4"/>
  <c r="H45" i="4"/>
  <c r="E38" i="5" s="1"/>
  <c r="H38" i="5"/>
  <c r="J38" i="5"/>
  <c r="F45" i="4"/>
  <c r="C38" i="5" s="1"/>
  <c r="K38" i="5"/>
  <c r="B46" i="3"/>
  <c r="C46" i="3" s="1"/>
  <c r="B46" i="6"/>
  <c r="B47" i="4"/>
  <c r="J37" i="11" l="1"/>
  <c r="I37" i="11"/>
  <c r="K37" i="11"/>
  <c r="H37" i="11"/>
  <c r="P44" i="4"/>
  <c r="E37" i="11" s="1"/>
  <c r="O44" i="4"/>
  <c r="D37" i="11" s="1"/>
  <c r="N44" i="4"/>
  <c r="C37" i="11" s="1"/>
  <c r="M44" i="4"/>
  <c r="B37" i="11" s="1"/>
  <c r="C44" i="6"/>
  <c r="J45" i="4"/>
  <c r="K45" i="4" s="1"/>
  <c r="B47" i="3"/>
  <c r="C47" i="3" s="1"/>
  <c r="B48" i="4"/>
  <c r="B47" i="6"/>
  <c r="D46" i="3"/>
  <c r="I45" i="3"/>
  <c r="K39" i="5" s="1"/>
  <c r="G45" i="3"/>
  <c r="I39" i="5" s="1"/>
  <c r="H45" i="3"/>
  <c r="J39" i="5" s="1"/>
  <c r="F45" i="3"/>
  <c r="H39" i="5" s="1"/>
  <c r="F46" i="4"/>
  <c r="C39" i="5" s="1"/>
  <c r="G46" i="4"/>
  <c r="D39" i="5" s="1"/>
  <c r="E46" i="4"/>
  <c r="B39" i="5" s="1"/>
  <c r="H46" i="4"/>
  <c r="E39" i="5" s="1"/>
  <c r="C47" i="4"/>
  <c r="J38" i="11" l="1"/>
  <c r="H38" i="11"/>
  <c r="K38" i="11"/>
  <c r="I38" i="11"/>
  <c r="O45" i="4"/>
  <c r="D38" i="11" s="1"/>
  <c r="P45" i="4"/>
  <c r="E38" i="11" s="1"/>
  <c r="N45" i="4"/>
  <c r="C38" i="11" s="1"/>
  <c r="M45" i="4"/>
  <c r="B38" i="11" s="1"/>
  <c r="C45" i="6"/>
  <c r="J46" i="4"/>
  <c r="K46" i="4" s="1"/>
  <c r="F46" i="3"/>
  <c r="H40" i="5" s="1"/>
  <c r="H46" i="3"/>
  <c r="J40" i="5" s="1"/>
  <c r="D47" i="3"/>
  <c r="G46" i="3"/>
  <c r="I46" i="3"/>
  <c r="K40" i="5" s="1"/>
  <c r="B48" i="6"/>
  <c r="B49" i="4"/>
  <c r="B48" i="3"/>
  <c r="C48" i="3" s="1"/>
  <c r="E47" i="4"/>
  <c r="B40" i="5" s="1"/>
  <c r="H47" i="4"/>
  <c r="E40" i="5" s="1"/>
  <c r="F47" i="4"/>
  <c r="C40" i="5" s="1"/>
  <c r="C48" i="4"/>
  <c r="I40" i="5"/>
  <c r="G47" i="4"/>
  <c r="D40" i="5" s="1"/>
  <c r="H39" i="11" l="1"/>
  <c r="K39" i="11"/>
  <c r="I39" i="11"/>
  <c r="J39" i="11"/>
  <c r="M46" i="4"/>
  <c r="B39" i="11" s="1"/>
  <c r="N46" i="4"/>
  <c r="C39" i="11" s="1"/>
  <c r="P46" i="4"/>
  <c r="E39" i="11" s="1"/>
  <c r="O46" i="4"/>
  <c r="D39" i="11" s="1"/>
  <c r="C46" i="6"/>
  <c r="J47" i="4"/>
  <c r="K47" i="4" s="1"/>
  <c r="H48" i="4"/>
  <c r="E41" i="5" s="1"/>
  <c r="F48" i="4"/>
  <c r="C41" i="5" s="1"/>
  <c r="C49" i="4"/>
  <c r="G48" i="4"/>
  <c r="D41" i="5" s="1"/>
  <c r="E48" i="4"/>
  <c r="B41" i="5" s="1"/>
  <c r="B49" i="6"/>
  <c r="B50" i="4"/>
  <c r="B49" i="3"/>
  <c r="C49" i="3" s="1"/>
  <c r="I47" i="3"/>
  <c r="K41" i="5" s="1"/>
  <c r="D48" i="3"/>
  <c r="F47" i="3"/>
  <c r="H41" i="5" s="1"/>
  <c r="G47" i="3"/>
  <c r="I41" i="5" s="1"/>
  <c r="H47" i="3"/>
  <c r="J41" i="5" s="1"/>
  <c r="H40" i="11" l="1"/>
  <c r="I40" i="11"/>
  <c r="J40" i="11"/>
  <c r="K40" i="11"/>
  <c r="P47" i="4"/>
  <c r="E40" i="11" s="1"/>
  <c r="M47" i="4"/>
  <c r="B40" i="11" s="1"/>
  <c r="O47" i="4"/>
  <c r="D40" i="11" s="1"/>
  <c r="N47" i="4"/>
  <c r="C40" i="11" s="1"/>
  <c r="C47" i="6"/>
  <c r="J48" i="4"/>
  <c r="K48" i="4" s="1"/>
  <c r="F48" i="3"/>
  <c r="H42" i="5" s="1"/>
  <c r="D49" i="3"/>
  <c r="I48" i="3"/>
  <c r="K42" i="5" s="1"/>
  <c r="G48" i="3"/>
  <c r="I42" i="5" s="1"/>
  <c r="H48" i="3"/>
  <c r="J42" i="5" s="1"/>
  <c r="H49" i="4"/>
  <c r="E42" i="5" s="1"/>
  <c r="F49" i="4"/>
  <c r="C42" i="5" s="1"/>
  <c r="G49" i="4"/>
  <c r="D42" i="5" s="1"/>
  <c r="C50" i="4"/>
  <c r="E49" i="4"/>
  <c r="B42" i="5" s="1"/>
  <c r="B50" i="6"/>
  <c r="B50" i="3"/>
  <c r="C50" i="3" s="1"/>
  <c r="B51" i="4"/>
  <c r="I41" i="11" l="1"/>
  <c r="J41" i="11"/>
  <c r="K41" i="11"/>
  <c r="H41" i="11"/>
  <c r="N48" i="4"/>
  <c r="C41" i="11" s="1"/>
  <c r="M48" i="4"/>
  <c r="B41" i="11" s="1"/>
  <c r="P48" i="4"/>
  <c r="E41" i="11" s="1"/>
  <c r="O48" i="4"/>
  <c r="D41" i="11" s="1"/>
  <c r="C48" i="6"/>
  <c r="J49" i="4"/>
  <c r="K49" i="4" s="1"/>
  <c r="B52" i="4"/>
  <c r="B51" i="3"/>
  <c r="C51" i="3" s="1"/>
  <c r="B51" i="6"/>
  <c r="G50" i="4"/>
  <c r="D43" i="5" s="1"/>
  <c r="E50" i="4"/>
  <c r="B43" i="5" s="1"/>
  <c r="H50" i="4"/>
  <c r="E43" i="5" s="1"/>
  <c r="F50" i="4"/>
  <c r="C43" i="5" s="1"/>
  <c r="C51" i="4"/>
  <c r="H49" i="3"/>
  <c r="J43" i="5" s="1"/>
  <c r="I49" i="3"/>
  <c r="K43" i="5" s="1"/>
  <c r="F49" i="3"/>
  <c r="H43" i="5" s="1"/>
  <c r="D50" i="3"/>
  <c r="G49" i="3"/>
  <c r="I43" i="5" s="1"/>
  <c r="J42" i="11" l="1"/>
  <c r="H42" i="11"/>
  <c r="I42" i="11"/>
  <c r="K42" i="11"/>
  <c r="N49" i="4"/>
  <c r="C42" i="11" s="1"/>
  <c r="M49" i="4"/>
  <c r="B42" i="11" s="1"/>
  <c r="P49" i="4"/>
  <c r="E42" i="11" s="1"/>
  <c r="O49" i="4"/>
  <c r="D42" i="11" s="1"/>
  <c r="C49" i="6"/>
  <c r="J50" i="4"/>
  <c r="K50" i="4" s="1"/>
  <c r="F50" i="3"/>
  <c r="H44" i="5" s="1"/>
  <c r="G50" i="3"/>
  <c r="I44" i="5" s="1"/>
  <c r="I50" i="3"/>
  <c r="K44" i="5" s="1"/>
  <c r="D51" i="3"/>
  <c r="H50" i="3"/>
  <c r="J44" i="5" s="1"/>
  <c r="G51" i="4"/>
  <c r="D44" i="5" s="1"/>
  <c r="C52" i="4"/>
  <c r="E51" i="4"/>
  <c r="B44" i="5" s="1"/>
  <c r="H51" i="4"/>
  <c r="E44" i="5" s="1"/>
  <c r="F51" i="4"/>
  <c r="C44" i="5" s="1"/>
  <c r="B52" i="6"/>
  <c r="B53" i="4"/>
  <c r="B52" i="3"/>
  <c r="C52" i="3" s="1"/>
  <c r="K43" i="11" l="1"/>
  <c r="I43" i="11"/>
  <c r="J43" i="11"/>
  <c r="H43" i="11"/>
  <c r="N50" i="4"/>
  <c r="C43" i="11" s="1"/>
  <c r="P50" i="4"/>
  <c r="E43" i="11" s="1"/>
  <c r="M50" i="4"/>
  <c r="B43" i="11" s="1"/>
  <c r="O50" i="4"/>
  <c r="D43" i="11" s="1"/>
  <c r="C50" i="6"/>
  <c r="J51" i="4"/>
  <c r="K51" i="4" s="1"/>
  <c r="B54" i="4"/>
  <c r="B53" i="6"/>
  <c r="B53" i="3"/>
  <c r="C53" i="3" s="1"/>
  <c r="H51" i="3"/>
  <c r="J45" i="5" s="1"/>
  <c r="D52" i="3"/>
  <c r="G51" i="3"/>
  <c r="I45" i="5" s="1"/>
  <c r="F51" i="3"/>
  <c r="H45" i="5" s="1"/>
  <c r="I51" i="3"/>
  <c r="K45" i="5" s="1"/>
  <c r="F52" i="4"/>
  <c r="C45" i="5" s="1"/>
  <c r="G52" i="4"/>
  <c r="D45" i="5" s="1"/>
  <c r="C53" i="4"/>
  <c r="E52" i="4"/>
  <c r="B45" i="5" s="1"/>
  <c r="H52" i="4"/>
  <c r="E45" i="5" s="1"/>
  <c r="I44" i="11" l="1"/>
  <c r="J44" i="11"/>
  <c r="K44" i="11"/>
  <c r="H44" i="11"/>
  <c r="O51" i="4"/>
  <c r="D44" i="11" s="1"/>
  <c r="M51" i="4"/>
  <c r="B44" i="11" s="1"/>
  <c r="N51" i="4"/>
  <c r="C44" i="11" s="1"/>
  <c r="P51" i="4"/>
  <c r="E44" i="11" s="1"/>
  <c r="C51" i="6"/>
  <c r="J52" i="4"/>
  <c r="K52" i="4" s="1"/>
  <c r="F53" i="4"/>
  <c r="C46" i="5" s="1"/>
  <c r="C54" i="4"/>
  <c r="G53" i="4"/>
  <c r="D46" i="5" s="1"/>
  <c r="E53" i="4"/>
  <c r="B46" i="5" s="1"/>
  <c r="H53" i="4"/>
  <c r="E46" i="5" s="1"/>
  <c r="G52" i="3"/>
  <c r="I46" i="5" s="1"/>
  <c r="I52" i="3"/>
  <c r="K46" i="5" s="1"/>
  <c r="F52" i="3"/>
  <c r="H46" i="5" s="1"/>
  <c r="H52" i="3"/>
  <c r="J46" i="5" s="1"/>
  <c r="D53" i="3"/>
  <c r="B55" i="4"/>
  <c r="B54" i="3"/>
  <c r="C54" i="3" s="1"/>
  <c r="B54" i="6"/>
  <c r="C59" i="5" l="1"/>
  <c r="D59" i="5"/>
  <c r="E59" i="5"/>
  <c r="F59" i="5"/>
  <c r="F65" i="11"/>
  <c r="D74" i="11" s="1"/>
  <c r="C65" i="11"/>
  <c r="E65" i="11"/>
  <c r="D65" i="11"/>
  <c r="C74" i="11" s="1"/>
  <c r="C83" i="11" s="1"/>
  <c r="I45" i="11"/>
  <c r="K45" i="11"/>
  <c r="H45" i="11"/>
  <c r="J45" i="11"/>
  <c r="P52" i="4"/>
  <c r="E45" i="11" s="1"/>
  <c r="N52" i="4"/>
  <c r="C45" i="11" s="1"/>
  <c r="O52" i="4"/>
  <c r="D45" i="11" s="1"/>
  <c r="M52" i="4"/>
  <c r="B45" i="11" s="1"/>
  <c r="C52" i="6"/>
  <c r="J53" i="4"/>
  <c r="K53" i="4" s="1"/>
  <c r="G53" i="3"/>
  <c r="H53" i="3"/>
  <c r="I53" i="3"/>
  <c r="D54" i="3"/>
  <c r="F53" i="3"/>
  <c r="C64" i="11" s="1"/>
  <c r="H47" i="5"/>
  <c r="F54" i="4"/>
  <c r="C55" i="4"/>
  <c r="G54" i="4"/>
  <c r="E54" i="4"/>
  <c r="H54" i="4"/>
  <c r="B55" i="3"/>
  <c r="C55" i="3" s="1"/>
  <c r="B56" i="4"/>
  <c r="B55" i="6"/>
  <c r="E47" i="5" l="1"/>
  <c r="K47" i="5"/>
  <c r="F64" i="11"/>
  <c r="D73" i="11" s="1"/>
  <c r="D47" i="5"/>
  <c r="B47" i="5"/>
  <c r="J47" i="5"/>
  <c r="E64" i="11"/>
  <c r="I47" i="5"/>
  <c r="D64" i="11"/>
  <c r="C73" i="11" s="1"/>
  <c r="C82" i="11" s="1"/>
  <c r="J46" i="11"/>
  <c r="H46" i="11"/>
  <c r="K46" i="11"/>
  <c r="I46" i="11"/>
  <c r="C47" i="5"/>
  <c r="O53" i="4"/>
  <c r="D46" i="11" s="1"/>
  <c r="N53" i="4"/>
  <c r="C46" i="11" s="1"/>
  <c r="P53" i="4"/>
  <c r="E46" i="11" s="1"/>
  <c r="M53" i="4"/>
  <c r="B46" i="11" s="1"/>
  <c r="C53" i="6"/>
  <c r="J54" i="4"/>
  <c r="K54" i="4" s="1"/>
  <c r="G54" i="3"/>
  <c r="I48" i="5" s="1"/>
  <c r="H54" i="3"/>
  <c r="J48" i="5" s="1"/>
  <c r="I54" i="3"/>
  <c r="K48" i="5" s="1"/>
  <c r="D55" i="3"/>
  <c r="F54" i="3"/>
  <c r="H48" i="5" s="1"/>
  <c r="B56" i="6"/>
  <c r="B57" i="4"/>
  <c r="B56" i="3"/>
  <c r="C56" i="3" s="1"/>
  <c r="G55" i="4"/>
  <c r="D48" i="5" s="1"/>
  <c r="E55" i="4"/>
  <c r="B48" i="5" s="1"/>
  <c r="C56" i="4"/>
  <c r="H55" i="4"/>
  <c r="E48" i="5" s="1"/>
  <c r="F55" i="4"/>
  <c r="C48" i="5" s="1"/>
  <c r="D59" i="11" l="1"/>
  <c r="C69" i="11" s="1"/>
  <c r="C78" i="11" s="1"/>
  <c r="B36" i="7" s="1"/>
  <c r="C59" i="11"/>
  <c r="E59" i="11"/>
  <c r="F59" i="11"/>
  <c r="D69" i="11" s="1"/>
  <c r="H47" i="11"/>
  <c r="J47" i="11"/>
  <c r="I47" i="11"/>
  <c r="K47" i="11"/>
  <c r="M54" i="4"/>
  <c r="P54" i="4"/>
  <c r="O54" i="4"/>
  <c r="N54" i="4"/>
  <c r="C54" i="6"/>
  <c r="J55" i="4"/>
  <c r="K55" i="4" s="1"/>
  <c r="B58" i="4"/>
  <c r="B57" i="6"/>
  <c r="B57" i="3"/>
  <c r="C57" i="3" s="1"/>
  <c r="C69" i="5"/>
  <c r="E56" i="4"/>
  <c r="D69" i="5"/>
  <c r="F56" i="4"/>
  <c r="G56" i="4"/>
  <c r="C57" i="4"/>
  <c r="H56" i="4"/>
  <c r="C65" i="5"/>
  <c r="E65" i="5"/>
  <c r="F65" i="5"/>
  <c r="D74" i="5" s="1"/>
  <c r="H55" i="3"/>
  <c r="E64" i="5" s="1"/>
  <c r="G55" i="3"/>
  <c r="D64" i="5" s="1"/>
  <c r="C73" i="5" s="1"/>
  <c r="D65" i="5"/>
  <c r="C74" i="5" s="1"/>
  <c r="F55" i="3"/>
  <c r="C64" i="5" s="1"/>
  <c r="I55" i="3"/>
  <c r="F64" i="5" s="1"/>
  <c r="D73" i="5" s="1"/>
  <c r="D56" i="3"/>
  <c r="C47" i="11" l="1"/>
  <c r="D60" i="11"/>
  <c r="C70" i="11" s="1"/>
  <c r="C79" i="11" s="1"/>
  <c r="B37" i="7" s="1"/>
  <c r="D47" i="11"/>
  <c r="E60" i="11"/>
  <c r="E47" i="11"/>
  <c r="F60" i="11"/>
  <c r="D70" i="11" s="1"/>
  <c r="B47" i="11"/>
  <c r="C60" i="11"/>
  <c r="C78" i="5"/>
  <c r="B24" i="7" s="1"/>
  <c r="H48" i="11"/>
  <c r="K48" i="11"/>
  <c r="I48" i="11"/>
  <c r="J48" i="11"/>
  <c r="C83" i="5"/>
  <c r="B29" i="7" s="1"/>
  <c r="M55" i="4"/>
  <c r="B48" i="11" s="1"/>
  <c r="P55" i="4"/>
  <c r="E48" i="11" s="1"/>
  <c r="O55" i="4"/>
  <c r="D48" i="11" s="1"/>
  <c r="N55" i="4"/>
  <c r="C48" i="11" s="1"/>
  <c r="C55" i="6"/>
  <c r="J56" i="4"/>
  <c r="K56" i="4" s="1"/>
  <c r="C82" i="5"/>
  <c r="H49" i="5"/>
  <c r="E60" i="5"/>
  <c r="D49" i="5"/>
  <c r="G57" i="4"/>
  <c r="D50" i="5" s="1"/>
  <c r="C58" i="4"/>
  <c r="E57" i="4"/>
  <c r="B50" i="5" s="1"/>
  <c r="H57" i="4"/>
  <c r="E50" i="5" s="1"/>
  <c r="F57" i="4"/>
  <c r="C50" i="5" s="1"/>
  <c r="B59" i="4"/>
  <c r="B58" i="3"/>
  <c r="C58" i="3" s="1"/>
  <c r="E49" i="5"/>
  <c r="F60" i="5"/>
  <c r="D70" i="5" s="1"/>
  <c r="C49" i="5"/>
  <c r="D60" i="5"/>
  <c r="C70" i="5" s="1"/>
  <c r="K49" i="5"/>
  <c r="B49" i="5"/>
  <c r="C60" i="5"/>
  <c r="I49" i="5"/>
  <c r="J49" i="5"/>
  <c r="F56" i="3"/>
  <c r="H50" i="5" s="1"/>
  <c r="G56" i="3"/>
  <c r="I50" i="5" s="1"/>
  <c r="I56" i="3"/>
  <c r="K50" i="5" s="1"/>
  <c r="H56" i="3"/>
  <c r="J50" i="5" s="1"/>
  <c r="D57" i="3"/>
  <c r="B41" i="7" l="1"/>
  <c r="C41" i="7" s="1"/>
  <c r="B28" i="7"/>
  <c r="I49" i="11"/>
  <c r="H49" i="11"/>
  <c r="J49" i="11"/>
  <c r="K49" i="11"/>
  <c r="N56" i="4"/>
  <c r="C49" i="11" s="1"/>
  <c r="O56" i="4"/>
  <c r="D49" i="11" s="1"/>
  <c r="M56" i="4"/>
  <c r="B49" i="11" s="1"/>
  <c r="P56" i="4"/>
  <c r="E49" i="11" s="1"/>
  <c r="C56" i="6"/>
  <c r="J57" i="4"/>
  <c r="K57" i="4" s="1"/>
  <c r="C79" i="5"/>
  <c r="B25" i="7" s="1"/>
  <c r="B33" i="7" s="1"/>
  <c r="C33" i="7" s="1"/>
  <c r="F57" i="3"/>
  <c r="H51" i="5" s="1"/>
  <c r="G57" i="3"/>
  <c r="I51" i="5" s="1"/>
  <c r="I57" i="3"/>
  <c r="K51" i="5" s="1"/>
  <c r="H57" i="3"/>
  <c r="J51" i="5" s="1"/>
  <c r="D58" i="3"/>
  <c r="G58" i="4"/>
  <c r="D51" i="5" s="1"/>
  <c r="C59" i="4"/>
  <c r="E58" i="4"/>
  <c r="B51" i="5" s="1"/>
  <c r="H58" i="4"/>
  <c r="E51" i="5" s="1"/>
  <c r="F58" i="4"/>
  <c r="C51" i="5" s="1"/>
  <c r="B32" i="7" l="1"/>
  <c r="C32" i="7" s="1"/>
  <c r="B40" i="7"/>
  <c r="C40" i="7" s="1"/>
  <c r="J50" i="11"/>
  <c r="H50" i="11"/>
  <c r="I50" i="11"/>
  <c r="K50" i="11"/>
  <c r="N57" i="4"/>
  <c r="C50" i="11" s="1"/>
  <c r="M57" i="4"/>
  <c r="B50" i="11" s="1"/>
  <c r="P57" i="4"/>
  <c r="E50" i="11" s="1"/>
  <c r="O57" i="4"/>
  <c r="D50" i="11" s="1"/>
  <c r="C57" i="6"/>
  <c r="J59" i="4" s="1"/>
  <c r="J58" i="4"/>
  <c r="K58" i="4" s="1"/>
  <c r="G59" i="4"/>
  <c r="D52" i="5" s="1"/>
  <c r="E59" i="4"/>
  <c r="B52" i="5" s="1"/>
  <c r="H59" i="4"/>
  <c r="E52" i="5" s="1"/>
  <c r="F59" i="4"/>
  <c r="C52" i="5" s="1"/>
  <c r="G58" i="3"/>
  <c r="I52" i="5" s="1"/>
  <c r="F58" i="3"/>
  <c r="H52" i="5" s="1"/>
  <c r="H58" i="3"/>
  <c r="J52" i="5" s="1"/>
  <c r="I58" i="3"/>
  <c r="K52" i="5" s="1"/>
  <c r="K51" i="11" l="1"/>
  <c r="I51" i="11"/>
  <c r="H51" i="11"/>
  <c r="J51" i="11"/>
  <c r="K59" i="4"/>
  <c r="M58" i="4"/>
  <c r="B51" i="11" s="1"/>
  <c r="N58" i="4"/>
  <c r="C51" i="11" s="1"/>
  <c r="P58" i="4"/>
  <c r="E51" i="11" s="1"/>
  <c r="O58" i="4"/>
  <c r="D51" i="11" s="1"/>
  <c r="K52" i="11" l="1"/>
  <c r="I52" i="11"/>
  <c r="J52" i="11"/>
  <c r="H52" i="11"/>
  <c r="O59" i="4"/>
  <c r="D52" i="11" s="1"/>
  <c r="N59" i="4"/>
  <c r="C52" i="11" s="1"/>
  <c r="M59" i="4"/>
  <c r="B52" i="11" s="1"/>
  <c r="P59" i="4"/>
  <c r="E52" i="11" s="1"/>
</calcChain>
</file>

<file path=xl/sharedStrings.xml><?xml version="1.0" encoding="utf-8"?>
<sst xmlns="http://schemas.openxmlformats.org/spreadsheetml/2006/main" count="423" uniqueCount="222">
  <si>
    <t>Money advice service quote for annuities</t>
  </si>
  <si>
    <t>DC pot</t>
  </si>
  <si>
    <t>Joint linked to RPI</t>
  </si>
  <si>
    <t>Single linked to RPI</t>
  </si>
  <si>
    <t>Assumptions:</t>
  </si>
  <si>
    <t>Retire at 65</t>
  </si>
  <si>
    <t>No guarantee period</t>
  </si>
  <si>
    <t>Indexed to RPI</t>
  </si>
  <si>
    <t>Height</t>
  </si>
  <si>
    <t>Weight</t>
  </si>
  <si>
    <t>Units of alcohol</t>
  </si>
  <si>
    <t>Joint</t>
  </si>
  <si>
    <t>Joint spouse details</t>
  </si>
  <si>
    <t>Waist</t>
  </si>
  <si>
    <t>No health conditions</t>
  </si>
  <si>
    <t>Men</t>
  </si>
  <si>
    <t>Women</t>
  </si>
  <si>
    <t>Female spouse three years younger</t>
  </si>
  <si>
    <t>The spread is -0.53% pa in years 1-10, 2.8% pa in year 11, then assumed to reduce linearly to 1.7% pa over the following 10 years and assumed to stay at 1.7% pa beyond that point. This approach therefore implicitly includes a provision for gradual investment de-risking to take place.</t>
  </si>
  <si>
    <t>The investment returns</t>
  </si>
  <si>
    <t>Linear rate of decrease</t>
  </si>
  <si>
    <t>Income</t>
  </si>
  <si>
    <t>DC pension contribution</t>
  </si>
  <si>
    <t>Annuity income</t>
  </si>
  <si>
    <t>Males</t>
  </si>
  <si>
    <t>Single</t>
  </si>
  <si>
    <t>Females</t>
  </si>
  <si>
    <t>DB benefits</t>
  </si>
  <si>
    <t>Difference in total  value</t>
  </si>
  <si>
    <t>Difference in expected income</t>
  </si>
  <si>
    <t>Annuity income costs + lump sum of 3 times pension</t>
  </si>
  <si>
    <t>USS 50%</t>
  </si>
  <si>
    <t>Male</t>
  </si>
  <si>
    <t>Female</t>
  </si>
  <si>
    <t>Gilt reversion after 10 years 1.5% improvement in life expectancy</t>
  </si>
  <si>
    <t>Date of birth</t>
  </si>
  <si>
    <t>State retirement date</t>
  </si>
  <si>
    <t xml:space="preserve">Assumes annuity rates recover by 1.15. This the ratio of 2013-14 level rates to 2017-2018. </t>
  </si>
  <si>
    <t xml:space="preserve">6 April 1953 – 5 May 1953 </t>
  </si>
  <si>
    <t xml:space="preserve">6 May 1953 – 5 June 1953 </t>
  </si>
  <si>
    <t xml:space="preserve">6 June 1953 – 5 July 1953 </t>
  </si>
  <si>
    <t xml:space="preserve">6 July 1953 – 5 August 1953 </t>
  </si>
  <si>
    <t xml:space="preserve">6 August 1953 – 5 September 1953 </t>
  </si>
  <si>
    <t xml:space="preserve">6 September 1953 – 5 October 1953 </t>
  </si>
  <si>
    <t xml:space="preserve">6 October 1953 – 5 November 1953 </t>
  </si>
  <si>
    <t xml:space="preserve">6 November 1953 – 5 December 1953 </t>
  </si>
  <si>
    <t xml:space="preserve">Women’s State Pension age under the Pensions Act 2011 </t>
  </si>
  <si>
    <t xml:space="preserve">6 December 1953 – 5 January 1954 </t>
  </si>
  <si>
    <t xml:space="preserve">6 January 1954 – 5 February 1954 </t>
  </si>
  <si>
    <t xml:space="preserve">6 February 1954 – 5 March 1954 </t>
  </si>
  <si>
    <t xml:space="preserve">6 March 1954 – 5 April 1954 </t>
  </si>
  <si>
    <t xml:space="preserve">6 April 1954 – 5 May 1954 </t>
  </si>
  <si>
    <t xml:space="preserve">6 May 1954 – 5 June 1954 </t>
  </si>
  <si>
    <t xml:space="preserve">6 June 1954 – 5 July 1954 </t>
  </si>
  <si>
    <t xml:space="preserve">6 July 1954 – 5 August 1954 </t>
  </si>
  <si>
    <t xml:space="preserve">6 August 1954 – 5 September 1954 </t>
  </si>
  <si>
    <t xml:space="preserve">6 September 1954 – 5 October 1954 </t>
  </si>
  <si>
    <t xml:space="preserve">6 October 1954 – 5 April 1960 </t>
  </si>
  <si>
    <t>Date state pension age reached</t>
  </si>
  <si>
    <t xml:space="preserve">Date of birth </t>
  </si>
  <si>
    <t xml:space="preserve">6 April 1960 – 5 May 1960 </t>
  </si>
  <si>
    <t xml:space="preserve">6 May 1960 – 5 June 1960 </t>
  </si>
  <si>
    <t xml:space="preserve">6 June 1960 – 5 July 1960 </t>
  </si>
  <si>
    <t xml:space="preserve">6 July 1960 – 5 August 1960 </t>
  </si>
  <si>
    <t xml:space="preserve">6 August 1960 – 5 September 1960 </t>
  </si>
  <si>
    <t xml:space="preserve">6 September 1960 – 5 October 1960 </t>
  </si>
  <si>
    <t xml:space="preserve">6 October 1960 – 5 November 1960 </t>
  </si>
  <si>
    <t xml:space="preserve">6 November 1960 – 5 December 1960 </t>
  </si>
  <si>
    <t xml:space="preserve">6 December 1960 – 5 January 1961 </t>
  </si>
  <si>
    <t xml:space="preserve">6 January 1961 – 5 February 1961 </t>
  </si>
  <si>
    <t xml:space="preserve">6 February 1961 – 5 March 1961 </t>
  </si>
  <si>
    <t xml:space="preserve">6 March 1961 – 5 April 1977* </t>
  </si>
  <si>
    <t>Min</t>
  </si>
  <si>
    <t>max</t>
  </si>
  <si>
    <t>All State Pension age</t>
  </si>
  <si>
    <t>Age state pension reached</t>
  </si>
  <si>
    <t xml:space="preserve">6 April 1977 – 5 May 1977 </t>
  </si>
  <si>
    <t xml:space="preserve">6 May 1977 – 5 June 1977 </t>
  </si>
  <si>
    <t xml:space="preserve">6 June 1977 – 5 July 1977 </t>
  </si>
  <si>
    <t xml:space="preserve">6 July 1977 – 5 August 1977 </t>
  </si>
  <si>
    <t xml:space="preserve">6 August 1977 – 5 September 1977 </t>
  </si>
  <si>
    <t xml:space="preserve">6 September 1977 – 5 October 1977 </t>
  </si>
  <si>
    <t xml:space="preserve">6 October 1977 – 5 November 1977 </t>
  </si>
  <si>
    <t xml:space="preserve">6 November 1977 – 5 December 1977 </t>
  </si>
  <si>
    <t xml:space="preserve">6 December 1977 – 5 January 1978 </t>
  </si>
  <si>
    <t xml:space="preserve">6 January 1978 – 5 February 1978 </t>
  </si>
  <si>
    <t xml:space="preserve">6 February 1978 – 5 March 1978 </t>
  </si>
  <si>
    <t xml:space="preserve">6 March 1978 – 5 April 1978 </t>
  </si>
  <si>
    <t xml:space="preserve">6 April 1978 onwards </t>
  </si>
  <si>
    <t>Age</t>
  </si>
  <si>
    <t>Year of</t>
  </si>
  <si>
    <t>retirement</t>
  </si>
  <si>
    <t>Increase in life expectancy per year</t>
  </si>
  <si>
    <t>Employer contribution</t>
  </si>
  <si>
    <t>Employee contribution</t>
  </si>
  <si>
    <t>USS 67%</t>
  </si>
  <si>
    <t>Single - male</t>
  </si>
  <si>
    <t>Joint - male</t>
  </si>
  <si>
    <t>Single - female</t>
  </si>
  <si>
    <t>Joint - female</t>
  </si>
  <si>
    <t>Inputs</t>
  </si>
  <si>
    <t>Expected pension income</t>
  </si>
  <si>
    <t>Defined benefit (current)</t>
  </si>
  <si>
    <t>Defined contribution (proposed)</t>
  </si>
  <si>
    <t>Total value of pension income plus lump sum at retirement</t>
  </si>
  <si>
    <t>Real increase in pay</t>
  </si>
  <si>
    <t>Increase in life expectancy</t>
  </si>
  <si>
    <t>Yes</t>
  </si>
  <si>
    <t>Assumptions</t>
  </si>
  <si>
    <t>https://www.sheffield.ac.uk/polopoly_fs/1.728969!/file/USSTechnicalprovisionsconsultationdocumentSept2017.pdf</t>
  </si>
  <si>
    <t>Most assumptions are taken from the USS valuation document:</t>
  </si>
  <si>
    <t>Further details about the assumptions are provided on the tabs below.</t>
  </si>
  <si>
    <t>Let me know if this modeller can be improved in any way.</t>
  </si>
  <si>
    <t>This modeller provides a forecast of the pensions we can expect to receive under the current defined benefit scheme and the UUK proposed defined contribution scheme. I am not an actuary, accountant or a financial advisor. This is for information only and should not be used for personal financial decisions. Before making any decisions about your pension you should seek professional advice.</t>
  </si>
  <si>
    <t>State pension age increased to 66</t>
  </si>
  <si>
    <t>State pension age increased to 67</t>
  </si>
  <si>
    <t>State pension age increased to 68</t>
  </si>
  <si>
    <t>Annuity rates published by the Money Advice Service</t>
  </si>
  <si>
    <t>According to https://www.sharingpensions.co.uk/annuity-rates-chart-latest.htm the level single annuity rate for November 2017 was £5,390, and the highest single, level annuity rate for 2013-14 was £6196.</t>
  </si>
  <si>
    <t>Gilt reversion occurs after 10 years, decreasing annuity costs by a factor of 1.15.</t>
  </si>
  <si>
    <t xml:space="preserve">The 67% estimate of returns is taken directly from the USS valuation documents. The USS expects investment returns to be higher than this 67% of the time. Thus this is a conservative estimate of investment returns. These values have been used to value to estimate the deficit of the fund. </t>
  </si>
  <si>
    <t>The 50% best estimate returns are based on the valuation consultation document and taken from Prof Mike Otuska's spreadsheet available here (https://drive.google.com/file/d/1JPUZoZDsj-lrxqzGnnlWuJpDmzPSkKvA/view). The represent the USS best estimate of investment returns. They expect returns to be higher than this 50% of the time. These figures have not been used for the main estimate the deficit of the fund. When these figures are used in the valuation the scheme has a multibillion pound surplus.</t>
  </si>
  <si>
    <t>67% "prudent" returns</t>
  </si>
  <si>
    <t>50% "best estimate" returns</t>
  </si>
  <si>
    <t>Assumptions here:</t>
  </si>
  <si>
    <t>This takes income from the input sheet and updates it by the assumed rate of salary growth of 2%. This rate can be modified on the input page.</t>
  </si>
  <si>
    <t>Defined benefit pension</t>
  </si>
  <si>
    <t>This sheet estimates the valuation of the current defined benefit pension at retirement. We currently accrue 1/75 of our salary and get 3* salary as a lump sum.</t>
  </si>
  <si>
    <t>We can work out how much a defined benefit pension costs at retirement using annuity prices given on the annuity tab. The prices given on the annuity tab are given for the amount of pension you can buy today for £100,000.</t>
  </si>
  <si>
    <t>Here we calculate how much money we would need to buy the amount of defined benefit pension you've accrued in each year.</t>
  </si>
  <si>
    <t>Note: All these calculations ignore the pension you have already accrued - because this will not change. This spreadsheet only works out what you future benefits will be.</t>
  </si>
  <si>
    <t>DC pension</t>
  </si>
  <si>
    <t>This page calculates how much we can expect to earn in our DC pots over time. It then estimates how much annuity income we can buy with that pension pot in each year.</t>
  </si>
  <si>
    <t>All figures are in real terms - i.e. after inflation.</t>
  </si>
  <si>
    <t>State pension age</t>
  </si>
  <si>
    <t>This tab is a look up for your state pension age based on your date of birth.</t>
  </si>
  <si>
    <t>The valuation document assumes that pay will increase by 2% after inflation. This includes the effects of pay increments.</t>
  </si>
  <si>
    <t>The modeller only models the pensions we will accrue in future - pensions already earned will not be changed.</t>
  </si>
  <si>
    <t>No</t>
  </si>
  <si>
    <t>Gender (Female or Male)</t>
  </si>
  <si>
    <t>Your details</t>
  </si>
  <si>
    <t>Annual increase in pay (after CPI)</t>
  </si>
  <si>
    <t>Do you have a spouse or partner? (Yes or No)</t>
  </si>
  <si>
    <t>Estimated pension benefits</t>
  </si>
  <si>
    <t>Technical assumptions</t>
  </si>
  <si>
    <r>
      <t>Vary the parameters in green</t>
    </r>
    <r>
      <rPr>
        <sz val="11"/>
        <color rgb="FFFF0000"/>
        <rFont val="Calibri"/>
        <family val="2"/>
        <scheme val="minor"/>
      </rPr>
      <t xml:space="preserve"> </t>
    </r>
    <r>
      <rPr>
        <sz val="11"/>
        <color theme="4"/>
        <rFont val="Calibri"/>
        <family val="2"/>
        <scheme val="minor"/>
      </rPr>
      <t xml:space="preserve">and watch the graphs and values in yellow change. </t>
    </r>
  </si>
  <si>
    <t>Input values for annuities and path of income growth can be changed on the other sheets.
The cells in yellow are returned and indicate your state retirement date, pension income under the current scheme (defined benefit) and the proposed scheme (defined contribution).</t>
  </si>
  <si>
    <r>
      <t xml:space="preserve">Expected </t>
    </r>
    <r>
      <rPr>
        <sz val="12"/>
        <color theme="4"/>
        <rFont val="Calibri (Body)_x0000_"/>
      </rPr>
      <t>annual</t>
    </r>
    <r>
      <rPr>
        <sz val="12"/>
        <color theme="1"/>
        <rFont val="Calibri"/>
        <family val="2"/>
        <scheme val="minor"/>
      </rPr>
      <t xml:space="preserve"> pension income</t>
    </r>
  </si>
  <si>
    <t>10 yr expected real return</t>
  </si>
  <si>
    <t>10 yr fwd 20 yr exp real return</t>
  </si>
  <si>
    <t>20 yr expected real return</t>
  </si>
  <si>
    <t>30 yr expected real return</t>
  </si>
  <si>
    <t>Allocation of assets in the DB reference portfolio</t>
  </si>
  <si>
    <t>Equities</t>
  </si>
  <si>
    <t>Property</t>
  </si>
  <si>
    <t>Listed Credit</t>
  </si>
  <si>
    <t>Index linked</t>
  </si>
  <si>
    <t>Cash</t>
  </si>
  <si>
    <t>Rebalancing &amp; diversification premium</t>
  </si>
  <si>
    <t>Best estimate return:</t>
  </si>
  <si>
    <r>
      <rPr>
        <b/>
        <sz val="11"/>
        <color theme="1"/>
        <rFont val="Calibri"/>
        <family val="2"/>
        <scheme val="minor"/>
      </rPr>
      <t xml:space="preserve">* Source for expected returns: </t>
    </r>
    <r>
      <rPr>
        <sz val="12"/>
        <color theme="1"/>
        <rFont val="Calibri"/>
        <family val="2"/>
        <scheme val="minor"/>
      </rPr>
      <t>USS September 2017 Consultation Document, Table 6, p. 19 &lt;https://www.sheffield.ac.uk/polopoly_fs/1.728969!/file/USSTechnicalprovisionsconsultationdocumentSept2017.pdf&gt;</t>
    </r>
  </si>
  <si>
    <t>Best estimates (50%) of returns on different assets in the USS</t>
  </si>
  <si>
    <t>Prudence</t>
  </si>
  <si>
    <t>factor (%)</t>
  </si>
  <si>
    <t>Discount rate used in valuation</t>
  </si>
  <si>
    <t>Real returns at 67% prudence</t>
  </si>
  <si>
    <t>Allocation of assets</t>
  </si>
  <si>
    <t>Growth Fund (DC)</t>
  </si>
  <si>
    <t>Moderate Growth Fund (DC)</t>
  </si>
  <si>
    <t>Cautious Growth Fund (DC)</t>
  </si>
  <si>
    <t>Cash Fund (DC)</t>
  </si>
  <si>
    <t>Cash fund (DC)</t>
  </si>
  <si>
    <t>Real returns on different investments at 67% prudence</t>
  </si>
  <si>
    <t>Year</t>
  </si>
  <si>
    <t>67% prudence returns</t>
  </si>
  <si>
    <t>50% prudence returns</t>
  </si>
  <si>
    <t>Growth Fund (DC) 50%</t>
  </si>
  <si>
    <t>Moderate Growth Fund (DC) 50%</t>
  </si>
  <si>
    <t>Cautious Growth Fund (DC) 50%</t>
  </si>
  <si>
    <t>Cash fund (DC) 50%</t>
  </si>
  <si>
    <t>Growth Fund (DC) 67%</t>
  </si>
  <si>
    <t>Moderate Growth Fund (DC) 67%</t>
  </si>
  <si>
    <t>Cautious Growth Fund (DC) 67%</t>
  </si>
  <si>
    <t>Cash fund (DC) 67%</t>
  </si>
  <si>
    <t>List</t>
  </si>
  <si>
    <t>Value</t>
  </si>
  <si>
    <t>Assumed investment returns</t>
  </si>
  <si>
    <t>Investment returns</t>
  </si>
  <si>
    <t>The model allows for five different investment returns:</t>
  </si>
  <si>
    <t>USS - the return expected for the current USS portfolio. This is not an option for a DC pension and is provided for information only.</t>
  </si>
  <si>
    <t>Cash fund - this is invested in cash.</t>
  </si>
  <si>
    <t>Growth fund. The majority of this fund is invested in company shares</t>
  </si>
  <si>
    <t>Moderate growth fund. This is invested in a mixture of shares and bonds.</t>
  </si>
  <si>
    <t>Cautious growth fund. This is mainly invested in high quality government and corporate bonds.</t>
  </si>
  <si>
    <t>Details of how the expected return for each of these investments was calculated is given on the Investment returns (2) tab.</t>
  </si>
  <si>
    <t>Life expectancy</t>
  </si>
  <si>
    <t>The assumed returns are taken from the USS valuation documents.</t>
  </si>
  <si>
    <t>The assumptions on life expectancy are taken from the USS valuation documents.</t>
  </si>
  <si>
    <t>The model assumes that if life expectancy increases by 1% the cost of purchasing a given amount of pension income increases by 1%.</t>
  </si>
  <si>
    <t>The DC pensions typically sell company shares and buy high quality government debt and corporate bonds near retirement.</t>
  </si>
  <si>
    <t>This lowers investment returns near retirement. This model does not take this into account and means the estimates of the return to DC investments to be over estimates.</t>
  </si>
  <si>
    <t>This over estimates returns because it does not allow for a linear decrease from 2.8% to 1.7% between 10 and 20 years.</t>
  </si>
  <si>
    <t>The 67% prudent returns are taken from the September 2017 consultation document. The returns on each of the assets in each period are back calculated using the prudence factors given in cells c29:f29 to get the reported 67% returns for each time period.</t>
  </si>
  <si>
    <t>Real returns at 50% prudence</t>
  </si>
  <si>
    <t>Real returns on different investments at 50% prudence</t>
  </si>
  <si>
    <t>Each investment has two sets of estimated return - the 50% "best estimate". The USS expects returns to be better than this 50% of the time.</t>
  </si>
  <si>
    <t>The second option is a more conservative 67% estimate. The USS expects returns to better than this 67% of the time.</t>
  </si>
  <si>
    <t>The modeller assumes that you will buy an annuity at retirement with your DC pot and that the DB pension is bought using an annuity.</t>
  </si>
  <si>
    <t>Salary changes take into account increments and cost of living awards.</t>
  </si>
  <si>
    <r>
      <t>Difference in pension income (</t>
    </r>
    <r>
      <rPr>
        <sz val="12"/>
        <color theme="4"/>
        <rFont val="Calibri (Body)_x0000_"/>
      </rPr>
      <t>Figure 1</t>
    </r>
    <r>
      <rPr>
        <sz val="12"/>
        <color theme="1"/>
        <rFont val="Calibri"/>
        <family val="2"/>
        <scheme val="minor"/>
      </rPr>
      <t>)</t>
    </r>
  </si>
  <si>
    <r>
      <t>Difference total pension benefits (</t>
    </r>
    <r>
      <rPr>
        <sz val="12"/>
        <color theme="4"/>
        <rFont val="Calibri (Body)_x0000_"/>
      </rPr>
      <t>Figure 2</t>
    </r>
    <r>
      <rPr>
        <sz val="12"/>
        <color theme="1"/>
        <rFont val="Calibri"/>
        <family val="2"/>
        <scheme val="minor"/>
      </rPr>
      <t>)</t>
    </r>
  </si>
  <si>
    <t>Model of future USS benefits</t>
  </si>
  <si>
    <t>DB benefits in TPS</t>
  </si>
  <si>
    <t>Income TPS</t>
  </si>
  <si>
    <t>Post 92 Teacher Pension Scheme</t>
  </si>
  <si>
    <t>Difference in expected benefits current USS vs proposed</t>
  </si>
  <si>
    <t>Benefits TPS</t>
  </si>
  <si>
    <t>Annuity income costs</t>
  </si>
  <si>
    <t>Benefits USS DB</t>
  </si>
  <si>
    <t>Difference in expected benefits current TPS pensions in post 92 vs USS proposed</t>
  </si>
  <si>
    <t>Difference in pension income</t>
  </si>
  <si>
    <t>Difference total pension benefits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</si>
</sst>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00"/>
  </numFmts>
  <fonts count="17">
    <font>
      <sz val="12"/>
      <color theme="1"/>
      <name val="Calibri"/>
      <family val="2"/>
      <scheme val="minor"/>
    </font>
    <font>
      <sz val="12"/>
      <color theme="1"/>
      <name val="Calibri"/>
      <family val="2"/>
      <scheme val="minor"/>
    </font>
    <font>
      <b/>
      <sz val="12"/>
      <color theme="1"/>
      <name val="Calibri"/>
      <family val="2"/>
      <scheme val="minor"/>
    </font>
    <font>
      <sz val="12"/>
      <color theme="0" tint="-0.34998626667073579"/>
      <name val="Calibri"/>
      <family val="2"/>
      <scheme val="minor"/>
    </font>
    <font>
      <sz val="12"/>
      <color theme="1"/>
      <name val="ArialMT"/>
    </font>
    <font>
      <b/>
      <sz val="14"/>
      <color theme="1"/>
      <name val="Arial"/>
      <family val="2"/>
    </font>
    <font>
      <b/>
      <sz val="12"/>
      <color theme="1"/>
      <name val="Arial"/>
      <family val="2"/>
    </font>
    <font>
      <b/>
      <sz val="12"/>
      <color theme="1"/>
      <name val="ArialMT"/>
    </font>
    <font>
      <sz val="12"/>
      <color rgb="FFFF0000"/>
      <name val="Calibri"/>
      <family val="2"/>
      <scheme val="minor"/>
    </font>
    <font>
      <b/>
      <sz val="16"/>
      <color rgb="FF0A0101"/>
      <name val="Helvetica Neue"/>
      <family val="2"/>
    </font>
    <font>
      <sz val="11"/>
      <color theme="1"/>
      <name val="Calibri"/>
      <family val="2"/>
      <scheme val="minor"/>
    </font>
    <font>
      <sz val="11"/>
      <color rgb="FFFF0000"/>
      <name val="Calibri"/>
      <family val="2"/>
      <scheme val="minor"/>
    </font>
    <font>
      <sz val="11"/>
      <color theme="4"/>
      <name val="Calibri"/>
      <family val="2"/>
      <scheme val="minor"/>
    </font>
    <font>
      <sz val="12"/>
      <color theme="4"/>
      <name val="Calibri (Body)_x0000_"/>
    </font>
    <font>
      <b/>
      <sz val="11"/>
      <color theme="1"/>
      <name val="Calibri"/>
      <family val="2"/>
      <scheme val="minor"/>
    </font>
    <font>
      <sz val="9"/>
      <color theme="1"/>
      <name val="Calibri"/>
      <family val="2"/>
      <scheme val="minor"/>
    </font>
    <font>
      <b/>
      <sz val="9"/>
      <color theme="1"/>
      <name val="Calibri"/>
      <family val="2"/>
      <scheme val="minor"/>
    </font>
  </fonts>
  <fills count="4">
    <fill>
      <patternFill patternType="none"/>
    </fill>
    <fill>
      <patternFill patternType="gray125"/>
    </fill>
    <fill>
      <patternFill patternType="solid">
        <fgColor rgb="FF00B050"/>
        <bgColor indexed="64"/>
      </patternFill>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79">
    <xf numFmtId="0" fontId="0" fillId="0" borderId="0" xfId="0"/>
    <xf numFmtId="44" fontId="0" fillId="0" borderId="0" xfId="1" applyFont="1"/>
    <xf numFmtId="0" fontId="0" fillId="0" borderId="0" xfId="0" applyAlignment="1">
      <alignment horizontal="left" wrapText="1"/>
    </xf>
    <xf numFmtId="0" fontId="2" fillId="0" borderId="0" xfId="0" applyFont="1"/>
    <xf numFmtId="10" fontId="0" fillId="0" borderId="0" xfId="0" applyNumberFormat="1"/>
    <xf numFmtId="44" fontId="0" fillId="0" borderId="0" xfId="0" applyNumberFormat="1"/>
    <xf numFmtId="0" fontId="3" fillId="0" borderId="0" xfId="0" applyFont="1"/>
    <xf numFmtId="44" fontId="3" fillId="0" borderId="0" xfId="1" applyFont="1"/>
    <xf numFmtId="14" fontId="0" fillId="0" borderId="0" xfId="0" applyNumberFormat="1"/>
    <xf numFmtId="3" fontId="0" fillId="0" borderId="0" xfId="0" applyNumberFormat="1"/>
    <xf numFmtId="15" fontId="0" fillId="0" borderId="0" xfId="0" applyNumberFormat="1"/>
    <xf numFmtId="0" fontId="5" fillId="0" borderId="0" xfId="0" applyFont="1"/>
    <xf numFmtId="0" fontId="4" fillId="0" borderId="0" xfId="0" applyFont="1" applyAlignment="1"/>
    <xf numFmtId="15" fontId="4" fillId="0" borderId="0" xfId="0" applyNumberFormat="1" applyFont="1" applyAlignment="1"/>
    <xf numFmtId="15" fontId="4" fillId="0" borderId="0" xfId="0" applyNumberFormat="1" applyFont="1" applyAlignment="1">
      <alignment horizontal="center"/>
    </xf>
    <xf numFmtId="0" fontId="7" fillId="0" borderId="0" xfId="0" applyFont="1" applyAlignment="1"/>
    <xf numFmtId="0" fontId="0" fillId="0" borderId="0" xfId="0" applyFont="1"/>
    <xf numFmtId="0" fontId="0" fillId="0" borderId="0" xfId="0" applyAlignment="1">
      <alignment horizontal="left" wrapText="1"/>
    </xf>
    <xf numFmtId="0" fontId="9" fillId="0" borderId="0" xfId="0" applyFont="1"/>
    <xf numFmtId="1" fontId="4" fillId="0" borderId="0" xfId="0" applyNumberFormat="1" applyFont="1" applyAlignment="1">
      <alignment horizontal="center"/>
    </xf>
    <xf numFmtId="14" fontId="4" fillId="0" borderId="0" xfId="0" applyNumberFormat="1" applyFont="1" applyAlignment="1"/>
    <xf numFmtId="44" fontId="0" fillId="3" borderId="0" xfId="1" applyFont="1" applyFill="1"/>
    <xf numFmtId="9" fontId="8" fillId="0" borderId="0" xfId="2" applyFont="1"/>
    <xf numFmtId="2" fontId="0" fillId="3" borderId="0" xfId="2" applyNumberFormat="1" applyFont="1" applyFill="1"/>
    <xf numFmtId="44" fontId="0" fillId="2" borderId="0" xfId="1" applyFont="1" applyFill="1" applyAlignment="1">
      <alignment horizontal="center"/>
    </xf>
    <xf numFmtId="9" fontId="0" fillId="2" borderId="0" xfId="2" applyFont="1" applyFill="1" applyAlignment="1">
      <alignment horizontal="center"/>
    </xf>
    <xf numFmtId="14" fontId="0" fillId="2" borderId="0" xfId="0" applyNumberFormat="1" applyFill="1" applyAlignment="1">
      <alignment horizontal="center"/>
    </xf>
    <xf numFmtId="1" fontId="0" fillId="3" borderId="0" xfId="0" applyNumberFormat="1" applyFill="1" applyAlignment="1">
      <alignment horizontal="center"/>
    </xf>
    <xf numFmtId="10" fontId="0" fillId="2" borderId="0" xfId="0" applyNumberFormat="1" applyFill="1" applyAlignment="1">
      <alignment horizontal="center"/>
    </xf>
    <xf numFmtId="164" fontId="8" fillId="3" borderId="0" xfId="1" applyNumberFormat="1" applyFont="1" applyFill="1"/>
    <xf numFmtId="165" fontId="0" fillId="0" borderId="0" xfId="0" applyNumberFormat="1"/>
    <xf numFmtId="0" fontId="0" fillId="0" borderId="0" xfId="0" applyAlignment="1">
      <alignment horizontal="left" vertical="top" wrapText="1"/>
    </xf>
    <xf numFmtId="0" fontId="0" fillId="0" borderId="0" xfId="0" applyAlignment="1">
      <alignment wrapText="1"/>
    </xf>
    <xf numFmtId="44" fontId="0" fillId="0" borderId="0" xfId="1" applyFont="1" applyFill="1"/>
    <xf numFmtId="0" fontId="0" fillId="2" borderId="0" xfId="0" applyFill="1" applyAlignment="1">
      <alignment horizontal="center"/>
    </xf>
    <xf numFmtId="10" fontId="0" fillId="2" borderId="0" xfId="2" applyNumberFormat="1" applyFont="1" applyFill="1" applyAlignment="1">
      <alignment horizontal="center"/>
    </xf>
    <xf numFmtId="0" fontId="2" fillId="0" borderId="0" xfId="0" applyFont="1" applyAlignment="1">
      <alignment wrapText="1"/>
    </xf>
    <xf numFmtId="44" fontId="0" fillId="0" borderId="0" xfId="1" applyFont="1" applyFill="1" applyAlignment="1">
      <alignment horizontal="center"/>
    </xf>
    <xf numFmtId="0" fontId="2" fillId="0" borderId="0" xfId="0" applyFont="1" applyAlignment="1">
      <alignment horizontal="center"/>
    </xf>
    <xf numFmtId="0" fontId="10" fillId="0" borderId="0" xfId="0" applyFont="1"/>
    <xf numFmtId="0" fontId="10" fillId="0" borderId="0" xfId="0" applyFont="1" applyAlignment="1">
      <alignment wrapText="1"/>
    </xf>
    <xf numFmtId="0" fontId="15" fillId="0" borderId="4" xfId="0" applyFont="1" applyBorder="1" applyAlignment="1">
      <alignment vertical="top" wrapText="1"/>
    </xf>
    <xf numFmtId="0" fontId="15" fillId="0" borderId="0" xfId="0" applyFont="1" applyBorder="1" applyAlignment="1">
      <alignment vertical="top" wrapText="1"/>
    </xf>
    <xf numFmtId="0" fontId="15" fillId="0" borderId="5" xfId="0" applyFont="1" applyBorder="1" applyAlignment="1">
      <alignment vertical="top" wrapText="1"/>
    </xf>
    <xf numFmtId="10" fontId="0" fillId="0" borderId="4" xfId="0" applyNumberFormat="1" applyBorder="1"/>
    <xf numFmtId="10" fontId="0" fillId="0" borderId="0" xfId="0" applyNumberFormat="1" applyBorder="1"/>
    <xf numFmtId="10" fontId="0" fillId="0" borderId="5" xfId="0" applyNumberFormat="1" applyBorder="1"/>
    <xf numFmtId="10" fontId="0" fillId="0" borderId="6" xfId="0" applyNumberFormat="1" applyBorder="1"/>
    <xf numFmtId="10" fontId="0" fillId="0" borderId="7" xfId="0" applyNumberFormat="1" applyBorder="1"/>
    <xf numFmtId="10" fontId="0" fillId="0" borderId="8" xfId="0" applyNumberFormat="1" applyBorder="1"/>
    <xf numFmtId="0" fontId="15" fillId="0" borderId="0" xfId="0" applyFont="1" applyAlignment="1">
      <alignment vertical="top" wrapText="1"/>
    </xf>
    <xf numFmtId="0" fontId="15" fillId="0" borderId="0" xfId="0" applyFont="1"/>
    <xf numFmtId="0" fontId="16" fillId="0" borderId="0" xfId="0" applyFont="1"/>
    <xf numFmtId="0" fontId="16" fillId="0" borderId="4" xfId="0" applyFont="1" applyBorder="1" applyAlignment="1">
      <alignment vertical="top" wrapText="1"/>
    </xf>
    <xf numFmtId="0" fontId="16" fillId="0" borderId="0" xfId="0" applyFont="1" applyBorder="1" applyAlignment="1">
      <alignment vertical="top" wrapText="1"/>
    </xf>
    <xf numFmtId="0" fontId="16" fillId="0" borderId="5" xfId="0" applyFont="1" applyBorder="1" applyAlignment="1">
      <alignment vertical="top" wrapText="1"/>
    </xf>
    <xf numFmtId="0" fontId="15" fillId="0" borderId="0" xfId="0" applyFont="1" applyAlignment="1">
      <alignment wrapText="1"/>
    </xf>
    <xf numFmtId="0" fontId="16" fillId="0" borderId="0" xfId="0" applyFont="1" applyAlignment="1">
      <alignment wrapText="1"/>
    </xf>
    <xf numFmtId="10" fontId="0" fillId="0" borderId="0" xfId="2" applyNumberFormat="1" applyFont="1"/>
    <xf numFmtId="1" fontId="0" fillId="0" borderId="0" xfId="0" applyNumberFormat="1" applyAlignment="1">
      <alignment horizontal="center"/>
    </xf>
    <xf numFmtId="1" fontId="0" fillId="0" borderId="0" xfId="2" applyNumberFormat="1" applyFont="1" applyAlignment="1">
      <alignment horizontal="center" wrapText="1"/>
    </xf>
    <xf numFmtId="2" fontId="0" fillId="0" borderId="0" xfId="0" applyNumberFormat="1"/>
    <xf numFmtId="0" fontId="0" fillId="0" borderId="0" xfId="0" applyAlignment="1">
      <alignment horizontal="left" vertical="top" wrapText="1"/>
    </xf>
    <xf numFmtId="0" fontId="0" fillId="2" borderId="0" xfId="0" applyFill="1" applyAlignment="1">
      <alignment horizontal="center" wrapText="1"/>
    </xf>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wrapText="1"/>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14" fillId="0" borderId="1" xfId="0" applyFont="1" applyBorder="1" applyAlignment="1">
      <alignment horizontal="center"/>
    </xf>
    <xf numFmtId="0" fontId="14" fillId="0" borderId="2" xfId="0" applyFont="1" applyBorder="1" applyAlignment="1">
      <alignment horizontal="center"/>
    </xf>
    <xf numFmtId="0" fontId="14" fillId="0" borderId="3" xfId="0" applyFont="1" applyBorder="1" applyAlignment="1">
      <alignment horizontal="center"/>
    </xf>
    <xf numFmtId="0" fontId="2" fillId="0" borderId="0" xfId="0" applyFont="1" applyAlignment="1">
      <alignment horizontal="center" wrapText="1"/>
    </xf>
    <xf numFmtId="0" fontId="6" fillId="0" borderId="0" xfId="0" applyFont="1"/>
    <xf numFmtId="0" fontId="2" fillId="0" borderId="0" xfId="0" applyFont="1" applyAlignment="1">
      <alignment horizontal="left" wrapText="1"/>
    </xf>
    <xf numFmtId="0" fontId="0" fillId="0" borderId="0" xfId="0" applyAlignment="1">
      <alignment horizontal="left" wrapText="1"/>
    </xf>
    <xf numFmtId="0" fontId="0" fillId="0" borderId="0" xfId="0" applyAlignment="1">
      <alignment horizontal="center" vertical="top" wrapText="1"/>
    </xf>
    <xf numFmtId="10" fontId="0" fillId="0" borderId="0" xfId="2" applyNumberFormat="1" applyFont="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sz="1400" b="0" i="0" baseline="0">
                <a:solidFill>
                  <a:schemeClr val="accent1"/>
                </a:solidFill>
                <a:effectLst/>
              </a:rPr>
              <a:t>Figure 2: Difference in total pension benefits by year of retirement</a:t>
            </a:r>
            <a:endParaRPr lang="en-GB" sz="1400">
              <a:solidFill>
                <a:schemeClr val="accent1"/>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lotArea>
      <c:layout/>
      <c:lineChart>
        <c:grouping val="standard"/>
        <c:varyColors val="0"/>
        <c:ser>
          <c:idx val="0"/>
          <c:order val="0"/>
          <c:tx>
            <c:strRef>
              <c:f>'Difference in benefits'!$B$3</c:f>
              <c:strCache>
                <c:ptCount val="1"/>
                <c:pt idx="0">
                  <c:v>Single - male</c:v>
                </c:pt>
              </c:strCache>
            </c:strRef>
          </c:tx>
          <c:spPr>
            <a:ln w="28575" cap="rnd">
              <a:solidFill>
                <a:schemeClr val="accent1"/>
              </a:solidFill>
              <a:round/>
            </a:ln>
            <a:effectLst/>
          </c:spPr>
          <c:marker>
            <c:symbol val="none"/>
          </c:marker>
          <c:cat>
            <c:numRef>
              <c:f>'Difference in benefits'!$A$4:$A$45</c:f>
              <c:numCache>
                <c:formatCode>General</c:formatCode>
                <c:ptCount val="42"/>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numCache>
            </c:numRef>
          </c:cat>
          <c:val>
            <c:numRef>
              <c:f>'Difference in benefits'!$B$4:$B$45</c:f>
              <c:numCache>
                <c:formatCode>_("£"* #,##0.00_);_("£"* \(#,##0.00\);_("£"* "-"??_);_(@_)</c:formatCode>
                <c:ptCount val="42"/>
                <c:pt idx="0">
                  <c:v>11452.020017406441</c:v>
                </c:pt>
                <c:pt idx="1">
                  <c:v>23757.067441688421</c:v>
                </c:pt>
                <c:pt idx="2">
                  <c:v>38105.025407651439</c:v>
                </c:pt>
                <c:pt idx="3">
                  <c:v>52648.044409548922</c:v>
                </c:pt>
                <c:pt idx="4">
                  <c:v>68175.924338024372</c:v>
                </c:pt>
                <c:pt idx="5">
                  <c:v>84729.381833547086</c:v>
                </c:pt>
                <c:pt idx="6">
                  <c:v>102350.67750389296</c:v>
                </c:pt>
                <c:pt idx="7">
                  <c:v>121083.67216321861</c:v>
                </c:pt>
                <c:pt idx="8">
                  <c:v>140973.88508628798</c:v>
                </c:pt>
                <c:pt idx="9">
                  <c:v>152774.05597774399</c:v>
                </c:pt>
                <c:pt idx="10">
                  <c:v>139676.68209228391</c:v>
                </c:pt>
                <c:pt idx="11">
                  <c:v>154357.78622739002</c:v>
                </c:pt>
                <c:pt idx="12">
                  <c:v>169685.85129264649</c:v>
                </c:pt>
                <c:pt idx="13">
                  <c:v>185298.40624938218</c:v>
                </c:pt>
                <c:pt idx="14">
                  <c:v>201280.67597989045</c:v>
                </c:pt>
                <c:pt idx="15">
                  <c:v>217638.09760764567</c:v>
                </c:pt>
                <c:pt idx="16">
                  <c:v>234376.11436214624</c:v>
                </c:pt>
                <c:pt idx="17">
                  <c:v>251500.17247172978</c:v>
                </c:pt>
                <c:pt idx="18">
                  <c:v>269015.71790392412</c:v>
                </c:pt>
                <c:pt idx="19">
                  <c:v>286928.19294783601</c:v>
                </c:pt>
                <c:pt idx="20">
                  <c:v>305243.03263290756</c:v>
                </c:pt>
                <c:pt idx="21">
                  <c:v>327018.12761963258</c:v>
                </c:pt>
                <c:pt idx="22">
                  <c:v>349472.34384783683</c:v>
                </c:pt>
                <c:pt idx="23">
                  <c:v>372621.58493859897</c:v>
                </c:pt>
                <c:pt idx="24">
                  <c:v>396482.07770381385</c:v>
                </c:pt>
                <c:pt idx="25">
                  <c:v>421070.37824463908</c:v>
                </c:pt>
                <c:pt idx="26">
                  <c:v>446403.37815985258</c:v>
                </c:pt>
                <c:pt idx="27">
                  <c:v>449989.43453541759</c:v>
                </c:pt>
                <c:pt idx="28">
                  <c:v>475668.5663340718</c:v>
                </c:pt>
                <c:pt idx="29">
                  <c:v>502114.35409816826</c:v>
                </c:pt>
                <c:pt idx="30">
                  <c:v>529344.44086374261</c:v>
                </c:pt>
                <c:pt idx="31">
                  <c:v>557376.82520506845</c:v>
                </c:pt>
                <c:pt idx="32">
                  <c:v>586229.86790978233</c:v>
                </c:pt>
                <c:pt idx="33">
                  <c:v>615922.2987739034</c:v>
                </c:pt>
                <c:pt idx="34">
                  <c:v>646473.22351883689</c:v>
                </c:pt>
                <c:pt idx="35">
                  <c:v>677902.13083248481</c:v>
                </c:pt>
                <c:pt idx="36">
                  <c:v>710228.8995366263</c:v>
                </c:pt>
                <c:pt idx="37">
                  <c:v>743473.80588276393</c:v>
                </c:pt>
                <c:pt idx="38">
                  <c:v>777657.53097866895</c:v>
                </c:pt>
                <c:pt idx="39">
                  <c:v>812801.16834790073</c:v>
                </c:pt>
                <c:pt idx="40">
                  <c:v>848926.23162461212</c:v>
                </c:pt>
                <c:pt idx="41">
                  <c:v>886054.66238598921</c:v>
                </c:pt>
              </c:numCache>
            </c:numRef>
          </c:val>
          <c:smooth val="0"/>
          <c:extLst>
            <c:ext xmlns:c16="http://schemas.microsoft.com/office/drawing/2014/chart" uri="{C3380CC4-5D6E-409C-BE32-E72D297353CC}">
              <c16:uniqueId val="{00000000-D00F-4A44-8719-221A57B5DD12}"/>
            </c:ext>
          </c:extLst>
        </c:ser>
        <c:ser>
          <c:idx val="1"/>
          <c:order val="1"/>
          <c:tx>
            <c:strRef>
              <c:f>'Difference in benefits'!$C$3</c:f>
              <c:strCache>
                <c:ptCount val="1"/>
                <c:pt idx="0">
                  <c:v>Joint - male</c:v>
                </c:pt>
              </c:strCache>
            </c:strRef>
          </c:tx>
          <c:spPr>
            <a:ln w="28575" cap="rnd">
              <a:solidFill>
                <a:schemeClr val="accent2"/>
              </a:solidFill>
              <a:round/>
            </a:ln>
            <a:effectLst/>
          </c:spPr>
          <c:marker>
            <c:symbol val="none"/>
          </c:marker>
          <c:cat>
            <c:numRef>
              <c:f>'Difference in benefits'!$A$4:$A$45</c:f>
              <c:numCache>
                <c:formatCode>General</c:formatCode>
                <c:ptCount val="42"/>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numCache>
            </c:numRef>
          </c:cat>
          <c:val>
            <c:numRef>
              <c:f>'Difference in benefits'!$C$4:$C$45</c:f>
              <c:numCache>
                <c:formatCode>_("£"* #,##0.00_);_("£"* \(#,##0.00\);_("£"* "-"??_);_(@_)</c:formatCode>
                <c:ptCount val="42"/>
                <c:pt idx="0">
                  <c:v>15143.06757634828</c:v>
                </c:pt>
                <c:pt idx="1">
                  <c:v>31324.822251786871</c:v>
                </c:pt>
                <c:pt idx="2">
                  <c:v>46374.673609868652</c:v>
                </c:pt>
                <c:pt idx="3">
                  <c:v>63952.289576930911</c:v>
                </c:pt>
                <c:pt idx="4">
                  <c:v>82663.027919195825</c:v>
                </c:pt>
                <c:pt idx="5">
                  <c:v>102553.45600890549</c:v>
                </c:pt>
                <c:pt idx="6">
                  <c:v>123671.90097297971</c:v>
                </c:pt>
                <c:pt idx="7">
                  <c:v>146068.51368823237</c:v>
                </c:pt>
                <c:pt idx="8">
                  <c:v>169795.33506761497</c:v>
                </c:pt>
                <c:pt idx="9">
                  <c:v>186254.14503576956</c:v>
                </c:pt>
                <c:pt idx="10">
                  <c:v>172516.17843346589</c:v>
                </c:pt>
                <c:pt idx="11">
                  <c:v>191095.67927588892</c:v>
                </c:pt>
                <c:pt idx="12">
                  <c:v>210500.84188952763</c:v>
                </c:pt>
                <c:pt idx="13">
                  <c:v>230285.425650044</c:v>
                </c:pt>
                <c:pt idx="14">
                  <c:v>250555.70167556207</c:v>
                </c:pt>
                <c:pt idx="15">
                  <c:v>271319.64770781231</c:v>
                </c:pt>
                <c:pt idx="16">
                  <c:v>292585.29771816102</c:v>
                </c:pt>
                <c:pt idx="17">
                  <c:v>314360.73973249586</c:v>
                </c:pt>
                <c:pt idx="18">
                  <c:v>336654.11352032895</c:v>
                </c:pt>
                <c:pt idx="19">
                  <c:v>359473.60814291483</c:v>
                </c:pt>
                <c:pt idx="20">
                  <c:v>382827.45935500698</c:v>
                </c:pt>
                <c:pt idx="21">
                  <c:v>409776.41349614441</c:v>
                </c:pt>
                <c:pt idx="22">
                  <c:v>437542.24815738085</c:v>
                </c:pt>
                <c:pt idx="23">
                  <c:v>466143.83561984397</c:v>
                </c:pt>
                <c:pt idx="24">
                  <c:v>495600.42941944132</c:v>
                </c:pt>
                <c:pt idx="25">
                  <c:v>525931.67151927692</c:v>
                </c:pt>
                <c:pt idx="26">
                  <c:v>557157.59961113543</c:v>
                </c:pt>
                <c:pt idx="27">
                  <c:v>590426.25394482573</c:v>
                </c:pt>
                <c:pt idx="28">
                  <c:v>623563.16754708439</c:v>
                </c:pt>
                <c:pt idx="29">
                  <c:v>657658.8722845267</c:v>
                </c:pt>
                <c:pt idx="30">
                  <c:v>692735.09724737413</c:v>
                </c:pt>
                <c:pt idx="31">
                  <c:v>728814.00641529972</c:v>
                </c:pt>
                <c:pt idx="32">
                  <c:v>765918.20679372456</c:v>
                </c:pt>
                <c:pt idx="33">
                  <c:v>804070.75669599581</c:v>
                </c:pt>
                <c:pt idx="34">
                  <c:v>843295.17417397478</c:v>
                </c:pt>
                <c:pt idx="35">
                  <c:v>883615.44559962733</c:v>
                </c:pt>
                <c:pt idx="36">
                  <c:v>925056.03440023621</c:v>
                </c:pt>
                <c:pt idx="37">
                  <c:v>967641.88994991255</c:v>
                </c:pt>
                <c:pt idx="38">
                  <c:v>1011398.4566201179</c:v>
                </c:pt>
                <c:pt idx="39">
                  <c:v>1056351.6829919643</c:v>
                </c:pt>
                <c:pt idx="40">
                  <c:v>1102528.0312330995</c:v>
                </c:pt>
                <c:pt idx="41">
                  <c:v>1149954.486642038</c:v>
                </c:pt>
              </c:numCache>
            </c:numRef>
          </c:val>
          <c:smooth val="0"/>
          <c:extLst>
            <c:ext xmlns:c16="http://schemas.microsoft.com/office/drawing/2014/chart" uri="{C3380CC4-5D6E-409C-BE32-E72D297353CC}">
              <c16:uniqueId val="{00000001-D00F-4A44-8719-221A57B5DD12}"/>
            </c:ext>
          </c:extLst>
        </c:ser>
        <c:ser>
          <c:idx val="2"/>
          <c:order val="2"/>
          <c:tx>
            <c:strRef>
              <c:f>'Difference in benefits'!$D$3</c:f>
              <c:strCache>
                <c:ptCount val="1"/>
                <c:pt idx="0">
                  <c:v>Single - female</c:v>
                </c:pt>
              </c:strCache>
            </c:strRef>
          </c:tx>
          <c:spPr>
            <a:ln w="28575" cap="rnd">
              <a:solidFill>
                <a:schemeClr val="accent3"/>
              </a:solidFill>
              <a:round/>
            </a:ln>
            <a:effectLst/>
          </c:spPr>
          <c:marker>
            <c:symbol val="none"/>
          </c:marker>
          <c:cat>
            <c:numRef>
              <c:f>'Difference in benefits'!$A$4:$A$45</c:f>
              <c:numCache>
                <c:formatCode>General</c:formatCode>
                <c:ptCount val="42"/>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numCache>
            </c:numRef>
          </c:cat>
          <c:val>
            <c:numRef>
              <c:f>'Difference in benefits'!$D$4:$D$45</c:f>
              <c:numCache>
                <c:formatCode>_("£"* #,##0.00_);_("£"* \(#,##0.00\);_("£"* "-"??_);_(@_)</c:formatCode>
                <c:ptCount val="42"/>
                <c:pt idx="0">
                  <c:v>11452.020017406441</c:v>
                </c:pt>
                <c:pt idx="1">
                  <c:v>23757.067441688421</c:v>
                </c:pt>
                <c:pt idx="2">
                  <c:v>38105.025407651439</c:v>
                </c:pt>
                <c:pt idx="3">
                  <c:v>52648.044409548922</c:v>
                </c:pt>
                <c:pt idx="4">
                  <c:v>68175.924338024372</c:v>
                </c:pt>
                <c:pt idx="5">
                  <c:v>84729.381833547086</c:v>
                </c:pt>
                <c:pt idx="6">
                  <c:v>102350.67750389296</c:v>
                </c:pt>
                <c:pt idx="7">
                  <c:v>121083.67216321861</c:v>
                </c:pt>
                <c:pt idx="8">
                  <c:v>140973.88508628798</c:v>
                </c:pt>
                <c:pt idx="9">
                  <c:v>152774.05597774399</c:v>
                </c:pt>
                <c:pt idx="10">
                  <c:v>139676.68209228391</c:v>
                </c:pt>
                <c:pt idx="11">
                  <c:v>154357.78622739002</c:v>
                </c:pt>
                <c:pt idx="12">
                  <c:v>169685.85129264649</c:v>
                </c:pt>
                <c:pt idx="13">
                  <c:v>185298.40624938218</c:v>
                </c:pt>
                <c:pt idx="14">
                  <c:v>201280.67597989045</c:v>
                </c:pt>
                <c:pt idx="15">
                  <c:v>217638.09760764567</c:v>
                </c:pt>
                <c:pt idx="16">
                  <c:v>234376.11436214624</c:v>
                </c:pt>
                <c:pt idx="17">
                  <c:v>251500.17247172978</c:v>
                </c:pt>
                <c:pt idx="18">
                  <c:v>269015.71790392412</c:v>
                </c:pt>
                <c:pt idx="19">
                  <c:v>286928.19294783601</c:v>
                </c:pt>
                <c:pt idx="20">
                  <c:v>305243.03263290756</c:v>
                </c:pt>
                <c:pt idx="21">
                  <c:v>327018.12761963258</c:v>
                </c:pt>
                <c:pt idx="22">
                  <c:v>349472.34384783683</c:v>
                </c:pt>
                <c:pt idx="23">
                  <c:v>372621.58493859897</c:v>
                </c:pt>
                <c:pt idx="24">
                  <c:v>396482.07770381385</c:v>
                </c:pt>
                <c:pt idx="25">
                  <c:v>421070.37824463908</c:v>
                </c:pt>
                <c:pt idx="26">
                  <c:v>446403.37815985258</c:v>
                </c:pt>
                <c:pt idx="27">
                  <c:v>449989.43453541759</c:v>
                </c:pt>
                <c:pt idx="28">
                  <c:v>475668.5663340718</c:v>
                </c:pt>
                <c:pt idx="29">
                  <c:v>502114.35409816826</c:v>
                </c:pt>
                <c:pt idx="30">
                  <c:v>529344.44086374261</c:v>
                </c:pt>
                <c:pt idx="31">
                  <c:v>557376.82520506845</c:v>
                </c:pt>
                <c:pt idx="32">
                  <c:v>586229.86790978233</c:v>
                </c:pt>
                <c:pt idx="33">
                  <c:v>615922.2987739034</c:v>
                </c:pt>
                <c:pt idx="34">
                  <c:v>646473.22351883689</c:v>
                </c:pt>
                <c:pt idx="35">
                  <c:v>677902.13083248481</c:v>
                </c:pt>
                <c:pt idx="36">
                  <c:v>710228.8995366263</c:v>
                </c:pt>
                <c:pt idx="37">
                  <c:v>743473.80588276393</c:v>
                </c:pt>
                <c:pt idx="38">
                  <c:v>777657.53097866895</c:v>
                </c:pt>
                <c:pt idx="39">
                  <c:v>812801.16834790073</c:v>
                </c:pt>
                <c:pt idx="40">
                  <c:v>848926.23162461212</c:v>
                </c:pt>
                <c:pt idx="41">
                  <c:v>886054.66238598921</c:v>
                </c:pt>
              </c:numCache>
            </c:numRef>
          </c:val>
          <c:smooth val="0"/>
          <c:extLst>
            <c:ext xmlns:c16="http://schemas.microsoft.com/office/drawing/2014/chart" uri="{C3380CC4-5D6E-409C-BE32-E72D297353CC}">
              <c16:uniqueId val="{00000002-D00F-4A44-8719-221A57B5DD12}"/>
            </c:ext>
          </c:extLst>
        </c:ser>
        <c:ser>
          <c:idx val="3"/>
          <c:order val="3"/>
          <c:tx>
            <c:strRef>
              <c:f>'Difference in benefits'!$E$3</c:f>
              <c:strCache>
                <c:ptCount val="1"/>
                <c:pt idx="0">
                  <c:v>Joint - female</c:v>
                </c:pt>
              </c:strCache>
            </c:strRef>
          </c:tx>
          <c:spPr>
            <a:ln w="28575" cap="rnd">
              <a:solidFill>
                <a:schemeClr val="accent4"/>
              </a:solidFill>
              <a:round/>
            </a:ln>
            <a:effectLst/>
          </c:spPr>
          <c:marker>
            <c:symbol val="none"/>
          </c:marker>
          <c:cat>
            <c:numRef>
              <c:f>'Difference in benefits'!$A$4:$A$45</c:f>
              <c:numCache>
                <c:formatCode>General</c:formatCode>
                <c:ptCount val="42"/>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numCache>
            </c:numRef>
          </c:cat>
          <c:val>
            <c:numRef>
              <c:f>'Difference in benefits'!$E$4:$E$45</c:f>
              <c:numCache>
                <c:formatCode>_("£"* #,##0.00_);_("£"* \(#,##0.00\);_("£"* "-"??_);_(@_)</c:formatCode>
                <c:ptCount val="42"/>
                <c:pt idx="0">
                  <c:v>13405.32589392849</c:v>
                </c:pt>
                <c:pt idx="1">
                  <c:v>27761.930480321564</c:v>
                </c:pt>
                <c:pt idx="2">
                  <c:v>41714.495253744535</c:v>
                </c:pt>
                <c:pt idx="3">
                  <c:v>57582.030846066162</c:v>
                </c:pt>
                <c:pt idx="4">
                  <c:v>74499.139335180575</c:v>
                </c:pt>
                <c:pt idx="5">
                  <c:v>92509.091042124259</c:v>
                </c:pt>
                <c:pt idx="6">
                  <c:v>111656.79444038459</c:v>
                </c:pt>
                <c:pt idx="7">
                  <c:v>131988.85578031279</c:v>
                </c:pt>
                <c:pt idx="8">
                  <c:v>153553.64084910124</c:v>
                </c:pt>
                <c:pt idx="9">
                  <c:v>168518.5172052409</c:v>
                </c:pt>
                <c:pt idx="10">
                  <c:v>155119.89599706663</c:v>
                </c:pt>
                <c:pt idx="11">
                  <c:v>171634.27350553134</c:v>
                </c:pt>
                <c:pt idx="12">
                  <c:v>188879.64841306378</c:v>
                </c:pt>
                <c:pt idx="13">
                  <c:v>206454.15590903204</c:v>
                </c:pt>
                <c:pt idx="14">
                  <c:v>224452.91815059772</c:v>
                </c:pt>
                <c:pt idx="15">
                  <c:v>242882.56702106871</c:v>
                </c:pt>
                <c:pt idx="16">
                  <c:v>261749.764081078</c:v>
                </c:pt>
                <c:pt idx="17">
                  <c:v>281061.1978997176</c:v>
                </c:pt>
                <c:pt idx="18">
                  <c:v>300823.58124105289</c:v>
                </c:pt>
                <c:pt idx="19">
                  <c:v>321043.64810065879</c:v>
                </c:pt>
                <c:pt idx="20">
                  <c:v>341728.15058664413</c:v>
                </c:pt>
                <c:pt idx="21">
                  <c:v>365936.32228090108</c:v>
                </c:pt>
                <c:pt idx="22">
                  <c:v>390888.39836632367</c:v>
                </c:pt>
                <c:pt idx="23">
                  <c:v>416601.67851622164</c:v>
                </c:pt>
                <c:pt idx="24">
                  <c:v>443093.81290008005</c:v>
                </c:pt>
                <c:pt idx="25">
                  <c:v>470382.80878705293</c:v>
                </c:pt>
                <c:pt idx="26">
                  <c:v>498487.03726837959</c:v>
                </c:pt>
                <c:pt idx="27">
                  <c:v>515605.36228821485</c:v>
                </c:pt>
                <c:pt idx="28">
                  <c:v>544768.97396956175</c:v>
                </c:pt>
                <c:pt idx="29">
                  <c:v>574789.01242908766</c:v>
                </c:pt>
                <c:pt idx="30">
                  <c:v>605685.02981923625</c:v>
                </c:pt>
                <c:pt idx="31">
                  <c:v>637476.97090574924</c:v>
                </c:pt>
                <c:pt idx="32">
                  <c:v>670185.18042549049</c:v>
                </c:pt>
                <c:pt idx="33">
                  <c:v>703830.41057630721</c:v>
                </c:pt>
                <c:pt idx="34">
                  <c:v>738433.82864122128</c:v>
                </c:pt>
                <c:pt idx="35">
                  <c:v>774017.02474929357</c:v>
                </c:pt>
                <c:pt idx="36">
                  <c:v>810602.01977553975</c:v>
                </c:pt>
                <c:pt idx="37">
                  <c:v>848211.2733823139</c:v>
                </c:pt>
                <c:pt idx="38">
                  <c:v>886867.69220462022</c:v>
                </c:pt>
                <c:pt idx="39">
                  <c:v>926594.6381818587</c:v>
                </c:pt>
                <c:pt idx="40">
                  <c:v>967415.93703854107</c:v>
                </c:pt>
                <c:pt idx="41">
                  <c:v>1009355.8869165753</c:v>
                </c:pt>
              </c:numCache>
            </c:numRef>
          </c:val>
          <c:smooth val="0"/>
          <c:extLst>
            <c:ext xmlns:c16="http://schemas.microsoft.com/office/drawing/2014/chart" uri="{C3380CC4-5D6E-409C-BE32-E72D297353CC}">
              <c16:uniqueId val="{00000003-D00F-4A44-8719-221A57B5DD12}"/>
            </c:ext>
          </c:extLst>
        </c:ser>
        <c:dLbls>
          <c:showLegendKey val="0"/>
          <c:showVal val="0"/>
          <c:showCatName val="0"/>
          <c:showSerName val="0"/>
          <c:showPercent val="0"/>
          <c:showBubbleSize val="0"/>
        </c:dLbls>
        <c:smooth val="0"/>
        <c:axId val="2083467359"/>
        <c:axId val="2083469055"/>
      </c:lineChart>
      <c:catAx>
        <c:axId val="2083467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 of retirement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469055"/>
        <c:crosses val="autoZero"/>
        <c:auto val="1"/>
        <c:lblAlgn val="ctr"/>
        <c:lblOffset val="100"/>
        <c:noMultiLvlLbl val="0"/>
      </c:catAx>
      <c:valAx>
        <c:axId val="208346905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46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solidFill>
                  <a:schemeClr val="accent1"/>
                </a:solidFill>
                <a:effectLst/>
              </a:rPr>
              <a:t>Figure 1: Difference in expected annual income from pension by year of retirement</a:t>
            </a:r>
            <a:endParaRPr lang="en-GB" sz="1400">
              <a:solidFill>
                <a:schemeClr val="accent1"/>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'Difference in benefits'!$H$3</c:f>
              <c:strCache>
                <c:ptCount val="1"/>
                <c:pt idx="0">
                  <c:v>Single - male</c:v>
                </c:pt>
              </c:strCache>
            </c:strRef>
          </c:tx>
          <c:spPr>
            <a:ln w="28575" cap="rnd">
              <a:solidFill>
                <a:schemeClr val="accent1"/>
              </a:solidFill>
              <a:round/>
            </a:ln>
            <a:effectLst/>
          </c:spPr>
          <c:marker>
            <c:symbol val="none"/>
          </c:marker>
          <c:cat>
            <c:numRef>
              <c:f>'Difference in benefits'!$G$4:$G$45</c:f>
              <c:numCache>
                <c:formatCode>General</c:formatCode>
                <c:ptCount val="42"/>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numCache>
            </c:numRef>
          </c:cat>
          <c:val>
            <c:numRef>
              <c:f>'Difference in benefits'!$H$4:$H$45</c:f>
              <c:numCache>
                <c:formatCode>_("£"* #,##0.00_);_("£"* \(#,##0.00\);_("£"* "-"??_);_(@_)</c:formatCode>
                <c:ptCount val="42"/>
                <c:pt idx="0">
                  <c:v>297.45373333333339</c:v>
                </c:pt>
                <c:pt idx="1">
                  <c:v>610.81330365845656</c:v>
                </c:pt>
                <c:pt idx="2">
                  <c:v>956.09861486374541</c:v>
                </c:pt>
                <c:pt idx="3">
                  <c:v>1306.8324180749373</c:v>
                </c:pt>
                <c:pt idx="4">
                  <c:v>1673.8358431673328</c:v>
                </c:pt>
                <c:pt idx="5">
                  <c:v>2057.2701714246236</c:v>
                </c:pt>
                <c:pt idx="6">
                  <c:v>2457.303295367245</c:v>
                </c:pt>
                <c:pt idx="7">
                  <c:v>2874.1097837741922</c:v>
                </c:pt>
                <c:pt idx="8">
                  <c:v>3307.8709493518359</c:v>
                </c:pt>
                <c:pt idx="9">
                  <c:v>3654.7165203223963</c:v>
                </c:pt>
                <c:pt idx="10">
                  <c:v>3669.2537289716092</c:v>
                </c:pt>
                <c:pt idx="11">
                  <c:v>3996.8934060047645</c:v>
                </c:pt>
                <c:pt idx="12">
                  <c:v>4332.1961683420168</c:v>
                </c:pt>
                <c:pt idx="13">
                  <c:v>4665.4929724564472</c:v>
                </c:pt>
                <c:pt idx="14">
                  <c:v>4998.7826810584693</c:v>
                </c:pt>
                <c:pt idx="15">
                  <c:v>5331.9895895987775</c:v>
                </c:pt>
                <c:pt idx="16">
                  <c:v>5665.0381413565619</c:v>
                </c:pt>
                <c:pt idx="17">
                  <c:v>5997.8529128189348</c:v>
                </c:pt>
                <c:pt idx="18">
                  <c:v>6330.3585991171431</c:v>
                </c:pt>
                <c:pt idx="19">
                  <c:v>6662.4799995167068</c:v>
                </c:pt>
                <c:pt idx="20">
                  <c:v>6994.1420029585861</c:v>
                </c:pt>
                <c:pt idx="21">
                  <c:v>7405.5391282737401</c:v>
                </c:pt>
                <c:pt idx="22">
                  <c:v>7820.8438927387215</c:v>
                </c:pt>
                <c:pt idx="23">
                  <c:v>8239.9968730384098</c:v>
                </c:pt>
                <c:pt idx="24">
                  <c:v>8662.9395207343496</c:v>
                </c:pt>
                <c:pt idx="25">
                  <c:v>9089.614149329047</c:v>
                </c:pt>
                <c:pt idx="26">
                  <c:v>9519.9639215213974</c:v>
                </c:pt>
                <c:pt idx="27">
                  <c:v>9680.8819323379248</c:v>
                </c:pt>
                <c:pt idx="28">
                  <c:v>10109.984060923998</c:v>
                </c:pt>
                <c:pt idx="29">
                  <c:v>10542.695820632258</c:v>
                </c:pt>
                <c:pt idx="30">
                  <c:v>10978.962120566248</c:v>
                </c:pt>
                <c:pt idx="31">
                  <c:v>11418.72868053913</c:v>
                </c:pt>
                <c:pt idx="32">
                  <c:v>11861.942019085967</c:v>
                </c:pt>
                <c:pt idx="33">
                  <c:v>12308.54944165316</c:v>
                </c:pt>
                <c:pt idx="34">
                  <c:v>12758.499028962398</c:v>
                </c:pt>
                <c:pt idx="35">
                  <c:v>13211.739625546585</c:v>
                </c:pt>
                <c:pt idx="36">
                  <c:v>13668.220828455133</c:v>
                </c:pt>
                <c:pt idx="37">
                  <c:v>14127.892976126201</c:v>
                </c:pt>
                <c:pt idx="38">
                  <c:v>14590.707137423335</c:v>
                </c:pt>
                <c:pt idx="39">
                  <c:v>15056.615100834128</c:v>
                </c:pt>
                <c:pt idx="40">
                  <c:v>15525.569363828503</c:v>
                </c:pt>
                <c:pt idx="41">
                  <c:v>15997.523122374228</c:v>
                </c:pt>
              </c:numCache>
            </c:numRef>
          </c:val>
          <c:smooth val="0"/>
          <c:extLst>
            <c:ext xmlns:c16="http://schemas.microsoft.com/office/drawing/2014/chart" uri="{C3380CC4-5D6E-409C-BE32-E72D297353CC}">
              <c16:uniqueId val="{00000000-6CB4-7847-A5BC-34E84C7E789C}"/>
            </c:ext>
          </c:extLst>
        </c:ser>
        <c:ser>
          <c:idx val="1"/>
          <c:order val="1"/>
          <c:tx>
            <c:strRef>
              <c:f>'Difference in benefits'!$I$3</c:f>
              <c:strCache>
                <c:ptCount val="1"/>
                <c:pt idx="0">
                  <c:v>Joint - male</c:v>
                </c:pt>
              </c:strCache>
            </c:strRef>
          </c:tx>
          <c:spPr>
            <a:ln w="28575" cap="rnd">
              <a:solidFill>
                <a:schemeClr val="accent2"/>
              </a:solidFill>
              <a:round/>
            </a:ln>
            <a:effectLst/>
          </c:spPr>
          <c:marker>
            <c:symbol val="none"/>
          </c:marker>
          <c:cat>
            <c:numRef>
              <c:f>'Difference in benefits'!$G$4:$G$45</c:f>
              <c:numCache>
                <c:formatCode>General</c:formatCode>
                <c:ptCount val="42"/>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numCache>
            </c:numRef>
          </c:cat>
          <c:val>
            <c:numRef>
              <c:f>'Difference in benefits'!$I$4:$I$45</c:f>
              <c:numCache>
                <c:formatCode>_("£"* #,##0.00_);_("£"* \(#,##0.00\);_("£"* "-"??_);_(@_)</c:formatCode>
                <c:ptCount val="42"/>
                <c:pt idx="0">
                  <c:v>343.68608333333339</c:v>
                </c:pt>
                <c:pt idx="1">
                  <c:v>702.58110222495907</c:v>
                </c:pt>
                <c:pt idx="2">
                  <c:v>1054.3893656057887</c:v>
                </c:pt>
                <c:pt idx="3">
                  <c:v>1436.9126762365356</c:v>
                </c:pt>
                <c:pt idx="4">
                  <c:v>1835.2361009766191</c:v>
                </c:pt>
                <c:pt idx="5">
                  <c:v>2249.5311303901758</c:v>
                </c:pt>
                <c:pt idx="6">
                  <c:v>2679.9756661275756</c:v>
                </c:pt>
                <c:pt idx="7">
                  <c:v>3126.7540899701253</c:v>
                </c:pt>
                <c:pt idx="8">
                  <c:v>3590.0573354414114</c:v>
                </c:pt>
                <c:pt idx="9">
                  <c:v>3995.5077762396731</c:v>
                </c:pt>
                <c:pt idx="10">
                  <c:v>4097.30769063762</c:v>
                </c:pt>
                <c:pt idx="11">
                  <c:v>4474.6287096154483</c:v>
                </c:pt>
                <c:pt idx="12">
                  <c:v>4860.4668551114964</c:v>
                </c:pt>
                <c:pt idx="13">
                  <c:v>5244.056159540396</c:v>
                </c:pt>
                <c:pt idx="14">
                  <c:v>5627.6392605030724</c:v>
                </c:pt>
                <c:pt idx="15">
                  <c:v>6011.1499710087228</c:v>
                </c:pt>
                <c:pt idx="16">
                  <c:v>6394.5222333100746</c:v>
                </c:pt>
                <c:pt idx="17">
                  <c:v>6777.6901061209082</c:v>
                </c:pt>
                <c:pt idx="18">
                  <c:v>7160.5877518832258</c:v>
                </c:pt>
                <c:pt idx="19">
                  <c:v>7543.1494240815655</c:v>
                </c:pt>
                <c:pt idx="20">
                  <c:v>7925.3094546019292</c:v>
                </c:pt>
                <c:pt idx="21">
                  <c:v>8377.1803258387536</c:v>
                </c:pt>
                <c:pt idx="22">
                  <c:v>8832.467568731523</c:v>
                </c:pt>
                <c:pt idx="23">
                  <c:v>9291.1192306506036</c:v>
                </c:pt>
                <c:pt idx="24">
                  <c:v>9753.0841238537396</c:v>
                </c:pt>
                <c:pt idx="25">
                  <c:v>10218.311814176614</c:v>
                </c:pt>
                <c:pt idx="26">
                  <c:v>10686.752609890529</c:v>
                </c:pt>
                <c:pt idx="27">
                  <c:v>11168.511014958878</c:v>
                </c:pt>
                <c:pt idx="28">
                  <c:v>11643.5453608876</c:v>
                </c:pt>
                <c:pt idx="29">
                  <c:v>12121.644363068594</c:v>
                </c:pt>
                <c:pt idx="30">
                  <c:v>12602.761248118501</c:v>
                </c:pt>
                <c:pt idx="31">
                  <c:v>13086.849930964263</c:v>
                </c:pt>
                <c:pt idx="32">
                  <c:v>13573.865004665297</c:v>
                </c:pt>
                <c:pt idx="33">
                  <c:v>14063.761730386055</c:v>
                </c:pt>
                <c:pt idx="34">
                  <c:v>14556.49602751678</c:v>
                </c:pt>
                <c:pt idx="35">
                  <c:v>15052.02446394023</c:v>
                </c:pt>
                <c:pt idx="36">
                  <c:v>15550.304246442252</c:v>
                </c:pt>
                <c:pt idx="37">
                  <c:v>16051.293211264043</c:v>
                </c:pt>
                <c:pt idx="38">
                  <c:v>16554.949814794025</c:v>
                </c:pt>
                <c:pt idx="39">
                  <c:v>17061.23312439728</c:v>
                </c:pt>
                <c:pt idx="40">
                  <c:v>17570.102809380482</c:v>
                </c:pt>
                <c:pt idx="41">
                  <c:v>18081.51913209035</c:v>
                </c:pt>
              </c:numCache>
            </c:numRef>
          </c:val>
          <c:smooth val="0"/>
          <c:extLst>
            <c:ext xmlns:c16="http://schemas.microsoft.com/office/drawing/2014/chart" uri="{C3380CC4-5D6E-409C-BE32-E72D297353CC}">
              <c16:uniqueId val="{00000001-6CB4-7847-A5BC-34E84C7E789C}"/>
            </c:ext>
          </c:extLst>
        </c:ser>
        <c:ser>
          <c:idx val="2"/>
          <c:order val="2"/>
          <c:tx>
            <c:strRef>
              <c:f>'Difference in benefits'!$J$3</c:f>
              <c:strCache>
                <c:ptCount val="1"/>
                <c:pt idx="0">
                  <c:v>Single - female</c:v>
                </c:pt>
              </c:strCache>
            </c:strRef>
          </c:tx>
          <c:spPr>
            <a:ln w="28575" cap="rnd">
              <a:solidFill>
                <a:schemeClr val="accent3"/>
              </a:solidFill>
              <a:round/>
            </a:ln>
            <a:effectLst/>
          </c:spPr>
          <c:marker>
            <c:symbol val="none"/>
          </c:marker>
          <c:cat>
            <c:numRef>
              <c:f>'Difference in benefits'!$G$4:$G$45</c:f>
              <c:numCache>
                <c:formatCode>General</c:formatCode>
                <c:ptCount val="42"/>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numCache>
            </c:numRef>
          </c:cat>
          <c:val>
            <c:numRef>
              <c:f>'Difference in benefits'!$J$4:$J$45</c:f>
              <c:numCache>
                <c:formatCode>_("£"* #,##0.00_);_("£"* \(#,##0.00\);_("£"* "-"??_);_(@_)</c:formatCode>
                <c:ptCount val="42"/>
                <c:pt idx="0">
                  <c:v>297.45373333333339</c:v>
                </c:pt>
                <c:pt idx="1">
                  <c:v>610.81330365845656</c:v>
                </c:pt>
                <c:pt idx="2">
                  <c:v>956.09861486374541</c:v>
                </c:pt>
                <c:pt idx="3">
                  <c:v>1306.8324180749373</c:v>
                </c:pt>
                <c:pt idx="4">
                  <c:v>1673.8358431673328</c:v>
                </c:pt>
                <c:pt idx="5">
                  <c:v>2057.2701714246236</c:v>
                </c:pt>
                <c:pt idx="6">
                  <c:v>2457.303295367245</c:v>
                </c:pt>
                <c:pt idx="7">
                  <c:v>2874.1097837741922</c:v>
                </c:pt>
                <c:pt idx="8">
                  <c:v>3307.8709493518359</c:v>
                </c:pt>
                <c:pt idx="9">
                  <c:v>3654.7165203223963</c:v>
                </c:pt>
                <c:pt idx="10">
                  <c:v>3669.2537289716092</c:v>
                </c:pt>
                <c:pt idx="11">
                  <c:v>3996.8934060047645</c:v>
                </c:pt>
                <c:pt idx="12">
                  <c:v>4332.1961683420168</c:v>
                </c:pt>
                <c:pt idx="13">
                  <c:v>4665.4929724564472</c:v>
                </c:pt>
                <c:pt idx="14">
                  <c:v>4998.7826810584693</c:v>
                </c:pt>
                <c:pt idx="15">
                  <c:v>5331.9895895987775</c:v>
                </c:pt>
                <c:pt idx="16">
                  <c:v>5665.0381413565619</c:v>
                </c:pt>
                <c:pt idx="17">
                  <c:v>5997.8529128189348</c:v>
                </c:pt>
                <c:pt idx="18">
                  <c:v>6330.3585991171431</c:v>
                </c:pt>
                <c:pt idx="19">
                  <c:v>6662.4799995167068</c:v>
                </c:pt>
                <c:pt idx="20">
                  <c:v>6994.1420029585861</c:v>
                </c:pt>
                <c:pt idx="21">
                  <c:v>7405.5391282737401</c:v>
                </c:pt>
                <c:pt idx="22">
                  <c:v>7820.8438927387215</c:v>
                </c:pt>
                <c:pt idx="23">
                  <c:v>8239.9968730384098</c:v>
                </c:pt>
                <c:pt idx="24">
                  <c:v>8662.9395207343496</c:v>
                </c:pt>
                <c:pt idx="25">
                  <c:v>9089.614149329047</c:v>
                </c:pt>
                <c:pt idx="26">
                  <c:v>9519.9639215213974</c:v>
                </c:pt>
                <c:pt idx="27">
                  <c:v>9680.8819323379248</c:v>
                </c:pt>
                <c:pt idx="28">
                  <c:v>10109.984060923998</c:v>
                </c:pt>
                <c:pt idx="29">
                  <c:v>10542.695820632258</c:v>
                </c:pt>
                <c:pt idx="30">
                  <c:v>10978.962120566248</c:v>
                </c:pt>
                <c:pt idx="31">
                  <c:v>11418.72868053913</c:v>
                </c:pt>
                <c:pt idx="32">
                  <c:v>11861.942019085967</c:v>
                </c:pt>
                <c:pt idx="33">
                  <c:v>12308.54944165316</c:v>
                </c:pt>
                <c:pt idx="34">
                  <c:v>12758.499028962398</c:v>
                </c:pt>
                <c:pt idx="35">
                  <c:v>13211.739625546585</c:v>
                </c:pt>
                <c:pt idx="36">
                  <c:v>13668.220828455133</c:v>
                </c:pt>
                <c:pt idx="37">
                  <c:v>14127.892976126201</c:v>
                </c:pt>
                <c:pt idx="38">
                  <c:v>14590.707137423335</c:v>
                </c:pt>
                <c:pt idx="39">
                  <c:v>15056.615100834128</c:v>
                </c:pt>
                <c:pt idx="40">
                  <c:v>15525.569363828503</c:v>
                </c:pt>
                <c:pt idx="41">
                  <c:v>15997.523122374228</c:v>
                </c:pt>
              </c:numCache>
            </c:numRef>
          </c:val>
          <c:smooth val="0"/>
          <c:extLst>
            <c:ext xmlns:c16="http://schemas.microsoft.com/office/drawing/2014/chart" uri="{C3380CC4-5D6E-409C-BE32-E72D297353CC}">
              <c16:uniqueId val="{00000002-6CB4-7847-A5BC-34E84C7E789C}"/>
            </c:ext>
          </c:extLst>
        </c:ser>
        <c:ser>
          <c:idx val="3"/>
          <c:order val="3"/>
          <c:tx>
            <c:strRef>
              <c:f>'Difference in benefits'!$K$3</c:f>
              <c:strCache>
                <c:ptCount val="1"/>
                <c:pt idx="0">
                  <c:v>Joint - female</c:v>
                </c:pt>
              </c:strCache>
            </c:strRef>
          </c:tx>
          <c:spPr>
            <a:ln w="28575" cap="rnd">
              <a:solidFill>
                <a:schemeClr val="accent4"/>
              </a:solidFill>
              <a:round/>
            </a:ln>
            <a:effectLst/>
          </c:spPr>
          <c:marker>
            <c:symbol val="none"/>
          </c:marker>
          <c:cat>
            <c:numRef>
              <c:f>'Difference in benefits'!$G$4:$G$45</c:f>
              <c:numCache>
                <c:formatCode>General</c:formatCode>
                <c:ptCount val="42"/>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numCache>
            </c:numRef>
          </c:cat>
          <c:val>
            <c:numRef>
              <c:f>'Difference in benefits'!$K$4:$K$45</c:f>
              <c:numCache>
                <c:formatCode>_("£"* #,##0.00_);_("£"* \(#,##0.00\);_("£"* "-"??_);_(@_)</c:formatCode>
                <c:ptCount val="42"/>
                <c:pt idx="0">
                  <c:v>323.9516333333334</c:v>
                </c:pt>
                <c:pt idx="1">
                  <c:v>663.40967718555021</c:v>
                </c:pt>
                <c:pt idx="2">
                  <c:v>1002.0954007263173</c:v>
                </c:pt>
                <c:pt idx="3">
                  <c:v>1367.7056308079416</c:v>
                </c:pt>
                <c:pt idx="4">
                  <c:v>1749.3657688273886</c:v>
                </c:pt>
                <c:pt idx="5">
                  <c:v>2147.2418736703412</c:v>
                </c:pt>
                <c:pt idx="6">
                  <c:v>2561.506521795478</c:v>
                </c:pt>
                <c:pt idx="7">
                  <c:v>2992.3388741388626</c:v>
                </c:pt>
                <c:pt idx="8">
                  <c:v>3439.9247456277371</c:v>
                </c:pt>
                <c:pt idx="9">
                  <c:v>3826.4128782654516</c:v>
                </c:pt>
                <c:pt idx="10">
                  <c:v>3884.9145035514312</c:v>
                </c:pt>
                <c:pt idx="11">
                  <c:v>4237.5844749994594</c:v>
                </c:pt>
                <c:pt idx="12">
                  <c:v>4598.3478120579375</c:v>
                </c:pt>
                <c:pt idx="13">
                  <c:v>4956.9828224376724</c:v>
                </c:pt>
                <c:pt idx="14">
                  <c:v>5315.6111867328491</c:v>
                </c:pt>
                <c:pt idx="15">
                  <c:v>5674.1619954999715</c:v>
                </c:pt>
                <c:pt idx="16">
                  <c:v>6032.5644777606221</c:v>
                </c:pt>
                <c:pt idx="17">
                  <c:v>6390.7479873069515</c:v>
                </c:pt>
                <c:pt idx="18">
                  <c:v>6748.6419890603593</c:v>
                </c:pt>
                <c:pt idx="19">
                  <c:v>7106.1760454806808</c:v>
                </c:pt>
                <c:pt idx="20">
                  <c:v>7463.2798030231716</c:v>
                </c:pt>
                <c:pt idx="21">
                  <c:v>7895.0682812454261</c:v>
                </c:pt>
                <c:pt idx="22">
                  <c:v>8330.5168898037973</c:v>
                </c:pt>
                <c:pt idx="23">
                  <c:v>8769.5699692399721</c:v>
                </c:pt>
                <c:pt idx="24">
                  <c:v>9212.1726795578597</c:v>
                </c:pt>
                <c:pt idx="25">
                  <c:v>9658.2709881072115</c:v>
                </c:pt>
                <c:pt idx="26">
                  <c:v>10107.811657646304</c:v>
                </c:pt>
                <c:pt idx="27">
                  <c:v>10436.742053264765</c:v>
                </c:pt>
                <c:pt idx="28">
                  <c:v>10889.182211310361</c:v>
                </c:pt>
                <c:pt idx="29">
                  <c:v>11344.955100291205</c:v>
                </c:pt>
                <c:pt idx="30">
                  <c:v>11804.009855415672</c:v>
                </c:pt>
                <c:pt idx="31">
                  <c:v>12266.296360411008</c:v>
                </c:pt>
                <c:pt idx="32">
                  <c:v>12731.765236455221</c:v>
                </c:pt>
                <c:pt idx="33">
                  <c:v>13200.367831272504</c:v>
                </c:pt>
                <c:pt idx="34">
                  <c:v>13672.056208389826</c:v>
                </c:pt>
                <c:pt idx="35">
                  <c:v>14146.783136552262</c:v>
                </c:pt>
                <c:pt idx="36">
                  <c:v>14624.502079294742</c:v>
                </c:pt>
                <c:pt idx="37">
                  <c:v>15105.167184667898</c:v>
                </c:pt>
                <c:pt idx="38">
                  <c:v>15588.733275115728</c:v>
                </c:pt>
                <c:pt idx="39">
                  <c:v>16075.155837502853</c:v>
                </c:pt>
                <c:pt idx="40">
                  <c:v>16564.391013289121</c:v>
                </c:pt>
                <c:pt idx="41">
                  <c:v>17056.395588849424</c:v>
                </c:pt>
              </c:numCache>
            </c:numRef>
          </c:val>
          <c:smooth val="0"/>
          <c:extLst>
            <c:ext xmlns:c16="http://schemas.microsoft.com/office/drawing/2014/chart" uri="{C3380CC4-5D6E-409C-BE32-E72D297353CC}">
              <c16:uniqueId val="{00000003-6CB4-7847-A5BC-34E84C7E789C}"/>
            </c:ext>
          </c:extLst>
        </c:ser>
        <c:dLbls>
          <c:showLegendKey val="0"/>
          <c:showVal val="0"/>
          <c:showCatName val="0"/>
          <c:showSerName val="0"/>
          <c:showPercent val="0"/>
          <c:showBubbleSize val="0"/>
        </c:dLbls>
        <c:smooth val="0"/>
        <c:axId val="1651964799"/>
        <c:axId val="1651998575"/>
      </c:lineChart>
      <c:catAx>
        <c:axId val="165196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 of retirement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998575"/>
        <c:crosses val="autoZero"/>
        <c:auto val="1"/>
        <c:lblAlgn val="ctr"/>
        <c:lblOffset val="100"/>
        <c:noMultiLvlLbl val="0"/>
      </c:catAx>
      <c:valAx>
        <c:axId val="165199857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964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Difference</a:t>
            </a:r>
            <a:r>
              <a:rPr lang="en-US" baseline="0"/>
              <a:t> in value of the DB versus DC pension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'Difference in benefits'!$B$3</c:f>
              <c:strCache>
                <c:ptCount val="1"/>
                <c:pt idx="0">
                  <c:v>Single - male</c:v>
                </c:pt>
              </c:strCache>
            </c:strRef>
          </c:tx>
          <c:spPr>
            <a:ln w="28575" cap="rnd">
              <a:solidFill>
                <a:schemeClr val="accent1"/>
              </a:solidFill>
              <a:round/>
            </a:ln>
            <a:effectLst/>
          </c:spPr>
          <c:marker>
            <c:symbol val="none"/>
          </c:marker>
          <c:cat>
            <c:numRef>
              <c:f>'Difference in benefits'!$A$4:$A$45</c:f>
              <c:numCache>
                <c:formatCode>General</c:formatCode>
                <c:ptCount val="42"/>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numCache>
            </c:numRef>
          </c:cat>
          <c:val>
            <c:numRef>
              <c:f>'Difference in benefits'!$B$4:$B$45</c:f>
              <c:numCache>
                <c:formatCode>_("£"* #,##0.00_);_("£"* \(#,##0.00\);_("£"* "-"??_);_(@_)</c:formatCode>
                <c:ptCount val="42"/>
                <c:pt idx="0">
                  <c:v>11452.020017406441</c:v>
                </c:pt>
                <c:pt idx="1">
                  <c:v>23757.067441688421</c:v>
                </c:pt>
                <c:pt idx="2">
                  <c:v>38105.025407651439</c:v>
                </c:pt>
                <c:pt idx="3">
                  <c:v>52648.044409548922</c:v>
                </c:pt>
                <c:pt idx="4">
                  <c:v>68175.924338024372</c:v>
                </c:pt>
                <c:pt idx="5">
                  <c:v>84729.381833547086</c:v>
                </c:pt>
                <c:pt idx="6">
                  <c:v>102350.67750389296</c:v>
                </c:pt>
                <c:pt idx="7">
                  <c:v>121083.67216321861</c:v>
                </c:pt>
                <c:pt idx="8">
                  <c:v>140973.88508628798</c:v>
                </c:pt>
                <c:pt idx="9">
                  <c:v>152774.05597774399</c:v>
                </c:pt>
                <c:pt idx="10">
                  <c:v>139676.68209228391</c:v>
                </c:pt>
                <c:pt idx="11">
                  <c:v>154357.78622739002</c:v>
                </c:pt>
                <c:pt idx="12">
                  <c:v>169685.85129264649</c:v>
                </c:pt>
                <c:pt idx="13">
                  <c:v>185298.40624938218</c:v>
                </c:pt>
                <c:pt idx="14">
                  <c:v>201280.67597989045</c:v>
                </c:pt>
                <c:pt idx="15">
                  <c:v>217638.09760764567</c:v>
                </c:pt>
                <c:pt idx="16">
                  <c:v>234376.11436214624</c:v>
                </c:pt>
                <c:pt idx="17">
                  <c:v>251500.17247172978</c:v>
                </c:pt>
                <c:pt idx="18">
                  <c:v>269015.71790392412</c:v>
                </c:pt>
                <c:pt idx="19">
                  <c:v>286928.19294783601</c:v>
                </c:pt>
                <c:pt idx="20">
                  <c:v>305243.03263290756</c:v>
                </c:pt>
                <c:pt idx="21">
                  <c:v>327018.12761963258</c:v>
                </c:pt>
                <c:pt idx="22">
                  <c:v>349472.34384783683</c:v>
                </c:pt>
                <c:pt idx="23">
                  <c:v>372621.58493859897</c:v>
                </c:pt>
                <c:pt idx="24">
                  <c:v>396482.07770381385</c:v>
                </c:pt>
                <c:pt idx="25">
                  <c:v>421070.37824463908</c:v>
                </c:pt>
                <c:pt idx="26">
                  <c:v>446403.37815985258</c:v>
                </c:pt>
                <c:pt idx="27">
                  <c:v>449989.43453541759</c:v>
                </c:pt>
                <c:pt idx="28">
                  <c:v>475668.5663340718</c:v>
                </c:pt>
                <c:pt idx="29">
                  <c:v>502114.35409816826</c:v>
                </c:pt>
                <c:pt idx="30">
                  <c:v>529344.44086374261</c:v>
                </c:pt>
                <c:pt idx="31">
                  <c:v>557376.82520506845</c:v>
                </c:pt>
                <c:pt idx="32">
                  <c:v>586229.86790978233</c:v>
                </c:pt>
                <c:pt idx="33">
                  <c:v>615922.2987739034</c:v>
                </c:pt>
                <c:pt idx="34">
                  <c:v>646473.22351883689</c:v>
                </c:pt>
                <c:pt idx="35">
                  <c:v>677902.13083248481</c:v>
                </c:pt>
                <c:pt idx="36">
                  <c:v>710228.8995366263</c:v>
                </c:pt>
                <c:pt idx="37">
                  <c:v>743473.80588276393</c:v>
                </c:pt>
                <c:pt idx="38">
                  <c:v>777657.53097866895</c:v>
                </c:pt>
                <c:pt idx="39">
                  <c:v>812801.16834790073</c:v>
                </c:pt>
                <c:pt idx="40">
                  <c:v>848926.23162461212</c:v>
                </c:pt>
                <c:pt idx="41">
                  <c:v>886054.66238598921</c:v>
                </c:pt>
              </c:numCache>
            </c:numRef>
          </c:val>
          <c:smooth val="0"/>
          <c:extLst>
            <c:ext xmlns:c16="http://schemas.microsoft.com/office/drawing/2014/chart" uri="{C3380CC4-5D6E-409C-BE32-E72D297353CC}">
              <c16:uniqueId val="{00000000-F52C-2346-B059-E875B0A0DA94}"/>
            </c:ext>
          </c:extLst>
        </c:ser>
        <c:ser>
          <c:idx val="1"/>
          <c:order val="1"/>
          <c:tx>
            <c:strRef>
              <c:f>'Difference in benefits'!$C$3</c:f>
              <c:strCache>
                <c:ptCount val="1"/>
                <c:pt idx="0">
                  <c:v>Joint - male</c:v>
                </c:pt>
              </c:strCache>
            </c:strRef>
          </c:tx>
          <c:spPr>
            <a:ln w="28575" cap="rnd">
              <a:solidFill>
                <a:schemeClr val="accent2"/>
              </a:solidFill>
              <a:round/>
            </a:ln>
            <a:effectLst/>
          </c:spPr>
          <c:marker>
            <c:symbol val="none"/>
          </c:marker>
          <c:cat>
            <c:numRef>
              <c:f>'Difference in benefits'!$A$4:$A$45</c:f>
              <c:numCache>
                <c:formatCode>General</c:formatCode>
                <c:ptCount val="42"/>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numCache>
            </c:numRef>
          </c:cat>
          <c:val>
            <c:numRef>
              <c:f>'Difference in benefits'!$C$4:$C$45</c:f>
              <c:numCache>
                <c:formatCode>_("£"* #,##0.00_);_("£"* \(#,##0.00\);_("£"* "-"??_);_(@_)</c:formatCode>
                <c:ptCount val="42"/>
                <c:pt idx="0">
                  <c:v>15143.06757634828</c:v>
                </c:pt>
                <c:pt idx="1">
                  <c:v>31324.822251786871</c:v>
                </c:pt>
                <c:pt idx="2">
                  <c:v>46374.673609868652</c:v>
                </c:pt>
                <c:pt idx="3">
                  <c:v>63952.289576930911</c:v>
                </c:pt>
                <c:pt idx="4">
                  <c:v>82663.027919195825</c:v>
                </c:pt>
                <c:pt idx="5">
                  <c:v>102553.45600890549</c:v>
                </c:pt>
                <c:pt idx="6">
                  <c:v>123671.90097297971</c:v>
                </c:pt>
                <c:pt idx="7">
                  <c:v>146068.51368823237</c:v>
                </c:pt>
                <c:pt idx="8">
                  <c:v>169795.33506761497</c:v>
                </c:pt>
                <c:pt idx="9">
                  <c:v>186254.14503576956</c:v>
                </c:pt>
                <c:pt idx="10">
                  <c:v>172516.17843346589</c:v>
                </c:pt>
                <c:pt idx="11">
                  <c:v>191095.67927588892</c:v>
                </c:pt>
                <c:pt idx="12">
                  <c:v>210500.84188952763</c:v>
                </c:pt>
                <c:pt idx="13">
                  <c:v>230285.425650044</c:v>
                </c:pt>
                <c:pt idx="14">
                  <c:v>250555.70167556207</c:v>
                </c:pt>
                <c:pt idx="15">
                  <c:v>271319.64770781231</c:v>
                </c:pt>
                <c:pt idx="16">
                  <c:v>292585.29771816102</c:v>
                </c:pt>
                <c:pt idx="17">
                  <c:v>314360.73973249586</c:v>
                </c:pt>
                <c:pt idx="18">
                  <c:v>336654.11352032895</c:v>
                </c:pt>
                <c:pt idx="19">
                  <c:v>359473.60814291483</c:v>
                </c:pt>
                <c:pt idx="20">
                  <c:v>382827.45935500698</c:v>
                </c:pt>
                <c:pt idx="21">
                  <c:v>409776.41349614441</c:v>
                </c:pt>
                <c:pt idx="22">
                  <c:v>437542.24815738085</c:v>
                </c:pt>
                <c:pt idx="23">
                  <c:v>466143.83561984397</c:v>
                </c:pt>
                <c:pt idx="24">
                  <c:v>495600.42941944132</c:v>
                </c:pt>
                <c:pt idx="25">
                  <c:v>525931.67151927692</c:v>
                </c:pt>
                <c:pt idx="26">
                  <c:v>557157.59961113543</c:v>
                </c:pt>
                <c:pt idx="27">
                  <c:v>590426.25394482573</c:v>
                </c:pt>
                <c:pt idx="28">
                  <c:v>623563.16754708439</c:v>
                </c:pt>
                <c:pt idx="29">
                  <c:v>657658.8722845267</c:v>
                </c:pt>
                <c:pt idx="30">
                  <c:v>692735.09724737413</c:v>
                </c:pt>
                <c:pt idx="31">
                  <c:v>728814.00641529972</c:v>
                </c:pt>
                <c:pt idx="32">
                  <c:v>765918.20679372456</c:v>
                </c:pt>
                <c:pt idx="33">
                  <c:v>804070.75669599581</c:v>
                </c:pt>
                <c:pt idx="34">
                  <c:v>843295.17417397478</c:v>
                </c:pt>
                <c:pt idx="35">
                  <c:v>883615.44559962733</c:v>
                </c:pt>
                <c:pt idx="36">
                  <c:v>925056.03440023621</c:v>
                </c:pt>
                <c:pt idx="37">
                  <c:v>967641.88994991255</c:v>
                </c:pt>
                <c:pt idx="38">
                  <c:v>1011398.4566201179</c:v>
                </c:pt>
                <c:pt idx="39">
                  <c:v>1056351.6829919643</c:v>
                </c:pt>
                <c:pt idx="40">
                  <c:v>1102528.0312330995</c:v>
                </c:pt>
                <c:pt idx="41">
                  <c:v>1149954.486642038</c:v>
                </c:pt>
              </c:numCache>
            </c:numRef>
          </c:val>
          <c:smooth val="0"/>
          <c:extLst>
            <c:ext xmlns:c16="http://schemas.microsoft.com/office/drawing/2014/chart" uri="{C3380CC4-5D6E-409C-BE32-E72D297353CC}">
              <c16:uniqueId val="{00000001-F52C-2346-B059-E875B0A0DA94}"/>
            </c:ext>
          </c:extLst>
        </c:ser>
        <c:ser>
          <c:idx val="2"/>
          <c:order val="2"/>
          <c:tx>
            <c:strRef>
              <c:f>'Difference in benefits'!$D$3</c:f>
              <c:strCache>
                <c:ptCount val="1"/>
                <c:pt idx="0">
                  <c:v>Single - female</c:v>
                </c:pt>
              </c:strCache>
            </c:strRef>
          </c:tx>
          <c:spPr>
            <a:ln w="28575" cap="rnd">
              <a:solidFill>
                <a:schemeClr val="accent3"/>
              </a:solidFill>
              <a:round/>
            </a:ln>
            <a:effectLst/>
          </c:spPr>
          <c:marker>
            <c:symbol val="none"/>
          </c:marker>
          <c:cat>
            <c:numRef>
              <c:f>'Difference in benefits'!$A$4:$A$45</c:f>
              <c:numCache>
                <c:formatCode>General</c:formatCode>
                <c:ptCount val="42"/>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numCache>
            </c:numRef>
          </c:cat>
          <c:val>
            <c:numRef>
              <c:f>'Difference in benefits'!$D$4:$D$45</c:f>
              <c:numCache>
                <c:formatCode>_("£"* #,##0.00_);_("£"* \(#,##0.00\);_("£"* "-"??_);_(@_)</c:formatCode>
                <c:ptCount val="42"/>
                <c:pt idx="0">
                  <c:v>11452.020017406441</c:v>
                </c:pt>
                <c:pt idx="1">
                  <c:v>23757.067441688421</c:v>
                </c:pt>
                <c:pt idx="2">
                  <c:v>38105.025407651439</c:v>
                </c:pt>
                <c:pt idx="3">
                  <c:v>52648.044409548922</c:v>
                </c:pt>
                <c:pt idx="4">
                  <c:v>68175.924338024372</c:v>
                </c:pt>
                <c:pt idx="5">
                  <c:v>84729.381833547086</c:v>
                </c:pt>
                <c:pt idx="6">
                  <c:v>102350.67750389296</c:v>
                </c:pt>
                <c:pt idx="7">
                  <c:v>121083.67216321861</c:v>
                </c:pt>
                <c:pt idx="8">
                  <c:v>140973.88508628798</c:v>
                </c:pt>
                <c:pt idx="9">
                  <c:v>152774.05597774399</c:v>
                </c:pt>
                <c:pt idx="10">
                  <c:v>139676.68209228391</c:v>
                </c:pt>
                <c:pt idx="11">
                  <c:v>154357.78622739002</c:v>
                </c:pt>
                <c:pt idx="12">
                  <c:v>169685.85129264649</c:v>
                </c:pt>
                <c:pt idx="13">
                  <c:v>185298.40624938218</c:v>
                </c:pt>
                <c:pt idx="14">
                  <c:v>201280.67597989045</c:v>
                </c:pt>
                <c:pt idx="15">
                  <c:v>217638.09760764567</c:v>
                </c:pt>
                <c:pt idx="16">
                  <c:v>234376.11436214624</c:v>
                </c:pt>
                <c:pt idx="17">
                  <c:v>251500.17247172978</c:v>
                </c:pt>
                <c:pt idx="18">
                  <c:v>269015.71790392412</c:v>
                </c:pt>
                <c:pt idx="19">
                  <c:v>286928.19294783601</c:v>
                </c:pt>
                <c:pt idx="20">
                  <c:v>305243.03263290756</c:v>
                </c:pt>
                <c:pt idx="21">
                  <c:v>327018.12761963258</c:v>
                </c:pt>
                <c:pt idx="22">
                  <c:v>349472.34384783683</c:v>
                </c:pt>
                <c:pt idx="23">
                  <c:v>372621.58493859897</c:v>
                </c:pt>
                <c:pt idx="24">
                  <c:v>396482.07770381385</c:v>
                </c:pt>
                <c:pt idx="25">
                  <c:v>421070.37824463908</c:v>
                </c:pt>
                <c:pt idx="26">
                  <c:v>446403.37815985258</c:v>
                </c:pt>
                <c:pt idx="27">
                  <c:v>449989.43453541759</c:v>
                </c:pt>
                <c:pt idx="28">
                  <c:v>475668.5663340718</c:v>
                </c:pt>
                <c:pt idx="29">
                  <c:v>502114.35409816826</c:v>
                </c:pt>
                <c:pt idx="30">
                  <c:v>529344.44086374261</c:v>
                </c:pt>
                <c:pt idx="31">
                  <c:v>557376.82520506845</c:v>
                </c:pt>
                <c:pt idx="32">
                  <c:v>586229.86790978233</c:v>
                </c:pt>
                <c:pt idx="33">
                  <c:v>615922.2987739034</c:v>
                </c:pt>
                <c:pt idx="34">
                  <c:v>646473.22351883689</c:v>
                </c:pt>
                <c:pt idx="35">
                  <c:v>677902.13083248481</c:v>
                </c:pt>
                <c:pt idx="36">
                  <c:v>710228.8995366263</c:v>
                </c:pt>
                <c:pt idx="37">
                  <c:v>743473.80588276393</c:v>
                </c:pt>
                <c:pt idx="38">
                  <c:v>777657.53097866895</c:v>
                </c:pt>
                <c:pt idx="39">
                  <c:v>812801.16834790073</c:v>
                </c:pt>
                <c:pt idx="40">
                  <c:v>848926.23162461212</c:v>
                </c:pt>
                <c:pt idx="41">
                  <c:v>886054.66238598921</c:v>
                </c:pt>
              </c:numCache>
            </c:numRef>
          </c:val>
          <c:smooth val="0"/>
          <c:extLst>
            <c:ext xmlns:c16="http://schemas.microsoft.com/office/drawing/2014/chart" uri="{C3380CC4-5D6E-409C-BE32-E72D297353CC}">
              <c16:uniqueId val="{00000002-F52C-2346-B059-E875B0A0DA94}"/>
            </c:ext>
          </c:extLst>
        </c:ser>
        <c:ser>
          <c:idx val="3"/>
          <c:order val="3"/>
          <c:tx>
            <c:strRef>
              <c:f>'Difference in benefits'!$E$3</c:f>
              <c:strCache>
                <c:ptCount val="1"/>
                <c:pt idx="0">
                  <c:v>Joint - female</c:v>
                </c:pt>
              </c:strCache>
            </c:strRef>
          </c:tx>
          <c:spPr>
            <a:ln w="28575" cap="rnd">
              <a:solidFill>
                <a:schemeClr val="accent4"/>
              </a:solidFill>
              <a:round/>
            </a:ln>
            <a:effectLst/>
          </c:spPr>
          <c:marker>
            <c:symbol val="none"/>
          </c:marker>
          <c:cat>
            <c:numRef>
              <c:f>'Difference in benefits'!$A$4:$A$45</c:f>
              <c:numCache>
                <c:formatCode>General</c:formatCode>
                <c:ptCount val="42"/>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numCache>
            </c:numRef>
          </c:cat>
          <c:val>
            <c:numRef>
              <c:f>'Difference in benefits'!$E$4:$E$45</c:f>
              <c:numCache>
                <c:formatCode>_("£"* #,##0.00_);_("£"* \(#,##0.00\);_("£"* "-"??_);_(@_)</c:formatCode>
                <c:ptCount val="42"/>
                <c:pt idx="0">
                  <c:v>13405.32589392849</c:v>
                </c:pt>
                <c:pt idx="1">
                  <c:v>27761.930480321564</c:v>
                </c:pt>
                <c:pt idx="2">
                  <c:v>41714.495253744535</c:v>
                </c:pt>
                <c:pt idx="3">
                  <c:v>57582.030846066162</c:v>
                </c:pt>
                <c:pt idx="4">
                  <c:v>74499.139335180575</c:v>
                </c:pt>
                <c:pt idx="5">
                  <c:v>92509.091042124259</c:v>
                </c:pt>
                <c:pt idx="6">
                  <c:v>111656.79444038459</c:v>
                </c:pt>
                <c:pt idx="7">
                  <c:v>131988.85578031279</c:v>
                </c:pt>
                <c:pt idx="8">
                  <c:v>153553.64084910124</c:v>
                </c:pt>
                <c:pt idx="9">
                  <c:v>168518.5172052409</c:v>
                </c:pt>
                <c:pt idx="10">
                  <c:v>155119.89599706663</c:v>
                </c:pt>
                <c:pt idx="11">
                  <c:v>171634.27350553134</c:v>
                </c:pt>
                <c:pt idx="12">
                  <c:v>188879.64841306378</c:v>
                </c:pt>
                <c:pt idx="13">
                  <c:v>206454.15590903204</c:v>
                </c:pt>
                <c:pt idx="14">
                  <c:v>224452.91815059772</c:v>
                </c:pt>
                <c:pt idx="15">
                  <c:v>242882.56702106871</c:v>
                </c:pt>
                <c:pt idx="16">
                  <c:v>261749.764081078</c:v>
                </c:pt>
                <c:pt idx="17">
                  <c:v>281061.1978997176</c:v>
                </c:pt>
                <c:pt idx="18">
                  <c:v>300823.58124105289</c:v>
                </c:pt>
                <c:pt idx="19">
                  <c:v>321043.64810065879</c:v>
                </c:pt>
                <c:pt idx="20">
                  <c:v>341728.15058664413</c:v>
                </c:pt>
                <c:pt idx="21">
                  <c:v>365936.32228090108</c:v>
                </c:pt>
                <c:pt idx="22">
                  <c:v>390888.39836632367</c:v>
                </c:pt>
                <c:pt idx="23">
                  <c:v>416601.67851622164</c:v>
                </c:pt>
                <c:pt idx="24">
                  <c:v>443093.81290008005</c:v>
                </c:pt>
                <c:pt idx="25">
                  <c:v>470382.80878705293</c:v>
                </c:pt>
                <c:pt idx="26">
                  <c:v>498487.03726837959</c:v>
                </c:pt>
                <c:pt idx="27">
                  <c:v>515605.36228821485</c:v>
                </c:pt>
                <c:pt idx="28">
                  <c:v>544768.97396956175</c:v>
                </c:pt>
                <c:pt idx="29">
                  <c:v>574789.01242908766</c:v>
                </c:pt>
                <c:pt idx="30">
                  <c:v>605685.02981923625</c:v>
                </c:pt>
                <c:pt idx="31">
                  <c:v>637476.97090574924</c:v>
                </c:pt>
                <c:pt idx="32">
                  <c:v>670185.18042549049</c:v>
                </c:pt>
                <c:pt idx="33">
                  <c:v>703830.41057630721</c:v>
                </c:pt>
                <c:pt idx="34">
                  <c:v>738433.82864122128</c:v>
                </c:pt>
                <c:pt idx="35">
                  <c:v>774017.02474929357</c:v>
                </c:pt>
                <c:pt idx="36">
                  <c:v>810602.01977553975</c:v>
                </c:pt>
                <c:pt idx="37">
                  <c:v>848211.2733823139</c:v>
                </c:pt>
                <c:pt idx="38">
                  <c:v>886867.69220462022</c:v>
                </c:pt>
                <c:pt idx="39">
                  <c:v>926594.6381818587</c:v>
                </c:pt>
                <c:pt idx="40">
                  <c:v>967415.93703854107</c:v>
                </c:pt>
                <c:pt idx="41">
                  <c:v>1009355.8869165753</c:v>
                </c:pt>
              </c:numCache>
            </c:numRef>
          </c:val>
          <c:smooth val="0"/>
          <c:extLst>
            <c:ext xmlns:c16="http://schemas.microsoft.com/office/drawing/2014/chart" uri="{C3380CC4-5D6E-409C-BE32-E72D297353CC}">
              <c16:uniqueId val="{00000003-F52C-2346-B059-E875B0A0DA94}"/>
            </c:ext>
          </c:extLst>
        </c:ser>
        <c:dLbls>
          <c:showLegendKey val="0"/>
          <c:showVal val="0"/>
          <c:showCatName val="0"/>
          <c:showSerName val="0"/>
          <c:showPercent val="0"/>
          <c:showBubbleSize val="0"/>
        </c:dLbls>
        <c:smooth val="0"/>
        <c:axId val="2083467359"/>
        <c:axId val="2083469055"/>
      </c:lineChart>
      <c:catAx>
        <c:axId val="208346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469055"/>
        <c:crosses val="autoZero"/>
        <c:auto val="1"/>
        <c:lblAlgn val="ctr"/>
        <c:lblOffset val="100"/>
        <c:noMultiLvlLbl val="0"/>
      </c:catAx>
      <c:valAx>
        <c:axId val="208346905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46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Reduction</a:t>
            </a:r>
            <a:r>
              <a:rPr lang="en-US" baseline="0"/>
              <a:t> in annual pension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'Difference in benefits'!$H$3</c:f>
              <c:strCache>
                <c:ptCount val="1"/>
                <c:pt idx="0">
                  <c:v>Single - male</c:v>
                </c:pt>
              </c:strCache>
            </c:strRef>
          </c:tx>
          <c:spPr>
            <a:ln w="28575" cap="rnd">
              <a:solidFill>
                <a:schemeClr val="accent1"/>
              </a:solidFill>
              <a:round/>
            </a:ln>
            <a:effectLst/>
          </c:spPr>
          <c:marker>
            <c:symbol val="none"/>
          </c:marker>
          <c:cat>
            <c:numRef>
              <c:f>'Difference in benefits'!$G$4:$G$45</c:f>
              <c:numCache>
                <c:formatCode>General</c:formatCode>
                <c:ptCount val="42"/>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numCache>
            </c:numRef>
          </c:cat>
          <c:val>
            <c:numRef>
              <c:f>'Difference in benefits'!$H$4:$H$45</c:f>
              <c:numCache>
                <c:formatCode>_("£"* #,##0.00_);_("£"* \(#,##0.00\);_("£"* "-"??_);_(@_)</c:formatCode>
                <c:ptCount val="42"/>
                <c:pt idx="0">
                  <c:v>297.45373333333339</c:v>
                </c:pt>
                <c:pt idx="1">
                  <c:v>610.81330365845656</c:v>
                </c:pt>
                <c:pt idx="2">
                  <c:v>956.09861486374541</c:v>
                </c:pt>
                <c:pt idx="3">
                  <c:v>1306.8324180749373</c:v>
                </c:pt>
                <c:pt idx="4">
                  <c:v>1673.8358431673328</c:v>
                </c:pt>
                <c:pt idx="5">
                  <c:v>2057.2701714246236</c:v>
                </c:pt>
                <c:pt idx="6">
                  <c:v>2457.303295367245</c:v>
                </c:pt>
                <c:pt idx="7">
                  <c:v>2874.1097837741922</c:v>
                </c:pt>
                <c:pt idx="8">
                  <c:v>3307.8709493518359</c:v>
                </c:pt>
                <c:pt idx="9">
                  <c:v>3654.7165203223963</c:v>
                </c:pt>
                <c:pt idx="10">
                  <c:v>3669.2537289716092</c:v>
                </c:pt>
                <c:pt idx="11">
                  <c:v>3996.8934060047645</c:v>
                </c:pt>
                <c:pt idx="12">
                  <c:v>4332.1961683420168</c:v>
                </c:pt>
                <c:pt idx="13">
                  <c:v>4665.4929724564472</c:v>
                </c:pt>
                <c:pt idx="14">
                  <c:v>4998.7826810584693</c:v>
                </c:pt>
                <c:pt idx="15">
                  <c:v>5331.9895895987775</c:v>
                </c:pt>
                <c:pt idx="16">
                  <c:v>5665.0381413565619</c:v>
                </c:pt>
                <c:pt idx="17">
                  <c:v>5997.8529128189348</c:v>
                </c:pt>
                <c:pt idx="18">
                  <c:v>6330.3585991171431</c:v>
                </c:pt>
                <c:pt idx="19">
                  <c:v>6662.4799995167068</c:v>
                </c:pt>
                <c:pt idx="20">
                  <c:v>6994.1420029585861</c:v>
                </c:pt>
                <c:pt idx="21">
                  <c:v>7405.5391282737401</c:v>
                </c:pt>
                <c:pt idx="22">
                  <c:v>7820.8438927387215</c:v>
                </c:pt>
                <c:pt idx="23">
                  <c:v>8239.9968730384098</c:v>
                </c:pt>
                <c:pt idx="24">
                  <c:v>8662.9395207343496</c:v>
                </c:pt>
                <c:pt idx="25">
                  <c:v>9089.614149329047</c:v>
                </c:pt>
                <c:pt idx="26">
                  <c:v>9519.9639215213974</c:v>
                </c:pt>
                <c:pt idx="27">
                  <c:v>9680.8819323379248</c:v>
                </c:pt>
                <c:pt idx="28">
                  <c:v>10109.984060923998</c:v>
                </c:pt>
                <c:pt idx="29">
                  <c:v>10542.695820632258</c:v>
                </c:pt>
                <c:pt idx="30">
                  <c:v>10978.962120566248</c:v>
                </c:pt>
                <c:pt idx="31">
                  <c:v>11418.72868053913</c:v>
                </c:pt>
                <c:pt idx="32">
                  <c:v>11861.942019085967</c:v>
                </c:pt>
                <c:pt idx="33">
                  <c:v>12308.54944165316</c:v>
                </c:pt>
                <c:pt idx="34">
                  <c:v>12758.499028962398</c:v>
                </c:pt>
                <c:pt idx="35">
                  <c:v>13211.739625546585</c:v>
                </c:pt>
                <c:pt idx="36">
                  <c:v>13668.220828455133</c:v>
                </c:pt>
                <c:pt idx="37">
                  <c:v>14127.892976126201</c:v>
                </c:pt>
                <c:pt idx="38">
                  <c:v>14590.707137423335</c:v>
                </c:pt>
                <c:pt idx="39">
                  <c:v>15056.615100834128</c:v>
                </c:pt>
                <c:pt idx="40">
                  <c:v>15525.569363828503</c:v>
                </c:pt>
                <c:pt idx="41">
                  <c:v>15997.523122374228</c:v>
                </c:pt>
              </c:numCache>
            </c:numRef>
          </c:val>
          <c:smooth val="0"/>
          <c:extLst>
            <c:ext xmlns:c16="http://schemas.microsoft.com/office/drawing/2014/chart" uri="{C3380CC4-5D6E-409C-BE32-E72D297353CC}">
              <c16:uniqueId val="{00000000-ED44-4148-B7CE-8C271C1120E4}"/>
            </c:ext>
          </c:extLst>
        </c:ser>
        <c:ser>
          <c:idx val="1"/>
          <c:order val="1"/>
          <c:tx>
            <c:strRef>
              <c:f>'Difference in benefits'!$I$3</c:f>
              <c:strCache>
                <c:ptCount val="1"/>
                <c:pt idx="0">
                  <c:v>Joint - male</c:v>
                </c:pt>
              </c:strCache>
            </c:strRef>
          </c:tx>
          <c:spPr>
            <a:ln w="28575" cap="rnd">
              <a:solidFill>
                <a:schemeClr val="accent2"/>
              </a:solidFill>
              <a:round/>
            </a:ln>
            <a:effectLst/>
          </c:spPr>
          <c:marker>
            <c:symbol val="none"/>
          </c:marker>
          <c:cat>
            <c:numRef>
              <c:f>'Difference in benefits'!$G$4:$G$45</c:f>
              <c:numCache>
                <c:formatCode>General</c:formatCode>
                <c:ptCount val="42"/>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numCache>
            </c:numRef>
          </c:cat>
          <c:val>
            <c:numRef>
              <c:f>'Difference in benefits'!$I$4:$I$45</c:f>
              <c:numCache>
                <c:formatCode>_("£"* #,##0.00_);_("£"* \(#,##0.00\);_("£"* "-"??_);_(@_)</c:formatCode>
                <c:ptCount val="42"/>
                <c:pt idx="0">
                  <c:v>343.68608333333339</c:v>
                </c:pt>
                <c:pt idx="1">
                  <c:v>702.58110222495907</c:v>
                </c:pt>
                <c:pt idx="2">
                  <c:v>1054.3893656057887</c:v>
                </c:pt>
                <c:pt idx="3">
                  <c:v>1436.9126762365356</c:v>
                </c:pt>
                <c:pt idx="4">
                  <c:v>1835.2361009766191</c:v>
                </c:pt>
                <c:pt idx="5">
                  <c:v>2249.5311303901758</c:v>
                </c:pt>
                <c:pt idx="6">
                  <c:v>2679.9756661275756</c:v>
                </c:pt>
                <c:pt idx="7">
                  <c:v>3126.7540899701253</c:v>
                </c:pt>
                <c:pt idx="8">
                  <c:v>3590.0573354414114</c:v>
                </c:pt>
                <c:pt idx="9">
                  <c:v>3995.5077762396731</c:v>
                </c:pt>
                <c:pt idx="10">
                  <c:v>4097.30769063762</c:v>
                </c:pt>
                <c:pt idx="11">
                  <c:v>4474.6287096154483</c:v>
                </c:pt>
                <c:pt idx="12">
                  <c:v>4860.4668551114964</c:v>
                </c:pt>
                <c:pt idx="13">
                  <c:v>5244.056159540396</c:v>
                </c:pt>
                <c:pt idx="14">
                  <c:v>5627.6392605030724</c:v>
                </c:pt>
                <c:pt idx="15">
                  <c:v>6011.1499710087228</c:v>
                </c:pt>
                <c:pt idx="16">
                  <c:v>6394.5222333100746</c:v>
                </c:pt>
                <c:pt idx="17">
                  <c:v>6777.6901061209082</c:v>
                </c:pt>
                <c:pt idx="18">
                  <c:v>7160.5877518832258</c:v>
                </c:pt>
                <c:pt idx="19">
                  <c:v>7543.1494240815655</c:v>
                </c:pt>
                <c:pt idx="20">
                  <c:v>7925.3094546019292</c:v>
                </c:pt>
                <c:pt idx="21">
                  <c:v>8377.1803258387536</c:v>
                </c:pt>
                <c:pt idx="22">
                  <c:v>8832.467568731523</c:v>
                </c:pt>
                <c:pt idx="23">
                  <c:v>9291.1192306506036</c:v>
                </c:pt>
                <c:pt idx="24">
                  <c:v>9753.0841238537396</c:v>
                </c:pt>
                <c:pt idx="25">
                  <c:v>10218.311814176614</c:v>
                </c:pt>
                <c:pt idx="26">
                  <c:v>10686.752609890529</c:v>
                </c:pt>
                <c:pt idx="27">
                  <c:v>11168.511014958878</c:v>
                </c:pt>
                <c:pt idx="28">
                  <c:v>11643.5453608876</c:v>
                </c:pt>
                <c:pt idx="29">
                  <c:v>12121.644363068594</c:v>
                </c:pt>
                <c:pt idx="30">
                  <c:v>12602.761248118501</c:v>
                </c:pt>
                <c:pt idx="31">
                  <c:v>13086.849930964263</c:v>
                </c:pt>
                <c:pt idx="32">
                  <c:v>13573.865004665297</c:v>
                </c:pt>
                <c:pt idx="33">
                  <c:v>14063.761730386055</c:v>
                </c:pt>
                <c:pt idx="34">
                  <c:v>14556.49602751678</c:v>
                </c:pt>
                <c:pt idx="35">
                  <c:v>15052.02446394023</c:v>
                </c:pt>
                <c:pt idx="36">
                  <c:v>15550.304246442252</c:v>
                </c:pt>
                <c:pt idx="37">
                  <c:v>16051.293211264043</c:v>
                </c:pt>
                <c:pt idx="38">
                  <c:v>16554.949814794025</c:v>
                </c:pt>
                <c:pt idx="39">
                  <c:v>17061.23312439728</c:v>
                </c:pt>
                <c:pt idx="40">
                  <c:v>17570.102809380482</c:v>
                </c:pt>
                <c:pt idx="41">
                  <c:v>18081.51913209035</c:v>
                </c:pt>
              </c:numCache>
            </c:numRef>
          </c:val>
          <c:smooth val="0"/>
          <c:extLst>
            <c:ext xmlns:c16="http://schemas.microsoft.com/office/drawing/2014/chart" uri="{C3380CC4-5D6E-409C-BE32-E72D297353CC}">
              <c16:uniqueId val="{00000001-ED44-4148-B7CE-8C271C1120E4}"/>
            </c:ext>
          </c:extLst>
        </c:ser>
        <c:ser>
          <c:idx val="2"/>
          <c:order val="2"/>
          <c:tx>
            <c:strRef>
              <c:f>'Difference in benefits'!$J$3</c:f>
              <c:strCache>
                <c:ptCount val="1"/>
                <c:pt idx="0">
                  <c:v>Single - female</c:v>
                </c:pt>
              </c:strCache>
            </c:strRef>
          </c:tx>
          <c:spPr>
            <a:ln w="28575" cap="rnd">
              <a:solidFill>
                <a:schemeClr val="accent3"/>
              </a:solidFill>
              <a:round/>
            </a:ln>
            <a:effectLst/>
          </c:spPr>
          <c:marker>
            <c:symbol val="none"/>
          </c:marker>
          <c:cat>
            <c:numRef>
              <c:f>'Difference in benefits'!$G$4:$G$45</c:f>
              <c:numCache>
                <c:formatCode>General</c:formatCode>
                <c:ptCount val="42"/>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numCache>
            </c:numRef>
          </c:cat>
          <c:val>
            <c:numRef>
              <c:f>'Difference in benefits'!$J$4:$J$45</c:f>
              <c:numCache>
                <c:formatCode>_("£"* #,##0.00_);_("£"* \(#,##0.00\);_("£"* "-"??_);_(@_)</c:formatCode>
                <c:ptCount val="42"/>
                <c:pt idx="0">
                  <c:v>297.45373333333339</c:v>
                </c:pt>
                <c:pt idx="1">
                  <c:v>610.81330365845656</c:v>
                </c:pt>
                <c:pt idx="2">
                  <c:v>956.09861486374541</c:v>
                </c:pt>
                <c:pt idx="3">
                  <c:v>1306.8324180749373</c:v>
                </c:pt>
                <c:pt idx="4">
                  <c:v>1673.8358431673328</c:v>
                </c:pt>
                <c:pt idx="5">
                  <c:v>2057.2701714246236</c:v>
                </c:pt>
                <c:pt idx="6">
                  <c:v>2457.303295367245</c:v>
                </c:pt>
                <c:pt idx="7">
                  <c:v>2874.1097837741922</c:v>
                </c:pt>
                <c:pt idx="8">
                  <c:v>3307.8709493518359</c:v>
                </c:pt>
                <c:pt idx="9">
                  <c:v>3654.7165203223963</c:v>
                </c:pt>
                <c:pt idx="10">
                  <c:v>3669.2537289716092</c:v>
                </c:pt>
                <c:pt idx="11">
                  <c:v>3996.8934060047645</c:v>
                </c:pt>
                <c:pt idx="12">
                  <c:v>4332.1961683420168</c:v>
                </c:pt>
                <c:pt idx="13">
                  <c:v>4665.4929724564472</c:v>
                </c:pt>
                <c:pt idx="14">
                  <c:v>4998.7826810584693</c:v>
                </c:pt>
                <c:pt idx="15">
                  <c:v>5331.9895895987775</c:v>
                </c:pt>
                <c:pt idx="16">
                  <c:v>5665.0381413565619</c:v>
                </c:pt>
                <c:pt idx="17">
                  <c:v>5997.8529128189348</c:v>
                </c:pt>
                <c:pt idx="18">
                  <c:v>6330.3585991171431</c:v>
                </c:pt>
                <c:pt idx="19">
                  <c:v>6662.4799995167068</c:v>
                </c:pt>
                <c:pt idx="20">
                  <c:v>6994.1420029585861</c:v>
                </c:pt>
                <c:pt idx="21">
                  <c:v>7405.5391282737401</c:v>
                </c:pt>
                <c:pt idx="22">
                  <c:v>7820.8438927387215</c:v>
                </c:pt>
                <c:pt idx="23">
                  <c:v>8239.9968730384098</c:v>
                </c:pt>
                <c:pt idx="24">
                  <c:v>8662.9395207343496</c:v>
                </c:pt>
                <c:pt idx="25">
                  <c:v>9089.614149329047</c:v>
                </c:pt>
                <c:pt idx="26">
                  <c:v>9519.9639215213974</c:v>
                </c:pt>
                <c:pt idx="27">
                  <c:v>9680.8819323379248</c:v>
                </c:pt>
                <c:pt idx="28">
                  <c:v>10109.984060923998</c:v>
                </c:pt>
                <c:pt idx="29">
                  <c:v>10542.695820632258</c:v>
                </c:pt>
                <c:pt idx="30">
                  <c:v>10978.962120566248</c:v>
                </c:pt>
                <c:pt idx="31">
                  <c:v>11418.72868053913</c:v>
                </c:pt>
                <c:pt idx="32">
                  <c:v>11861.942019085967</c:v>
                </c:pt>
                <c:pt idx="33">
                  <c:v>12308.54944165316</c:v>
                </c:pt>
                <c:pt idx="34">
                  <c:v>12758.499028962398</c:v>
                </c:pt>
                <c:pt idx="35">
                  <c:v>13211.739625546585</c:v>
                </c:pt>
                <c:pt idx="36">
                  <c:v>13668.220828455133</c:v>
                </c:pt>
                <c:pt idx="37">
                  <c:v>14127.892976126201</c:v>
                </c:pt>
                <c:pt idx="38">
                  <c:v>14590.707137423335</c:v>
                </c:pt>
                <c:pt idx="39">
                  <c:v>15056.615100834128</c:v>
                </c:pt>
                <c:pt idx="40">
                  <c:v>15525.569363828503</c:v>
                </c:pt>
                <c:pt idx="41">
                  <c:v>15997.523122374228</c:v>
                </c:pt>
              </c:numCache>
            </c:numRef>
          </c:val>
          <c:smooth val="0"/>
          <c:extLst>
            <c:ext xmlns:c16="http://schemas.microsoft.com/office/drawing/2014/chart" uri="{C3380CC4-5D6E-409C-BE32-E72D297353CC}">
              <c16:uniqueId val="{00000002-ED44-4148-B7CE-8C271C1120E4}"/>
            </c:ext>
          </c:extLst>
        </c:ser>
        <c:ser>
          <c:idx val="3"/>
          <c:order val="3"/>
          <c:tx>
            <c:strRef>
              <c:f>'Difference in benefits'!$K$3</c:f>
              <c:strCache>
                <c:ptCount val="1"/>
                <c:pt idx="0">
                  <c:v>Joint - female</c:v>
                </c:pt>
              </c:strCache>
            </c:strRef>
          </c:tx>
          <c:spPr>
            <a:ln w="28575" cap="rnd">
              <a:solidFill>
                <a:schemeClr val="accent4"/>
              </a:solidFill>
              <a:round/>
            </a:ln>
            <a:effectLst/>
          </c:spPr>
          <c:marker>
            <c:symbol val="none"/>
          </c:marker>
          <c:cat>
            <c:numRef>
              <c:f>'Difference in benefits'!$G$4:$G$45</c:f>
              <c:numCache>
                <c:formatCode>General</c:formatCode>
                <c:ptCount val="42"/>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numCache>
            </c:numRef>
          </c:cat>
          <c:val>
            <c:numRef>
              <c:f>'Difference in benefits'!$K$4:$K$45</c:f>
              <c:numCache>
                <c:formatCode>_("£"* #,##0.00_);_("£"* \(#,##0.00\);_("£"* "-"??_);_(@_)</c:formatCode>
                <c:ptCount val="42"/>
                <c:pt idx="0">
                  <c:v>323.9516333333334</c:v>
                </c:pt>
                <c:pt idx="1">
                  <c:v>663.40967718555021</c:v>
                </c:pt>
                <c:pt idx="2">
                  <c:v>1002.0954007263173</c:v>
                </c:pt>
                <c:pt idx="3">
                  <c:v>1367.7056308079416</c:v>
                </c:pt>
                <c:pt idx="4">
                  <c:v>1749.3657688273886</c:v>
                </c:pt>
                <c:pt idx="5">
                  <c:v>2147.2418736703412</c:v>
                </c:pt>
                <c:pt idx="6">
                  <c:v>2561.506521795478</c:v>
                </c:pt>
                <c:pt idx="7">
                  <c:v>2992.3388741388626</c:v>
                </c:pt>
                <c:pt idx="8">
                  <c:v>3439.9247456277371</c:v>
                </c:pt>
                <c:pt idx="9">
                  <c:v>3826.4128782654516</c:v>
                </c:pt>
                <c:pt idx="10">
                  <c:v>3884.9145035514312</c:v>
                </c:pt>
                <c:pt idx="11">
                  <c:v>4237.5844749994594</c:v>
                </c:pt>
                <c:pt idx="12">
                  <c:v>4598.3478120579375</c:v>
                </c:pt>
                <c:pt idx="13">
                  <c:v>4956.9828224376724</c:v>
                </c:pt>
                <c:pt idx="14">
                  <c:v>5315.6111867328491</c:v>
                </c:pt>
                <c:pt idx="15">
                  <c:v>5674.1619954999715</c:v>
                </c:pt>
                <c:pt idx="16">
                  <c:v>6032.5644777606221</c:v>
                </c:pt>
                <c:pt idx="17">
                  <c:v>6390.7479873069515</c:v>
                </c:pt>
                <c:pt idx="18">
                  <c:v>6748.6419890603593</c:v>
                </c:pt>
                <c:pt idx="19">
                  <c:v>7106.1760454806808</c:v>
                </c:pt>
                <c:pt idx="20">
                  <c:v>7463.2798030231716</c:v>
                </c:pt>
                <c:pt idx="21">
                  <c:v>7895.0682812454261</c:v>
                </c:pt>
                <c:pt idx="22">
                  <c:v>8330.5168898037973</c:v>
                </c:pt>
                <c:pt idx="23">
                  <c:v>8769.5699692399721</c:v>
                </c:pt>
                <c:pt idx="24">
                  <c:v>9212.1726795578597</c:v>
                </c:pt>
                <c:pt idx="25">
                  <c:v>9658.2709881072115</c:v>
                </c:pt>
                <c:pt idx="26">
                  <c:v>10107.811657646304</c:v>
                </c:pt>
                <c:pt idx="27">
                  <c:v>10436.742053264765</c:v>
                </c:pt>
                <c:pt idx="28">
                  <c:v>10889.182211310361</c:v>
                </c:pt>
                <c:pt idx="29">
                  <c:v>11344.955100291205</c:v>
                </c:pt>
                <c:pt idx="30">
                  <c:v>11804.009855415672</c:v>
                </c:pt>
                <c:pt idx="31">
                  <c:v>12266.296360411008</c:v>
                </c:pt>
                <c:pt idx="32">
                  <c:v>12731.765236455221</c:v>
                </c:pt>
                <c:pt idx="33">
                  <c:v>13200.367831272504</c:v>
                </c:pt>
                <c:pt idx="34">
                  <c:v>13672.056208389826</c:v>
                </c:pt>
                <c:pt idx="35">
                  <c:v>14146.783136552262</c:v>
                </c:pt>
                <c:pt idx="36">
                  <c:v>14624.502079294742</c:v>
                </c:pt>
                <c:pt idx="37">
                  <c:v>15105.167184667898</c:v>
                </c:pt>
                <c:pt idx="38">
                  <c:v>15588.733275115728</c:v>
                </c:pt>
                <c:pt idx="39">
                  <c:v>16075.155837502853</c:v>
                </c:pt>
                <c:pt idx="40">
                  <c:v>16564.391013289121</c:v>
                </c:pt>
                <c:pt idx="41">
                  <c:v>17056.395588849424</c:v>
                </c:pt>
              </c:numCache>
            </c:numRef>
          </c:val>
          <c:smooth val="0"/>
          <c:extLst>
            <c:ext xmlns:c16="http://schemas.microsoft.com/office/drawing/2014/chart" uri="{C3380CC4-5D6E-409C-BE32-E72D297353CC}">
              <c16:uniqueId val="{00000003-ED44-4148-B7CE-8C271C1120E4}"/>
            </c:ext>
          </c:extLst>
        </c:ser>
        <c:dLbls>
          <c:showLegendKey val="0"/>
          <c:showVal val="0"/>
          <c:showCatName val="0"/>
          <c:showSerName val="0"/>
          <c:showPercent val="0"/>
          <c:showBubbleSize val="0"/>
        </c:dLbls>
        <c:smooth val="0"/>
        <c:axId val="1651964799"/>
        <c:axId val="1651998575"/>
      </c:lineChart>
      <c:catAx>
        <c:axId val="165196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998575"/>
        <c:crosses val="autoZero"/>
        <c:auto val="1"/>
        <c:lblAlgn val="ctr"/>
        <c:lblOffset val="100"/>
        <c:noMultiLvlLbl val="0"/>
      </c:catAx>
      <c:valAx>
        <c:axId val="165199857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964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Difference</a:t>
            </a:r>
            <a:r>
              <a:rPr lang="en-US" baseline="0"/>
              <a:t> in value of the DB versus DC pension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'Difference in benefits TPS'!$B$3</c:f>
              <c:strCache>
                <c:ptCount val="1"/>
                <c:pt idx="0">
                  <c:v>Single - male</c:v>
                </c:pt>
              </c:strCache>
            </c:strRef>
          </c:tx>
          <c:spPr>
            <a:ln w="28575" cap="rnd">
              <a:solidFill>
                <a:schemeClr val="accent1"/>
              </a:solidFill>
              <a:round/>
            </a:ln>
            <a:effectLst/>
          </c:spPr>
          <c:marker>
            <c:symbol val="none"/>
          </c:marker>
          <c:cat>
            <c:numRef>
              <c:f>'Difference in benefits TPS'!$A$4:$A$45</c:f>
              <c:numCache>
                <c:formatCode>General</c:formatCode>
                <c:ptCount val="42"/>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numCache>
            </c:numRef>
          </c:cat>
          <c:val>
            <c:numRef>
              <c:f>'Difference in benefits TPS'!$B$4:$B$45</c:f>
              <c:numCache>
                <c:formatCode>_("£"* #,##0.00_);_("£"* \(#,##0.00\);_("£"* "-"??_);_(@_)</c:formatCode>
                <c:ptCount val="42"/>
                <c:pt idx="0">
                  <c:v>17583.613232178926</c:v>
                </c:pt>
                <c:pt idx="1">
                  <c:v>36817.537688827033</c:v>
                </c:pt>
                <c:pt idx="2">
                  <c:v>59447.299747879981</c:v>
                </c:pt>
                <c:pt idx="3">
                  <c:v>82871.295687136182</c:v>
                </c:pt>
                <c:pt idx="4">
                  <c:v>108256.2180295162</c:v>
                </c:pt>
                <c:pt idx="5">
                  <c:v>135702.54503867379</c:v>
                </c:pt>
                <c:pt idx="6">
                  <c:v>165315.26663370139</c:v>
                </c:pt>
                <c:pt idx="7">
                  <c:v>197204.07317581103</c:v>
                </c:pt>
                <c:pt idx="8">
                  <c:v>231483.55183128215</c:v>
                </c:pt>
                <c:pt idx="9">
                  <c:v>254168.8674872081</c:v>
                </c:pt>
                <c:pt idx="10">
                  <c:v>239286.57157050591</c:v>
                </c:pt>
                <c:pt idx="11">
                  <c:v>269114.15350432182</c:v>
                </c:pt>
                <c:pt idx="12">
                  <c:v>300873.56268937385</c:v>
                </c:pt>
                <c:pt idx="13">
                  <c:v>334962.14162350795</c:v>
                </c:pt>
                <c:pt idx="14">
                  <c:v>371434.31049059582</c:v>
                </c:pt>
                <c:pt idx="15">
                  <c:v>410410.7124499302</c:v>
                </c:pt>
                <c:pt idx="16">
                  <c:v>452017.37936881994</c:v>
                </c:pt>
                <c:pt idx="17">
                  <c:v>496385.95705604006</c:v>
                </c:pt>
                <c:pt idx="18">
                  <c:v>543653.93953169836</c:v>
                </c:pt>
                <c:pt idx="19">
                  <c:v>593964.91268619546</c:v>
                </c:pt>
                <c:pt idx="20">
                  <c:v>647468.80769444746</c:v>
                </c:pt>
                <c:pt idx="21">
                  <c:v>707374.63120699348</c:v>
                </c:pt>
                <c:pt idx="22">
                  <c:v>771059.26300433557</c:v>
                </c:pt>
                <c:pt idx="23">
                  <c:v>838703.80752661242</c:v>
                </c:pt>
                <c:pt idx="24">
                  <c:v>910497.18006446771</c:v>
                </c:pt>
                <c:pt idx="25">
                  <c:v>986636.42554066284</c:v>
                </c:pt>
                <c:pt idx="26">
                  <c:v>1067327.0498688286</c:v>
                </c:pt>
                <c:pt idx="27">
                  <c:v>1109798.684079384</c:v>
                </c:pt>
                <c:pt idx="28">
                  <c:v>1197226.2233369702</c:v>
                </c:pt>
                <c:pt idx="29">
                  <c:v>1289722.5262556509</c:v>
                </c:pt>
                <c:pt idx="30">
                  <c:v>1387523.6453112899</c:v>
                </c:pt>
                <c:pt idx="31">
                  <c:v>1490875.6684437846</c:v>
                </c:pt>
                <c:pt idx="32">
                  <c:v>1600035.1251145757</c:v>
                </c:pt>
                <c:pt idx="33">
                  <c:v>1715269.4082927527</c:v>
                </c:pt>
                <c:pt idx="34">
                  <c:v>1836857.2129814699</c:v>
                </c:pt>
                <c:pt idx="35">
                  <c:v>1965088.9919194872</c:v>
                </c:pt>
                <c:pt idx="36">
                  <c:v>2100267.429116671</c:v>
                </c:pt>
                <c:pt idx="37">
                  <c:v>2242707.9319071635</c:v>
                </c:pt>
                <c:pt idx="38">
                  <c:v>2392739.142229748</c:v>
                </c:pt>
                <c:pt idx="39">
                  <c:v>2550703.4678717433</c:v>
                </c:pt>
                <c:pt idx="40">
                  <c:v>2716957.6344405138</c:v>
                </c:pt>
                <c:pt idx="41">
                  <c:v>2891873.2588555366</c:v>
                </c:pt>
              </c:numCache>
            </c:numRef>
          </c:val>
          <c:smooth val="0"/>
          <c:extLst>
            <c:ext xmlns:c16="http://schemas.microsoft.com/office/drawing/2014/chart" uri="{C3380CC4-5D6E-409C-BE32-E72D297353CC}">
              <c16:uniqueId val="{00000000-D1D8-CE4E-9B67-3EA84B5A936C}"/>
            </c:ext>
          </c:extLst>
        </c:ser>
        <c:ser>
          <c:idx val="1"/>
          <c:order val="1"/>
          <c:tx>
            <c:strRef>
              <c:f>'Difference in benefits TPS'!$C$3</c:f>
              <c:strCache>
                <c:ptCount val="1"/>
                <c:pt idx="0">
                  <c:v>Joint - male</c:v>
                </c:pt>
              </c:strCache>
            </c:strRef>
          </c:tx>
          <c:spPr>
            <a:ln w="28575" cap="rnd">
              <a:solidFill>
                <a:schemeClr val="accent2"/>
              </a:solidFill>
              <a:round/>
            </a:ln>
            <a:effectLst/>
          </c:spPr>
          <c:marker>
            <c:symbol val="none"/>
          </c:marker>
          <c:cat>
            <c:numRef>
              <c:f>'Difference in benefits TPS'!$A$4:$A$45</c:f>
              <c:numCache>
                <c:formatCode>General</c:formatCode>
                <c:ptCount val="42"/>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numCache>
            </c:numRef>
          </c:cat>
          <c:val>
            <c:numRef>
              <c:f>'Difference in benefits TPS'!$C$4:$C$45</c:f>
              <c:numCache>
                <c:formatCode>_("£"* #,##0.00_);_("£"* \(#,##0.00\);_("£"* "-"??_);_(@_)</c:formatCode>
                <c:ptCount val="42"/>
                <c:pt idx="0">
                  <c:v>24550.793740115492</c:v>
                </c:pt>
                <c:pt idx="1">
                  <c:v>51134.329135698252</c:v>
                </c:pt>
                <c:pt idx="2">
                  <c:v>76672.714218983529</c:v>
                </c:pt>
                <c:pt idx="3">
                  <c:v>106437.54643470928</c:v>
                </c:pt>
                <c:pt idx="4">
                  <c:v>138485.98070724972</c:v>
                </c:pt>
                <c:pt idx="5">
                  <c:v>172933.29191817343</c:v>
                </c:pt>
                <c:pt idx="6">
                  <c:v>209899.90169930004</c:v>
                </c:pt>
                <c:pt idx="7">
                  <c:v>249511.59328860481</c:v>
                </c:pt>
                <c:pt idx="8">
                  <c:v>291899.73499921768</c:v>
                </c:pt>
                <c:pt idx="9">
                  <c:v>324071.65566166758</c:v>
                </c:pt>
                <c:pt idx="10">
                  <c:v>310723.72903213277</c:v>
                </c:pt>
                <c:pt idx="11">
                  <c:v>349108.00412421254</c:v>
                </c:pt>
                <c:pt idx="12">
                  <c:v>389837.17380427517</c:v>
                </c:pt>
                <c:pt idx="13">
                  <c:v>433270.95293740311</c:v>
                </c:pt>
                <c:pt idx="14">
                  <c:v>479493.89076348761</c:v>
                </c:pt>
                <c:pt idx="15">
                  <c:v>528645.73746039812</c:v>
                </c:pt>
                <c:pt idx="16">
                  <c:v>580872.45604516333</c:v>
                </c:pt>
                <c:pt idx="17">
                  <c:v>636326.48137442395</c:v>
                </c:pt>
                <c:pt idx="18">
                  <c:v>695166.98951932532</c:v>
                </c:pt>
                <c:pt idx="19">
                  <c:v>757560.17791933182</c:v>
                </c:pt>
                <c:pt idx="20">
                  <c:v>823679.55673488602</c:v>
                </c:pt>
                <c:pt idx="21">
                  <c:v>896758.71847635857</c:v>
                </c:pt>
                <c:pt idx="22">
                  <c:v>974200.17665355722</c:v>
                </c:pt>
                <c:pt idx="23">
                  <c:v>1056211.7599180385</c:v>
                </c:pt>
                <c:pt idx="24">
                  <c:v>1143010.2425464955</c:v>
                </c:pt>
                <c:pt idx="25">
                  <c:v>1234821.7092595645</c:v>
                </c:pt>
                <c:pt idx="26">
                  <c:v>1331881.9344296844</c:v>
                </c:pt>
                <c:pt idx="27">
                  <c:v>1436590.1267088023</c:v>
                </c:pt>
                <c:pt idx="28">
                  <c:v>1545047.1228184856</c:v>
                </c:pt>
                <c:pt idx="29">
                  <c:v>1659530.0433895488</c:v>
                </c:pt>
                <c:pt idx="30">
                  <c:v>1780317.8657797151</c:v>
                </c:pt>
                <c:pt idx="31">
                  <c:v>1907701.4035022501</c:v>
                </c:pt>
                <c:pt idx="32">
                  <c:v>2041983.784765126</c:v>
                </c:pt>
                <c:pt idx="33">
                  <c:v>2183480.9497759617</c:v>
                </c:pt>
                <c:pt idx="34">
                  <c:v>2332522.1675332999</c:v>
                </c:pt>
                <c:pt idx="35">
                  <c:v>2489450.5728520174</c:v>
                </c:pt>
                <c:pt idx="36">
                  <c:v>2654623.724398931</c:v>
                </c:pt>
                <c:pt idx="37">
                  <c:v>2828414.1845439738</c:v>
                </c:pt>
                <c:pt idx="38">
                  <c:v>3011210.1218627384</c:v>
                </c:pt>
                <c:pt idx="39">
                  <c:v>3203415.9371577231</c:v>
                </c:pt>
                <c:pt idx="40">
                  <c:v>3405452.9138983618</c:v>
                </c:pt>
                <c:pt idx="41">
                  <c:v>3617759.8940138263</c:v>
                </c:pt>
              </c:numCache>
            </c:numRef>
          </c:val>
          <c:smooth val="0"/>
          <c:extLst>
            <c:ext xmlns:c16="http://schemas.microsoft.com/office/drawing/2014/chart" uri="{C3380CC4-5D6E-409C-BE32-E72D297353CC}">
              <c16:uniqueId val="{00000001-D1D8-CE4E-9B67-3EA84B5A936C}"/>
            </c:ext>
          </c:extLst>
        </c:ser>
        <c:ser>
          <c:idx val="2"/>
          <c:order val="2"/>
          <c:tx>
            <c:strRef>
              <c:f>'Difference in benefits TPS'!$D$3</c:f>
              <c:strCache>
                <c:ptCount val="1"/>
                <c:pt idx="0">
                  <c:v>Single - female</c:v>
                </c:pt>
              </c:strCache>
            </c:strRef>
          </c:tx>
          <c:spPr>
            <a:ln w="28575" cap="rnd">
              <a:solidFill>
                <a:schemeClr val="accent3"/>
              </a:solidFill>
              <a:round/>
            </a:ln>
            <a:effectLst/>
          </c:spPr>
          <c:marker>
            <c:symbol val="none"/>
          </c:marker>
          <c:cat>
            <c:numRef>
              <c:f>'Difference in benefits TPS'!$A$4:$A$45</c:f>
              <c:numCache>
                <c:formatCode>General</c:formatCode>
                <c:ptCount val="42"/>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numCache>
            </c:numRef>
          </c:cat>
          <c:val>
            <c:numRef>
              <c:f>'Difference in benefits TPS'!$D$4:$D$45</c:f>
              <c:numCache>
                <c:formatCode>_("£"* #,##0.00_);_("£"* \(#,##0.00\);_("£"* "-"??_);_(@_)</c:formatCode>
                <c:ptCount val="42"/>
                <c:pt idx="0">
                  <c:v>19327.613232178926</c:v>
                </c:pt>
                <c:pt idx="1">
                  <c:v>40340.41768882703</c:v>
                </c:pt>
                <c:pt idx="2">
                  <c:v>64784.63734787998</c:v>
                </c:pt>
                <c:pt idx="3">
                  <c:v>90059.380039136187</c:v>
                </c:pt>
                <c:pt idx="4">
                  <c:v>117332.06406855618</c:v>
                </c:pt>
                <c:pt idx="5">
                  <c:v>146703.9079984946</c:v>
                </c:pt>
                <c:pt idx="6">
                  <c:v>178280.65685271862</c:v>
                </c:pt>
                <c:pt idx="7">
                  <c:v>212172.77119920857</c:v>
                </c:pt>
                <c:pt idx="8">
                  <c:v>248495.62381514767</c:v>
                </c:pt>
                <c:pt idx="9">
                  <c:v>273265.18091075093</c:v>
                </c:pt>
                <c:pt idx="10">
                  <c:v>260508.81126251956</c:v>
                </c:pt>
                <c:pt idx="11">
                  <c:v>292504.83799017582</c:v>
                </c:pt>
                <c:pt idx="12">
                  <c:v>326476.06086494488</c:v>
                </c:pt>
                <c:pt idx="13">
                  <c:v>362764.63979907898</c:v>
                </c:pt>
                <c:pt idx="14">
                  <c:v>401436.80866616691</c:v>
                </c:pt>
                <c:pt idx="15">
                  <c:v>442613.21062550129</c:v>
                </c:pt>
                <c:pt idx="16">
                  <c:v>486419.87754439103</c:v>
                </c:pt>
                <c:pt idx="17">
                  <c:v>532988.45523161115</c:v>
                </c:pt>
                <c:pt idx="18">
                  <c:v>582456.43770726933</c:v>
                </c:pt>
                <c:pt idx="19">
                  <c:v>634967.41086176655</c:v>
                </c:pt>
                <c:pt idx="20">
                  <c:v>690671.30587001843</c:v>
                </c:pt>
                <c:pt idx="21">
                  <c:v>752777.12938256445</c:v>
                </c:pt>
                <c:pt idx="22">
                  <c:v>818661.76117990655</c:v>
                </c:pt>
                <c:pt idx="23">
                  <c:v>888506.3057021834</c:v>
                </c:pt>
                <c:pt idx="24">
                  <c:v>962499.67824003869</c:v>
                </c:pt>
                <c:pt idx="25">
                  <c:v>1040838.9237162338</c:v>
                </c:pt>
                <c:pt idx="26">
                  <c:v>1123729.5480443996</c:v>
                </c:pt>
                <c:pt idx="27">
                  <c:v>1168401.1822549552</c:v>
                </c:pt>
                <c:pt idx="28">
                  <c:v>1258028.7215125412</c:v>
                </c:pt>
                <c:pt idx="29">
                  <c:v>1352725.0244312219</c:v>
                </c:pt>
                <c:pt idx="30">
                  <c:v>1452726.1434868607</c:v>
                </c:pt>
                <c:pt idx="31">
                  <c:v>1558278.1666193558</c:v>
                </c:pt>
                <c:pt idx="32">
                  <c:v>1669637.6232901469</c:v>
                </c:pt>
                <c:pt idx="33">
                  <c:v>1787071.9064683239</c:v>
                </c:pt>
                <c:pt idx="34">
                  <c:v>1910859.7111570411</c:v>
                </c:pt>
                <c:pt idx="35">
                  <c:v>2041291.4900950585</c:v>
                </c:pt>
                <c:pt idx="36">
                  <c:v>2178669.9272922422</c:v>
                </c:pt>
                <c:pt idx="37">
                  <c:v>2323310.4300827347</c:v>
                </c:pt>
                <c:pt idx="38">
                  <c:v>2475541.6404053192</c:v>
                </c:pt>
                <c:pt idx="39">
                  <c:v>2635705.966047314</c:v>
                </c:pt>
                <c:pt idx="40">
                  <c:v>2804160.132616085</c:v>
                </c:pt>
                <c:pt idx="41">
                  <c:v>2981275.7570311078</c:v>
                </c:pt>
              </c:numCache>
            </c:numRef>
          </c:val>
          <c:smooth val="0"/>
          <c:extLst>
            <c:ext xmlns:c16="http://schemas.microsoft.com/office/drawing/2014/chart" uri="{C3380CC4-5D6E-409C-BE32-E72D297353CC}">
              <c16:uniqueId val="{00000002-D1D8-CE4E-9B67-3EA84B5A936C}"/>
            </c:ext>
          </c:extLst>
        </c:ser>
        <c:ser>
          <c:idx val="3"/>
          <c:order val="3"/>
          <c:tx>
            <c:strRef>
              <c:f>'Difference in benefits TPS'!$E$3</c:f>
              <c:strCache>
                <c:ptCount val="1"/>
                <c:pt idx="0">
                  <c:v>Joint - female</c:v>
                </c:pt>
              </c:strCache>
            </c:strRef>
          </c:tx>
          <c:spPr>
            <a:ln w="28575" cap="rnd">
              <a:solidFill>
                <a:schemeClr val="accent4"/>
              </a:solidFill>
              <a:round/>
            </a:ln>
            <a:effectLst/>
          </c:spPr>
          <c:marker>
            <c:symbol val="none"/>
          </c:marker>
          <c:cat>
            <c:numRef>
              <c:f>'Difference in benefits TPS'!$A$4:$A$45</c:f>
              <c:numCache>
                <c:formatCode>General</c:formatCode>
                <c:ptCount val="42"/>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numCache>
            </c:numRef>
          </c:cat>
          <c:val>
            <c:numRef>
              <c:f>'Difference in benefits TPS'!$E$4:$E$45</c:f>
              <c:numCache>
                <c:formatCode>_("£"* #,##0.00_);_("£"* \(#,##0.00\);_("£"* "-"??_);_(@_)</c:formatCode>
                <c:ptCount val="42"/>
                <c:pt idx="0">
                  <c:v>22091.72532159691</c:v>
                </c:pt>
                <c:pt idx="1">
                  <c:v>46052.565886092874</c:v>
                </c:pt>
                <c:pt idx="2">
                  <c:v>69973.449972675837</c:v>
                </c:pt>
                <c:pt idx="3">
                  <c:v>97207.990994952444</c:v>
                </c:pt>
                <c:pt idx="4">
                  <c:v>126565.15625906311</c:v>
                </c:pt>
                <c:pt idx="5">
                  <c:v>158152.29951704753</c:v>
                </c:pt>
                <c:pt idx="6">
                  <c:v>192081.57172106463</c:v>
                </c:pt>
                <c:pt idx="7">
                  <c:v>228470.12135543115</c:v>
                </c:pt>
                <c:pt idx="8">
                  <c:v>267440.30280081095</c:v>
                </c:pt>
                <c:pt idx="9">
                  <c:v>297157.60755379946</c:v>
                </c:pt>
                <c:pt idx="10">
                  <c:v>284123.05029561743</c:v>
                </c:pt>
                <c:pt idx="11">
                  <c:v>319123.23655555467</c:v>
                </c:pt>
                <c:pt idx="12">
                  <c:v>356272.47461627581</c:v>
                </c:pt>
                <c:pt idx="13">
                  <c:v>395921.17984221247</c:v>
                </c:pt>
                <c:pt idx="14">
                  <c:v>438144.19915377413</c:v>
                </c:pt>
                <c:pt idx="15">
                  <c:v>483071.1610421809</c:v>
                </c:pt>
                <c:pt idx="16">
                  <c:v>530837.47026540083</c:v>
                </c:pt>
                <c:pt idx="17">
                  <c:v>581584.54896098434</c:v>
                </c:pt>
                <c:pt idx="18">
                  <c:v>635460.08742454252</c:v>
                </c:pt>
                <c:pt idx="19">
                  <c:v>692618.30493090022</c:v>
                </c:pt>
                <c:pt idx="20">
                  <c:v>753220.22098937957</c:v>
                </c:pt>
                <c:pt idx="21">
                  <c:v>820486.40408108034</c:v>
                </c:pt>
                <c:pt idx="22">
                  <c:v>891805.78859175043</c:v>
                </c:pt>
                <c:pt idx="23">
                  <c:v>967372.04638062231</c:v>
                </c:pt>
                <c:pt idx="24">
                  <c:v>1047387.1938004349</c:v>
                </c:pt>
                <c:pt idx="25">
                  <c:v>1132061.9321286534</c:v>
                </c:pt>
                <c:pt idx="26">
                  <c:v>1221616.0014279063</c:v>
                </c:pt>
                <c:pt idx="27">
                  <c:v>1293706.4011953077</c:v>
                </c:pt>
                <c:pt idx="28">
                  <c:v>1392131.5783204231</c:v>
                </c:pt>
                <c:pt idx="29">
                  <c:v>1496072.7308434374</c:v>
                </c:pt>
                <c:pt idx="30">
                  <c:v>1605785.966920475</c:v>
                </c:pt>
                <c:pt idx="31">
                  <c:v>1721538.2715040767</c:v>
                </c:pt>
                <c:pt idx="32">
                  <c:v>1843607.9462661238</c:v>
                </c:pt>
                <c:pt idx="33">
                  <c:v>1972285.0667749648</c:v>
                </c:pt>
                <c:pt idx="34">
                  <c:v>2107871.957589319</c:v>
                </c:pt>
                <c:pt idx="35">
                  <c:v>2250683.6859565559</c:v>
                </c:pt>
                <c:pt idx="36">
                  <c:v>2401048.5748289572</c:v>
                </c:pt>
                <c:pt idx="37">
                  <c:v>2559308.7359385216</c:v>
                </c:pt>
                <c:pt idx="38">
                  <c:v>2725820.6236988269</c:v>
                </c:pt>
                <c:pt idx="39">
                  <c:v>2900955.6107315049</c:v>
                </c:pt>
                <c:pt idx="40">
                  <c:v>3085100.5858449298</c:v>
                </c:pt>
                <c:pt idx="41">
                  <c:v>3278658.5753239999</c:v>
                </c:pt>
              </c:numCache>
            </c:numRef>
          </c:val>
          <c:smooth val="0"/>
          <c:extLst>
            <c:ext xmlns:c16="http://schemas.microsoft.com/office/drawing/2014/chart" uri="{C3380CC4-5D6E-409C-BE32-E72D297353CC}">
              <c16:uniqueId val="{00000003-D1D8-CE4E-9B67-3EA84B5A936C}"/>
            </c:ext>
          </c:extLst>
        </c:ser>
        <c:dLbls>
          <c:showLegendKey val="0"/>
          <c:showVal val="0"/>
          <c:showCatName val="0"/>
          <c:showSerName val="0"/>
          <c:showPercent val="0"/>
          <c:showBubbleSize val="0"/>
        </c:dLbls>
        <c:smooth val="0"/>
        <c:axId val="2083467359"/>
        <c:axId val="2083469055"/>
      </c:lineChart>
      <c:catAx>
        <c:axId val="208346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469055"/>
        <c:crosses val="autoZero"/>
        <c:auto val="1"/>
        <c:lblAlgn val="ctr"/>
        <c:lblOffset val="100"/>
        <c:noMultiLvlLbl val="0"/>
      </c:catAx>
      <c:valAx>
        <c:axId val="208346905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46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Reduction</a:t>
            </a:r>
            <a:r>
              <a:rPr lang="en-US" baseline="0"/>
              <a:t> in annual pension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'Difference in benefits TPS'!$H$3</c:f>
              <c:strCache>
                <c:ptCount val="1"/>
                <c:pt idx="0">
                  <c:v>Single - male</c:v>
                </c:pt>
              </c:strCache>
            </c:strRef>
          </c:tx>
          <c:spPr>
            <a:ln w="28575" cap="rnd">
              <a:solidFill>
                <a:schemeClr val="accent1"/>
              </a:solidFill>
              <a:round/>
            </a:ln>
            <a:effectLst/>
          </c:spPr>
          <c:marker>
            <c:symbol val="none"/>
          </c:marker>
          <c:cat>
            <c:numRef>
              <c:f>'Difference in benefits TPS'!$G$4:$G$45</c:f>
              <c:numCache>
                <c:formatCode>General</c:formatCode>
                <c:ptCount val="42"/>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numCache>
            </c:numRef>
          </c:cat>
          <c:val>
            <c:numRef>
              <c:f>'Difference in benefits TPS'!$H$4:$H$45</c:f>
              <c:numCache>
                <c:formatCode>_("£"* #,##0.00_);_("£"* \(#,##0.00\);_("£"* "-"??_);_(@_)</c:formatCode>
                <c:ptCount val="42"/>
                <c:pt idx="0">
                  <c:v>538.76190943396227</c:v>
                </c:pt>
                <c:pt idx="1">
                  <c:v>1111.4180835326704</c:v>
                </c:pt>
                <c:pt idx="2">
                  <c:v>1734.5587909643746</c:v>
                </c:pt>
                <c:pt idx="3">
                  <c:v>2382.2919244699065</c:v>
                </c:pt>
                <c:pt idx="4">
                  <c:v>3066.0388818242195</c:v>
                </c:pt>
                <c:pt idx="5">
                  <c:v>3786.5766957961432</c:v>
                </c:pt>
                <c:pt idx="6">
                  <c:v>4544.7048593000891</c:v>
                </c:pt>
                <c:pt idx="7">
                  <c:v>5341.2457639381009</c:v>
                </c:pt>
                <c:pt idx="8">
                  <c:v>6177.0451495640027</c:v>
                </c:pt>
                <c:pt idx="9">
                  <c:v>6948.914166324239</c:v>
                </c:pt>
                <c:pt idx="10">
                  <c:v>7412.1588624008218</c:v>
                </c:pt>
                <c:pt idx="11">
                  <c:v>8212.9066864953456</c:v>
                </c:pt>
                <c:pt idx="12">
                  <c:v>9046.4530928788117</c:v>
                </c:pt>
                <c:pt idx="13">
                  <c:v>9922.5658424791691</c:v>
                </c:pt>
                <c:pt idx="14">
                  <c:v>10840.37337525003</c:v>
                </c:pt>
                <c:pt idx="15">
                  <c:v>11800.892886505459</c:v>
                </c:pt>
                <c:pt idx="16">
                  <c:v>12805.167719181904</c:v>
                </c:pt>
                <c:pt idx="17">
                  <c:v>13854.267935482269</c:v>
                </c:pt>
                <c:pt idx="18">
                  <c:v>14949.290901362339</c:v>
                </c:pt>
                <c:pt idx="19">
                  <c:v>16091.361884129401</c:v>
                </c:pt>
                <c:pt idx="20">
                  <c:v>17281.634663428558</c:v>
                </c:pt>
                <c:pt idx="21">
                  <c:v>18601.561710523383</c:v>
                </c:pt>
                <c:pt idx="22">
                  <c:v>19976.603209828696</c:v>
                </c:pt>
                <c:pt idx="23">
                  <c:v>21408.017787057921</c:v>
                </c:pt>
                <c:pt idx="24">
                  <c:v>22897.096006385997</c:v>
                </c:pt>
                <c:pt idx="25">
                  <c:v>24445.161054027041</c:v>
                </c:pt>
                <c:pt idx="26">
                  <c:v>26053.569437137274</c:v>
                </c:pt>
                <c:pt idx="27">
                  <c:v>27450.660794049829</c:v>
                </c:pt>
                <c:pt idx="28">
                  <c:v>29175.531488954322</c:v>
                </c:pt>
                <c:pt idx="29">
                  <c:v>30965.122220993995</c:v>
                </c:pt>
                <c:pt idx="30">
                  <c:v>32820.928561280969</c:v>
                </c:pt>
                <c:pt idx="31">
                  <c:v>34744.48316013936</c:v>
                </c:pt>
                <c:pt idx="32">
                  <c:v>36737.356544571827</c:v>
                </c:pt>
                <c:pt idx="33">
                  <c:v>38801.157933437666</c:v>
                </c:pt>
                <c:pt idx="34">
                  <c:v>40937.536070712085</c:v>
                </c:pt>
                <c:pt idx="35">
                  <c:v>43148.180077204102</c:v>
                </c:pt>
                <c:pt idx="36">
                  <c:v>45434.820321118408</c:v>
                </c:pt>
                <c:pt idx="37">
                  <c:v>47799.229307854846</c:v>
                </c:pt>
                <c:pt idx="38">
                  <c:v>50243.222589447323</c:v>
                </c:pt>
                <c:pt idx="39">
                  <c:v>52768.659694052556</c:v>
                </c:pt>
                <c:pt idx="40">
                  <c:v>55377.445075907657</c:v>
                </c:pt>
                <c:pt idx="41">
                  <c:v>58071.529086184535</c:v>
                </c:pt>
              </c:numCache>
            </c:numRef>
          </c:val>
          <c:smooth val="0"/>
          <c:extLst>
            <c:ext xmlns:c16="http://schemas.microsoft.com/office/drawing/2014/chart" uri="{C3380CC4-5D6E-409C-BE32-E72D297353CC}">
              <c16:uniqueId val="{00000000-13D3-094E-8535-A6EBBE3434F9}"/>
            </c:ext>
          </c:extLst>
        </c:ser>
        <c:ser>
          <c:idx val="1"/>
          <c:order val="1"/>
          <c:tx>
            <c:strRef>
              <c:f>'Difference in benefits TPS'!$I$3</c:f>
              <c:strCache>
                <c:ptCount val="1"/>
                <c:pt idx="0">
                  <c:v>Joint - male</c:v>
                </c:pt>
              </c:strCache>
            </c:strRef>
          </c:tx>
          <c:spPr>
            <a:ln w="28575" cap="rnd">
              <a:solidFill>
                <a:schemeClr val="accent2"/>
              </a:solidFill>
              <a:round/>
            </a:ln>
            <a:effectLst/>
          </c:spPr>
          <c:marker>
            <c:symbol val="none"/>
          </c:marker>
          <c:cat>
            <c:numRef>
              <c:f>'Difference in benefits TPS'!$G$4:$G$45</c:f>
              <c:numCache>
                <c:formatCode>General</c:formatCode>
                <c:ptCount val="42"/>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numCache>
            </c:numRef>
          </c:cat>
          <c:val>
            <c:numRef>
              <c:f>'Difference in benefits TPS'!$I$4:$I$45</c:f>
              <c:numCache>
                <c:formatCode>_("£"* #,##0.00_);_("£"* \(#,##0.00\);_("£"* "-"??_);_(@_)</c:formatCode>
                <c:ptCount val="42"/>
                <c:pt idx="0">
                  <c:v>584.99425943396227</c:v>
                </c:pt>
                <c:pt idx="1">
                  <c:v>1203.1858820991729</c:v>
                </c:pt>
                <c:pt idx="2">
                  <c:v>1832.849541706418</c:v>
                </c:pt>
                <c:pt idx="3">
                  <c:v>2512.372182631505</c:v>
                </c:pt>
                <c:pt idx="4">
                  <c:v>3227.4391396335059</c:v>
                </c:pt>
                <c:pt idx="5">
                  <c:v>3978.8376547616954</c:v>
                </c:pt>
                <c:pt idx="6">
                  <c:v>4767.3772300604196</c:v>
                </c:pt>
                <c:pt idx="7">
                  <c:v>5593.8900701340335</c:v>
                </c:pt>
                <c:pt idx="8">
                  <c:v>6459.2315356535782</c:v>
                </c:pt>
                <c:pt idx="9">
                  <c:v>7289.7054222415163</c:v>
                </c:pt>
                <c:pt idx="10">
                  <c:v>7840.2128240668326</c:v>
                </c:pt>
                <c:pt idx="11">
                  <c:v>8690.641990106029</c:v>
                </c:pt>
                <c:pt idx="12">
                  <c:v>9574.7237796482914</c:v>
                </c:pt>
                <c:pt idx="13">
                  <c:v>10501.129029563117</c:v>
                </c:pt>
                <c:pt idx="14">
                  <c:v>11469.229954694634</c:v>
                </c:pt>
                <c:pt idx="15">
                  <c:v>12480.053267915404</c:v>
                </c:pt>
                <c:pt idx="16">
                  <c:v>13534.651811135416</c:v>
                </c:pt>
                <c:pt idx="17">
                  <c:v>14634.105128784242</c:v>
                </c:pt>
                <c:pt idx="18">
                  <c:v>15779.520054128423</c:v>
                </c:pt>
                <c:pt idx="19">
                  <c:v>16972.031308694259</c:v>
                </c:pt>
                <c:pt idx="20">
                  <c:v>18212.8021150719</c:v>
                </c:pt>
                <c:pt idx="21">
                  <c:v>19573.202908088399</c:v>
                </c:pt>
                <c:pt idx="22">
                  <c:v>20988.226885821496</c:v>
                </c:pt>
                <c:pt idx="23">
                  <c:v>22459.140144670113</c:v>
                </c:pt>
                <c:pt idx="24">
                  <c:v>23987.240609505388</c:v>
                </c:pt>
                <c:pt idx="25">
                  <c:v>25573.85871887461</c:v>
                </c:pt>
                <c:pt idx="26">
                  <c:v>27220.358125506405</c:v>
                </c:pt>
                <c:pt idx="27">
                  <c:v>28938.28987667078</c:v>
                </c:pt>
                <c:pt idx="28">
                  <c:v>30709.092788917922</c:v>
                </c:pt>
                <c:pt idx="29">
                  <c:v>32544.070763430333</c:v>
                </c:pt>
                <c:pt idx="30">
                  <c:v>34444.72768883322</c:v>
                </c:pt>
                <c:pt idx="31">
                  <c:v>36412.604410564491</c:v>
                </c:pt>
                <c:pt idx="32">
                  <c:v>38449.279530151158</c:v>
                </c:pt>
                <c:pt idx="33">
                  <c:v>40556.370222170561</c:v>
                </c:pt>
                <c:pt idx="34">
                  <c:v>42735.533069266472</c:v>
                </c:pt>
                <c:pt idx="35">
                  <c:v>44988.464915597753</c:v>
                </c:pt>
                <c:pt idx="36">
                  <c:v>47316.903739105532</c:v>
                </c:pt>
                <c:pt idx="37">
                  <c:v>49722.62954299269</c:v>
                </c:pt>
                <c:pt idx="38">
                  <c:v>52207.465266818013</c:v>
                </c:pt>
                <c:pt idx="39">
                  <c:v>54773.277717615703</c:v>
                </c:pt>
                <c:pt idx="40">
                  <c:v>57421.978521459634</c:v>
                </c:pt>
                <c:pt idx="41">
                  <c:v>60155.525095900659</c:v>
                </c:pt>
              </c:numCache>
            </c:numRef>
          </c:val>
          <c:smooth val="0"/>
          <c:extLst>
            <c:ext xmlns:c16="http://schemas.microsoft.com/office/drawing/2014/chart" uri="{C3380CC4-5D6E-409C-BE32-E72D297353CC}">
              <c16:uniqueId val="{00000001-13D3-094E-8535-A6EBBE3434F9}"/>
            </c:ext>
          </c:extLst>
        </c:ser>
        <c:ser>
          <c:idx val="2"/>
          <c:order val="2"/>
          <c:tx>
            <c:strRef>
              <c:f>'Difference in benefits TPS'!$J$3</c:f>
              <c:strCache>
                <c:ptCount val="1"/>
                <c:pt idx="0">
                  <c:v>Single - female</c:v>
                </c:pt>
              </c:strCache>
            </c:strRef>
          </c:tx>
          <c:spPr>
            <a:ln w="28575" cap="rnd">
              <a:solidFill>
                <a:schemeClr val="accent3"/>
              </a:solidFill>
              <a:round/>
            </a:ln>
            <a:effectLst/>
          </c:spPr>
          <c:marker>
            <c:symbol val="none"/>
          </c:marker>
          <c:cat>
            <c:numRef>
              <c:f>'Difference in benefits TPS'!$G$4:$G$45</c:f>
              <c:numCache>
                <c:formatCode>General</c:formatCode>
                <c:ptCount val="42"/>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numCache>
            </c:numRef>
          </c:cat>
          <c:val>
            <c:numRef>
              <c:f>'Difference in benefits TPS'!$J$4:$J$45</c:f>
              <c:numCache>
                <c:formatCode>_("£"* #,##0.00_);_("£"* \(#,##0.00\);_("£"* "-"??_);_(@_)</c:formatCode>
                <c:ptCount val="42"/>
                <c:pt idx="0">
                  <c:v>538.76190943396227</c:v>
                </c:pt>
                <c:pt idx="1">
                  <c:v>1111.4180835326704</c:v>
                </c:pt>
                <c:pt idx="2">
                  <c:v>1734.5587909643746</c:v>
                </c:pt>
                <c:pt idx="3">
                  <c:v>2382.2919244699065</c:v>
                </c:pt>
                <c:pt idx="4">
                  <c:v>3066.0388818242195</c:v>
                </c:pt>
                <c:pt idx="5">
                  <c:v>3786.5766957961432</c:v>
                </c:pt>
                <c:pt idx="6">
                  <c:v>4544.7048593000891</c:v>
                </c:pt>
                <c:pt idx="7">
                  <c:v>5341.2457639381009</c:v>
                </c:pt>
                <c:pt idx="8">
                  <c:v>6177.0451495640027</c:v>
                </c:pt>
                <c:pt idx="9">
                  <c:v>6948.914166324239</c:v>
                </c:pt>
                <c:pt idx="10">
                  <c:v>7412.1588624008218</c:v>
                </c:pt>
                <c:pt idx="11">
                  <c:v>8212.9066864953456</c:v>
                </c:pt>
                <c:pt idx="12">
                  <c:v>9046.4530928788117</c:v>
                </c:pt>
                <c:pt idx="13">
                  <c:v>9922.5658424791691</c:v>
                </c:pt>
                <c:pt idx="14">
                  <c:v>10840.37337525003</c:v>
                </c:pt>
                <c:pt idx="15">
                  <c:v>11800.892886505459</c:v>
                </c:pt>
                <c:pt idx="16">
                  <c:v>12805.167719181904</c:v>
                </c:pt>
                <c:pt idx="17">
                  <c:v>13854.267935482269</c:v>
                </c:pt>
                <c:pt idx="18">
                  <c:v>14949.290901362339</c:v>
                </c:pt>
                <c:pt idx="19">
                  <c:v>16091.361884129401</c:v>
                </c:pt>
                <c:pt idx="20">
                  <c:v>17281.634663428558</c:v>
                </c:pt>
                <c:pt idx="21">
                  <c:v>18601.561710523383</c:v>
                </c:pt>
                <c:pt idx="22">
                  <c:v>19976.603209828696</c:v>
                </c:pt>
                <c:pt idx="23">
                  <c:v>21408.017787057921</c:v>
                </c:pt>
                <c:pt idx="24">
                  <c:v>22897.096006385997</c:v>
                </c:pt>
                <c:pt idx="25">
                  <c:v>24445.161054027041</c:v>
                </c:pt>
                <c:pt idx="26">
                  <c:v>26053.569437137274</c:v>
                </c:pt>
                <c:pt idx="27">
                  <c:v>27450.660794049829</c:v>
                </c:pt>
                <c:pt idx="28">
                  <c:v>29175.531488954322</c:v>
                </c:pt>
                <c:pt idx="29">
                  <c:v>30965.122220993995</c:v>
                </c:pt>
                <c:pt idx="30">
                  <c:v>32820.928561280969</c:v>
                </c:pt>
                <c:pt idx="31">
                  <c:v>34744.48316013936</c:v>
                </c:pt>
                <c:pt idx="32">
                  <c:v>36737.356544571827</c:v>
                </c:pt>
                <c:pt idx="33">
                  <c:v>38801.157933437666</c:v>
                </c:pt>
                <c:pt idx="34">
                  <c:v>40937.536070712085</c:v>
                </c:pt>
                <c:pt idx="35">
                  <c:v>43148.180077204102</c:v>
                </c:pt>
                <c:pt idx="36">
                  <c:v>45434.820321118408</c:v>
                </c:pt>
                <c:pt idx="37">
                  <c:v>47799.229307854846</c:v>
                </c:pt>
                <c:pt idx="38">
                  <c:v>50243.222589447323</c:v>
                </c:pt>
                <c:pt idx="39">
                  <c:v>52768.659694052556</c:v>
                </c:pt>
                <c:pt idx="40">
                  <c:v>55377.445075907657</c:v>
                </c:pt>
                <c:pt idx="41">
                  <c:v>58071.529086184535</c:v>
                </c:pt>
              </c:numCache>
            </c:numRef>
          </c:val>
          <c:smooth val="0"/>
          <c:extLst>
            <c:ext xmlns:c16="http://schemas.microsoft.com/office/drawing/2014/chart" uri="{C3380CC4-5D6E-409C-BE32-E72D297353CC}">
              <c16:uniqueId val="{00000002-13D3-094E-8535-A6EBBE3434F9}"/>
            </c:ext>
          </c:extLst>
        </c:ser>
        <c:ser>
          <c:idx val="3"/>
          <c:order val="3"/>
          <c:tx>
            <c:strRef>
              <c:f>'Difference in benefits TPS'!$K$3</c:f>
              <c:strCache>
                <c:ptCount val="1"/>
                <c:pt idx="0">
                  <c:v>Joint - female</c:v>
                </c:pt>
              </c:strCache>
            </c:strRef>
          </c:tx>
          <c:spPr>
            <a:ln w="28575" cap="rnd">
              <a:solidFill>
                <a:schemeClr val="accent4"/>
              </a:solidFill>
              <a:round/>
            </a:ln>
            <a:effectLst/>
          </c:spPr>
          <c:marker>
            <c:symbol val="none"/>
          </c:marker>
          <c:cat>
            <c:numRef>
              <c:f>'Difference in benefits TPS'!$G$4:$G$45</c:f>
              <c:numCache>
                <c:formatCode>General</c:formatCode>
                <c:ptCount val="42"/>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numCache>
            </c:numRef>
          </c:cat>
          <c:val>
            <c:numRef>
              <c:f>'Difference in benefits TPS'!$K$4:$K$45</c:f>
              <c:numCache>
                <c:formatCode>_("£"* #,##0.00_);_("£"* \(#,##0.00\);_("£"* "-"??_);_(@_)</c:formatCode>
                <c:ptCount val="42"/>
                <c:pt idx="0">
                  <c:v>565.25980943396235</c:v>
                </c:pt>
                <c:pt idx="1">
                  <c:v>1164.014457059764</c:v>
                </c:pt>
                <c:pt idx="2">
                  <c:v>1780.5555768269464</c:v>
                </c:pt>
                <c:pt idx="3">
                  <c:v>2443.165137202911</c:v>
                </c:pt>
                <c:pt idx="4">
                  <c:v>3141.5688074842756</c:v>
                </c:pt>
                <c:pt idx="5">
                  <c:v>3876.5483980418612</c:v>
                </c:pt>
                <c:pt idx="6">
                  <c:v>4648.9080857283216</c:v>
                </c:pt>
                <c:pt idx="7">
                  <c:v>5459.4748543027708</c:v>
                </c:pt>
                <c:pt idx="8">
                  <c:v>6309.0989458399044</c:v>
                </c:pt>
                <c:pt idx="9">
                  <c:v>7120.6105242672947</c:v>
                </c:pt>
                <c:pt idx="10">
                  <c:v>7627.8196369806437</c:v>
                </c:pt>
                <c:pt idx="11">
                  <c:v>8453.5977554900419</c:v>
                </c:pt>
                <c:pt idx="12">
                  <c:v>9312.6047365947343</c:v>
                </c:pt>
                <c:pt idx="13">
                  <c:v>10214.055692460393</c:v>
                </c:pt>
                <c:pt idx="14">
                  <c:v>11157.201880924411</c:v>
                </c:pt>
                <c:pt idx="15">
                  <c:v>12143.065292406653</c:v>
                </c:pt>
                <c:pt idx="16">
                  <c:v>13172.694055585962</c:v>
                </c:pt>
                <c:pt idx="17">
                  <c:v>14247.163009970285</c:v>
                </c:pt>
                <c:pt idx="18">
                  <c:v>15367.574291305556</c:v>
                </c:pt>
                <c:pt idx="19">
                  <c:v>16535.057930093375</c:v>
                </c:pt>
                <c:pt idx="20">
                  <c:v>17750.772463493144</c:v>
                </c:pt>
                <c:pt idx="21">
                  <c:v>19091.090863495072</c:v>
                </c:pt>
                <c:pt idx="22">
                  <c:v>20486.276206893774</c:v>
                </c:pt>
                <c:pt idx="23">
                  <c:v>21937.590883259483</c:v>
                </c:pt>
                <c:pt idx="24">
                  <c:v>23446.329165209507</c:v>
                </c:pt>
                <c:pt idx="25">
                  <c:v>25013.817892805208</c:v>
                </c:pt>
                <c:pt idx="26">
                  <c:v>26641.41717326218</c:v>
                </c:pt>
                <c:pt idx="27">
                  <c:v>28206.520914976667</c:v>
                </c:pt>
                <c:pt idx="28">
                  <c:v>29954.729639340687</c:v>
                </c:pt>
                <c:pt idx="29">
                  <c:v>31767.381500652944</c:v>
                </c:pt>
                <c:pt idx="30">
                  <c:v>33645.976296130393</c:v>
                </c:pt>
                <c:pt idx="31">
                  <c:v>35592.050840011238</c:v>
                </c:pt>
                <c:pt idx="32">
                  <c:v>37607.179761941079</c:v>
                </c:pt>
                <c:pt idx="33">
                  <c:v>39692.97632305701</c:v>
                </c:pt>
                <c:pt idx="34">
                  <c:v>41851.093250139515</c:v>
                </c:pt>
                <c:pt idx="35">
                  <c:v>44083.223588209781</c:v>
                </c:pt>
                <c:pt idx="36">
                  <c:v>46391.101571958017</c:v>
                </c:pt>
                <c:pt idx="37">
                  <c:v>48776.503516396544</c:v>
                </c:pt>
                <c:pt idx="38">
                  <c:v>51241.248727139719</c:v>
                </c:pt>
                <c:pt idx="39">
                  <c:v>53787.200430721277</c:v>
                </c:pt>
                <c:pt idx="40">
                  <c:v>56416.266725368274</c:v>
                </c:pt>
                <c:pt idx="41">
                  <c:v>59130.401552659736</c:v>
                </c:pt>
              </c:numCache>
            </c:numRef>
          </c:val>
          <c:smooth val="0"/>
          <c:extLst>
            <c:ext xmlns:c16="http://schemas.microsoft.com/office/drawing/2014/chart" uri="{C3380CC4-5D6E-409C-BE32-E72D297353CC}">
              <c16:uniqueId val="{00000003-13D3-094E-8535-A6EBBE3434F9}"/>
            </c:ext>
          </c:extLst>
        </c:ser>
        <c:dLbls>
          <c:showLegendKey val="0"/>
          <c:showVal val="0"/>
          <c:showCatName val="0"/>
          <c:showSerName val="0"/>
          <c:showPercent val="0"/>
          <c:showBubbleSize val="0"/>
        </c:dLbls>
        <c:smooth val="0"/>
        <c:axId val="1651964799"/>
        <c:axId val="1651998575"/>
      </c:lineChart>
      <c:catAx>
        <c:axId val="165196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998575"/>
        <c:crosses val="autoZero"/>
        <c:auto val="1"/>
        <c:lblAlgn val="ctr"/>
        <c:lblOffset val="100"/>
        <c:noMultiLvlLbl val="0"/>
      </c:catAx>
      <c:valAx>
        <c:axId val="165199857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964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812800</xdr:colOff>
      <xdr:row>24</xdr:row>
      <xdr:rowOff>0</xdr:rowOff>
    </xdr:from>
    <xdr:to>
      <xdr:col>16</xdr:col>
      <xdr:colOff>0</xdr:colOff>
      <xdr:row>64</xdr:row>
      <xdr:rowOff>38100</xdr:rowOff>
    </xdr:to>
    <xdr:graphicFrame macro="">
      <xdr:nvGraphicFramePr>
        <xdr:cNvPr id="2" name="Chart 1">
          <a:extLst>
            <a:ext uri="{FF2B5EF4-FFF2-40B4-BE49-F238E27FC236}">
              <a16:creationId xmlns:a16="http://schemas.microsoft.com/office/drawing/2014/main" id="{F62A287C-5000-434F-B923-CBB7E7A47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xdr:row>
      <xdr:rowOff>0</xdr:rowOff>
    </xdr:from>
    <xdr:to>
      <xdr:col>16</xdr:col>
      <xdr:colOff>0</xdr:colOff>
      <xdr:row>23</xdr:row>
      <xdr:rowOff>165100</xdr:rowOff>
    </xdr:to>
    <xdr:graphicFrame macro="">
      <xdr:nvGraphicFramePr>
        <xdr:cNvPr id="3" name="Chart 2">
          <a:extLst>
            <a:ext uri="{FF2B5EF4-FFF2-40B4-BE49-F238E27FC236}">
              <a16:creationId xmlns:a16="http://schemas.microsoft.com/office/drawing/2014/main" id="{19ECC021-245B-4441-ADB1-8D89FD3272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482600</xdr:colOff>
      <xdr:row>2</xdr:row>
      <xdr:rowOff>88900</xdr:rowOff>
    </xdr:from>
    <xdr:to>
      <xdr:col>23</xdr:col>
      <xdr:colOff>0</xdr:colOff>
      <xdr:row>29</xdr:row>
      <xdr:rowOff>165100</xdr:rowOff>
    </xdr:to>
    <xdr:graphicFrame macro="">
      <xdr:nvGraphicFramePr>
        <xdr:cNvPr id="4" name="Chart 3">
          <a:extLst>
            <a:ext uri="{FF2B5EF4-FFF2-40B4-BE49-F238E27FC236}">
              <a16:creationId xmlns:a16="http://schemas.microsoft.com/office/drawing/2014/main" id="{E0AC5712-115F-7444-9837-DA3D46D55A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330200</xdr:colOff>
      <xdr:row>30</xdr:row>
      <xdr:rowOff>25400</xdr:rowOff>
    </xdr:from>
    <xdr:to>
      <xdr:col>23</xdr:col>
      <xdr:colOff>165100</xdr:colOff>
      <xdr:row>58</xdr:row>
      <xdr:rowOff>25400</xdr:rowOff>
    </xdr:to>
    <xdr:graphicFrame macro="">
      <xdr:nvGraphicFramePr>
        <xdr:cNvPr id="5" name="Chart 4">
          <a:extLst>
            <a:ext uri="{FF2B5EF4-FFF2-40B4-BE49-F238E27FC236}">
              <a16:creationId xmlns:a16="http://schemas.microsoft.com/office/drawing/2014/main" id="{02879706-E2F7-4340-83BB-DC0637E15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482600</xdr:colOff>
      <xdr:row>2</xdr:row>
      <xdr:rowOff>88900</xdr:rowOff>
    </xdr:from>
    <xdr:to>
      <xdr:col>23</xdr:col>
      <xdr:colOff>0</xdr:colOff>
      <xdr:row>29</xdr:row>
      <xdr:rowOff>165100</xdr:rowOff>
    </xdr:to>
    <xdr:graphicFrame macro="">
      <xdr:nvGraphicFramePr>
        <xdr:cNvPr id="2" name="Chart 1">
          <a:extLst>
            <a:ext uri="{FF2B5EF4-FFF2-40B4-BE49-F238E27FC236}">
              <a16:creationId xmlns:a16="http://schemas.microsoft.com/office/drawing/2014/main" id="{52EC3D5B-5C26-ED48-ADA3-3A34B9F12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330200</xdr:colOff>
      <xdr:row>30</xdr:row>
      <xdr:rowOff>25400</xdr:rowOff>
    </xdr:from>
    <xdr:to>
      <xdr:col>23</xdr:col>
      <xdr:colOff>165100</xdr:colOff>
      <xdr:row>58</xdr:row>
      <xdr:rowOff>25400</xdr:rowOff>
    </xdr:to>
    <xdr:graphicFrame macro="">
      <xdr:nvGraphicFramePr>
        <xdr:cNvPr id="3" name="Chart 2">
          <a:extLst>
            <a:ext uri="{FF2B5EF4-FFF2-40B4-BE49-F238E27FC236}">
              <a16:creationId xmlns:a16="http://schemas.microsoft.com/office/drawing/2014/main" id="{BFB78BA2-1E23-8648-A9D7-7F23885EB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32</xdr:row>
      <xdr:rowOff>0</xdr:rowOff>
    </xdr:from>
    <xdr:to>
      <xdr:col>1</xdr:col>
      <xdr:colOff>0</xdr:colOff>
      <xdr:row>32</xdr:row>
      <xdr:rowOff>12700</xdr:rowOff>
    </xdr:to>
    <xdr:pic>
      <xdr:nvPicPr>
        <xdr:cNvPr id="2" name="Picture 1" descr="page3image310450288">
          <a:extLst>
            <a:ext uri="{FF2B5EF4-FFF2-40B4-BE49-F238E27FC236}">
              <a16:creationId xmlns:a16="http://schemas.microsoft.com/office/drawing/2014/main" id="{63D7FD2C-A6BD-934A-833C-BE2730E75F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8600" y="5918200"/>
          <a:ext cx="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8"/>
  <sheetViews>
    <sheetView tabSelected="1" zoomScale="112" zoomScaleNormal="100" workbookViewId="0">
      <selection activeCell="B18" sqref="B17:B18"/>
    </sheetView>
  </sheetViews>
  <sheetFormatPr baseColWidth="10" defaultRowHeight="16"/>
  <cols>
    <col min="1" max="1" width="62.5" customWidth="1"/>
    <col min="2" max="2" width="21.1640625" customWidth="1"/>
  </cols>
  <sheetData>
    <row r="1" spans="1:2">
      <c r="A1" s="3" t="s">
        <v>211</v>
      </c>
    </row>
    <row r="2" spans="1:2">
      <c r="A2" s="39" t="s">
        <v>145</v>
      </c>
    </row>
    <row r="3" spans="1:2">
      <c r="A3" s="38" t="s">
        <v>100</v>
      </c>
    </row>
    <row r="4" spans="1:2" ht="75">
      <c r="A4" s="40" t="s">
        <v>146</v>
      </c>
    </row>
    <row r="5" spans="1:2">
      <c r="A5" s="38"/>
    </row>
    <row r="6" spans="1:2">
      <c r="A6" s="36" t="s">
        <v>140</v>
      </c>
      <c r="B6" s="32"/>
    </row>
    <row r="8" spans="1:2">
      <c r="A8" t="s">
        <v>139</v>
      </c>
      <c r="B8" s="34" t="s">
        <v>32</v>
      </c>
    </row>
    <row r="9" spans="1:2">
      <c r="A9" t="s">
        <v>21</v>
      </c>
      <c r="B9" s="24">
        <v>43600</v>
      </c>
    </row>
    <row r="10" spans="1:2">
      <c r="A10" t="s">
        <v>142</v>
      </c>
      <c r="B10" s="34" t="s">
        <v>107</v>
      </c>
    </row>
    <row r="11" spans="1:2">
      <c r="A11" t="s">
        <v>35</v>
      </c>
      <c r="B11" s="26">
        <v>30813</v>
      </c>
    </row>
    <row r="12" spans="1:2">
      <c r="A12" t="s">
        <v>36</v>
      </c>
      <c r="B12" s="27">
        <f>'State pension age'!G10</f>
        <v>2052</v>
      </c>
    </row>
    <row r="13" spans="1:2">
      <c r="B13" s="37"/>
    </row>
    <row r="14" spans="1:2">
      <c r="A14" s="3" t="s">
        <v>144</v>
      </c>
      <c r="B14" s="37"/>
    </row>
    <row r="15" spans="1:2">
      <c r="A15" t="s">
        <v>141</v>
      </c>
      <c r="B15" s="25">
        <v>0.02</v>
      </c>
    </row>
    <row r="16" spans="1:2">
      <c r="A16" t="s">
        <v>92</v>
      </c>
      <c r="B16" s="28">
        <v>1.4999999999999999E-2</v>
      </c>
    </row>
    <row r="17" spans="1:3">
      <c r="A17" t="s">
        <v>94</v>
      </c>
      <c r="B17" s="25">
        <v>0.08</v>
      </c>
    </row>
    <row r="18" spans="1:3">
      <c r="A18" t="s">
        <v>93</v>
      </c>
      <c r="B18" s="35">
        <v>0.13250000000000001</v>
      </c>
    </row>
    <row r="19" spans="1:3">
      <c r="A19" t="s">
        <v>186</v>
      </c>
      <c r="B19" s="63" t="s">
        <v>95</v>
      </c>
    </row>
    <row r="20" spans="1:3">
      <c r="B20" s="63"/>
    </row>
    <row r="21" spans="1:3">
      <c r="A21" s="3" t="s">
        <v>143</v>
      </c>
    </row>
    <row r="22" spans="1:3">
      <c r="A22" s="3"/>
    </row>
    <row r="23" spans="1:3">
      <c r="A23" s="3" t="s">
        <v>102</v>
      </c>
    </row>
    <row r="24" spans="1:3">
      <c r="A24" t="s">
        <v>147</v>
      </c>
      <c r="B24" s="21">
        <f>'Difference in benefits'!C78</f>
        <v>24667.499391857004</v>
      </c>
    </row>
    <row r="25" spans="1:3">
      <c r="A25" t="s">
        <v>104</v>
      </c>
      <c r="B25" s="21">
        <f>'Difference in benefits'!C79</f>
        <v>1377649.1025148651</v>
      </c>
    </row>
    <row r="27" spans="1:3">
      <c r="A27" s="3" t="s">
        <v>103</v>
      </c>
    </row>
    <row r="28" spans="1:3">
      <c r="A28" t="s">
        <v>147</v>
      </c>
      <c r="B28" s="21">
        <f>'Difference in benefits'!C82</f>
        <v>10111.003364340224</v>
      </c>
      <c r="C28" s="22"/>
    </row>
    <row r="29" spans="1:3">
      <c r="A29" t="s">
        <v>104</v>
      </c>
      <c r="B29" s="21">
        <f>'Difference in benefits'!C83</f>
        <v>534353.92834089033</v>
      </c>
      <c r="C29" s="22"/>
    </row>
    <row r="31" spans="1:3">
      <c r="A31" s="3" t="s">
        <v>215</v>
      </c>
    </row>
    <row r="32" spans="1:3">
      <c r="A32" t="s">
        <v>209</v>
      </c>
      <c r="B32" s="29">
        <f>B28-B24</f>
        <v>-14556.49602751678</v>
      </c>
      <c r="C32" s="22">
        <f>B32/B24</f>
        <v>-0.59010829578948032</v>
      </c>
    </row>
    <row r="33" spans="1:3">
      <c r="A33" t="s">
        <v>210</v>
      </c>
      <c r="B33" s="29">
        <f>B29-B25</f>
        <v>-843295.17417397478</v>
      </c>
      <c r="C33" s="22">
        <f>B33/B25</f>
        <v>-0.61212624654170633</v>
      </c>
    </row>
    <row r="34" spans="1:3">
      <c r="B34" s="29"/>
      <c r="C34" s="22"/>
    </row>
    <row r="35" spans="1:3">
      <c r="A35" s="3" t="s">
        <v>214</v>
      </c>
      <c r="C35" s="22"/>
    </row>
    <row r="36" spans="1:3">
      <c r="A36" t="s">
        <v>147</v>
      </c>
      <c r="B36" s="21">
        <f>'Difference in benefits TPS'!C78</f>
        <v>52846.536433606692</v>
      </c>
      <c r="C36" s="22"/>
    </row>
    <row r="37" spans="1:3">
      <c r="A37" t="s">
        <v>104</v>
      </c>
      <c r="B37" s="21">
        <f>'Difference in benefits TPS'!C79</f>
        <v>2866876.0958741903</v>
      </c>
    </row>
    <row r="38" spans="1:3">
      <c r="B38" s="5"/>
    </row>
    <row r="39" spans="1:3">
      <c r="A39" s="3" t="s">
        <v>219</v>
      </c>
    </row>
    <row r="40" spans="1:3">
      <c r="A40" t="s">
        <v>220</v>
      </c>
      <c r="B40" s="29">
        <f>B28-B36</f>
        <v>-42735.533069266472</v>
      </c>
      <c r="C40" s="22">
        <f>B40/B36</f>
        <v>-0.80867235496042211</v>
      </c>
    </row>
    <row r="41" spans="1:3">
      <c r="A41" t="s">
        <v>221</v>
      </c>
      <c r="B41" s="29">
        <f>B29-B37</f>
        <v>-2332522.1675332999</v>
      </c>
      <c r="C41" s="22">
        <f>B41/B37</f>
        <v>-0.81361108381701752</v>
      </c>
    </row>
    <row r="44" spans="1:3">
      <c r="A44" s="3" t="s">
        <v>108</v>
      </c>
    </row>
    <row r="45" spans="1:3">
      <c r="A45" t="s">
        <v>110</v>
      </c>
      <c r="B45" s="5" t="s">
        <v>109</v>
      </c>
    </row>
    <row r="46" spans="1:3">
      <c r="A46" t="s">
        <v>133</v>
      </c>
      <c r="B46" s="5"/>
    </row>
    <row r="47" spans="1:3">
      <c r="A47" s="3" t="s">
        <v>137</v>
      </c>
      <c r="B47" s="5"/>
    </row>
    <row r="48" spans="1:3">
      <c r="A48" t="s">
        <v>111</v>
      </c>
    </row>
    <row r="49" spans="1:3">
      <c r="A49" t="s">
        <v>112</v>
      </c>
    </row>
    <row r="50" spans="1:3">
      <c r="A50" t="s">
        <v>207</v>
      </c>
    </row>
    <row r="51" spans="1:3">
      <c r="A51" t="s">
        <v>208</v>
      </c>
    </row>
    <row r="53" spans="1:3" ht="16" customHeight="1">
      <c r="A53" s="62" t="s">
        <v>113</v>
      </c>
      <c r="B53" s="62"/>
      <c r="C53" s="62"/>
    </row>
    <row r="54" spans="1:3">
      <c r="A54" s="62"/>
      <c r="B54" s="62"/>
      <c r="C54" s="62"/>
    </row>
    <row r="55" spans="1:3">
      <c r="A55" s="62"/>
      <c r="B55" s="62"/>
      <c r="C55" s="62"/>
    </row>
    <row r="56" spans="1:3">
      <c r="A56" s="62"/>
      <c r="B56" s="62"/>
      <c r="C56" s="62"/>
    </row>
    <row r="58" spans="1:3">
      <c r="A58" s="3" t="s">
        <v>187</v>
      </c>
    </row>
    <row r="59" spans="1:3">
      <c r="A59" t="s">
        <v>188</v>
      </c>
    </row>
    <row r="61" spans="1:3">
      <c r="A61" t="s">
        <v>189</v>
      </c>
    </row>
    <row r="62" spans="1:3">
      <c r="A62" t="s">
        <v>191</v>
      </c>
    </row>
    <row r="63" spans="1:3">
      <c r="A63" t="s">
        <v>192</v>
      </c>
    </row>
    <row r="64" spans="1:3">
      <c r="A64" t="s">
        <v>193</v>
      </c>
    </row>
    <row r="65" spans="1:1">
      <c r="A65" t="s">
        <v>190</v>
      </c>
    </row>
    <row r="67" spans="1:1">
      <c r="A67" t="s">
        <v>196</v>
      </c>
    </row>
    <row r="68" spans="1:1">
      <c r="A68" t="s">
        <v>194</v>
      </c>
    </row>
    <row r="70" spans="1:1">
      <c r="A70" t="s">
        <v>199</v>
      </c>
    </row>
    <row r="71" spans="1:1">
      <c r="A71" t="s">
        <v>200</v>
      </c>
    </row>
    <row r="73" spans="1:1">
      <c r="A73" t="s">
        <v>205</v>
      </c>
    </row>
    <row r="74" spans="1:1">
      <c r="A74" t="s">
        <v>206</v>
      </c>
    </row>
    <row r="76" spans="1:1">
      <c r="A76" s="3" t="s">
        <v>195</v>
      </c>
    </row>
    <row r="77" spans="1:1">
      <c r="A77" t="s">
        <v>197</v>
      </c>
    </row>
    <row r="78" spans="1:1">
      <c r="A78" t="s">
        <v>198</v>
      </c>
    </row>
  </sheetData>
  <mergeCells count="2">
    <mergeCell ref="A53:C56"/>
    <mergeCell ref="B19:B20"/>
  </mergeCells>
  <pageMargins left="0.7" right="0.7" top="0.75" bottom="0.75" header="0.3" footer="0.3"/>
  <pageSetup paperSize="9" orientation="landscape" horizontalDpi="0"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'Investment returns'!$S$23:$S$32</xm:f>
          </x14:formula1>
          <xm:sqref>B19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63"/>
  <sheetViews>
    <sheetView workbookViewId="0">
      <selection activeCell="G10" sqref="G10"/>
    </sheetView>
  </sheetViews>
  <sheetFormatPr baseColWidth="10" defaultRowHeight="16"/>
  <cols>
    <col min="1" max="1" width="36.33203125" bestFit="1" customWidth="1"/>
    <col min="4" max="4" width="16.5" customWidth="1"/>
  </cols>
  <sheetData>
    <row r="1" spans="1:7">
      <c r="A1" s="3" t="s">
        <v>134</v>
      </c>
    </row>
    <row r="2" spans="1:7">
      <c r="A2" t="s">
        <v>135</v>
      </c>
    </row>
    <row r="4" spans="1:7">
      <c r="F4" s="8">
        <v>19456</v>
      </c>
    </row>
    <row r="5" spans="1:7">
      <c r="A5" t="s">
        <v>90</v>
      </c>
      <c r="G5" t="s">
        <v>90</v>
      </c>
    </row>
    <row r="6" spans="1:7">
      <c r="A6" t="s">
        <v>91</v>
      </c>
      <c r="G6" t="s">
        <v>91</v>
      </c>
    </row>
    <row r="7" spans="1:7" ht="18">
      <c r="A7" s="11" t="s">
        <v>46</v>
      </c>
    </row>
    <row r="8" spans="1:7">
      <c r="B8" s="3" t="s">
        <v>35</v>
      </c>
      <c r="C8" s="3"/>
      <c r="D8" s="73" t="s">
        <v>58</v>
      </c>
    </row>
    <row r="9" spans="1:7">
      <c r="B9" s="3" t="s">
        <v>72</v>
      </c>
      <c r="C9" s="3" t="s">
        <v>73</v>
      </c>
      <c r="D9" s="73"/>
    </row>
    <row r="10" spans="1:7">
      <c r="A10" s="12" t="s">
        <v>38</v>
      </c>
      <c r="B10" s="14">
        <v>19455</v>
      </c>
      <c r="C10" s="14">
        <v>19484</v>
      </c>
      <c r="D10" s="14">
        <v>42557</v>
      </c>
      <c r="G10" s="19">
        <f>YEAR(LOOKUP(2,1/($B$10:$B$62&lt;=Inputs!B11)/($C$10:$C$62&gt;=Inputs!B11),$D$10:$D$62))</f>
        <v>2052</v>
      </c>
    </row>
    <row r="11" spans="1:7">
      <c r="A11" s="12" t="s">
        <v>39</v>
      </c>
      <c r="B11" s="14">
        <v>19485</v>
      </c>
      <c r="C11" s="14">
        <v>19515</v>
      </c>
      <c r="D11" s="14">
        <v>42680</v>
      </c>
    </row>
    <row r="12" spans="1:7">
      <c r="A12" s="12" t="s">
        <v>40</v>
      </c>
      <c r="B12" s="14">
        <v>19516</v>
      </c>
      <c r="C12" s="14">
        <v>19545</v>
      </c>
      <c r="D12" s="14">
        <v>42800</v>
      </c>
    </row>
    <row r="13" spans="1:7">
      <c r="A13" s="12" t="s">
        <v>41</v>
      </c>
      <c r="B13" s="14">
        <v>19546</v>
      </c>
      <c r="C13" s="14">
        <v>19576</v>
      </c>
      <c r="D13" s="14">
        <v>42922</v>
      </c>
    </row>
    <row r="14" spans="1:7">
      <c r="A14" s="12" t="s">
        <v>42</v>
      </c>
      <c r="B14" s="14">
        <v>19577</v>
      </c>
      <c r="C14" s="14">
        <v>19607</v>
      </c>
      <c r="D14" s="14">
        <v>43045</v>
      </c>
    </row>
    <row r="15" spans="1:7">
      <c r="A15" s="12" t="s">
        <v>43</v>
      </c>
      <c r="B15" s="14">
        <v>19608</v>
      </c>
      <c r="C15" s="14">
        <v>19637</v>
      </c>
      <c r="D15" s="14">
        <v>43165</v>
      </c>
    </row>
    <row r="16" spans="1:7" ht="20">
      <c r="A16" s="12" t="s">
        <v>44</v>
      </c>
      <c r="B16" s="14">
        <v>19638</v>
      </c>
      <c r="C16" s="14">
        <v>19668</v>
      </c>
      <c r="D16" s="14">
        <v>43287</v>
      </c>
      <c r="G16" s="18"/>
    </row>
    <row r="17" spans="1:7">
      <c r="A17" s="12" t="s">
        <v>45</v>
      </c>
      <c r="B17" s="14">
        <v>19669</v>
      </c>
      <c r="C17" s="14">
        <v>19698</v>
      </c>
      <c r="D17" s="14">
        <v>43410</v>
      </c>
    </row>
    <row r="18" spans="1:7">
      <c r="A18" s="12"/>
      <c r="D18" s="13"/>
    </row>
    <row r="20" spans="1:7">
      <c r="A20" s="15" t="s">
        <v>74</v>
      </c>
    </row>
    <row r="21" spans="1:7">
      <c r="A21" s="12" t="s">
        <v>47</v>
      </c>
      <c r="B21" s="10">
        <f>B17+30</f>
        <v>19699</v>
      </c>
      <c r="C21" s="10">
        <f>C17+31</f>
        <v>19729</v>
      </c>
      <c r="D21" s="13">
        <v>43530</v>
      </c>
    </row>
    <row r="22" spans="1:7">
      <c r="A22" s="12" t="s">
        <v>48</v>
      </c>
      <c r="B22" s="10">
        <f>B21+31</f>
        <v>19730</v>
      </c>
      <c r="C22" s="10">
        <f>C21+31</f>
        <v>19760</v>
      </c>
      <c r="D22" s="13">
        <v>43591</v>
      </c>
    </row>
    <row r="23" spans="1:7">
      <c r="A23" s="12" t="s">
        <v>49</v>
      </c>
      <c r="B23" s="10">
        <f>C22+1</f>
        <v>19761</v>
      </c>
      <c r="C23" s="10">
        <f>C22+28</f>
        <v>19788</v>
      </c>
      <c r="D23" s="13">
        <v>43652</v>
      </c>
    </row>
    <row r="24" spans="1:7">
      <c r="A24" s="12" t="s">
        <v>50</v>
      </c>
      <c r="B24" s="10">
        <f t="shared" ref="B24:B31" si="0">C23+1</f>
        <v>19789</v>
      </c>
      <c r="C24" s="10">
        <f>C23+31</f>
        <v>19819</v>
      </c>
      <c r="D24" s="13">
        <v>43714</v>
      </c>
    </row>
    <row r="25" spans="1:7" ht="20">
      <c r="A25" s="12" t="s">
        <v>51</v>
      </c>
      <c r="B25" s="10">
        <f t="shared" si="0"/>
        <v>19820</v>
      </c>
      <c r="C25" s="10">
        <f>C24+30</f>
        <v>19849</v>
      </c>
      <c r="D25" s="13">
        <v>43775</v>
      </c>
      <c r="G25" s="18"/>
    </row>
    <row r="26" spans="1:7">
      <c r="A26" s="12" t="s">
        <v>52</v>
      </c>
      <c r="B26" s="10">
        <f t="shared" si="0"/>
        <v>19850</v>
      </c>
      <c r="C26" s="10">
        <f>C25+31</f>
        <v>19880</v>
      </c>
      <c r="D26" s="13">
        <v>43836</v>
      </c>
    </row>
    <row r="27" spans="1:7">
      <c r="A27" s="12" t="s">
        <v>53</v>
      </c>
      <c r="B27" s="10">
        <f t="shared" si="0"/>
        <v>19881</v>
      </c>
      <c r="C27" s="10">
        <f t="shared" ref="C27:C30" si="1">C26+30</f>
        <v>19910</v>
      </c>
      <c r="D27" s="13">
        <v>43896</v>
      </c>
    </row>
    <row r="28" spans="1:7">
      <c r="A28" s="12" t="s">
        <v>54</v>
      </c>
      <c r="B28" s="10">
        <f t="shared" si="0"/>
        <v>19911</v>
      </c>
      <c r="C28" s="10">
        <f>C27+31</f>
        <v>19941</v>
      </c>
      <c r="D28" s="13">
        <v>43957</v>
      </c>
    </row>
    <row r="29" spans="1:7">
      <c r="A29" s="12" t="s">
        <v>55</v>
      </c>
      <c r="B29" s="10">
        <f t="shared" si="0"/>
        <v>19942</v>
      </c>
      <c r="C29" s="10">
        <f>C28+31</f>
        <v>19972</v>
      </c>
      <c r="D29" s="13">
        <v>44018</v>
      </c>
    </row>
    <row r="30" spans="1:7">
      <c r="A30" s="12" t="s">
        <v>56</v>
      </c>
      <c r="B30" s="10">
        <f t="shared" si="0"/>
        <v>19973</v>
      </c>
      <c r="C30" s="10">
        <f t="shared" si="1"/>
        <v>20002</v>
      </c>
      <c r="D30" s="13">
        <v>44080</v>
      </c>
    </row>
    <row r="31" spans="1:7">
      <c r="A31" s="12" t="s">
        <v>57</v>
      </c>
      <c r="B31" s="10">
        <f t="shared" si="0"/>
        <v>20003</v>
      </c>
      <c r="C31" s="10">
        <v>22011</v>
      </c>
      <c r="D31" s="20">
        <f>Inputs!B$11+365.25/12*E37+66*365.25</f>
        <v>54949.9375</v>
      </c>
    </row>
    <row r="33" spans="1:7">
      <c r="A33" s="74" t="s">
        <v>59</v>
      </c>
    </row>
    <row r="34" spans="1:7">
      <c r="A34" s="74"/>
      <c r="D34" s="73" t="s">
        <v>75</v>
      </c>
    </row>
    <row r="35" spans="1:7">
      <c r="A35" s="74"/>
      <c r="B35" s="3" t="s">
        <v>35</v>
      </c>
      <c r="C35" s="3"/>
      <c r="D35" s="73"/>
    </row>
    <row r="36" spans="1:7">
      <c r="A36" s="74"/>
      <c r="B36" s="3" t="s">
        <v>72</v>
      </c>
      <c r="C36" s="3" t="s">
        <v>73</v>
      </c>
    </row>
    <row r="37" spans="1:7">
      <c r="A37" s="12" t="s">
        <v>60</v>
      </c>
      <c r="B37" s="10">
        <f>C31+1</f>
        <v>22012</v>
      </c>
      <c r="C37" s="10">
        <f>B37+29</f>
        <v>22041</v>
      </c>
      <c r="D37" s="20">
        <f>Inputs!B$11+365.25/12*E37+66*365.25</f>
        <v>54949.9375</v>
      </c>
      <c r="E37">
        <v>1</v>
      </c>
    </row>
    <row r="38" spans="1:7">
      <c r="A38" s="12" t="s">
        <v>61</v>
      </c>
      <c r="B38" s="10">
        <f>C37+1</f>
        <v>22042</v>
      </c>
      <c r="C38" s="10">
        <f>C37+31</f>
        <v>22072</v>
      </c>
      <c r="D38" s="20">
        <f>Inputs!B$11+365.25/12*E38+66*365.25</f>
        <v>54980.375</v>
      </c>
      <c r="E38">
        <f>E37+1</f>
        <v>2</v>
      </c>
    </row>
    <row r="39" spans="1:7">
      <c r="A39" s="12" t="s">
        <v>62</v>
      </c>
      <c r="B39" s="10">
        <f t="shared" ref="B39:B48" si="2">C38+1</f>
        <v>22073</v>
      </c>
      <c r="C39" s="10">
        <f>C38+30</f>
        <v>22102</v>
      </c>
      <c r="D39" s="20">
        <f>Inputs!B$11+365.25/12*E39+66*365.25</f>
        <v>55010.8125</v>
      </c>
      <c r="E39">
        <f t="shared" ref="E39:E48" si="3">E38+1</f>
        <v>3</v>
      </c>
      <c r="G39" s="16"/>
    </row>
    <row r="40" spans="1:7">
      <c r="A40" s="12" t="s">
        <v>63</v>
      </c>
      <c r="B40" s="10">
        <f t="shared" si="2"/>
        <v>22103</v>
      </c>
      <c r="C40" s="10">
        <f>C39+31</f>
        <v>22133</v>
      </c>
      <c r="D40" s="20">
        <f>Inputs!B$11+365.25/12*E40+66*365.25</f>
        <v>55041.25</v>
      </c>
      <c r="E40">
        <f t="shared" si="3"/>
        <v>4</v>
      </c>
      <c r="G40" s="16"/>
    </row>
    <row r="41" spans="1:7">
      <c r="A41" s="12" t="s">
        <v>64</v>
      </c>
      <c r="B41" s="10">
        <f t="shared" si="2"/>
        <v>22134</v>
      </c>
      <c r="C41" s="10">
        <f>C40+31</f>
        <v>22164</v>
      </c>
      <c r="D41" s="20">
        <f>Inputs!B$11+365.25/12*E41+66*365.25</f>
        <v>55071.6875</v>
      </c>
      <c r="E41">
        <f t="shared" si="3"/>
        <v>5</v>
      </c>
      <c r="G41" s="16"/>
    </row>
    <row r="42" spans="1:7">
      <c r="A42" s="12" t="s">
        <v>65</v>
      </c>
      <c r="B42" s="10">
        <f t="shared" si="2"/>
        <v>22165</v>
      </c>
      <c r="C42" s="10">
        <f>C41+30</f>
        <v>22194</v>
      </c>
      <c r="D42" s="20">
        <f>Inputs!B$11+365.25/12*E42+66*365.25</f>
        <v>55102.125</v>
      </c>
      <c r="E42">
        <f t="shared" si="3"/>
        <v>6</v>
      </c>
    </row>
    <row r="43" spans="1:7">
      <c r="A43" s="12" t="s">
        <v>66</v>
      </c>
      <c r="B43" s="10">
        <f t="shared" si="2"/>
        <v>22195</v>
      </c>
      <c r="C43" s="10">
        <f>C42+31</f>
        <v>22225</v>
      </c>
      <c r="D43" s="20">
        <f>Inputs!B$11+365.25/12*E43+66*365.25</f>
        <v>55132.5625</v>
      </c>
      <c r="E43">
        <f t="shared" si="3"/>
        <v>7</v>
      </c>
    </row>
    <row r="44" spans="1:7">
      <c r="A44" s="12" t="s">
        <v>67</v>
      </c>
      <c r="B44" s="10">
        <f t="shared" si="2"/>
        <v>22226</v>
      </c>
      <c r="C44" s="10">
        <f>C43+30</f>
        <v>22255</v>
      </c>
      <c r="D44" s="20">
        <f>Inputs!B$11+365.25/12*E44+66*365.25</f>
        <v>55163</v>
      </c>
      <c r="E44">
        <f t="shared" si="3"/>
        <v>8</v>
      </c>
    </row>
    <row r="45" spans="1:7">
      <c r="A45" s="12" t="s">
        <v>68</v>
      </c>
      <c r="B45" s="10">
        <f t="shared" si="2"/>
        <v>22256</v>
      </c>
      <c r="C45" s="10">
        <f>C44+31</f>
        <v>22286</v>
      </c>
      <c r="D45" s="20">
        <f>Inputs!B$11+365.25/12*E45+66*365.25</f>
        <v>55193.4375</v>
      </c>
      <c r="E45">
        <f t="shared" si="3"/>
        <v>9</v>
      </c>
    </row>
    <row r="46" spans="1:7">
      <c r="A46" s="12" t="s">
        <v>69</v>
      </c>
      <c r="B46" s="10">
        <f t="shared" si="2"/>
        <v>22287</v>
      </c>
      <c r="C46" s="10">
        <f>C45+31</f>
        <v>22317</v>
      </c>
      <c r="D46" s="20">
        <f>Inputs!B$11+365.25/12*E46+66*365.25</f>
        <v>55223.875</v>
      </c>
      <c r="E46">
        <f t="shared" si="3"/>
        <v>10</v>
      </c>
    </row>
    <row r="47" spans="1:7">
      <c r="A47" s="12" t="s">
        <v>70</v>
      </c>
      <c r="B47" s="10">
        <f t="shared" si="2"/>
        <v>22318</v>
      </c>
      <c r="C47" s="10">
        <f>C46+28</f>
        <v>22345</v>
      </c>
      <c r="D47" s="20">
        <f>Inputs!B$11+365.25/12*E47+66*365.25</f>
        <v>55254.3125</v>
      </c>
      <c r="E47">
        <f t="shared" si="3"/>
        <v>11</v>
      </c>
    </row>
    <row r="48" spans="1:7">
      <c r="A48" s="12" t="s">
        <v>71</v>
      </c>
      <c r="B48" s="10">
        <f t="shared" si="2"/>
        <v>22346</v>
      </c>
      <c r="C48" s="10">
        <v>28220</v>
      </c>
      <c r="D48" s="20">
        <f>Inputs!B$11+365.25/12*E37+67*365.25</f>
        <v>55315.1875</v>
      </c>
      <c r="E48">
        <f t="shared" si="3"/>
        <v>12</v>
      </c>
    </row>
    <row r="49" spans="1:4">
      <c r="A49" s="12"/>
      <c r="B49" s="12"/>
    </row>
    <row r="50" spans="1:4">
      <c r="A50" s="12" t="s">
        <v>76</v>
      </c>
      <c r="B50" s="10">
        <f>C48+1</f>
        <v>28221</v>
      </c>
      <c r="C50" s="10">
        <f>B50+29</f>
        <v>28250</v>
      </c>
      <c r="D50" s="13">
        <v>52723</v>
      </c>
    </row>
    <row r="51" spans="1:4">
      <c r="A51" s="12" t="s">
        <v>77</v>
      </c>
      <c r="B51" s="10">
        <f>C50+1</f>
        <v>28251</v>
      </c>
      <c r="C51" s="10">
        <f>C50+31</f>
        <v>28281</v>
      </c>
      <c r="D51" s="13">
        <v>52784</v>
      </c>
    </row>
    <row r="52" spans="1:4">
      <c r="A52" s="12" t="s">
        <v>78</v>
      </c>
      <c r="B52" s="10">
        <f t="shared" ref="B52:B61" si="4">C51+1</f>
        <v>28282</v>
      </c>
      <c r="C52" s="10">
        <f>C51+30</f>
        <v>28311</v>
      </c>
      <c r="D52" s="13">
        <v>52846</v>
      </c>
    </row>
    <row r="53" spans="1:4">
      <c r="A53" s="12" t="s">
        <v>79</v>
      </c>
      <c r="B53" s="10">
        <f t="shared" si="4"/>
        <v>28312</v>
      </c>
      <c r="C53" s="10">
        <f>C52+31</f>
        <v>28342</v>
      </c>
      <c r="D53" s="13">
        <v>52907</v>
      </c>
    </row>
    <row r="54" spans="1:4">
      <c r="A54" s="12" t="s">
        <v>80</v>
      </c>
      <c r="B54" s="10">
        <f t="shared" si="4"/>
        <v>28343</v>
      </c>
      <c r="C54" s="10">
        <f>C53+31</f>
        <v>28373</v>
      </c>
      <c r="D54" s="13">
        <v>52968</v>
      </c>
    </row>
    <row r="55" spans="1:4">
      <c r="A55" s="12" t="s">
        <v>81</v>
      </c>
      <c r="B55" s="10">
        <f t="shared" si="4"/>
        <v>28374</v>
      </c>
      <c r="C55" s="10">
        <f>C54+30</f>
        <v>28403</v>
      </c>
      <c r="D55" s="13">
        <v>53027</v>
      </c>
    </row>
    <row r="56" spans="1:4">
      <c r="A56" s="12" t="s">
        <v>82</v>
      </c>
      <c r="B56" s="10">
        <f t="shared" si="4"/>
        <v>28404</v>
      </c>
      <c r="C56" s="10">
        <f>C55+31</f>
        <v>28434</v>
      </c>
      <c r="D56" s="13">
        <v>53088</v>
      </c>
    </row>
    <row r="57" spans="1:4">
      <c r="A57" s="12" t="s">
        <v>83</v>
      </c>
      <c r="B57" s="10">
        <f t="shared" si="4"/>
        <v>28435</v>
      </c>
      <c r="C57" s="10">
        <f>C56+30</f>
        <v>28464</v>
      </c>
      <c r="D57" s="13">
        <v>53149</v>
      </c>
    </row>
    <row r="58" spans="1:4">
      <c r="A58" s="12" t="s">
        <v>84</v>
      </c>
      <c r="B58" s="10">
        <f t="shared" si="4"/>
        <v>28465</v>
      </c>
      <c r="C58" s="10">
        <f>C57+31</f>
        <v>28495</v>
      </c>
      <c r="D58" s="13">
        <v>53211</v>
      </c>
    </row>
    <row r="59" spans="1:4">
      <c r="A59" s="12" t="s">
        <v>85</v>
      </c>
      <c r="B59" s="10">
        <f t="shared" si="4"/>
        <v>28496</v>
      </c>
      <c r="C59" s="10">
        <f>C58+31</f>
        <v>28526</v>
      </c>
      <c r="D59" s="13">
        <v>53272</v>
      </c>
    </row>
    <row r="60" spans="1:4">
      <c r="A60" s="12" t="s">
        <v>86</v>
      </c>
      <c r="B60" s="10">
        <f t="shared" si="4"/>
        <v>28527</v>
      </c>
      <c r="C60" s="10">
        <f>C59+28</f>
        <v>28554</v>
      </c>
      <c r="D60" s="13">
        <v>53333</v>
      </c>
    </row>
    <row r="61" spans="1:4">
      <c r="A61" s="12" t="s">
        <v>87</v>
      </c>
      <c r="B61" s="10">
        <f t="shared" si="4"/>
        <v>28555</v>
      </c>
      <c r="C61" s="10">
        <v>28220</v>
      </c>
      <c r="D61" s="13">
        <v>53392</v>
      </c>
    </row>
    <row r="62" spans="1:4">
      <c r="A62" s="12" t="s">
        <v>88</v>
      </c>
      <c r="B62" s="10">
        <f>C61+1</f>
        <v>28221</v>
      </c>
      <c r="C62" s="8">
        <v>38353</v>
      </c>
      <c r="D62" s="20">
        <f>Inputs!B$11+68*365.25</f>
        <v>55650</v>
      </c>
    </row>
    <row r="63" spans="1:4">
      <c r="A63" s="12"/>
      <c r="B63" s="12"/>
    </row>
  </sheetData>
  <mergeCells count="3">
    <mergeCell ref="D34:D35"/>
    <mergeCell ref="D8:D9"/>
    <mergeCell ref="A33:A36"/>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71"/>
  <sheetViews>
    <sheetView topLeftCell="A14" workbookViewId="0">
      <selection activeCell="B23" sqref="B23"/>
    </sheetView>
  </sheetViews>
  <sheetFormatPr baseColWidth="10" defaultRowHeight="16"/>
  <sheetData>
    <row r="1" spans="1:9">
      <c r="A1" s="3" t="s">
        <v>19</v>
      </c>
    </row>
    <row r="2" spans="1:9">
      <c r="A2" s="17"/>
      <c r="B2" s="17"/>
      <c r="C2" s="17"/>
      <c r="D2" s="17"/>
      <c r="E2" s="17"/>
      <c r="F2" s="17"/>
      <c r="G2" s="17"/>
      <c r="H2" s="17"/>
      <c r="I2" s="17"/>
    </row>
    <row r="3" spans="1:9">
      <c r="A3" s="75" t="s">
        <v>122</v>
      </c>
      <c r="B3" s="75"/>
      <c r="C3" s="75"/>
      <c r="D3" s="17"/>
      <c r="E3" s="17"/>
      <c r="F3" s="17"/>
      <c r="G3" s="17"/>
      <c r="H3" s="17"/>
      <c r="I3" s="17"/>
    </row>
    <row r="4" spans="1:9" ht="16" customHeight="1">
      <c r="A4" s="76" t="s">
        <v>18</v>
      </c>
      <c r="B4" s="76"/>
      <c r="C4" s="76"/>
      <c r="D4" s="76"/>
      <c r="E4" s="76"/>
      <c r="F4" s="76"/>
      <c r="G4" s="76"/>
      <c r="H4" s="76"/>
      <c r="I4" s="76"/>
    </row>
    <row r="5" spans="1:9">
      <c r="A5" s="76"/>
      <c r="B5" s="76"/>
      <c r="C5" s="76"/>
      <c r="D5" s="76"/>
      <c r="E5" s="76"/>
      <c r="F5" s="76"/>
      <c r="G5" s="76"/>
      <c r="H5" s="76"/>
      <c r="I5" s="76"/>
    </row>
    <row r="6" spans="1:9">
      <c r="A6" s="76"/>
      <c r="B6" s="76"/>
      <c r="C6" s="76"/>
      <c r="D6" s="76"/>
      <c r="E6" s="76"/>
      <c r="F6" s="76"/>
      <c r="G6" s="76"/>
      <c r="H6" s="76"/>
      <c r="I6" s="76"/>
    </row>
    <row r="7" spans="1:9">
      <c r="A7" s="32"/>
      <c r="B7" s="32"/>
      <c r="C7" s="32"/>
      <c r="D7" s="32"/>
      <c r="E7" s="32"/>
      <c r="F7" s="32"/>
      <c r="G7" s="32"/>
      <c r="H7" s="32"/>
      <c r="I7" s="32"/>
    </row>
    <row r="8" spans="1:9" ht="65" customHeight="1">
      <c r="A8" s="62" t="s">
        <v>120</v>
      </c>
      <c r="B8" s="62"/>
      <c r="C8" s="62"/>
      <c r="D8" s="62"/>
      <c r="E8" s="62"/>
      <c r="F8" s="62"/>
      <c r="G8" s="62"/>
      <c r="H8" s="62"/>
      <c r="I8" s="62"/>
    </row>
    <row r="9" spans="1:9" ht="17" customHeight="1">
      <c r="A9" s="75" t="s">
        <v>123</v>
      </c>
      <c r="B9" s="75"/>
      <c r="C9" s="75"/>
      <c r="D9" s="17"/>
      <c r="E9" s="17"/>
      <c r="F9" s="17"/>
      <c r="G9" s="17"/>
      <c r="H9" s="17"/>
      <c r="I9" s="17"/>
    </row>
    <row r="10" spans="1:9" ht="16" customHeight="1">
      <c r="A10" s="62" t="s">
        <v>121</v>
      </c>
      <c r="B10" s="62"/>
      <c r="C10" s="62"/>
      <c r="D10" s="62"/>
      <c r="E10" s="62"/>
      <c r="F10" s="62"/>
      <c r="G10" s="62"/>
      <c r="H10" s="62"/>
      <c r="I10" s="62"/>
    </row>
    <row r="11" spans="1:9">
      <c r="A11" s="62"/>
      <c r="B11" s="62"/>
      <c r="C11" s="62"/>
      <c r="D11" s="62"/>
      <c r="E11" s="62"/>
      <c r="F11" s="62"/>
      <c r="G11" s="62"/>
      <c r="H11" s="62"/>
      <c r="I11" s="62"/>
    </row>
    <row r="12" spans="1:9">
      <c r="A12" s="62"/>
      <c r="B12" s="62"/>
      <c r="C12" s="62"/>
      <c r="D12" s="62"/>
      <c r="E12" s="62"/>
      <c r="F12" s="62"/>
      <c r="G12" s="62"/>
      <c r="H12" s="62"/>
      <c r="I12" s="62"/>
    </row>
    <row r="13" spans="1:9">
      <c r="A13" s="62"/>
      <c r="B13" s="62"/>
      <c r="C13" s="62"/>
      <c r="D13" s="62"/>
      <c r="E13" s="62"/>
      <c r="F13" s="62"/>
      <c r="G13" s="62"/>
      <c r="H13" s="62"/>
      <c r="I13" s="62"/>
    </row>
    <row r="14" spans="1:9">
      <c r="A14" s="62"/>
      <c r="B14" s="62"/>
      <c r="C14" s="62"/>
      <c r="D14" s="62"/>
      <c r="E14" s="62"/>
      <c r="F14" s="62"/>
      <c r="G14" s="62"/>
      <c r="H14" s="62"/>
      <c r="I14" s="62"/>
    </row>
    <row r="15" spans="1:9">
      <c r="A15" s="31"/>
      <c r="B15" s="31"/>
      <c r="C15" s="31"/>
      <c r="D15" s="31"/>
      <c r="E15" s="31"/>
      <c r="F15" s="31"/>
      <c r="G15" s="31"/>
      <c r="H15" s="31"/>
      <c r="I15" s="31"/>
    </row>
    <row r="16" spans="1:9" ht="22" customHeight="1">
      <c r="A16" s="62" t="s">
        <v>124</v>
      </c>
      <c r="B16" s="62"/>
      <c r="C16" s="31"/>
      <c r="D16" s="31"/>
      <c r="E16" s="31"/>
      <c r="F16" s="31"/>
      <c r="G16" s="31"/>
      <c r="H16" s="31"/>
      <c r="I16" s="31"/>
    </row>
    <row r="17" spans="1:21" ht="23" customHeight="1">
      <c r="A17" s="77" t="s">
        <v>109</v>
      </c>
      <c r="B17" s="77"/>
      <c r="C17" s="77"/>
      <c r="D17" s="77"/>
      <c r="E17" s="77"/>
      <c r="F17" s="77"/>
      <c r="G17" s="77"/>
      <c r="H17" s="77"/>
      <c r="I17" s="77"/>
    </row>
    <row r="18" spans="1:21">
      <c r="A18" s="2"/>
      <c r="B18" t="s">
        <v>20</v>
      </c>
      <c r="C18" s="2"/>
      <c r="D18" s="2"/>
      <c r="E18" s="2"/>
      <c r="F18" s="2"/>
      <c r="G18" s="2"/>
      <c r="H18" s="2"/>
      <c r="I18" s="2"/>
    </row>
    <row r="19" spans="1:21" ht="39" customHeight="1">
      <c r="B19" s="4">
        <v>1.22222222222222E-3</v>
      </c>
      <c r="F19" s="64" t="s">
        <v>31</v>
      </c>
      <c r="G19" s="78" t="str">
        <f>'Investment returns (2)'!Z6</f>
        <v>Growth Fund (DC) 50%</v>
      </c>
      <c r="H19" s="78" t="str">
        <f>'Investment returns (2)'!AA6</f>
        <v>Moderate Growth Fund (DC) 50%</v>
      </c>
      <c r="I19" s="78" t="str">
        <f>'Investment returns (2)'!AB6</f>
        <v>Cautious Growth Fund (DC) 50%</v>
      </c>
      <c r="J19" s="78" t="str">
        <f>'Investment returns (2)'!AC6</f>
        <v>Cash fund (DC) 50%</v>
      </c>
      <c r="K19" s="64" t="s">
        <v>95</v>
      </c>
      <c r="L19" s="78" t="str">
        <f>'Investment returns (2)'!AD6</f>
        <v>Growth Fund (DC) 67%</v>
      </c>
      <c r="M19" s="78" t="str">
        <f>'Investment returns (2)'!AE6</f>
        <v>Moderate Growth Fund (DC) 67%</v>
      </c>
      <c r="N19" s="78" t="str">
        <f>'Investment returns (2)'!AF6</f>
        <v>Cautious Growth Fund (DC) 67%</v>
      </c>
      <c r="O19" s="78" t="str">
        <f>'Investment returns (2)'!AG6</f>
        <v>Cash fund (DC) 67%</v>
      </c>
    </row>
    <row r="20" spans="1:21" ht="8" customHeight="1">
      <c r="B20" s="4"/>
      <c r="F20" s="64"/>
      <c r="G20" s="78"/>
      <c r="H20" s="78"/>
      <c r="I20" s="78"/>
      <c r="J20" s="78"/>
      <c r="K20" s="64"/>
      <c r="L20" s="78"/>
      <c r="M20" s="78"/>
      <c r="N20" s="78"/>
      <c r="O20" s="78"/>
    </row>
    <row r="21" spans="1:21">
      <c r="B21" s="61">
        <f>VLOOKUP(Inputs!B19,S23:T32,2,FALSE)</f>
        <v>6</v>
      </c>
      <c r="C21" t="str">
        <f>Inputs!B19</f>
        <v>USS 67%</v>
      </c>
      <c r="D21">
        <f>VLOOKUP(Inputs!B19,S23:T32,2,FALSE)</f>
        <v>6</v>
      </c>
      <c r="F21" s="64"/>
      <c r="G21" s="78"/>
      <c r="H21" s="78"/>
      <c r="I21" s="78"/>
      <c r="J21" s="78"/>
      <c r="K21" s="64"/>
      <c r="L21" s="78"/>
      <c r="M21" s="78"/>
      <c r="N21" s="78"/>
      <c r="O21" s="78"/>
      <c r="U21" t="s">
        <v>176</v>
      </c>
    </row>
    <row r="22" spans="1:21">
      <c r="A22" t="s">
        <v>173</v>
      </c>
      <c r="B22" s="4"/>
      <c r="F22" s="59">
        <v>1</v>
      </c>
      <c r="G22" s="60">
        <v>2</v>
      </c>
      <c r="H22" s="60">
        <v>3</v>
      </c>
      <c r="I22" s="60">
        <v>4</v>
      </c>
      <c r="J22" s="60">
        <v>5</v>
      </c>
      <c r="K22" s="59">
        <v>6</v>
      </c>
      <c r="L22" s="60">
        <v>7</v>
      </c>
      <c r="M22" s="60">
        <v>8</v>
      </c>
      <c r="N22" s="60">
        <v>9</v>
      </c>
      <c r="O22" s="60">
        <v>10</v>
      </c>
      <c r="S22" t="s">
        <v>184</v>
      </c>
      <c r="T22" t="s">
        <v>185</v>
      </c>
    </row>
    <row r="23" spans="1:21">
      <c r="A23">
        <v>2018</v>
      </c>
      <c r="B23" s="4">
        <f>LOOKUP(B$21,F$22:O$22,F23:O23)</f>
        <v>-5.3E-3</v>
      </c>
      <c r="C23" s="4"/>
      <c r="F23" s="4">
        <v>9.7000000000000003E-3</v>
      </c>
      <c r="G23" s="58">
        <f>'Investment returns (2)'!Z7</f>
        <v>1.4061860000000002E-2</v>
      </c>
      <c r="H23" s="58">
        <f>'Investment returns (2)'!AA7</f>
        <v>7.4494999999999995E-3</v>
      </c>
      <c r="I23" s="58">
        <f>'Investment returns (2)'!AB7</f>
        <v>-5.1000000000109118E-7</v>
      </c>
      <c r="J23" s="58">
        <f>'Investment returns (2)'!AC7</f>
        <v>-1.0999999999999999E-2</v>
      </c>
      <c r="K23" s="4">
        <v>-5.3E-3</v>
      </c>
      <c r="L23" s="58">
        <f>'Investment returns (2)'!AD7</f>
        <v>-9.5755000000017102E-4</v>
      </c>
      <c r="M23" s="58">
        <f>'Investment returns (2)'!AE7</f>
        <v>-7.5669064183583341E-3</v>
      </c>
      <c r="N23" s="58">
        <f>'Investment returns (2)'!AF7</f>
        <v>-1.5018418209179252E-2</v>
      </c>
      <c r="O23" s="58">
        <f>'Investment returns (2)'!AG7</f>
        <v>-2.6017908209179253E-2</v>
      </c>
      <c r="S23" t="s">
        <v>31</v>
      </c>
      <c r="T23">
        <v>1</v>
      </c>
      <c r="U23" s="61">
        <f>VLOOKUP(U21,S23:T32,2,FALSE)</f>
        <v>2</v>
      </c>
    </row>
    <row r="24" spans="1:21">
      <c r="A24">
        <f>A23+1</f>
        <v>2019</v>
      </c>
      <c r="B24" s="4">
        <f t="shared" ref="B24:B71" si="0">LOOKUP(B$21,F$22:O$22,F24:O24)</f>
        <v>-5.3E-3</v>
      </c>
      <c r="C24" s="4"/>
      <c r="F24" s="4">
        <v>9.7000000000000003E-3</v>
      </c>
      <c r="G24" s="58">
        <f>'Investment returns (2)'!Z8</f>
        <v>1.4061860000000002E-2</v>
      </c>
      <c r="H24" s="58">
        <f>'Investment returns (2)'!AA8</f>
        <v>7.4494999999999995E-3</v>
      </c>
      <c r="I24" s="58">
        <f>'Investment returns (2)'!AB8</f>
        <v>-5.1000000000109118E-7</v>
      </c>
      <c r="J24" s="58">
        <f>'Investment returns (2)'!AC8</f>
        <v>-1.0999999999999999E-2</v>
      </c>
      <c r="K24" s="4">
        <v>-5.3E-3</v>
      </c>
      <c r="L24" s="58">
        <f>'Investment returns (2)'!AD8</f>
        <v>-9.5755000000017102E-4</v>
      </c>
      <c r="M24" s="58">
        <f>'Investment returns (2)'!AE8</f>
        <v>-7.5669064183583341E-3</v>
      </c>
      <c r="N24" s="58">
        <f>'Investment returns (2)'!AF8</f>
        <v>-1.5018418209179252E-2</v>
      </c>
      <c r="O24" s="58">
        <f>'Investment returns (2)'!AG8</f>
        <v>-2.6017908209179253E-2</v>
      </c>
      <c r="S24" t="s">
        <v>176</v>
      </c>
      <c r="T24">
        <v>2</v>
      </c>
    </row>
    <row r="25" spans="1:21">
      <c r="A25">
        <f t="shared" ref="A25:A49" si="1">A24+1</f>
        <v>2020</v>
      </c>
      <c r="B25" s="4">
        <f t="shared" si="0"/>
        <v>-5.3E-3</v>
      </c>
      <c r="C25" s="4"/>
      <c r="F25" s="4">
        <v>9.7000000000000003E-3</v>
      </c>
      <c r="G25" s="58">
        <f>'Investment returns (2)'!Z9</f>
        <v>1.4061860000000002E-2</v>
      </c>
      <c r="H25" s="58">
        <f>'Investment returns (2)'!AA9</f>
        <v>7.4494999999999995E-3</v>
      </c>
      <c r="I25" s="58">
        <f>'Investment returns (2)'!AB9</f>
        <v>-5.1000000000109118E-7</v>
      </c>
      <c r="J25" s="58">
        <f>'Investment returns (2)'!AC9</f>
        <v>-1.0999999999999999E-2</v>
      </c>
      <c r="K25" s="4">
        <v>-5.3E-3</v>
      </c>
      <c r="L25" s="58">
        <f>'Investment returns (2)'!AD9</f>
        <v>-9.5755000000017102E-4</v>
      </c>
      <c r="M25" s="58">
        <f>'Investment returns (2)'!AE9</f>
        <v>-7.5669064183583341E-3</v>
      </c>
      <c r="N25" s="58">
        <f>'Investment returns (2)'!AF9</f>
        <v>-1.5018418209179252E-2</v>
      </c>
      <c r="O25" s="58">
        <f>'Investment returns (2)'!AG9</f>
        <v>-2.6017908209179253E-2</v>
      </c>
      <c r="S25" t="s">
        <v>177</v>
      </c>
      <c r="T25">
        <v>3</v>
      </c>
    </row>
    <row r="26" spans="1:21">
      <c r="A26">
        <f t="shared" si="1"/>
        <v>2021</v>
      </c>
      <c r="B26" s="4">
        <f t="shared" si="0"/>
        <v>-5.3E-3</v>
      </c>
      <c r="C26" s="4"/>
      <c r="F26" s="4">
        <v>9.7000000000000003E-3</v>
      </c>
      <c r="G26" s="58">
        <f>'Investment returns (2)'!Z10</f>
        <v>1.4061860000000002E-2</v>
      </c>
      <c r="H26" s="58">
        <f>'Investment returns (2)'!AA10</f>
        <v>7.4494999999999995E-3</v>
      </c>
      <c r="I26" s="58">
        <f>'Investment returns (2)'!AB10</f>
        <v>-5.1000000000109118E-7</v>
      </c>
      <c r="J26" s="58">
        <f>'Investment returns (2)'!AC10</f>
        <v>-1.0999999999999999E-2</v>
      </c>
      <c r="K26" s="4">
        <v>-5.3E-3</v>
      </c>
      <c r="L26" s="58">
        <f>'Investment returns (2)'!AD10</f>
        <v>-9.5755000000017102E-4</v>
      </c>
      <c r="M26" s="58">
        <f>'Investment returns (2)'!AE10</f>
        <v>-7.5669064183583341E-3</v>
      </c>
      <c r="N26" s="58">
        <f>'Investment returns (2)'!AF10</f>
        <v>-1.5018418209179252E-2</v>
      </c>
      <c r="O26" s="58">
        <f>'Investment returns (2)'!AG10</f>
        <v>-2.6017908209179253E-2</v>
      </c>
      <c r="S26" t="s">
        <v>178</v>
      </c>
      <c r="T26">
        <v>4</v>
      </c>
    </row>
    <row r="27" spans="1:21">
      <c r="A27">
        <f t="shared" si="1"/>
        <v>2022</v>
      </c>
      <c r="B27" s="4">
        <f t="shared" si="0"/>
        <v>-5.3E-3</v>
      </c>
      <c r="C27" s="4"/>
      <c r="F27" s="4">
        <v>9.7000000000000003E-3</v>
      </c>
      <c r="G27" s="58">
        <f>'Investment returns (2)'!Z11</f>
        <v>1.4061860000000002E-2</v>
      </c>
      <c r="H27" s="58">
        <f>'Investment returns (2)'!AA11</f>
        <v>7.4494999999999995E-3</v>
      </c>
      <c r="I27" s="58">
        <f>'Investment returns (2)'!AB11</f>
        <v>-5.1000000000109118E-7</v>
      </c>
      <c r="J27" s="58">
        <f>'Investment returns (2)'!AC11</f>
        <v>-1.0999999999999999E-2</v>
      </c>
      <c r="K27" s="4">
        <v>-5.3E-3</v>
      </c>
      <c r="L27" s="58">
        <f>'Investment returns (2)'!AD11</f>
        <v>-9.5755000000017102E-4</v>
      </c>
      <c r="M27" s="58">
        <f>'Investment returns (2)'!AE11</f>
        <v>-7.5669064183583341E-3</v>
      </c>
      <c r="N27" s="58">
        <f>'Investment returns (2)'!AF11</f>
        <v>-1.5018418209179252E-2</v>
      </c>
      <c r="O27" s="58">
        <f>'Investment returns (2)'!AG11</f>
        <v>-2.6017908209179253E-2</v>
      </c>
      <c r="S27" t="s">
        <v>179</v>
      </c>
      <c r="T27">
        <v>5</v>
      </c>
    </row>
    <row r="28" spans="1:21">
      <c r="A28">
        <f t="shared" si="1"/>
        <v>2023</v>
      </c>
      <c r="B28" s="4">
        <f t="shared" si="0"/>
        <v>-5.3E-3</v>
      </c>
      <c r="C28" s="4"/>
      <c r="F28" s="4">
        <v>9.7000000000000003E-3</v>
      </c>
      <c r="G28" s="58">
        <f>'Investment returns (2)'!Z12</f>
        <v>1.4061860000000002E-2</v>
      </c>
      <c r="H28" s="58">
        <f>'Investment returns (2)'!AA12</f>
        <v>7.4494999999999995E-3</v>
      </c>
      <c r="I28" s="58">
        <f>'Investment returns (2)'!AB12</f>
        <v>-5.1000000000109118E-7</v>
      </c>
      <c r="J28" s="58">
        <f>'Investment returns (2)'!AC12</f>
        <v>-1.0999999999999999E-2</v>
      </c>
      <c r="K28" s="4">
        <v>-5.3E-3</v>
      </c>
      <c r="L28" s="58">
        <f>'Investment returns (2)'!AD12</f>
        <v>-9.5755000000017102E-4</v>
      </c>
      <c r="M28" s="58">
        <f>'Investment returns (2)'!AE12</f>
        <v>-7.5669064183583341E-3</v>
      </c>
      <c r="N28" s="58">
        <f>'Investment returns (2)'!AF12</f>
        <v>-1.5018418209179252E-2</v>
      </c>
      <c r="O28" s="58">
        <f>'Investment returns (2)'!AG12</f>
        <v>-2.6017908209179253E-2</v>
      </c>
      <c r="S28" t="s">
        <v>95</v>
      </c>
      <c r="T28">
        <v>6</v>
      </c>
    </row>
    <row r="29" spans="1:21">
      <c r="A29">
        <f t="shared" si="1"/>
        <v>2024</v>
      </c>
      <c r="B29" s="4">
        <f t="shared" si="0"/>
        <v>-5.3E-3</v>
      </c>
      <c r="C29" s="4"/>
      <c r="F29" s="4">
        <v>9.7000000000000003E-3</v>
      </c>
      <c r="G29" s="58">
        <f>'Investment returns (2)'!Z13</f>
        <v>1.4061860000000002E-2</v>
      </c>
      <c r="H29" s="58">
        <f>'Investment returns (2)'!AA13</f>
        <v>7.4494999999999995E-3</v>
      </c>
      <c r="I29" s="58">
        <f>'Investment returns (2)'!AB13</f>
        <v>-5.1000000000109118E-7</v>
      </c>
      <c r="J29" s="58">
        <f>'Investment returns (2)'!AC13</f>
        <v>-1.0999999999999999E-2</v>
      </c>
      <c r="K29" s="4">
        <v>-5.3E-3</v>
      </c>
      <c r="L29" s="58">
        <f>'Investment returns (2)'!AD13</f>
        <v>-9.5755000000017102E-4</v>
      </c>
      <c r="M29" s="58">
        <f>'Investment returns (2)'!AE13</f>
        <v>-7.5669064183583341E-3</v>
      </c>
      <c r="N29" s="58">
        <f>'Investment returns (2)'!AF13</f>
        <v>-1.5018418209179252E-2</v>
      </c>
      <c r="O29" s="58">
        <f>'Investment returns (2)'!AG13</f>
        <v>-2.6017908209179253E-2</v>
      </c>
      <c r="S29" t="s">
        <v>180</v>
      </c>
      <c r="T29">
        <v>7</v>
      </c>
    </row>
    <row r="30" spans="1:21">
      <c r="A30">
        <f t="shared" si="1"/>
        <v>2025</v>
      </c>
      <c r="B30" s="4">
        <f t="shared" si="0"/>
        <v>-5.3E-3</v>
      </c>
      <c r="C30" s="4"/>
      <c r="F30" s="4">
        <v>9.7000000000000003E-3</v>
      </c>
      <c r="G30" s="58">
        <f>'Investment returns (2)'!Z14</f>
        <v>1.4061860000000002E-2</v>
      </c>
      <c r="H30" s="58">
        <f>'Investment returns (2)'!AA14</f>
        <v>7.4494999999999995E-3</v>
      </c>
      <c r="I30" s="58">
        <f>'Investment returns (2)'!AB14</f>
        <v>-5.1000000000109118E-7</v>
      </c>
      <c r="J30" s="58">
        <f>'Investment returns (2)'!AC14</f>
        <v>-1.0999999999999999E-2</v>
      </c>
      <c r="K30" s="4">
        <v>-5.3E-3</v>
      </c>
      <c r="L30" s="58">
        <f>'Investment returns (2)'!AD14</f>
        <v>-9.5755000000017102E-4</v>
      </c>
      <c r="M30" s="58">
        <f>'Investment returns (2)'!AE14</f>
        <v>-7.5669064183583341E-3</v>
      </c>
      <c r="N30" s="58">
        <f>'Investment returns (2)'!AF14</f>
        <v>-1.5018418209179252E-2</v>
      </c>
      <c r="O30" s="58">
        <f>'Investment returns (2)'!AG14</f>
        <v>-2.6017908209179253E-2</v>
      </c>
      <c r="S30" t="s">
        <v>181</v>
      </c>
      <c r="T30">
        <v>8</v>
      </c>
    </row>
    <row r="31" spans="1:21">
      <c r="A31">
        <f t="shared" si="1"/>
        <v>2026</v>
      </c>
      <c r="B31" s="4">
        <f t="shared" si="0"/>
        <v>-5.3E-3</v>
      </c>
      <c r="C31" s="4"/>
      <c r="F31" s="4">
        <v>9.7000000000000003E-3</v>
      </c>
      <c r="G31" s="58">
        <f>'Investment returns (2)'!Z15</f>
        <v>1.4061860000000002E-2</v>
      </c>
      <c r="H31" s="58">
        <f>'Investment returns (2)'!AA15</f>
        <v>7.4494999999999995E-3</v>
      </c>
      <c r="I31" s="58">
        <f>'Investment returns (2)'!AB15</f>
        <v>-5.1000000000109118E-7</v>
      </c>
      <c r="J31" s="58">
        <f>'Investment returns (2)'!AC15</f>
        <v>-1.0999999999999999E-2</v>
      </c>
      <c r="K31" s="4">
        <v>-5.3E-3</v>
      </c>
      <c r="L31" s="58">
        <f>'Investment returns (2)'!AD15</f>
        <v>-9.5755000000017102E-4</v>
      </c>
      <c r="M31" s="58">
        <f>'Investment returns (2)'!AE15</f>
        <v>-7.5669064183583341E-3</v>
      </c>
      <c r="N31" s="58">
        <f>'Investment returns (2)'!AF15</f>
        <v>-1.5018418209179252E-2</v>
      </c>
      <c r="O31" s="58">
        <f>'Investment returns (2)'!AG15</f>
        <v>-2.6017908209179253E-2</v>
      </c>
      <c r="S31" t="s">
        <v>182</v>
      </c>
      <c r="T31">
        <v>9</v>
      </c>
    </row>
    <row r="32" spans="1:21">
      <c r="A32">
        <f t="shared" si="1"/>
        <v>2027</v>
      </c>
      <c r="B32" s="4">
        <f t="shared" si="0"/>
        <v>-5.3E-3</v>
      </c>
      <c r="C32" s="4"/>
      <c r="F32" s="4">
        <v>9.7000000000000003E-3</v>
      </c>
      <c r="G32" s="58">
        <f>'Investment returns (2)'!Z16</f>
        <v>1.4061860000000002E-2</v>
      </c>
      <c r="H32" s="58">
        <f>'Investment returns (2)'!AA16</f>
        <v>7.4494999999999995E-3</v>
      </c>
      <c r="I32" s="58">
        <f>'Investment returns (2)'!AB16</f>
        <v>-5.1000000000109118E-7</v>
      </c>
      <c r="J32" s="58">
        <f>'Investment returns (2)'!AC16</f>
        <v>-1.0999999999999999E-2</v>
      </c>
      <c r="K32" s="4">
        <v>-5.3E-3</v>
      </c>
      <c r="L32" s="58">
        <f>'Investment returns (2)'!AD16</f>
        <v>-9.5755000000017102E-4</v>
      </c>
      <c r="M32" s="58">
        <f>'Investment returns (2)'!AE16</f>
        <v>-7.5669064183583341E-3</v>
      </c>
      <c r="N32" s="58">
        <f>'Investment returns (2)'!AF16</f>
        <v>-1.5018418209179252E-2</v>
      </c>
      <c r="O32" s="58">
        <f>'Investment returns (2)'!AG16</f>
        <v>-2.6017908209179253E-2</v>
      </c>
      <c r="S32" t="s">
        <v>183</v>
      </c>
      <c r="T32">
        <v>10</v>
      </c>
    </row>
    <row r="33" spans="1:15">
      <c r="A33">
        <f t="shared" si="1"/>
        <v>2028</v>
      </c>
      <c r="B33" s="4">
        <f t="shared" si="0"/>
        <v>2.7999999999999997E-2</v>
      </c>
      <c r="C33" s="4"/>
      <c r="F33" s="4">
        <v>4.0300000000000002E-2</v>
      </c>
      <c r="G33" s="58">
        <f>'Investment returns (2)'!Z17</f>
        <v>3.8095570000000002E-2</v>
      </c>
      <c r="H33" s="58">
        <f>'Investment returns (2)'!AA17</f>
        <v>3.2019039999999999E-2</v>
      </c>
      <c r="I33" s="58">
        <f>'Investment returns (2)'!AB17</f>
        <v>2.6789159999999996E-2</v>
      </c>
      <c r="J33" s="58">
        <f>'Investment returns (2)'!AC17</f>
        <v>-2.8999999999999998E-3</v>
      </c>
      <c r="K33" s="4">
        <v>2.7999999999999997E-2</v>
      </c>
      <c r="L33" s="58">
        <f>'Investment returns (2)'!AD17</f>
        <v>2.5768549999999994E-2</v>
      </c>
      <c r="M33" s="58">
        <f>'Investment returns (2)'!AE17</f>
        <v>1.9694485157484246E-2</v>
      </c>
      <c r="N33" s="58">
        <f>'Investment returns (2)'!AF17</f>
        <v>1.4463372578742121E-2</v>
      </c>
      <c r="O33" s="58">
        <f>'Investment returns (2)'!AG17</f>
        <v>-1.5225787421257879E-2</v>
      </c>
    </row>
    <row r="34" spans="1:15">
      <c r="A34">
        <f t="shared" si="1"/>
        <v>2029</v>
      </c>
      <c r="B34" s="4">
        <f t="shared" si="0"/>
        <v>2.7999999999999997E-2</v>
      </c>
      <c r="C34" s="4"/>
      <c r="F34" s="4">
        <v>4.0300000000000002E-2</v>
      </c>
      <c r="G34" s="58">
        <f>'Investment returns (2)'!Z18</f>
        <v>3.8095570000000002E-2</v>
      </c>
      <c r="H34" s="58">
        <f>'Investment returns (2)'!AA18</f>
        <v>3.2019039999999999E-2</v>
      </c>
      <c r="I34" s="58">
        <f>'Investment returns (2)'!AB18</f>
        <v>2.6789159999999996E-2</v>
      </c>
      <c r="J34" s="58">
        <f>'Investment returns (2)'!AC18</f>
        <v>-2.8999999999999998E-3</v>
      </c>
      <c r="K34" s="4">
        <f t="shared" ref="K34:K42" si="2">K33-E$19</f>
        <v>2.7999999999999997E-2</v>
      </c>
      <c r="L34" s="58">
        <f>'Investment returns (2)'!AD18</f>
        <v>2.5768549999999994E-2</v>
      </c>
      <c r="M34" s="58">
        <f>'Investment returns (2)'!AE18</f>
        <v>1.9694485157484246E-2</v>
      </c>
      <c r="N34" s="58">
        <f>'Investment returns (2)'!AF18</f>
        <v>1.4463372578742121E-2</v>
      </c>
      <c r="O34" s="58">
        <f>'Investment returns (2)'!AG18</f>
        <v>-1.5225787421257879E-2</v>
      </c>
    </row>
    <row r="35" spans="1:15">
      <c r="A35">
        <f t="shared" si="1"/>
        <v>2030</v>
      </c>
      <c r="B35" s="4">
        <f t="shared" si="0"/>
        <v>2.7999999999999997E-2</v>
      </c>
      <c r="C35" s="4"/>
      <c r="F35" s="4">
        <v>4.0300000000000002E-2</v>
      </c>
      <c r="G35" s="58">
        <f>'Investment returns (2)'!Z19</f>
        <v>3.8095570000000002E-2</v>
      </c>
      <c r="H35" s="58">
        <f>'Investment returns (2)'!AA19</f>
        <v>3.2019039999999999E-2</v>
      </c>
      <c r="I35" s="58">
        <f>'Investment returns (2)'!AB19</f>
        <v>2.6789159999999996E-2</v>
      </c>
      <c r="J35" s="58">
        <f>'Investment returns (2)'!AC19</f>
        <v>-2.8999999999999998E-3</v>
      </c>
      <c r="K35" s="4">
        <f t="shared" si="2"/>
        <v>2.7999999999999997E-2</v>
      </c>
      <c r="L35" s="58">
        <f>'Investment returns (2)'!AD19</f>
        <v>2.5768549999999994E-2</v>
      </c>
      <c r="M35" s="58">
        <f>'Investment returns (2)'!AE19</f>
        <v>1.9694485157484246E-2</v>
      </c>
      <c r="N35" s="58">
        <f>'Investment returns (2)'!AF19</f>
        <v>1.4463372578742121E-2</v>
      </c>
      <c r="O35" s="58">
        <f>'Investment returns (2)'!AG19</f>
        <v>-1.5225787421257879E-2</v>
      </c>
    </row>
    <row r="36" spans="1:15">
      <c r="A36">
        <f t="shared" si="1"/>
        <v>2031</v>
      </c>
      <c r="B36" s="4">
        <f t="shared" si="0"/>
        <v>2.7999999999999997E-2</v>
      </c>
      <c r="C36" s="4"/>
      <c r="F36" s="4">
        <v>4.0300000000000002E-2</v>
      </c>
      <c r="G36" s="58">
        <f>'Investment returns (2)'!Z20</f>
        <v>3.8095570000000002E-2</v>
      </c>
      <c r="H36" s="58">
        <f>'Investment returns (2)'!AA20</f>
        <v>3.2019039999999999E-2</v>
      </c>
      <c r="I36" s="58">
        <f>'Investment returns (2)'!AB20</f>
        <v>2.6789159999999996E-2</v>
      </c>
      <c r="J36" s="58">
        <f>'Investment returns (2)'!AC20</f>
        <v>-2.8999999999999998E-3</v>
      </c>
      <c r="K36" s="4">
        <f t="shared" si="2"/>
        <v>2.7999999999999997E-2</v>
      </c>
      <c r="L36" s="58">
        <f>'Investment returns (2)'!AD20</f>
        <v>2.5768549999999994E-2</v>
      </c>
      <c r="M36" s="58">
        <f>'Investment returns (2)'!AE20</f>
        <v>1.9694485157484246E-2</v>
      </c>
      <c r="N36" s="58">
        <f>'Investment returns (2)'!AF20</f>
        <v>1.4463372578742121E-2</v>
      </c>
      <c r="O36" s="58">
        <f>'Investment returns (2)'!AG20</f>
        <v>-1.5225787421257879E-2</v>
      </c>
    </row>
    <row r="37" spans="1:15">
      <c r="A37">
        <f t="shared" si="1"/>
        <v>2032</v>
      </c>
      <c r="B37" s="4">
        <f t="shared" si="0"/>
        <v>2.7999999999999997E-2</v>
      </c>
      <c r="C37" s="4"/>
      <c r="F37" s="4">
        <v>4.0300000000000002E-2</v>
      </c>
      <c r="G37" s="58">
        <f>'Investment returns (2)'!Z21</f>
        <v>3.8095570000000002E-2</v>
      </c>
      <c r="H37" s="58">
        <f>'Investment returns (2)'!AA21</f>
        <v>3.2019039999999999E-2</v>
      </c>
      <c r="I37" s="58">
        <f>'Investment returns (2)'!AB21</f>
        <v>2.6789159999999996E-2</v>
      </c>
      <c r="J37" s="58">
        <f>'Investment returns (2)'!AC21</f>
        <v>-2.8999999999999998E-3</v>
      </c>
      <c r="K37" s="4">
        <f t="shared" si="2"/>
        <v>2.7999999999999997E-2</v>
      </c>
      <c r="L37" s="58">
        <f>'Investment returns (2)'!AD21</f>
        <v>2.5768549999999994E-2</v>
      </c>
      <c r="M37" s="58">
        <f>'Investment returns (2)'!AE21</f>
        <v>1.9694485157484246E-2</v>
      </c>
      <c r="N37" s="58">
        <f>'Investment returns (2)'!AF21</f>
        <v>1.4463372578742121E-2</v>
      </c>
      <c r="O37" s="58">
        <f>'Investment returns (2)'!AG21</f>
        <v>-1.5225787421257879E-2</v>
      </c>
    </row>
    <row r="38" spans="1:15">
      <c r="A38">
        <f t="shared" si="1"/>
        <v>2033</v>
      </c>
      <c r="B38" s="4">
        <f t="shared" si="0"/>
        <v>2.7999999999999997E-2</v>
      </c>
      <c r="C38" s="4"/>
      <c r="F38" s="4">
        <v>4.0300000000000002E-2</v>
      </c>
      <c r="G38" s="58">
        <f>'Investment returns (2)'!Z22</f>
        <v>3.8095570000000002E-2</v>
      </c>
      <c r="H38" s="58">
        <f>'Investment returns (2)'!AA22</f>
        <v>3.2019039999999999E-2</v>
      </c>
      <c r="I38" s="58">
        <f>'Investment returns (2)'!AB22</f>
        <v>2.6789159999999996E-2</v>
      </c>
      <c r="J38" s="58">
        <f>'Investment returns (2)'!AC22</f>
        <v>-2.8999999999999998E-3</v>
      </c>
      <c r="K38" s="4">
        <f t="shared" si="2"/>
        <v>2.7999999999999997E-2</v>
      </c>
      <c r="L38" s="58">
        <f>'Investment returns (2)'!AD22</f>
        <v>2.5768549999999994E-2</v>
      </c>
      <c r="M38" s="58">
        <f>'Investment returns (2)'!AE22</f>
        <v>1.9694485157484246E-2</v>
      </c>
      <c r="N38" s="58">
        <f>'Investment returns (2)'!AF22</f>
        <v>1.4463372578742121E-2</v>
      </c>
      <c r="O38" s="58">
        <f>'Investment returns (2)'!AG22</f>
        <v>-1.5225787421257879E-2</v>
      </c>
    </row>
    <row r="39" spans="1:15">
      <c r="A39">
        <f t="shared" si="1"/>
        <v>2034</v>
      </c>
      <c r="B39" s="4">
        <f t="shared" si="0"/>
        <v>2.7999999999999997E-2</v>
      </c>
      <c r="C39" s="4"/>
      <c r="F39" s="4">
        <v>4.0300000000000002E-2</v>
      </c>
      <c r="G39" s="58">
        <f>'Investment returns (2)'!Z23</f>
        <v>3.8095570000000002E-2</v>
      </c>
      <c r="H39" s="58">
        <f>'Investment returns (2)'!AA23</f>
        <v>3.2019039999999999E-2</v>
      </c>
      <c r="I39" s="58">
        <f>'Investment returns (2)'!AB23</f>
        <v>2.6789159999999996E-2</v>
      </c>
      <c r="J39" s="58">
        <f>'Investment returns (2)'!AC23</f>
        <v>-2.8999999999999998E-3</v>
      </c>
      <c r="K39" s="4">
        <f t="shared" si="2"/>
        <v>2.7999999999999997E-2</v>
      </c>
      <c r="L39" s="58">
        <f>'Investment returns (2)'!AD23</f>
        <v>2.5768549999999994E-2</v>
      </c>
      <c r="M39" s="58">
        <f>'Investment returns (2)'!AE23</f>
        <v>1.9694485157484246E-2</v>
      </c>
      <c r="N39" s="58">
        <f>'Investment returns (2)'!AF23</f>
        <v>1.4463372578742121E-2</v>
      </c>
      <c r="O39" s="58">
        <f>'Investment returns (2)'!AG23</f>
        <v>-1.5225787421257879E-2</v>
      </c>
    </row>
    <row r="40" spans="1:15">
      <c r="A40">
        <f t="shared" si="1"/>
        <v>2035</v>
      </c>
      <c r="B40" s="4">
        <f t="shared" si="0"/>
        <v>2.7999999999999997E-2</v>
      </c>
      <c r="C40" s="4"/>
      <c r="F40" s="4">
        <v>4.0300000000000002E-2</v>
      </c>
      <c r="G40" s="58">
        <f>'Investment returns (2)'!Z24</f>
        <v>3.8095570000000002E-2</v>
      </c>
      <c r="H40" s="58">
        <f>'Investment returns (2)'!AA24</f>
        <v>3.2019039999999999E-2</v>
      </c>
      <c r="I40" s="58">
        <f>'Investment returns (2)'!AB24</f>
        <v>2.6789159999999996E-2</v>
      </c>
      <c r="J40" s="58">
        <f>'Investment returns (2)'!AC24</f>
        <v>-2.8999999999999998E-3</v>
      </c>
      <c r="K40" s="4">
        <f t="shared" si="2"/>
        <v>2.7999999999999997E-2</v>
      </c>
      <c r="L40" s="58">
        <f>'Investment returns (2)'!AD24</f>
        <v>2.5768549999999994E-2</v>
      </c>
      <c r="M40" s="58">
        <f>'Investment returns (2)'!AE24</f>
        <v>1.9694485157484246E-2</v>
      </c>
      <c r="N40" s="58">
        <f>'Investment returns (2)'!AF24</f>
        <v>1.4463372578742121E-2</v>
      </c>
      <c r="O40" s="58">
        <f>'Investment returns (2)'!AG24</f>
        <v>-1.5225787421257879E-2</v>
      </c>
    </row>
    <row r="41" spans="1:15">
      <c r="A41">
        <f t="shared" si="1"/>
        <v>2036</v>
      </c>
      <c r="B41" s="4">
        <f t="shared" si="0"/>
        <v>2.7999999999999997E-2</v>
      </c>
      <c r="C41" s="4"/>
      <c r="F41" s="4">
        <v>4.0300000000000002E-2</v>
      </c>
      <c r="G41" s="58">
        <f>'Investment returns (2)'!Z25</f>
        <v>3.8095570000000002E-2</v>
      </c>
      <c r="H41" s="58">
        <f>'Investment returns (2)'!AA25</f>
        <v>3.2019039999999999E-2</v>
      </c>
      <c r="I41" s="58">
        <f>'Investment returns (2)'!AB25</f>
        <v>2.6789159999999996E-2</v>
      </c>
      <c r="J41" s="58">
        <f>'Investment returns (2)'!AC25</f>
        <v>-2.8999999999999998E-3</v>
      </c>
      <c r="K41" s="4">
        <f t="shared" si="2"/>
        <v>2.7999999999999997E-2</v>
      </c>
      <c r="L41" s="58">
        <f>'Investment returns (2)'!AD25</f>
        <v>2.5768549999999994E-2</v>
      </c>
      <c r="M41" s="58">
        <f>'Investment returns (2)'!AE25</f>
        <v>1.9694485157484246E-2</v>
      </c>
      <c r="N41" s="58">
        <f>'Investment returns (2)'!AF25</f>
        <v>1.4463372578742121E-2</v>
      </c>
      <c r="O41" s="58">
        <f>'Investment returns (2)'!AG25</f>
        <v>-1.5225787421257879E-2</v>
      </c>
    </row>
    <row r="42" spans="1:15">
      <c r="A42">
        <f t="shared" si="1"/>
        <v>2037</v>
      </c>
      <c r="B42" s="4">
        <f t="shared" si="0"/>
        <v>2.7999999999999997E-2</v>
      </c>
      <c r="C42" s="4"/>
      <c r="F42" s="4">
        <v>4.0300000000000002E-2</v>
      </c>
      <c r="G42" s="58">
        <f>'Investment returns (2)'!Z26</f>
        <v>3.8095570000000002E-2</v>
      </c>
      <c r="H42" s="58">
        <f>'Investment returns (2)'!AA26</f>
        <v>3.2019039999999999E-2</v>
      </c>
      <c r="I42" s="58">
        <f>'Investment returns (2)'!AB26</f>
        <v>2.6789159999999996E-2</v>
      </c>
      <c r="J42" s="58">
        <f>'Investment returns (2)'!AC26</f>
        <v>-2.8999999999999998E-3</v>
      </c>
      <c r="K42" s="4">
        <f t="shared" si="2"/>
        <v>2.7999999999999997E-2</v>
      </c>
      <c r="L42" s="58">
        <f>'Investment returns (2)'!AD26</f>
        <v>2.5768549999999994E-2</v>
      </c>
      <c r="M42" s="58">
        <f>'Investment returns (2)'!AE26</f>
        <v>1.9694485157484246E-2</v>
      </c>
      <c r="N42" s="58">
        <f>'Investment returns (2)'!AF26</f>
        <v>1.4463372578742121E-2</v>
      </c>
      <c r="O42" s="58">
        <f>'Investment returns (2)'!AG26</f>
        <v>-1.5225787421257879E-2</v>
      </c>
    </row>
    <row r="43" spans="1:15">
      <c r="A43">
        <f t="shared" si="1"/>
        <v>2038</v>
      </c>
      <c r="B43" s="4">
        <f t="shared" si="0"/>
        <v>1.7000000000000001E-2</v>
      </c>
      <c r="C43" s="4"/>
      <c r="F43" s="4">
        <v>2.5000000000000001E-2</v>
      </c>
      <c r="G43" s="58">
        <f>'Investment returns (2)'!Z27</f>
        <v>2.6078714999999999E-2</v>
      </c>
      <c r="H43" s="58">
        <f>'Investment returns (2)'!AA27</f>
        <v>1.9734270000000002E-2</v>
      </c>
      <c r="I43" s="58">
        <f>'Investment returns (2)'!AB27</f>
        <v>1.3394324999999999E-2</v>
      </c>
      <c r="J43" s="58">
        <f>'Investment returns (2)'!AC27</f>
        <v>-6.9499999999999996E-3</v>
      </c>
      <c r="K43" s="4">
        <v>1.7000000000000001E-2</v>
      </c>
      <c r="L43" s="58">
        <f>'Investment returns (2)'!AD27</f>
        <v>1.8055500000000002E-2</v>
      </c>
      <c r="M43" s="58">
        <f>'Investment returns (2)'!AE27</f>
        <v>1.1712659482551745E-2</v>
      </c>
      <c r="N43" s="58">
        <f>'Investment returns (2)'!AF27</f>
        <v>5.3719122412758738E-3</v>
      </c>
      <c r="O43" s="58">
        <f>'Investment returns (2)'!AG27</f>
        <v>-1.4972412758724126E-2</v>
      </c>
    </row>
    <row r="44" spans="1:15">
      <c r="A44">
        <f t="shared" si="1"/>
        <v>2039</v>
      </c>
      <c r="B44" s="4">
        <f t="shared" si="0"/>
        <v>1.7000000000000001E-2</v>
      </c>
      <c r="C44" s="4"/>
      <c r="F44" s="4">
        <v>2.5000000000000001E-2</v>
      </c>
      <c r="G44" s="58">
        <f>'Investment returns (2)'!Z28</f>
        <v>2.6078714999999999E-2</v>
      </c>
      <c r="H44" s="58">
        <f>'Investment returns (2)'!AA28</f>
        <v>1.9734270000000002E-2</v>
      </c>
      <c r="I44" s="58">
        <f>'Investment returns (2)'!AB28</f>
        <v>1.3394324999999999E-2</v>
      </c>
      <c r="J44" s="58">
        <f>'Investment returns (2)'!AC28</f>
        <v>-6.9499999999999996E-3</v>
      </c>
      <c r="K44" s="4">
        <v>1.7000000000000001E-2</v>
      </c>
      <c r="L44" s="58">
        <f>'Investment returns (2)'!AD28</f>
        <v>1.8055500000000002E-2</v>
      </c>
      <c r="M44" s="58">
        <f>'Investment returns (2)'!AE28</f>
        <v>1.1712659482551745E-2</v>
      </c>
      <c r="N44" s="58">
        <f>'Investment returns (2)'!AF28</f>
        <v>5.3719122412758738E-3</v>
      </c>
      <c r="O44" s="58">
        <f>'Investment returns (2)'!AG28</f>
        <v>-1.4972412758724126E-2</v>
      </c>
    </row>
    <row r="45" spans="1:15">
      <c r="A45">
        <f t="shared" si="1"/>
        <v>2040</v>
      </c>
      <c r="B45" s="4">
        <f t="shared" si="0"/>
        <v>1.7000000000000001E-2</v>
      </c>
      <c r="C45" s="4"/>
      <c r="F45" s="4">
        <v>2.5000000000000001E-2</v>
      </c>
      <c r="G45" s="58">
        <f>'Investment returns (2)'!Z29</f>
        <v>2.6078714999999999E-2</v>
      </c>
      <c r="H45" s="58">
        <f>'Investment returns (2)'!AA29</f>
        <v>1.9734270000000002E-2</v>
      </c>
      <c r="I45" s="58">
        <f>'Investment returns (2)'!AB29</f>
        <v>1.3394324999999999E-2</v>
      </c>
      <c r="J45" s="58">
        <f>'Investment returns (2)'!AC29</f>
        <v>-6.9499999999999996E-3</v>
      </c>
      <c r="K45" s="4">
        <v>1.7000000000000001E-2</v>
      </c>
      <c r="L45" s="58">
        <f>'Investment returns (2)'!AD29</f>
        <v>1.8055500000000002E-2</v>
      </c>
      <c r="M45" s="58">
        <f>'Investment returns (2)'!AE29</f>
        <v>1.1712659482551745E-2</v>
      </c>
      <c r="N45" s="58">
        <f>'Investment returns (2)'!AF29</f>
        <v>5.3719122412758738E-3</v>
      </c>
      <c r="O45" s="58">
        <f>'Investment returns (2)'!AG29</f>
        <v>-1.4972412758724126E-2</v>
      </c>
    </row>
    <row r="46" spans="1:15">
      <c r="A46">
        <f t="shared" si="1"/>
        <v>2041</v>
      </c>
      <c r="B46" s="4">
        <f t="shared" si="0"/>
        <v>1.7000000000000001E-2</v>
      </c>
      <c r="C46" s="4"/>
      <c r="F46" s="4">
        <v>2.5000000000000001E-2</v>
      </c>
      <c r="G46" s="58">
        <f>'Investment returns (2)'!Z30</f>
        <v>2.6078714999999999E-2</v>
      </c>
      <c r="H46" s="58">
        <f>'Investment returns (2)'!AA30</f>
        <v>1.9734270000000002E-2</v>
      </c>
      <c r="I46" s="58">
        <f>'Investment returns (2)'!AB30</f>
        <v>1.3394324999999999E-2</v>
      </c>
      <c r="J46" s="58">
        <f>'Investment returns (2)'!AC30</f>
        <v>-6.9499999999999996E-3</v>
      </c>
      <c r="K46" s="4">
        <v>1.7000000000000001E-2</v>
      </c>
      <c r="L46" s="58">
        <f>'Investment returns (2)'!AD30</f>
        <v>1.8055500000000002E-2</v>
      </c>
      <c r="M46" s="58">
        <f>'Investment returns (2)'!AE30</f>
        <v>1.1712659482551745E-2</v>
      </c>
      <c r="N46" s="58">
        <f>'Investment returns (2)'!AF30</f>
        <v>5.3719122412758738E-3</v>
      </c>
      <c r="O46" s="58">
        <f>'Investment returns (2)'!AG30</f>
        <v>-1.4972412758724126E-2</v>
      </c>
    </row>
    <row r="47" spans="1:15">
      <c r="A47">
        <f t="shared" si="1"/>
        <v>2042</v>
      </c>
      <c r="B47" s="4">
        <f t="shared" si="0"/>
        <v>1.7000000000000001E-2</v>
      </c>
      <c r="C47" s="4"/>
      <c r="F47" s="4">
        <v>2.5000000000000001E-2</v>
      </c>
      <c r="G47" s="58">
        <f>'Investment returns (2)'!Z31</f>
        <v>2.6078714999999999E-2</v>
      </c>
      <c r="H47" s="58">
        <f>'Investment returns (2)'!AA31</f>
        <v>1.9734270000000002E-2</v>
      </c>
      <c r="I47" s="58">
        <f>'Investment returns (2)'!AB31</f>
        <v>1.3394324999999999E-2</v>
      </c>
      <c r="J47" s="58">
        <f>'Investment returns (2)'!AC31</f>
        <v>-6.9499999999999996E-3</v>
      </c>
      <c r="K47" s="4">
        <v>1.7000000000000001E-2</v>
      </c>
      <c r="L47" s="58">
        <f>'Investment returns (2)'!AD31</f>
        <v>1.8055500000000002E-2</v>
      </c>
      <c r="M47" s="58">
        <f>'Investment returns (2)'!AE31</f>
        <v>1.1712659482551745E-2</v>
      </c>
      <c r="N47" s="58">
        <f>'Investment returns (2)'!AF31</f>
        <v>5.3719122412758738E-3</v>
      </c>
      <c r="O47" s="58">
        <f>'Investment returns (2)'!AG31</f>
        <v>-1.4972412758724126E-2</v>
      </c>
    </row>
    <row r="48" spans="1:15">
      <c r="A48">
        <f t="shared" si="1"/>
        <v>2043</v>
      </c>
      <c r="B48" s="4">
        <f t="shared" si="0"/>
        <v>1.7000000000000001E-2</v>
      </c>
      <c r="C48" s="4"/>
      <c r="F48" s="4">
        <v>2.5000000000000001E-2</v>
      </c>
      <c r="G48" s="58">
        <f>'Investment returns (2)'!Z32</f>
        <v>2.6078714999999999E-2</v>
      </c>
      <c r="H48" s="58">
        <f>'Investment returns (2)'!AA32</f>
        <v>1.9734270000000002E-2</v>
      </c>
      <c r="I48" s="58">
        <f>'Investment returns (2)'!AB32</f>
        <v>1.3394324999999999E-2</v>
      </c>
      <c r="J48" s="58">
        <f>'Investment returns (2)'!AC32</f>
        <v>-6.9499999999999996E-3</v>
      </c>
      <c r="K48" s="4">
        <v>1.7000000000000001E-2</v>
      </c>
      <c r="L48" s="58">
        <f>'Investment returns (2)'!AD32</f>
        <v>1.8055500000000002E-2</v>
      </c>
      <c r="M48" s="58">
        <f>'Investment returns (2)'!AE32</f>
        <v>1.1712659482551745E-2</v>
      </c>
      <c r="N48" s="58">
        <f>'Investment returns (2)'!AF32</f>
        <v>5.3719122412758738E-3</v>
      </c>
      <c r="O48" s="58">
        <f>'Investment returns (2)'!AG32</f>
        <v>-1.4972412758724126E-2</v>
      </c>
    </row>
    <row r="49" spans="1:15">
      <c r="A49">
        <f t="shared" si="1"/>
        <v>2044</v>
      </c>
      <c r="B49" s="4">
        <f t="shared" si="0"/>
        <v>1.7000000000000001E-2</v>
      </c>
      <c r="C49" s="4"/>
      <c r="F49" s="4">
        <v>2.5000000000000001E-2</v>
      </c>
      <c r="G49" s="58">
        <f>'Investment returns (2)'!Z33</f>
        <v>2.6078714999999999E-2</v>
      </c>
      <c r="H49" s="58">
        <f>'Investment returns (2)'!AA33</f>
        <v>1.9734270000000002E-2</v>
      </c>
      <c r="I49" s="58">
        <f>'Investment returns (2)'!AB33</f>
        <v>1.3394324999999999E-2</v>
      </c>
      <c r="J49" s="58">
        <f>'Investment returns (2)'!AC33</f>
        <v>-6.9499999999999996E-3</v>
      </c>
      <c r="K49" s="4">
        <v>1.7000000000000001E-2</v>
      </c>
      <c r="L49" s="58">
        <f>'Investment returns (2)'!AD33</f>
        <v>1.8055500000000002E-2</v>
      </c>
      <c r="M49" s="58">
        <f>'Investment returns (2)'!AE33</f>
        <v>1.1712659482551745E-2</v>
      </c>
      <c r="N49" s="58">
        <f>'Investment returns (2)'!AF33</f>
        <v>5.3719122412758738E-3</v>
      </c>
      <c r="O49" s="58">
        <f>'Investment returns (2)'!AG33</f>
        <v>-1.4972412758724126E-2</v>
      </c>
    </row>
    <row r="50" spans="1:15">
      <c r="A50">
        <f t="shared" ref="A50:A61" si="3">A49+1</f>
        <v>2045</v>
      </c>
      <c r="B50" s="4">
        <f t="shared" si="0"/>
        <v>1.7000000000000001E-2</v>
      </c>
      <c r="C50" s="4"/>
      <c r="F50" s="4">
        <v>2.5000000000000001E-2</v>
      </c>
      <c r="G50" s="58">
        <f>'Investment returns (2)'!Z34</f>
        <v>2.6078714999999999E-2</v>
      </c>
      <c r="H50" s="58">
        <f>'Investment returns (2)'!AA34</f>
        <v>1.9734270000000002E-2</v>
      </c>
      <c r="I50" s="58">
        <f>'Investment returns (2)'!AB34</f>
        <v>1.3394324999999999E-2</v>
      </c>
      <c r="J50" s="58">
        <f>'Investment returns (2)'!AC34</f>
        <v>-6.9499999999999996E-3</v>
      </c>
      <c r="K50" s="4">
        <v>1.7000000000000001E-2</v>
      </c>
      <c r="L50" s="58">
        <f>'Investment returns (2)'!AD34</f>
        <v>1.8055500000000002E-2</v>
      </c>
      <c r="M50" s="58">
        <f>'Investment returns (2)'!AE34</f>
        <v>1.1712659482551745E-2</v>
      </c>
      <c r="N50" s="58">
        <f>'Investment returns (2)'!AF34</f>
        <v>5.3719122412758738E-3</v>
      </c>
      <c r="O50" s="58">
        <f>'Investment returns (2)'!AG34</f>
        <v>-1.4972412758724126E-2</v>
      </c>
    </row>
    <row r="51" spans="1:15">
      <c r="A51">
        <f t="shared" si="3"/>
        <v>2046</v>
      </c>
      <c r="B51" s="4">
        <f t="shared" si="0"/>
        <v>1.7000000000000001E-2</v>
      </c>
      <c r="C51" s="4"/>
      <c r="F51" s="4">
        <v>2.5000000000000001E-2</v>
      </c>
      <c r="G51" s="58">
        <f>'Investment returns (2)'!Z35</f>
        <v>2.6078714999999999E-2</v>
      </c>
      <c r="H51" s="58">
        <f>'Investment returns (2)'!AA35</f>
        <v>1.9734270000000002E-2</v>
      </c>
      <c r="I51" s="58">
        <f>'Investment returns (2)'!AB35</f>
        <v>1.3394324999999999E-2</v>
      </c>
      <c r="J51" s="58">
        <f>'Investment returns (2)'!AC35</f>
        <v>-6.9499999999999996E-3</v>
      </c>
      <c r="K51" s="4">
        <v>1.7000000000000001E-2</v>
      </c>
      <c r="L51" s="58">
        <f>'Investment returns (2)'!AD35</f>
        <v>1.8055500000000002E-2</v>
      </c>
      <c r="M51" s="58">
        <f>'Investment returns (2)'!AE35</f>
        <v>1.1712659482551745E-2</v>
      </c>
      <c r="N51" s="58">
        <f>'Investment returns (2)'!AF35</f>
        <v>5.3719122412758738E-3</v>
      </c>
      <c r="O51" s="58">
        <f>'Investment returns (2)'!AG35</f>
        <v>-1.4972412758724126E-2</v>
      </c>
    </row>
    <row r="52" spans="1:15">
      <c r="A52">
        <f t="shared" si="3"/>
        <v>2047</v>
      </c>
      <c r="B52" s="4">
        <f t="shared" si="0"/>
        <v>1.7000000000000001E-2</v>
      </c>
      <c r="C52" s="4"/>
      <c r="F52" s="4">
        <v>2.5000000000000001E-2</v>
      </c>
      <c r="G52" s="58">
        <f>'Investment returns (2)'!Z36</f>
        <v>2.6078714999999999E-2</v>
      </c>
      <c r="H52" s="58">
        <f>'Investment returns (2)'!AA36</f>
        <v>1.9734270000000002E-2</v>
      </c>
      <c r="I52" s="58">
        <f>'Investment returns (2)'!AB36</f>
        <v>1.3394324999999999E-2</v>
      </c>
      <c r="J52" s="58">
        <f>'Investment returns (2)'!AC36</f>
        <v>-6.9499999999999996E-3</v>
      </c>
      <c r="K52" s="4">
        <v>1.7000000000000001E-2</v>
      </c>
      <c r="L52" s="58">
        <f>'Investment returns (2)'!AD36</f>
        <v>1.8055500000000002E-2</v>
      </c>
      <c r="M52" s="58">
        <f>'Investment returns (2)'!AE36</f>
        <v>1.1712659482551745E-2</v>
      </c>
      <c r="N52" s="58">
        <f>'Investment returns (2)'!AF36</f>
        <v>5.3719122412758738E-3</v>
      </c>
      <c r="O52" s="58">
        <f>'Investment returns (2)'!AG36</f>
        <v>-1.4972412758724126E-2</v>
      </c>
    </row>
    <row r="53" spans="1:15">
      <c r="A53">
        <f t="shared" si="3"/>
        <v>2048</v>
      </c>
      <c r="B53" s="4">
        <f t="shared" si="0"/>
        <v>1.7000000000000001E-2</v>
      </c>
      <c r="C53" s="4"/>
      <c r="F53" s="4">
        <v>0.03</v>
      </c>
      <c r="G53" s="58">
        <f>'Investment returns (2)'!Z37</f>
        <v>3.000856E-2</v>
      </c>
      <c r="H53" s="58">
        <f>'Investment returns (2)'!AA37</f>
        <v>2.3758689999999999E-2</v>
      </c>
      <c r="I53" s="58">
        <f>'Investment returns (2)'!AB37</f>
        <v>1.7782129999999997E-2</v>
      </c>
      <c r="J53" s="58">
        <f>'Investment returns (2)'!AC37</f>
        <v>-5.5999999999999999E-3</v>
      </c>
      <c r="K53" s="4">
        <v>1.7000000000000001E-2</v>
      </c>
      <c r="L53" s="58">
        <f>'Investment returns (2)'!AD37</f>
        <v>1.6641285099999851E-2</v>
      </c>
      <c r="M53" s="58">
        <f>'Investment returns (2)'!AE37</f>
        <v>1.0394088287661083E-2</v>
      </c>
      <c r="N53" s="58">
        <f>'Investment returns (2)'!AF37</f>
        <v>4.4161916938304643E-3</v>
      </c>
      <c r="O53" s="58">
        <f>'Investment returns (2)'!AG37</f>
        <v>-1.8965938306169536E-2</v>
      </c>
    </row>
    <row r="54" spans="1:15">
      <c r="A54">
        <f t="shared" si="3"/>
        <v>2049</v>
      </c>
      <c r="B54" s="4">
        <f t="shared" si="0"/>
        <v>1.7000000000000001E-2</v>
      </c>
      <c r="C54" s="4"/>
      <c r="F54" s="4">
        <v>0.03</v>
      </c>
      <c r="G54" s="58">
        <f>'Investment returns (2)'!Z38</f>
        <v>3.000856E-2</v>
      </c>
      <c r="H54" s="58">
        <f>'Investment returns (2)'!AA38</f>
        <v>2.3758689999999999E-2</v>
      </c>
      <c r="I54" s="58">
        <f>'Investment returns (2)'!AB38</f>
        <v>1.7782129999999997E-2</v>
      </c>
      <c r="J54" s="58">
        <f>'Investment returns (2)'!AC38</f>
        <v>-5.5999999999999999E-3</v>
      </c>
      <c r="K54" s="4">
        <v>1.7000000000000001E-2</v>
      </c>
      <c r="L54" s="58">
        <f>'Investment returns (2)'!AD38</f>
        <v>1.6641285099999851E-2</v>
      </c>
      <c r="M54" s="58">
        <f>'Investment returns (2)'!AE38</f>
        <v>1.0394088287661083E-2</v>
      </c>
      <c r="N54" s="58">
        <f>'Investment returns (2)'!AF38</f>
        <v>4.4161916938304643E-3</v>
      </c>
      <c r="O54" s="58">
        <f>'Investment returns (2)'!AG38</f>
        <v>-1.8965938306169536E-2</v>
      </c>
    </row>
    <row r="55" spans="1:15">
      <c r="A55">
        <f t="shared" si="3"/>
        <v>2050</v>
      </c>
      <c r="B55" s="4">
        <f t="shared" si="0"/>
        <v>1.7000000000000001E-2</v>
      </c>
      <c r="C55" s="4"/>
      <c r="F55" s="4">
        <v>0.03</v>
      </c>
      <c r="G55" s="58">
        <f>'Investment returns (2)'!Z39</f>
        <v>3.000856E-2</v>
      </c>
      <c r="H55" s="58">
        <f>'Investment returns (2)'!AA39</f>
        <v>2.3758689999999999E-2</v>
      </c>
      <c r="I55" s="58">
        <f>'Investment returns (2)'!AB39</f>
        <v>1.7782129999999997E-2</v>
      </c>
      <c r="J55" s="58">
        <f>'Investment returns (2)'!AC39</f>
        <v>-5.5999999999999999E-3</v>
      </c>
      <c r="K55" s="4">
        <v>1.7000000000000001E-2</v>
      </c>
      <c r="L55" s="58">
        <f>'Investment returns (2)'!AD39</f>
        <v>1.6641285099999851E-2</v>
      </c>
      <c r="M55" s="58">
        <f>'Investment returns (2)'!AE39</f>
        <v>1.0394088287661083E-2</v>
      </c>
      <c r="N55" s="58">
        <f>'Investment returns (2)'!AF39</f>
        <v>4.4161916938304643E-3</v>
      </c>
      <c r="O55" s="58">
        <f>'Investment returns (2)'!AG39</f>
        <v>-1.8965938306169536E-2</v>
      </c>
    </row>
    <row r="56" spans="1:15">
      <c r="A56">
        <f t="shared" si="3"/>
        <v>2051</v>
      </c>
      <c r="B56" s="4">
        <f t="shared" si="0"/>
        <v>1.7000000000000001E-2</v>
      </c>
      <c r="C56" s="4"/>
      <c r="F56" s="4">
        <v>0.03</v>
      </c>
      <c r="G56" s="58">
        <f>'Investment returns (2)'!Z40</f>
        <v>3.000856E-2</v>
      </c>
      <c r="H56" s="58">
        <f>'Investment returns (2)'!AA40</f>
        <v>2.3758689999999999E-2</v>
      </c>
      <c r="I56" s="58">
        <f>'Investment returns (2)'!AB40</f>
        <v>1.7782129999999997E-2</v>
      </c>
      <c r="J56" s="58">
        <f>'Investment returns (2)'!AC40</f>
        <v>-5.5999999999999999E-3</v>
      </c>
      <c r="K56" s="4">
        <v>1.7000000000000001E-2</v>
      </c>
      <c r="L56" s="58">
        <f>'Investment returns (2)'!AD40</f>
        <v>1.6641285099999851E-2</v>
      </c>
      <c r="M56" s="58">
        <f>'Investment returns (2)'!AE40</f>
        <v>1.0394088287661083E-2</v>
      </c>
      <c r="N56" s="58">
        <f>'Investment returns (2)'!AF40</f>
        <v>4.4161916938304643E-3</v>
      </c>
      <c r="O56" s="58">
        <f>'Investment returns (2)'!AG40</f>
        <v>-1.8965938306169536E-2</v>
      </c>
    </row>
    <row r="57" spans="1:15">
      <c r="A57">
        <f t="shared" si="3"/>
        <v>2052</v>
      </c>
      <c r="B57" s="4">
        <f t="shared" si="0"/>
        <v>1.7000000000000001E-2</v>
      </c>
      <c r="C57" s="4"/>
      <c r="F57" s="4">
        <v>0.03</v>
      </c>
      <c r="G57" s="58">
        <f>'Investment returns (2)'!Z41</f>
        <v>3.000856E-2</v>
      </c>
      <c r="H57" s="58">
        <f>'Investment returns (2)'!AA41</f>
        <v>2.3758689999999999E-2</v>
      </c>
      <c r="I57" s="58">
        <f>'Investment returns (2)'!AB41</f>
        <v>1.7782129999999997E-2</v>
      </c>
      <c r="J57" s="58">
        <f>'Investment returns (2)'!AC41</f>
        <v>-5.5999999999999999E-3</v>
      </c>
      <c r="K57" s="4">
        <v>1.7000000000000001E-2</v>
      </c>
      <c r="L57" s="58">
        <f>'Investment returns (2)'!AD41</f>
        <v>1.6641285099999851E-2</v>
      </c>
      <c r="M57" s="58">
        <f>'Investment returns (2)'!AE41</f>
        <v>1.0394088287661083E-2</v>
      </c>
      <c r="N57" s="58">
        <f>'Investment returns (2)'!AF41</f>
        <v>4.4161916938304643E-3</v>
      </c>
      <c r="O57" s="58">
        <f>'Investment returns (2)'!AG41</f>
        <v>-1.8965938306169536E-2</v>
      </c>
    </row>
    <row r="58" spans="1:15">
      <c r="A58">
        <f t="shared" si="3"/>
        <v>2053</v>
      </c>
      <c r="B58" s="4">
        <f t="shared" si="0"/>
        <v>1.7000000000000001E-2</v>
      </c>
      <c r="C58" s="4"/>
      <c r="F58" s="4">
        <v>0.03</v>
      </c>
      <c r="G58" s="58">
        <f>'Investment returns (2)'!Z42</f>
        <v>3.000856E-2</v>
      </c>
      <c r="H58" s="58">
        <f>'Investment returns (2)'!AA42</f>
        <v>2.3758689999999999E-2</v>
      </c>
      <c r="I58" s="58">
        <f>'Investment returns (2)'!AB42</f>
        <v>1.7782129999999997E-2</v>
      </c>
      <c r="J58" s="58">
        <f>'Investment returns (2)'!AC42</f>
        <v>-5.5999999999999999E-3</v>
      </c>
      <c r="K58" s="4">
        <v>1.7000000000000001E-2</v>
      </c>
      <c r="L58" s="58">
        <f>'Investment returns (2)'!AD42</f>
        <v>1.6641285099999851E-2</v>
      </c>
      <c r="M58" s="58">
        <f>'Investment returns (2)'!AE42</f>
        <v>1.0394088287661083E-2</v>
      </c>
      <c r="N58" s="58">
        <f>'Investment returns (2)'!AF42</f>
        <v>4.4161916938304643E-3</v>
      </c>
      <c r="O58" s="58">
        <f>'Investment returns (2)'!AG42</f>
        <v>-1.8965938306169536E-2</v>
      </c>
    </row>
    <row r="59" spans="1:15">
      <c r="A59">
        <f t="shared" si="3"/>
        <v>2054</v>
      </c>
      <c r="B59" s="4">
        <f t="shared" si="0"/>
        <v>1.7000000000000001E-2</v>
      </c>
      <c r="C59" s="4"/>
      <c r="F59" s="4">
        <v>0.03</v>
      </c>
      <c r="G59" s="58">
        <f>'Investment returns (2)'!Z43</f>
        <v>3.000856E-2</v>
      </c>
      <c r="H59" s="58">
        <f>'Investment returns (2)'!AA43</f>
        <v>2.3758689999999999E-2</v>
      </c>
      <c r="I59" s="58">
        <f>'Investment returns (2)'!AB43</f>
        <v>1.7782129999999997E-2</v>
      </c>
      <c r="J59" s="58">
        <f>'Investment returns (2)'!AC43</f>
        <v>-5.5999999999999999E-3</v>
      </c>
      <c r="K59" s="4">
        <v>1.7000000000000001E-2</v>
      </c>
      <c r="L59" s="58">
        <f>'Investment returns (2)'!AD43</f>
        <v>1.6641285099999851E-2</v>
      </c>
      <c r="M59" s="58">
        <f>'Investment returns (2)'!AE43</f>
        <v>1.0394088287661083E-2</v>
      </c>
      <c r="N59" s="58">
        <f>'Investment returns (2)'!AF43</f>
        <v>4.4161916938304643E-3</v>
      </c>
      <c r="O59" s="58">
        <f>'Investment returns (2)'!AG43</f>
        <v>-1.8965938306169536E-2</v>
      </c>
    </row>
    <row r="60" spans="1:15">
      <c r="A60">
        <f t="shared" si="3"/>
        <v>2055</v>
      </c>
      <c r="B60" s="4">
        <f t="shared" si="0"/>
        <v>1.7000000000000001E-2</v>
      </c>
      <c r="C60" s="4"/>
      <c r="F60" s="4">
        <v>0.03</v>
      </c>
      <c r="G60" s="58">
        <f>'Investment returns (2)'!Z44</f>
        <v>3.000856E-2</v>
      </c>
      <c r="H60" s="58">
        <f>'Investment returns (2)'!AA44</f>
        <v>2.3758689999999999E-2</v>
      </c>
      <c r="I60" s="58">
        <f>'Investment returns (2)'!AB44</f>
        <v>1.7782129999999997E-2</v>
      </c>
      <c r="J60" s="58">
        <f>'Investment returns (2)'!AC44</f>
        <v>-5.5999999999999999E-3</v>
      </c>
      <c r="K60" s="4">
        <v>1.7000000000000001E-2</v>
      </c>
      <c r="L60" s="58">
        <f>'Investment returns (2)'!AD44</f>
        <v>1.6641285099999851E-2</v>
      </c>
      <c r="M60" s="58">
        <f>'Investment returns (2)'!AE44</f>
        <v>1.0394088287661083E-2</v>
      </c>
      <c r="N60" s="58">
        <f>'Investment returns (2)'!AF44</f>
        <v>4.4161916938304643E-3</v>
      </c>
      <c r="O60" s="58">
        <f>'Investment returns (2)'!AG44</f>
        <v>-1.8965938306169536E-2</v>
      </c>
    </row>
    <row r="61" spans="1:15">
      <c r="A61">
        <f t="shared" si="3"/>
        <v>2056</v>
      </c>
      <c r="B61" s="4">
        <f t="shared" si="0"/>
        <v>1.7000000000000001E-2</v>
      </c>
      <c r="C61" s="4"/>
      <c r="F61" s="4">
        <v>0.03</v>
      </c>
      <c r="G61" s="58">
        <f>'Investment returns (2)'!Z45</f>
        <v>3.000856E-2</v>
      </c>
      <c r="H61" s="58">
        <f>'Investment returns (2)'!AA45</f>
        <v>2.3758689999999999E-2</v>
      </c>
      <c r="I61" s="58">
        <f>'Investment returns (2)'!AB45</f>
        <v>1.7782129999999997E-2</v>
      </c>
      <c r="J61" s="58">
        <f>'Investment returns (2)'!AC45</f>
        <v>-5.5999999999999999E-3</v>
      </c>
      <c r="K61" s="4">
        <v>1.7000000000000001E-2</v>
      </c>
      <c r="L61" s="58">
        <f>'Investment returns (2)'!AD45</f>
        <v>1.6641285099999851E-2</v>
      </c>
      <c r="M61" s="58">
        <f>'Investment returns (2)'!AE45</f>
        <v>1.0394088287661083E-2</v>
      </c>
      <c r="N61" s="58">
        <f>'Investment returns (2)'!AF45</f>
        <v>4.4161916938304643E-3</v>
      </c>
      <c r="O61" s="58">
        <f>'Investment returns (2)'!AG45</f>
        <v>-1.8965938306169536E-2</v>
      </c>
    </row>
    <row r="62" spans="1:15">
      <c r="A62">
        <f t="shared" ref="A62:A71" si="4">A61+1</f>
        <v>2057</v>
      </c>
      <c r="B62" s="4">
        <f t="shared" si="0"/>
        <v>1.7000000000000001E-2</v>
      </c>
      <c r="C62" s="4"/>
      <c r="F62" s="4">
        <v>0.03</v>
      </c>
      <c r="G62" s="58">
        <f>'Investment returns (2)'!Z46</f>
        <v>3.000856E-2</v>
      </c>
      <c r="H62" s="58">
        <f>'Investment returns (2)'!AA46</f>
        <v>2.3758689999999999E-2</v>
      </c>
      <c r="I62" s="58">
        <f>'Investment returns (2)'!AB46</f>
        <v>1.7782129999999997E-2</v>
      </c>
      <c r="J62" s="58">
        <f>'Investment returns (2)'!AC46</f>
        <v>-5.5999999999999999E-3</v>
      </c>
      <c r="K62" s="4">
        <v>1.7000000000000001E-2</v>
      </c>
      <c r="L62" s="58">
        <f>'Investment returns (2)'!AD46</f>
        <v>1.6641285099999851E-2</v>
      </c>
      <c r="M62" s="58">
        <f>'Investment returns (2)'!AE46</f>
        <v>1.0394088287661083E-2</v>
      </c>
      <c r="N62" s="58">
        <f>'Investment returns (2)'!AF46</f>
        <v>4.4161916938304643E-3</v>
      </c>
      <c r="O62" s="58">
        <f>'Investment returns (2)'!AG46</f>
        <v>-1.8965938306169536E-2</v>
      </c>
    </row>
    <row r="63" spans="1:15">
      <c r="A63">
        <f t="shared" si="4"/>
        <v>2058</v>
      </c>
      <c r="B63" s="4">
        <f t="shared" si="0"/>
        <v>1.7000000000000001E-2</v>
      </c>
      <c r="C63" s="4"/>
      <c r="F63" s="4">
        <v>0.03</v>
      </c>
      <c r="G63" s="58">
        <f>'Investment returns (2)'!Z47</f>
        <v>3.000856E-2</v>
      </c>
      <c r="H63" s="58">
        <f>'Investment returns (2)'!AA47</f>
        <v>2.3758689999999999E-2</v>
      </c>
      <c r="I63" s="58">
        <f>'Investment returns (2)'!AB47</f>
        <v>1.7782129999999997E-2</v>
      </c>
      <c r="J63" s="58">
        <f>'Investment returns (2)'!AC47</f>
        <v>-5.5999999999999999E-3</v>
      </c>
      <c r="K63" s="4">
        <v>1.7000000000000001E-2</v>
      </c>
      <c r="L63" s="58">
        <f>'Investment returns (2)'!AD47</f>
        <v>1.6641285099999851E-2</v>
      </c>
      <c r="M63" s="58">
        <f>'Investment returns (2)'!AE47</f>
        <v>1.0394088287661083E-2</v>
      </c>
      <c r="N63" s="58">
        <f>'Investment returns (2)'!AF47</f>
        <v>4.4161916938304643E-3</v>
      </c>
      <c r="O63" s="58">
        <f>'Investment returns (2)'!AG47</f>
        <v>-1.8965938306169536E-2</v>
      </c>
    </row>
    <row r="64" spans="1:15">
      <c r="A64">
        <f t="shared" si="4"/>
        <v>2059</v>
      </c>
      <c r="B64" s="4">
        <f t="shared" si="0"/>
        <v>1.7000000000000001E-2</v>
      </c>
      <c r="C64" s="4"/>
      <c r="F64" s="4">
        <v>0.03</v>
      </c>
      <c r="G64" s="58">
        <f>'Investment returns (2)'!Z48</f>
        <v>3.000856E-2</v>
      </c>
      <c r="H64" s="58">
        <f>'Investment returns (2)'!AA48</f>
        <v>2.3758689999999999E-2</v>
      </c>
      <c r="I64" s="58">
        <f>'Investment returns (2)'!AB48</f>
        <v>1.7782129999999997E-2</v>
      </c>
      <c r="J64" s="58">
        <f>'Investment returns (2)'!AC48</f>
        <v>-5.5999999999999999E-3</v>
      </c>
      <c r="K64" s="4">
        <v>1.7000000000000001E-2</v>
      </c>
      <c r="L64" s="58">
        <f>'Investment returns (2)'!AD48</f>
        <v>1.6641285099999851E-2</v>
      </c>
      <c r="M64" s="58">
        <f>'Investment returns (2)'!AE48</f>
        <v>1.0394088287661083E-2</v>
      </c>
      <c r="N64" s="58">
        <f>'Investment returns (2)'!AF48</f>
        <v>4.4161916938304643E-3</v>
      </c>
      <c r="O64" s="58">
        <f>'Investment returns (2)'!AG48</f>
        <v>-1.8965938306169536E-2</v>
      </c>
    </row>
    <row r="65" spans="1:15">
      <c r="A65">
        <f t="shared" si="4"/>
        <v>2060</v>
      </c>
      <c r="B65" s="4">
        <f t="shared" si="0"/>
        <v>1.7000000000000001E-2</v>
      </c>
      <c r="C65" s="4"/>
      <c r="F65" s="4">
        <v>0.03</v>
      </c>
      <c r="G65" s="58">
        <f>'Investment returns (2)'!Z49</f>
        <v>3.000856E-2</v>
      </c>
      <c r="H65" s="58">
        <f>'Investment returns (2)'!AA49</f>
        <v>2.3758689999999999E-2</v>
      </c>
      <c r="I65" s="58">
        <f>'Investment returns (2)'!AB49</f>
        <v>1.7782129999999997E-2</v>
      </c>
      <c r="J65" s="58">
        <f>'Investment returns (2)'!AC49</f>
        <v>-5.5999999999999999E-3</v>
      </c>
      <c r="K65" s="4">
        <v>1.7000000000000001E-2</v>
      </c>
      <c r="L65" s="58">
        <f>'Investment returns (2)'!AD49</f>
        <v>1.6641285099999851E-2</v>
      </c>
      <c r="M65" s="58">
        <f>'Investment returns (2)'!AE49</f>
        <v>1.0394088287661083E-2</v>
      </c>
      <c r="N65" s="58">
        <f>'Investment returns (2)'!AF49</f>
        <v>4.4161916938304643E-3</v>
      </c>
      <c r="O65" s="58">
        <f>'Investment returns (2)'!AG49</f>
        <v>-1.8965938306169536E-2</v>
      </c>
    </row>
    <row r="66" spans="1:15">
      <c r="A66">
        <f t="shared" si="4"/>
        <v>2061</v>
      </c>
      <c r="B66" s="4">
        <f t="shared" si="0"/>
        <v>1.7000000000000001E-2</v>
      </c>
      <c r="C66" s="4"/>
      <c r="F66" s="4">
        <v>0.03</v>
      </c>
      <c r="G66" s="58">
        <f>'Investment returns (2)'!Z50</f>
        <v>3.000856E-2</v>
      </c>
      <c r="H66" s="58">
        <f>'Investment returns (2)'!AA50</f>
        <v>2.3758689999999999E-2</v>
      </c>
      <c r="I66" s="58">
        <f>'Investment returns (2)'!AB50</f>
        <v>1.7782129999999997E-2</v>
      </c>
      <c r="J66" s="58">
        <f>'Investment returns (2)'!AC50</f>
        <v>-5.5999999999999999E-3</v>
      </c>
      <c r="K66" s="4">
        <v>1.7000000000000001E-2</v>
      </c>
      <c r="L66" s="58">
        <f>'Investment returns (2)'!AD50</f>
        <v>1.6641285099999851E-2</v>
      </c>
      <c r="M66" s="58">
        <f>'Investment returns (2)'!AE50</f>
        <v>1.0394088287661083E-2</v>
      </c>
      <c r="N66" s="58">
        <f>'Investment returns (2)'!AF50</f>
        <v>4.4161916938304643E-3</v>
      </c>
      <c r="O66" s="58">
        <f>'Investment returns (2)'!AG50</f>
        <v>-1.8965938306169536E-2</v>
      </c>
    </row>
    <row r="67" spans="1:15">
      <c r="A67">
        <f t="shared" si="4"/>
        <v>2062</v>
      </c>
      <c r="B67" s="4">
        <f t="shared" si="0"/>
        <v>1.7000000000000001E-2</v>
      </c>
      <c r="C67" s="4"/>
      <c r="F67" s="4">
        <v>0.03</v>
      </c>
      <c r="G67" s="58">
        <f>'Investment returns (2)'!Z51</f>
        <v>3.000856E-2</v>
      </c>
      <c r="H67" s="58">
        <f>'Investment returns (2)'!AA51</f>
        <v>2.3758689999999999E-2</v>
      </c>
      <c r="I67" s="58">
        <f>'Investment returns (2)'!AB51</f>
        <v>1.7782129999999997E-2</v>
      </c>
      <c r="J67" s="58">
        <f>'Investment returns (2)'!AC51</f>
        <v>-5.5999999999999999E-3</v>
      </c>
      <c r="K67" s="4">
        <v>1.7000000000000001E-2</v>
      </c>
      <c r="L67" s="58">
        <f>'Investment returns (2)'!AD51</f>
        <v>1.6641285099999851E-2</v>
      </c>
      <c r="M67" s="58">
        <f>'Investment returns (2)'!AE51</f>
        <v>1.0394088287661083E-2</v>
      </c>
      <c r="N67" s="58">
        <f>'Investment returns (2)'!AF51</f>
        <v>4.4161916938304643E-3</v>
      </c>
      <c r="O67" s="58">
        <f>'Investment returns (2)'!AG51</f>
        <v>-1.8965938306169536E-2</v>
      </c>
    </row>
    <row r="68" spans="1:15">
      <c r="A68">
        <f t="shared" si="4"/>
        <v>2063</v>
      </c>
      <c r="B68" s="4">
        <f t="shared" si="0"/>
        <v>1.7000000000000001E-2</v>
      </c>
      <c r="C68" s="4"/>
      <c r="F68" s="4">
        <v>0.03</v>
      </c>
      <c r="G68" s="58">
        <f>'Investment returns (2)'!Z52</f>
        <v>3.000856E-2</v>
      </c>
      <c r="H68" s="58">
        <f>'Investment returns (2)'!AA52</f>
        <v>2.3758689999999999E-2</v>
      </c>
      <c r="I68" s="58">
        <f>'Investment returns (2)'!AB52</f>
        <v>1.7782129999999997E-2</v>
      </c>
      <c r="J68" s="58">
        <f>'Investment returns (2)'!AC52</f>
        <v>-5.5999999999999999E-3</v>
      </c>
      <c r="K68" s="4">
        <v>1.7000000000000001E-2</v>
      </c>
      <c r="L68" s="58">
        <f>'Investment returns (2)'!AD52</f>
        <v>1.6641285099999851E-2</v>
      </c>
      <c r="M68" s="58">
        <f>'Investment returns (2)'!AE52</f>
        <v>1.0394088287661083E-2</v>
      </c>
      <c r="N68" s="58">
        <f>'Investment returns (2)'!AF52</f>
        <v>4.4161916938304643E-3</v>
      </c>
      <c r="O68" s="58">
        <f>'Investment returns (2)'!AG52</f>
        <v>-1.8965938306169536E-2</v>
      </c>
    </row>
    <row r="69" spans="1:15">
      <c r="A69">
        <f t="shared" si="4"/>
        <v>2064</v>
      </c>
      <c r="B69" s="4">
        <f t="shared" si="0"/>
        <v>1.7000000000000001E-2</v>
      </c>
      <c r="C69" s="4"/>
      <c r="F69" s="4">
        <v>0.03</v>
      </c>
      <c r="G69" s="58">
        <f>'Investment returns (2)'!Z53</f>
        <v>3.000856E-2</v>
      </c>
      <c r="H69" s="58">
        <f>'Investment returns (2)'!AA53</f>
        <v>2.3758689999999999E-2</v>
      </c>
      <c r="I69" s="58">
        <f>'Investment returns (2)'!AB53</f>
        <v>1.7782129999999997E-2</v>
      </c>
      <c r="J69" s="58">
        <f>'Investment returns (2)'!AC53</f>
        <v>-5.5999999999999999E-3</v>
      </c>
      <c r="K69" s="4">
        <v>1.7000000000000001E-2</v>
      </c>
      <c r="L69" s="58">
        <f>'Investment returns (2)'!AD53</f>
        <v>1.6641285099999851E-2</v>
      </c>
      <c r="M69" s="58">
        <f>'Investment returns (2)'!AE53</f>
        <v>1.0394088287661083E-2</v>
      </c>
      <c r="N69" s="58">
        <f>'Investment returns (2)'!AF53</f>
        <v>4.4161916938304643E-3</v>
      </c>
      <c r="O69" s="58">
        <f>'Investment returns (2)'!AG53</f>
        <v>-1.8965938306169536E-2</v>
      </c>
    </row>
    <row r="70" spans="1:15">
      <c r="A70">
        <f t="shared" si="4"/>
        <v>2065</v>
      </c>
      <c r="B70" s="4">
        <f t="shared" si="0"/>
        <v>1.7000000000000001E-2</v>
      </c>
      <c r="C70" s="4"/>
      <c r="F70" s="4">
        <v>0.03</v>
      </c>
      <c r="G70" s="58">
        <f>'Investment returns (2)'!Z54</f>
        <v>3.000856E-2</v>
      </c>
      <c r="H70" s="58">
        <f>'Investment returns (2)'!AA54</f>
        <v>2.3758689999999999E-2</v>
      </c>
      <c r="I70" s="58">
        <f>'Investment returns (2)'!AB54</f>
        <v>1.7782129999999997E-2</v>
      </c>
      <c r="J70" s="58">
        <f>'Investment returns (2)'!AC54</f>
        <v>-5.5999999999999999E-3</v>
      </c>
      <c r="K70" s="4">
        <v>1.7000000000000001E-2</v>
      </c>
      <c r="L70" s="58">
        <f>'Investment returns (2)'!AD54</f>
        <v>1.6641285099999851E-2</v>
      </c>
      <c r="M70" s="58">
        <f>'Investment returns (2)'!AE54</f>
        <v>1.0394088287661083E-2</v>
      </c>
      <c r="N70" s="58">
        <f>'Investment returns (2)'!AF54</f>
        <v>4.4161916938304643E-3</v>
      </c>
      <c r="O70" s="58">
        <f>'Investment returns (2)'!AG54</f>
        <v>-1.8965938306169536E-2</v>
      </c>
    </row>
    <row r="71" spans="1:15">
      <c r="A71">
        <f t="shared" si="4"/>
        <v>2066</v>
      </c>
      <c r="B71" s="4">
        <f t="shared" si="0"/>
        <v>1.7000000000000001E-2</v>
      </c>
      <c r="C71" s="4"/>
      <c r="F71" s="4">
        <v>0.03</v>
      </c>
      <c r="G71" s="58">
        <f>'Investment returns (2)'!Z55</f>
        <v>3.000856E-2</v>
      </c>
      <c r="H71" s="58">
        <f>'Investment returns (2)'!AA55</f>
        <v>2.3758689999999999E-2</v>
      </c>
      <c r="I71" s="58">
        <f>'Investment returns (2)'!AB55</f>
        <v>1.7782129999999997E-2</v>
      </c>
      <c r="J71" s="58">
        <f>'Investment returns (2)'!AC55</f>
        <v>-5.5999999999999999E-3</v>
      </c>
      <c r="K71" s="4">
        <v>1.7000000000000001E-2</v>
      </c>
      <c r="L71" s="58">
        <f>'Investment returns (2)'!AD55</f>
        <v>1.6641285099999851E-2</v>
      </c>
      <c r="M71" s="58">
        <f>'Investment returns (2)'!AE55</f>
        <v>1.0394088287661083E-2</v>
      </c>
      <c r="N71" s="58">
        <f>'Investment returns (2)'!AF55</f>
        <v>4.4161916938304643E-3</v>
      </c>
      <c r="O71" s="58">
        <f>'Investment returns (2)'!AG55</f>
        <v>-1.8965938306169536E-2</v>
      </c>
    </row>
  </sheetData>
  <mergeCells count="17">
    <mergeCell ref="K19:K21"/>
    <mergeCell ref="L19:L21"/>
    <mergeCell ref="M19:M21"/>
    <mergeCell ref="N19:N21"/>
    <mergeCell ref="O19:O21"/>
    <mergeCell ref="F19:F21"/>
    <mergeCell ref="G19:G21"/>
    <mergeCell ref="H19:H21"/>
    <mergeCell ref="I19:I21"/>
    <mergeCell ref="J19:J21"/>
    <mergeCell ref="A3:C3"/>
    <mergeCell ref="A4:I6"/>
    <mergeCell ref="A17:I17"/>
    <mergeCell ref="A16:B16"/>
    <mergeCell ref="A8:I8"/>
    <mergeCell ref="A10:I14"/>
    <mergeCell ref="A9:C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650BC-6FEA-644E-B89A-C01F4E2CE8F5}">
  <dimension ref="A1"/>
  <sheetViews>
    <sheetView workbookViewId="0"/>
  </sheetViews>
  <sheetFormatPr baseColWidth="10" defaultRowHeight="16"/>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83"/>
  <sheetViews>
    <sheetView zoomScale="75" workbookViewId="0">
      <selection activeCell="B4" sqref="B4"/>
    </sheetView>
  </sheetViews>
  <sheetFormatPr baseColWidth="10" defaultRowHeight="16"/>
  <cols>
    <col min="2" max="2" width="15" customWidth="1"/>
    <col min="3" max="3" width="18" customWidth="1"/>
    <col min="4" max="4" width="17.6640625" customWidth="1"/>
    <col min="5" max="5" width="17.83203125" customWidth="1"/>
    <col min="6" max="6" width="17.5" customWidth="1"/>
    <col min="8" max="8" width="15.33203125" customWidth="1"/>
    <col min="9" max="9" width="16.83203125" customWidth="1"/>
    <col min="10" max="11" width="11.5" bestFit="1" customWidth="1"/>
  </cols>
  <sheetData>
    <row r="1" spans="1:11">
      <c r="B1" t="s">
        <v>28</v>
      </c>
      <c r="H1" t="s">
        <v>29</v>
      </c>
    </row>
    <row r="2" spans="1:11">
      <c r="A2" t="s">
        <v>90</v>
      </c>
      <c r="B2" t="s">
        <v>24</v>
      </c>
      <c r="D2" t="s">
        <v>26</v>
      </c>
      <c r="G2" t="s">
        <v>90</v>
      </c>
      <c r="H2" t="s">
        <v>24</v>
      </c>
      <c r="J2" t="s">
        <v>26</v>
      </c>
    </row>
    <row r="3" spans="1:11">
      <c r="A3" t="s">
        <v>91</v>
      </c>
      <c r="B3" t="s">
        <v>96</v>
      </c>
      <c r="C3" t="s">
        <v>97</v>
      </c>
      <c r="D3" t="s">
        <v>98</v>
      </c>
      <c r="E3" t="s">
        <v>99</v>
      </c>
      <c r="G3" t="s">
        <v>91</v>
      </c>
      <c r="H3" t="s">
        <v>96</v>
      </c>
      <c r="I3" t="s">
        <v>97</v>
      </c>
      <c r="J3" t="s">
        <v>98</v>
      </c>
      <c r="K3" t="s">
        <v>99</v>
      </c>
    </row>
    <row r="4" spans="1:11">
      <c r="A4">
        <v>2018</v>
      </c>
      <c r="B4" s="5">
        <f>'DB pension'!E11-'DC pension'!D10</f>
        <v>11452.020017406441</v>
      </c>
      <c r="C4" s="5">
        <f>'DB pension'!F11-'DC pension'!D10</f>
        <v>15143.06757634828</v>
      </c>
      <c r="D4" s="5">
        <f>'DB pension'!G11-'DC pension'!D10</f>
        <v>11452.020017406441</v>
      </c>
      <c r="E4" s="5">
        <f>'DB pension'!H11-'DC pension'!D10</f>
        <v>13405.32589392849</v>
      </c>
      <c r="F4" s="5"/>
      <c r="G4">
        <v>2018</v>
      </c>
      <c r="H4" s="5">
        <f>'DB pension'!$C11-'DC pension'!F10</f>
        <v>297.45373333333339</v>
      </c>
      <c r="I4" s="5">
        <f>'DB pension'!$C11-'DC pension'!G10</f>
        <v>343.68608333333339</v>
      </c>
      <c r="J4" s="5">
        <f>'DB pension'!$C11-'DC pension'!H10</f>
        <v>297.45373333333339</v>
      </c>
      <c r="K4" s="5">
        <f>'DB pension'!$C11-'DC pension'!I10</f>
        <v>323.9516333333334</v>
      </c>
    </row>
    <row r="5" spans="1:11">
      <c r="A5">
        <f>A4+1</f>
        <v>2019</v>
      </c>
      <c r="B5" s="5">
        <f>'DB pension'!E12-'DC pension'!D11</f>
        <v>23757.067441688421</v>
      </c>
      <c r="C5" s="5">
        <f>'DB pension'!F12-'DC pension'!D11</f>
        <v>31324.822251786871</v>
      </c>
      <c r="D5" s="5">
        <f>'DB pension'!G12-'DC pension'!D11</f>
        <v>23757.067441688421</v>
      </c>
      <c r="E5" s="5">
        <f>'DB pension'!H12-'DC pension'!D11</f>
        <v>27761.930480321564</v>
      </c>
      <c r="F5" s="5"/>
      <c r="G5">
        <f>G4+1</f>
        <v>2019</v>
      </c>
      <c r="H5" s="5">
        <f>'DB pension'!$C12-'DC pension'!F11</f>
        <v>610.81330365845656</v>
      </c>
      <c r="I5" s="5">
        <f>'DB pension'!$C12-'DC pension'!G11</f>
        <v>702.58110222495907</v>
      </c>
      <c r="J5" s="5">
        <f>'DB pension'!$C12-'DC pension'!H11</f>
        <v>610.81330365845656</v>
      </c>
      <c r="K5" s="5">
        <f>'DB pension'!$C12-'DC pension'!I11</f>
        <v>663.40967718555021</v>
      </c>
    </row>
    <row r="6" spans="1:11">
      <c r="A6">
        <f t="shared" ref="A6:A52" si="0">A5+1</f>
        <v>2020</v>
      </c>
      <c r="B6" s="5">
        <f>'DB pension'!E13-'DC pension'!D12</f>
        <v>38105.025407651439</v>
      </c>
      <c r="C6" s="5">
        <f>'DB pension'!F13-'DC pension'!D12</f>
        <v>46374.673609868652</v>
      </c>
      <c r="D6" s="5">
        <f>'DB pension'!G13-'DC pension'!D12</f>
        <v>38105.025407651439</v>
      </c>
      <c r="E6" s="5">
        <f>'DB pension'!H13-'DC pension'!D12</f>
        <v>41714.495253744535</v>
      </c>
      <c r="F6" s="5"/>
      <c r="G6">
        <f t="shared" ref="G6:G52" si="1">G5+1</f>
        <v>2020</v>
      </c>
      <c r="H6" s="5">
        <f>'DB pension'!$C13-'DC pension'!F12</f>
        <v>956.09861486374541</v>
      </c>
      <c r="I6" s="5">
        <f>'DB pension'!$C13-'DC pension'!G12</f>
        <v>1054.3893656057887</v>
      </c>
      <c r="J6" s="5">
        <f>'DB pension'!$C13-'DC pension'!H12</f>
        <v>956.09861486374541</v>
      </c>
      <c r="K6" s="5">
        <f>'DB pension'!$C13-'DC pension'!I12</f>
        <v>1002.0954007263173</v>
      </c>
    </row>
    <row r="7" spans="1:11">
      <c r="A7">
        <f t="shared" si="0"/>
        <v>2021</v>
      </c>
      <c r="B7" s="5">
        <f>'DB pension'!E14-'DC pension'!D13</f>
        <v>52648.044409548922</v>
      </c>
      <c r="C7" s="5">
        <f>'DB pension'!F14-'DC pension'!D13</f>
        <v>63952.289576930911</v>
      </c>
      <c r="D7" s="5">
        <f>'DB pension'!G14-'DC pension'!D13</f>
        <v>52648.044409548922</v>
      </c>
      <c r="E7" s="5">
        <f>'DB pension'!H14-'DC pension'!D13</f>
        <v>57582.030846066162</v>
      </c>
      <c r="F7" s="5"/>
      <c r="G7">
        <f t="shared" si="1"/>
        <v>2021</v>
      </c>
      <c r="H7" s="5">
        <f>'DB pension'!$C14-'DC pension'!F13</f>
        <v>1306.8324180749373</v>
      </c>
      <c r="I7" s="5">
        <f>'DB pension'!$C14-'DC pension'!G13</f>
        <v>1436.9126762365356</v>
      </c>
      <c r="J7" s="5">
        <f>'DB pension'!$C14-'DC pension'!H13</f>
        <v>1306.8324180749373</v>
      </c>
      <c r="K7" s="5">
        <f>'DB pension'!$C14-'DC pension'!I13</f>
        <v>1367.7056308079416</v>
      </c>
    </row>
    <row r="8" spans="1:11">
      <c r="A8">
        <f t="shared" si="0"/>
        <v>2022</v>
      </c>
      <c r="B8" s="5">
        <f>'DB pension'!E15-'DC pension'!D14</f>
        <v>68175.924338024372</v>
      </c>
      <c r="C8" s="5">
        <f>'DB pension'!F15-'DC pension'!D14</f>
        <v>82663.027919195825</v>
      </c>
      <c r="D8" s="5">
        <f>'DB pension'!G15-'DC pension'!D14</f>
        <v>68175.924338024372</v>
      </c>
      <c r="E8" s="5">
        <f>'DB pension'!H15-'DC pension'!D14</f>
        <v>74499.139335180575</v>
      </c>
      <c r="F8" s="5"/>
      <c r="G8">
        <f t="shared" si="1"/>
        <v>2022</v>
      </c>
      <c r="H8" s="5">
        <f>'DB pension'!$C15-'DC pension'!F14</f>
        <v>1673.8358431673328</v>
      </c>
      <c r="I8" s="5">
        <f>'DB pension'!$C15-'DC pension'!G14</f>
        <v>1835.2361009766191</v>
      </c>
      <c r="J8" s="5">
        <f>'DB pension'!$C15-'DC pension'!H14</f>
        <v>1673.8358431673328</v>
      </c>
      <c r="K8" s="5">
        <f>'DB pension'!$C15-'DC pension'!I14</f>
        <v>1749.3657688273886</v>
      </c>
    </row>
    <row r="9" spans="1:11">
      <c r="A9">
        <f t="shared" si="0"/>
        <v>2023</v>
      </c>
      <c r="B9" s="5">
        <f>'DB pension'!E16-'DC pension'!D15</f>
        <v>84729.381833547086</v>
      </c>
      <c r="C9" s="5">
        <f>'DB pension'!F16-'DC pension'!D15</f>
        <v>102553.45600890549</v>
      </c>
      <c r="D9" s="5">
        <f>'DB pension'!G16-'DC pension'!D15</f>
        <v>84729.381833547086</v>
      </c>
      <c r="E9" s="5">
        <f>'DB pension'!H16-'DC pension'!D15</f>
        <v>92509.091042124259</v>
      </c>
      <c r="F9" s="5"/>
      <c r="G9">
        <f t="shared" si="1"/>
        <v>2023</v>
      </c>
      <c r="H9" s="5">
        <f>'DB pension'!$C16-'DC pension'!F15</f>
        <v>2057.2701714246236</v>
      </c>
      <c r="I9" s="5">
        <f>'DB pension'!$C16-'DC pension'!G15</f>
        <v>2249.5311303901758</v>
      </c>
      <c r="J9" s="5">
        <f>'DB pension'!$C16-'DC pension'!H15</f>
        <v>2057.2701714246236</v>
      </c>
      <c r="K9" s="5">
        <f>'DB pension'!$C16-'DC pension'!I15</f>
        <v>2147.2418736703412</v>
      </c>
    </row>
    <row r="10" spans="1:11">
      <c r="A10">
        <f t="shared" si="0"/>
        <v>2024</v>
      </c>
      <c r="B10" s="5">
        <f>'DB pension'!E17-'DC pension'!D16</f>
        <v>102350.67750389296</v>
      </c>
      <c r="C10" s="5">
        <f>'DB pension'!F17-'DC pension'!D16</f>
        <v>123671.90097297971</v>
      </c>
      <c r="D10" s="5">
        <f>'DB pension'!G17-'DC pension'!D16</f>
        <v>102350.67750389296</v>
      </c>
      <c r="E10" s="5">
        <f>'DB pension'!H17-'DC pension'!D16</f>
        <v>111656.79444038459</v>
      </c>
      <c r="F10" s="5"/>
      <c r="G10">
        <f t="shared" si="1"/>
        <v>2024</v>
      </c>
      <c r="H10" s="5">
        <f>'DB pension'!$C17-'DC pension'!F16</f>
        <v>2457.303295367245</v>
      </c>
      <c r="I10" s="5">
        <f>'DB pension'!$C17-'DC pension'!G16</f>
        <v>2679.9756661275756</v>
      </c>
      <c r="J10" s="5">
        <f>'DB pension'!$C17-'DC pension'!H16</f>
        <v>2457.303295367245</v>
      </c>
      <c r="K10" s="5">
        <f>'DB pension'!$C17-'DC pension'!I16</f>
        <v>2561.506521795478</v>
      </c>
    </row>
    <row r="11" spans="1:11">
      <c r="A11">
        <f t="shared" si="0"/>
        <v>2025</v>
      </c>
      <c r="B11" s="5">
        <f>'DB pension'!E18-'DC pension'!D17</f>
        <v>121083.67216321861</v>
      </c>
      <c r="C11" s="5">
        <f>'DB pension'!F18-'DC pension'!D17</f>
        <v>146068.51368823237</v>
      </c>
      <c r="D11" s="5">
        <f>'DB pension'!G18-'DC pension'!D17</f>
        <v>121083.67216321861</v>
      </c>
      <c r="E11" s="5">
        <f>'DB pension'!H18-'DC pension'!D17</f>
        <v>131988.85578031279</v>
      </c>
      <c r="F11" s="5"/>
      <c r="G11">
        <f t="shared" si="1"/>
        <v>2025</v>
      </c>
      <c r="H11" s="5">
        <f>'DB pension'!$C18-'DC pension'!F17</f>
        <v>2874.1097837741922</v>
      </c>
      <c r="I11" s="5">
        <f>'DB pension'!$C18-'DC pension'!G17</f>
        <v>3126.7540899701253</v>
      </c>
      <c r="J11" s="5">
        <f>'DB pension'!$C18-'DC pension'!H17</f>
        <v>2874.1097837741922</v>
      </c>
      <c r="K11" s="5">
        <f>'DB pension'!$C18-'DC pension'!I17</f>
        <v>2992.3388741388626</v>
      </c>
    </row>
    <row r="12" spans="1:11">
      <c r="A12">
        <f t="shared" si="0"/>
        <v>2026</v>
      </c>
      <c r="B12" s="5">
        <f>'DB pension'!E19-'DC pension'!D18</f>
        <v>140973.88508628798</v>
      </c>
      <c r="C12" s="5">
        <f>'DB pension'!F19-'DC pension'!D18</f>
        <v>169795.33506761497</v>
      </c>
      <c r="D12" s="5">
        <f>'DB pension'!G19-'DC pension'!D18</f>
        <v>140973.88508628798</v>
      </c>
      <c r="E12" s="5">
        <f>'DB pension'!H19-'DC pension'!D18</f>
        <v>153553.64084910124</v>
      </c>
      <c r="F12" s="5"/>
      <c r="G12">
        <f t="shared" si="1"/>
        <v>2026</v>
      </c>
      <c r="H12" s="5">
        <f>'DB pension'!$C19-'DC pension'!F18</f>
        <v>3307.8709493518359</v>
      </c>
      <c r="I12" s="5">
        <f>'DB pension'!$C19-'DC pension'!G18</f>
        <v>3590.0573354414114</v>
      </c>
      <c r="J12" s="5">
        <f>'DB pension'!$C19-'DC pension'!H18</f>
        <v>3307.8709493518359</v>
      </c>
      <c r="K12" s="5">
        <f>'DB pension'!$C19-'DC pension'!I18</f>
        <v>3439.9247456277371</v>
      </c>
    </row>
    <row r="13" spans="1:11">
      <c r="A13">
        <f t="shared" si="0"/>
        <v>2027</v>
      </c>
      <c r="B13" s="5">
        <f>'DB pension'!E20-'DC pension'!D19</f>
        <v>152774.05597774399</v>
      </c>
      <c r="C13" s="5">
        <f>'DB pension'!F20-'DC pension'!D19</f>
        <v>186254.14503576956</v>
      </c>
      <c r="D13" s="5">
        <f>'DB pension'!G20-'DC pension'!D19</f>
        <v>152774.05597774399</v>
      </c>
      <c r="E13" s="5">
        <f>'DB pension'!H20-'DC pension'!D19</f>
        <v>168518.5172052409</v>
      </c>
      <c r="F13" s="5"/>
      <c r="G13">
        <f t="shared" si="1"/>
        <v>2027</v>
      </c>
      <c r="H13" s="5">
        <f>'DB pension'!$C20-'DC pension'!F19</f>
        <v>3654.7165203223963</v>
      </c>
      <c r="I13" s="5">
        <f>'DB pension'!$C20-'DC pension'!G19</f>
        <v>3995.5077762396731</v>
      </c>
      <c r="J13" s="5">
        <f>'DB pension'!$C20-'DC pension'!H19</f>
        <v>3654.7165203223963</v>
      </c>
      <c r="K13" s="5">
        <f>'DB pension'!$C20-'DC pension'!I19</f>
        <v>3826.4128782654516</v>
      </c>
    </row>
    <row r="14" spans="1:11">
      <c r="A14">
        <f t="shared" si="0"/>
        <v>2028</v>
      </c>
      <c r="B14" s="5">
        <f>'DB pension'!E21-'DC pension'!D20</f>
        <v>139676.68209228391</v>
      </c>
      <c r="C14" s="5">
        <f>'DB pension'!F21-'DC pension'!D20</f>
        <v>172516.17843346589</v>
      </c>
      <c r="D14" s="5">
        <f>'DB pension'!G21-'DC pension'!D20</f>
        <v>139676.68209228391</v>
      </c>
      <c r="E14" s="5">
        <f>'DB pension'!H21-'DC pension'!D20</f>
        <v>155119.89599706663</v>
      </c>
      <c r="F14" s="5"/>
      <c r="G14">
        <f t="shared" si="1"/>
        <v>2028</v>
      </c>
      <c r="H14" s="5">
        <f>'DB pension'!$C21-'DC pension'!F20</f>
        <v>3669.2537289716092</v>
      </c>
      <c r="I14" s="5">
        <f>'DB pension'!$C21-'DC pension'!G20</f>
        <v>4097.30769063762</v>
      </c>
      <c r="J14" s="5">
        <f>'DB pension'!$C21-'DC pension'!H20</f>
        <v>3669.2537289716092</v>
      </c>
      <c r="K14" s="5">
        <f>'DB pension'!$C21-'DC pension'!I20</f>
        <v>3884.9145035514312</v>
      </c>
    </row>
    <row r="15" spans="1:11">
      <c r="A15">
        <f t="shared" si="0"/>
        <v>2029</v>
      </c>
      <c r="B15" s="5">
        <f>'DB pension'!E22-'DC pension'!D21</f>
        <v>154357.78622739002</v>
      </c>
      <c r="C15" s="5">
        <f>'DB pension'!F22-'DC pension'!D21</f>
        <v>191095.67927588892</v>
      </c>
      <c r="D15" s="5">
        <f>'DB pension'!G22-'DC pension'!D21</f>
        <v>154357.78622739002</v>
      </c>
      <c r="E15" s="5">
        <f>'DB pension'!H22-'DC pension'!D21</f>
        <v>171634.27350553134</v>
      </c>
      <c r="F15" s="5"/>
      <c r="G15">
        <f t="shared" si="1"/>
        <v>2029</v>
      </c>
      <c r="H15" s="5">
        <f>'DB pension'!$C22-'DC pension'!F21</f>
        <v>3996.8934060047645</v>
      </c>
      <c r="I15" s="5">
        <f>'DB pension'!$C22-'DC pension'!G21</f>
        <v>4474.6287096154483</v>
      </c>
      <c r="J15" s="5">
        <f>'DB pension'!$C22-'DC pension'!H21</f>
        <v>3996.8934060047645</v>
      </c>
      <c r="K15" s="5">
        <f>'DB pension'!$C22-'DC pension'!I21</f>
        <v>4237.5844749994594</v>
      </c>
    </row>
    <row r="16" spans="1:11">
      <c r="A16">
        <f t="shared" si="0"/>
        <v>2030</v>
      </c>
      <c r="B16" s="5">
        <f>'DB pension'!E23-'DC pension'!D22</f>
        <v>169685.85129264649</v>
      </c>
      <c r="C16" s="5">
        <f>'DB pension'!F23-'DC pension'!D22</f>
        <v>210500.84188952763</v>
      </c>
      <c r="D16" s="5">
        <f>'DB pension'!G23-'DC pension'!D22</f>
        <v>169685.85129264649</v>
      </c>
      <c r="E16" s="5">
        <f>'DB pension'!H23-'DC pension'!D22</f>
        <v>188879.64841306378</v>
      </c>
      <c r="F16" s="5"/>
      <c r="G16">
        <f t="shared" si="1"/>
        <v>2030</v>
      </c>
      <c r="H16" s="5">
        <f>'DB pension'!$C23-'DC pension'!F22</f>
        <v>4332.1961683420168</v>
      </c>
      <c r="I16" s="5">
        <f>'DB pension'!$C23-'DC pension'!G22</f>
        <v>4860.4668551114964</v>
      </c>
      <c r="J16" s="5">
        <f>'DB pension'!$C23-'DC pension'!H22</f>
        <v>4332.1961683420168</v>
      </c>
      <c r="K16" s="5">
        <f>'DB pension'!$C23-'DC pension'!I22</f>
        <v>4598.3478120579375</v>
      </c>
    </row>
    <row r="17" spans="1:11">
      <c r="A17">
        <f t="shared" si="0"/>
        <v>2031</v>
      </c>
      <c r="B17" s="5">
        <f>'DB pension'!E24-'DC pension'!D23</f>
        <v>185298.40624938218</v>
      </c>
      <c r="C17" s="5">
        <f>'DB pension'!F24-'DC pension'!D23</f>
        <v>230285.425650044</v>
      </c>
      <c r="D17" s="5">
        <f>'DB pension'!G24-'DC pension'!D23</f>
        <v>185298.40624938218</v>
      </c>
      <c r="E17" s="5">
        <f>'DB pension'!H24-'DC pension'!D23</f>
        <v>206454.15590903204</v>
      </c>
      <c r="F17" s="5"/>
      <c r="G17">
        <f t="shared" si="1"/>
        <v>2031</v>
      </c>
      <c r="H17" s="5">
        <f>'DB pension'!$C24-'DC pension'!F23</f>
        <v>4665.4929724564472</v>
      </c>
      <c r="I17" s="5">
        <f>'DB pension'!$C24-'DC pension'!G23</f>
        <v>5244.056159540396</v>
      </c>
      <c r="J17" s="5">
        <f>'DB pension'!$C24-'DC pension'!H23</f>
        <v>4665.4929724564472</v>
      </c>
      <c r="K17" s="5">
        <f>'DB pension'!$C24-'DC pension'!I23</f>
        <v>4956.9828224376724</v>
      </c>
    </row>
    <row r="18" spans="1:11">
      <c r="A18">
        <f t="shared" si="0"/>
        <v>2032</v>
      </c>
      <c r="B18" s="5">
        <f>'DB pension'!E25-'DC pension'!D24</f>
        <v>201280.67597989045</v>
      </c>
      <c r="C18" s="5">
        <f>'DB pension'!F25-'DC pension'!D24</f>
        <v>250555.70167556207</v>
      </c>
      <c r="D18" s="5">
        <f>'DB pension'!G25-'DC pension'!D24</f>
        <v>201280.67597989045</v>
      </c>
      <c r="E18" s="5">
        <f>'DB pension'!H25-'DC pension'!D24</f>
        <v>224452.91815059772</v>
      </c>
      <c r="F18" s="5"/>
      <c r="G18">
        <f t="shared" si="1"/>
        <v>2032</v>
      </c>
      <c r="H18" s="5">
        <f>'DB pension'!$C25-'DC pension'!F24</f>
        <v>4998.7826810584693</v>
      </c>
      <c r="I18" s="5">
        <f>'DB pension'!$C25-'DC pension'!G24</f>
        <v>5627.6392605030724</v>
      </c>
      <c r="J18" s="5">
        <f>'DB pension'!$C25-'DC pension'!H24</f>
        <v>4998.7826810584693</v>
      </c>
      <c r="K18" s="5">
        <f>'DB pension'!$C25-'DC pension'!I24</f>
        <v>5315.6111867328491</v>
      </c>
    </row>
    <row r="19" spans="1:11">
      <c r="A19">
        <f t="shared" si="0"/>
        <v>2033</v>
      </c>
      <c r="B19" s="5">
        <f>'DB pension'!E26-'DC pension'!D25</f>
        <v>217638.09760764567</v>
      </c>
      <c r="C19" s="5">
        <f>'DB pension'!F26-'DC pension'!D25</f>
        <v>271319.64770781231</v>
      </c>
      <c r="D19" s="5">
        <f>'DB pension'!G26-'DC pension'!D25</f>
        <v>217638.09760764567</v>
      </c>
      <c r="E19" s="5">
        <f>'DB pension'!H26-'DC pension'!D25</f>
        <v>242882.56702106871</v>
      </c>
      <c r="F19" s="5"/>
      <c r="G19">
        <f t="shared" si="1"/>
        <v>2033</v>
      </c>
      <c r="H19" s="5">
        <f>'DB pension'!$C26-'DC pension'!F25</f>
        <v>5331.9895895987775</v>
      </c>
      <c r="I19" s="5">
        <f>'DB pension'!$C26-'DC pension'!G25</f>
        <v>6011.1499710087228</v>
      </c>
      <c r="J19" s="5">
        <f>'DB pension'!$C26-'DC pension'!H25</f>
        <v>5331.9895895987775</v>
      </c>
      <c r="K19" s="5">
        <f>'DB pension'!$C26-'DC pension'!I25</f>
        <v>5674.1619954999715</v>
      </c>
    </row>
    <row r="20" spans="1:11">
      <c r="A20">
        <f t="shared" si="0"/>
        <v>2034</v>
      </c>
      <c r="B20" s="5">
        <f>'DB pension'!E27-'DC pension'!D26</f>
        <v>234376.11436214624</v>
      </c>
      <c r="C20" s="5">
        <f>'DB pension'!F27-'DC pension'!D26</f>
        <v>292585.29771816102</v>
      </c>
      <c r="D20" s="5">
        <f>'DB pension'!G27-'DC pension'!D26</f>
        <v>234376.11436214624</v>
      </c>
      <c r="E20" s="5">
        <f>'DB pension'!H27-'DC pension'!D26</f>
        <v>261749.764081078</v>
      </c>
      <c r="F20" s="5"/>
      <c r="G20">
        <f t="shared" si="1"/>
        <v>2034</v>
      </c>
      <c r="H20" s="5">
        <f>'DB pension'!$C27-'DC pension'!F26</f>
        <v>5665.0381413565619</v>
      </c>
      <c r="I20" s="5">
        <f>'DB pension'!$C27-'DC pension'!G26</f>
        <v>6394.5222333100746</v>
      </c>
      <c r="J20" s="5">
        <f>'DB pension'!$C27-'DC pension'!H26</f>
        <v>5665.0381413565619</v>
      </c>
      <c r="K20" s="5">
        <f>'DB pension'!$C27-'DC pension'!I26</f>
        <v>6032.5644777606221</v>
      </c>
    </row>
    <row r="21" spans="1:11">
      <c r="A21">
        <f t="shared" si="0"/>
        <v>2035</v>
      </c>
      <c r="B21" s="5">
        <f>'DB pension'!E28-'DC pension'!D27</f>
        <v>251500.17247172978</v>
      </c>
      <c r="C21" s="5">
        <f>'DB pension'!F28-'DC pension'!D27</f>
        <v>314360.73973249586</v>
      </c>
      <c r="D21" s="5">
        <f>'DB pension'!G28-'DC pension'!D27</f>
        <v>251500.17247172978</v>
      </c>
      <c r="E21" s="5">
        <f>'DB pension'!H28-'DC pension'!D27</f>
        <v>281061.1978997176</v>
      </c>
      <c r="F21" s="5"/>
      <c r="G21">
        <f t="shared" si="1"/>
        <v>2035</v>
      </c>
      <c r="H21" s="5">
        <f>'DB pension'!$C28-'DC pension'!F27</f>
        <v>5997.8529128189348</v>
      </c>
      <c r="I21" s="5">
        <f>'DB pension'!$C28-'DC pension'!G27</f>
        <v>6777.6901061209082</v>
      </c>
      <c r="J21" s="5">
        <f>'DB pension'!$C28-'DC pension'!H27</f>
        <v>5997.8529128189348</v>
      </c>
      <c r="K21" s="5">
        <f>'DB pension'!$C28-'DC pension'!I27</f>
        <v>6390.7479873069515</v>
      </c>
    </row>
    <row r="22" spans="1:11">
      <c r="A22">
        <f t="shared" si="0"/>
        <v>2036</v>
      </c>
      <c r="B22" s="5">
        <f>'DB pension'!E29-'DC pension'!D28</f>
        <v>269015.71790392412</v>
      </c>
      <c r="C22" s="5">
        <f>'DB pension'!F29-'DC pension'!D28</f>
        <v>336654.11352032895</v>
      </c>
      <c r="D22" s="5">
        <f>'DB pension'!G29-'DC pension'!D28</f>
        <v>269015.71790392412</v>
      </c>
      <c r="E22" s="5">
        <f>'DB pension'!H29-'DC pension'!D28</f>
        <v>300823.58124105289</v>
      </c>
      <c r="F22" s="5"/>
      <c r="G22">
        <f t="shared" si="1"/>
        <v>2036</v>
      </c>
      <c r="H22" s="5">
        <f>'DB pension'!$C29-'DC pension'!F28</f>
        <v>6330.3585991171431</v>
      </c>
      <c r="I22" s="5">
        <f>'DB pension'!$C29-'DC pension'!G28</f>
        <v>7160.5877518832258</v>
      </c>
      <c r="J22" s="5">
        <f>'DB pension'!$C29-'DC pension'!H28</f>
        <v>6330.3585991171431</v>
      </c>
      <c r="K22" s="5">
        <f>'DB pension'!$C29-'DC pension'!I28</f>
        <v>6748.6419890603593</v>
      </c>
    </row>
    <row r="23" spans="1:11">
      <c r="A23">
        <f t="shared" si="0"/>
        <v>2037</v>
      </c>
      <c r="B23" s="5">
        <f>'DB pension'!E30-'DC pension'!D29</f>
        <v>286928.19294783601</v>
      </c>
      <c r="C23" s="5">
        <f>'DB pension'!F30-'DC pension'!D29</f>
        <v>359473.60814291483</v>
      </c>
      <c r="D23" s="5">
        <f>'DB pension'!G30-'DC pension'!D29</f>
        <v>286928.19294783601</v>
      </c>
      <c r="E23" s="5">
        <f>'DB pension'!H30-'DC pension'!D29</f>
        <v>321043.64810065879</v>
      </c>
      <c r="F23" s="5"/>
      <c r="G23">
        <f t="shared" si="1"/>
        <v>2037</v>
      </c>
      <c r="H23" s="5">
        <f>'DB pension'!$C30-'DC pension'!F29</f>
        <v>6662.4799995167068</v>
      </c>
      <c r="I23" s="5">
        <f>'DB pension'!$C30-'DC pension'!G29</f>
        <v>7543.1494240815655</v>
      </c>
      <c r="J23" s="5">
        <f>'DB pension'!$C30-'DC pension'!H29</f>
        <v>6662.4799995167068</v>
      </c>
      <c r="K23" s="5">
        <f>'DB pension'!$C30-'DC pension'!I29</f>
        <v>7106.1760454806808</v>
      </c>
    </row>
    <row r="24" spans="1:11">
      <c r="A24">
        <f t="shared" si="0"/>
        <v>2038</v>
      </c>
      <c r="B24" s="5">
        <f>'DB pension'!E31-'DC pension'!D30</f>
        <v>305243.03263290756</v>
      </c>
      <c r="C24" s="5">
        <f>'DB pension'!F31-'DC pension'!D30</f>
        <v>382827.45935500698</v>
      </c>
      <c r="D24" s="5">
        <f>'DB pension'!G31-'DC pension'!D30</f>
        <v>305243.03263290756</v>
      </c>
      <c r="E24" s="5">
        <f>'DB pension'!H31-'DC pension'!D30</f>
        <v>341728.15058664413</v>
      </c>
      <c r="F24" s="5"/>
      <c r="G24">
        <f t="shared" si="1"/>
        <v>2038</v>
      </c>
      <c r="H24" s="5">
        <f>'DB pension'!$C31-'DC pension'!F30</f>
        <v>6994.1420029585861</v>
      </c>
      <c r="I24" s="5">
        <f>'DB pension'!$C31-'DC pension'!G30</f>
        <v>7925.3094546019292</v>
      </c>
      <c r="J24" s="5">
        <f>'DB pension'!$C31-'DC pension'!H30</f>
        <v>6994.1420029585861</v>
      </c>
      <c r="K24" s="5">
        <f>'DB pension'!$C31-'DC pension'!I30</f>
        <v>7463.2798030231716</v>
      </c>
    </row>
    <row r="25" spans="1:11">
      <c r="A25">
        <f t="shared" si="0"/>
        <v>2039</v>
      </c>
      <c r="B25" s="5">
        <f>'DB pension'!E32-'DC pension'!D31</f>
        <v>327018.12761963258</v>
      </c>
      <c r="C25" s="5">
        <f>'DB pension'!F32-'DC pension'!D31</f>
        <v>409776.41349614441</v>
      </c>
      <c r="D25" s="5">
        <f>'DB pension'!G32-'DC pension'!D31</f>
        <v>327018.12761963258</v>
      </c>
      <c r="E25" s="5">
        <f>'DB pension'!H32-'DC pension'!D31</f>
        <v>365936.32228090108</v>
      </c>
      <c r="F25" s="5"/>
      <c r="G25">
        <f t="shared" si="1"/>
        <v>2039</v>
      </c>
      <c r="H25" s="5">
        <f>'DB pension'!$C32-'DC pension'!F31</f>
        <v>7405.5391282737401</v>
      </c>
      <c r="I25" s="5">
        <f>'DB pension'!$C32-'DC pension'!G31</f>
        <v>8377.1803258387536</v>
      </c>
      <c r="J25" s="5">
        <f>'DB pension'!$C32-'DC pension'!H31</f>
        <v>7405.5391282737401</v>
      </c>
      <c r="K25" s="5">
        <f>'DB pension'!$C32-'DC pension'!I31</f>
        <v>7895.0682812454261</v>
      </c>
    </row>
    <row r="26" spans="1:11">
      <c r="A26">
        <f t="shared" si="0"/>
        <v>2040</v>
      </c>
      <c r="B26" s="5">
        <f>'DB pension'!E33-'DC pension'!D32</f>
        <v>349472.34384783683</v>
      </c>
      <c r="C26" s="5">
        <f>'DB pension'!F33-'DC pension'!D32</f>
        <v>437542.24815738085</v>
      </c>
      <c r="D26" s="5">
        <f>'DB pension'!G33-'DC pension'!D32</f>
        <v>349472.34384783683</v>
      </c>
      <c r="E26" s="5">
        <f>'DB pension'!H33-'DC pension'!D32</f>
        <v>390888.39836632367</v>
      </c>
      <c r="F26" s="5"/>
      <c r="G26">
        <f t="shared" si="1"/>
        <v>2040</v>
      </c>
      <c r="H26" s="5">
        <f>'DB pension'!$C33-'DC pension'!F32</f>
        <v>7820.8438927387215</v>
      </c>
      <c r="I26" s="5">
        <f>'DB pension'!$C33-'DC pension'!G32</f>
        <v>8832.467568731523</v>
      </c>
      <c r="J26" s="5">
        <f>'DB pension'!$C33-'DC pension'!H32</f>
        <v>7820.8438927387215</v>
      </c>
      <c r="K26" s="5">
        <f>'DB pension'!$C33-'DC pension'!I32</f>
        <v>8330.5168898037973</v>
      </c>
    </row>
    <row r="27" spans="1:11">
      <c r="A27">
        <f t="shared" si="0"/>
        <v>2041</v>
      </c>
      <c r="B27" s="5">
        <f>'DB pension'!E34-'DC pension'!D33</f>
        <v>372621.58493859897</v>
      </c>
      <c r="C27" s="5">
        <f>'DB pension'!F34-'DC pension'!D33</f>
        <v>466143.83561984397</v>
      </c>
      <c r="D27" s="5">
        <f>'DB pension'!G34-'DC pension'!D33</f>
        <v>372621.58493859897</v>
      </c>
      <c r="E27" s="5">
        <f>'DB pension'!H34-'DC pension'!D33</f>
        <v>416601.67851622164</v>
      </c>
      <c r="F27" s="5"/>
      <c r="G27">
        <f t="shared" si="1"/>
        <v>2041</v>
      </c>
      <c r="H27" s="5">
        <f>'DB pension'!$C34-'DC pension'!F33</f>
        <v>8239.9968730384098</v>
      </c>
      <c r="I27" s="5">
        <f>'DB pension'!$C34-'DC pension'!G33</f>
        <v>9291.1192306506036</v>
      </c>
      <c r="J27" s="5">
        <f>'DB pension'!$C34-'DC pension'!H33</f>
        <v>8239.9968730384098</v>
      </c>
      <c r="K27" s="5">
        <f>'DB pension'!$C34-'DC pension'!I33</f>
        <v>8769.5699692399721</v>
      </c>
    </row>
    <row r="28" spans="1:11">
      <c r="A28">
        <f t="shared" si="0"/>
        <v>2042</v>
      </c>
      <c r="B28" s="5">
        <f>'DB pension'!E35-'DC pension'!D34</f>
        <v>396482.07770381385</v>
      </c>
      <c r="C28" s="5">
        <f>'DB pension'!F35-'DC pension'!D34</f>
        <v>495600.42941944132</v>
      </c>
      <c r="D28" s="5">
        <f>'DB pension'!G35-'DC pension'!D34</f>
        <v>396482.07770381385</v>
      </c>
      <c r="E28" s="5">
        <f>'DB pension'!H35-'DC pension'!D34</f>
        <v>443093.81290008005</v>
      </c>
      <c r="F28" s="5"/>
      <c r="G28">
        <f t="shared" si="1"/>
        <v>2042</v>
      </c>
      <c r="H28" s="5">
        <f>'DB pension'!$C35-'DC pension'!F34</f>
        <v>8662.9395207343496</v>
      </c>
      <c r="I28" s="5">
        <f>'DB pension'!$C35-'DC pension'!G34</f>
        <v>9753.0841238537396</v>
      </c>
      <c r="J28" s="5">
        <f>'DB pension'!$C35-'DC pension'!H34</f>
        <v>8662.9395207343496</v>
      </c>
      <c r="K28" s="5">
        <f>'DB pension'!$C35-'DC pension'!I34</f>
        <v>9212.1726795578597</v>
      </c>
    </row>
    <row r="29" spans="1:11">
      <c r="A29">
        <f t="shared" si="0"/>
        <v>2043</v>
      </c>
      <c r="B29" s="5">
        <f>'DB pension'!E36-'DC pension'!D35</f>
        <v>421070.37824463908</v>
      </c>
      <c r="C29" s="5">
        <f>'DB pension'!F36-'DC pension'!D35</f>
        <v>525931.67151927692</v>
      </c>
      <c r="D29" s="5">
        <f>'DB pension'!G36-'DC pension'!D35</f>
        <v>421070.37824463908</v>
      </c>
      <c r="E29" s="5">
        <f>'DB pension'!H36-'DC pension'!D35</f>
        <v>470382.80878705293</v>
      </c>
      <c r="F29" s="5"/>
      <c r="G29">
        <f t="shared" si="1"/>
        <v>2043</v>
      </c>
      <c r="H29" s="5">
        <f>'DB pension'!$C36-'DC pension'!F35</f>
        <v>9089.614149329047</v>
      </c>
      <c r="I29" s="5">
        <f>'DB pension'!$C36-'DC pension'!G35</f>
        <v>10218.311814176614</v>
      </c>
      <c r="J29" s="5">
        <f>'DB pension'!$C36-'DC pension'!H35</f>
        <v>9089.614149329047</v>
      </c>
      <c r="K29" s="5">
        <f>'DB pension'!$C36-'DC pension'!I35</f>
        <v>9658.2709881072115</v>
      </c>
    </row>
    <row r="30" spans="1:11">
      <c r="A30">
        <f t="shared" si="0"/>
        <v>2044</v>
      </c>
      <c r="B30" s="5">
        <f>'DB pension'!E37-'DC pension'!D36</f>
        <v>446403.37815985258</v>
      </c>
      <c r="C30" s="5">
        <f>'DB pension'!F37-'DC pension'!D36</f>
        <v>557157.59961113543</v>
      </c>
      <c r="D30" s="5">
        <f>'DB pension'!G37-'DC pension'!D36</f>
        <v>446403.37815985258</v>
      </c>
      <c r="E30" s="5">
        <f>'DB pension'!H37-'DC pension'!D36</f>
        <v>498487.03726837959</v>
      </c>
      <c r="F30" s="5"/>
      <c r="G30">
        <f t="shared" si="1"/>
        <v>2044</v>
      </c>
      <c r="H30" s="5">
        <f>'DB pension'!$C37-'DC pension'!F36</f>
        <v>9519.9639215213974</v>
      </c>
      <c r="I30" s="5">
        <f>'DB pension'!$C37-'DC pension'!G36</f>
        <v>10686.752609890529</v>
      </c>
      <c r="J30" s="5">
        <f>'DB pension'!$C37-'DC pension'!H36</f>
        <v>9519.9639215213974</v>
      </c>
      <c r="K30" s="5">
        <f>'DB pension'!$C37-'DC pension'!I36</f>
        <v>10107.811657646304</v>
      </c>
    </row>
    <row r="31" spans="1:11">
      <c r="A31">
        <f t="shared" si="0"/>
        <v>2045</v>
      </c>
      <c r="B31" s="5">
        <f>'DB pension'!E38-'DC pension'!D37</f>
        <v>449989.43453541759</v>
      </c>
      <c r="C31" s="5">
        <f>'DB pension'!F38-'DC pension'!D37</f>
        <v>590426.25394482573</v>
      </c>
      <c r="D31" s="5">
        <f>'DB pension'!G38-'DC pension'!D37</f>
        <v>449989.43453541759</v>
      </c>
      <c r="E31" s="5">
        <f>'DB pension'!H38-'DC pension'!D37</f>
        <v>515605.36228821485</v>
      </c>
      <c r="F31" s="5"/>
      <c r="G31">
        <f t="shared" si="1"/>
        <v>2045</v>
      </c>
      <c r="H31" s="5">
        <f>'DB pension'!$C38-'DC pension'!F37</f>
        <v>9680.8819323379248</v>
      </c>
      <c r="I31" s="5">
        <f>'DB pension'!$C38-'DC pension'!G37</f>
        <v>11168.511014958878</v>
      </c>
      <c r="J31" s="5">
        <f>'DB pension'!$C38-'DC pension'!H37</f>
        <v>9680.8819323379248</v>
      </c>
      <c r="K31" s="5">
        <f>'DB pension'!$C38-'DC pension'!I37</f>
        <v>10436.742053264765</v>
      </c>
    </row>
    <row r="32" spans="1:11">
      <c r="A32">
        <f t="shared" si="0"/>
        <v>2046</v>
      </c>
      <c r="B32" s="5">
        <f>'DB pension'!E39-'DC pension'!D38</f>
        <v>475668.5663340718</v>
      </c>
      <c r="C32" s="5">
        <f>'DB pension'!F39-'DC pension'!D38</f>
        <v>623563.16754708439</v>
      </c>
      <c r="D32" s="5">
        <f>'DB pension'!G39-'DC pension'!D38</f>
        <v>475668.5663340718</v>
      </c>
      <c r="E32" s="5">
        <f>'DB pension'!H39-'DC pension'!D38</f>
        <v>544768.97396956175</v>
      </c>
      <c r="F32" s="5"/>
      <c r="G32">
        <f t="shared" si="1"/>
        <v>2046</v>
      </c>
      <c r="H32" s="5">
        <f>'DB pension'!$C39-'DC pension'!F38</f>
        <v>10109.984060923998</v>
      </c>
      <c r="I32" s="5">
        <f>'DB pension'!$C39-'DC pension'!G38</f>
        <v>11643.5453608876</v>
      </c>
      <c r="J32" s="5">
        <f>'DB pension'!$C39-'DC pension'!H38</f>
        <v>10109.984060923998</v>
      </c>
      <c r="K32" s="5">
        <f>'DB pension'!$C39-'DC pension'!I38</f>
        <v>10889.182211310361</v>
      </c>
    </row>
    <row r="33" spans="1:11">
      <c r="A33">
        <f t="shared" si="0"/>
        <v>2047</v>
      </c>
      <c r="B33" s="5">
        <f>'DB pension'!E40-'DC pension'!D39</f>
        <v>502114.35409816826</v>
      </c>
      <c r="C33" s="5">
        <f>'DB pension'!F40-'DC pension'!D39</f>
        <v>657658.8722845267</v>
      </c>
      <c r="D33" s="5">
        <f>'DB pension'!G40-'DC pension'!D39</f>
        <v>502114.35409816826</v>
      </c>
      <c r="E33" s="5">
        <f>'DB pension'!H40-'DC pension'!D39</f>
        <v>574789.01242908766</v>
      </c>
      <c r="F33" s="5"/>
      <c r="G33">
        <f t="shared" si="1"/>
        <v>2047</v>
      </c>
      <c r="H33" s="5">
        <f>'DB pension'!$C40-'DC pension'!F39</f>
        <v>10542.695820632258</v>
      </c>
      <c r="I33" s="5">
        <f>'DB pension'!$C40-'DC pension'!G39</f>
        <v>12121.644363068594</v>
      </c>
      <c r="J33" s="5">
        <f>'DB pension'!$C40-'DC pension'!H39</f>
        <v>10542.695820632258</v>
      </c>
      <c r="K33" s="5">
        <f>'DB pension'!$C40-'DC pension'!I39</f>
        <v>11344.955100291205</v>
      </c>
    </row>
    <row r="34" spans="1:11">
      <c r="A34">
        <f t="shared" si="0"/>
        <v>2048</v>
      </c>
      <c r="B34" s="5">
        <f>'DB pension'!E41-'DC pension'!D40</f>
        <v>529344.44086374261</v>
      </c>
      <c r="C34" s="5">
        <f>'DB pension'!F41-'DC pension'!D40</f>
        <v>692735.09724737413</v>
      </c>
      <c r="D34" s="5">
        <f>'DB pension'!G41-'DC pension'!D40</f>
        <v>529344.44086374261</v>
      </c>
      <c r="E34" s="5">
        <f>'DB pension'!H41-'DC pension'!D40</f>
        <v>605685.02981923625</v>
      </c>
      <c r="F34" s="5"/>
      <c r="G34">
        <f t="shared" si="1"/>
        <v>2048</v>
      </c>
      <c r="H34" s="5">
        <f>'DB pension'!$C41-'DC pension'!F40</f>
        <v>10978.962120566248</v>
      </c>
      <c r="I34" s="5">
        <f>'DB pension'!$C41-'DC pension'!G40</f>
        <v>12602.761248118501</v>
      </c>
      <c r="J34" s="5">
        <f>'DB pension'!$C41-'DC pension'!H40</f>
        <v>10978.962120566248</v>
      </c>
      <c r="K34" s="5">
        <f>'DB pension'!$C41-'DC pension'!I40</f>
        <v>11804.009855415672</v>
      </c>
    </row>
    <row r="35" spans="1:11">
      <c r="A35">
        <f t="shared" si="0"/>
        <v>2049</v>
      </c>
      <c r="B35" s="5">
        <f>'DB pension'!E42-'DC pension'!D41</f>
        <v>557376.82520506845</v>
      </c>
      <c r="C35" s="5">
        <f>'DB pension'!F42-'DC pension'!D41</f>
        <v>728814.00641529972</v>
      </c>
      <c r="D35" s="5">
        <f>'DB pension'!G42-'DC pension'!D41</f>
        <v>557376.82520506845</v>
      </c>
      <c r="E35" s="5">
        <f>'DB pension'!H42-'DC pension'!D41</f>
        <v>637476.97090574924</v>
      </c>
      <c r="F35" s="5"/>
      <c r="G35">
        <f t="shared" si="1"/>
        <v>2049</v>
      </c>
      <c r="H35" s="5">
        <f>'DB pension'!$C42-'DC pension'!F41</f>
        <v>11418.72868053913</v>
      </c>
      <c r="I35" s="5">
        <f>'DB pension'!$C42-'DC pension'!G41</f>
        <v>13086.849930964263</v>
      </c>
      <c r="J35" s="5">
        <f>'DB pension'!$C42-'DC pension'!H41</f>
        <v>11418.72868053913</v>
      </c>
      <c r="K35" s="5">
        <f>'DB pension'!$C42-'DC pension'!I41</f>
        <v>12266.296360411008</v>
      </c>
    </row>
    <row r="36" spans="1:11">
      <c r="A36" s="6">
        <f t="shared" si="0"/>
        <v>2050</v>
      </c>
      <c r="B36" s="5">
        <f>'DB pension'!E43-'DC pension'!D42</f>
        <v>586229.86790978233</v>
      </c>
      <c r="C36" s="5">
        <f>'DB pension'!F43-'DC pension'!D42</f>
        <v>765918.20679372456</v>
      </c>
      <c r="D36" s="5">
        <f>'DB pension'!G43-'DC pension'!D42</f>
        <v>586229.86790978233</v>
      </c>
      <c r="E36" s="5">
        <f>'DB pension'!H43-'DC pension'!D42</f>
        <v>670185.18042549049</v>
      </c>
      <c r="F36" s="5"/>
      <c r="G36" s="16">
        <f t="shared" si="1"/>
        <v>2050</v>
      </c>
      <c r="H36" s="5">
        <f>'DB pension'!$C43-'DC pension'!F42</f>
        <v>11861.942019085967</v>
      </c>
      <c r="I36" s="5">
        <f>'DB pension'!$C43-'DC pension'!G42</f>
        <v>13573.865004665297</v>
      </c>
      <c r="J36" s="5">
        <f>'DB pension'!$C43-'DC pension'!H42</f>
        <v>11861.942019085967</v>
      </c>
      <c r="K36" s="5">
        <f>'DB pension'!$C43-'DC pension'!I42</f>
        <v>12731.765236455221</v>
      </c>
    </row>
    <row r="37" spans="1:11">
      <c r="A37" s="6">
        <f t="shared" si="0"/>
        <v>2051</v>
      </c>
      <c r="B37" s="5">
        <f>'DB pension'!E44-'DC pension'!D43</f>
        <v>615922.2987739034</v>
      </c>
      <c r="C37" s="5">
        <f>'DB pension'!F44-'DC pension'!D43</f>
        <v>804070.75669599581</v>
      </c>
      <c r="D37" s="5">
        <f>'DB pension'!G44-'DC pension'!D43</f>
        <v>615922.2987739034</v>
      </c>
      <c r="E37" s="5">
        <f>'DB pension'!H44-'DC pension'!D43</f>
        <v>703830.41057630721</v>
      </c>
      <c r="F37" s="5"/>
      <c r="G37" s="16">
        <f t="shared" si="1"/>
        <v>2051</v>
      </c>
      <c r="H37" s="5">
        <f>'DB pension'!$C44-'DC pension'!F43</f>
        <v>12308.54944165316</v>
      </c>
      <c r="I37" s="5">
        <f>'DB pension'!$C44-'DC pension'!G43</f>
        <v>14063.761730386055</v>
      </c>
      <c r="J37" s="5">
        <f>'DB pension'!$C44-'DC pension'!H43</f>
        <v>12308.54944165316</v>
      </c>
      <c r="K37" s="5">
        <f>'DB pension'!$C44-'DC pension'!I43</f>
        <v>13200.367831272504</v>
      </c>
    </row>
    <row r="38" spans="1:11">
      <c r="A38" s="6">
        <f t="shared" si="0"/>
        <v>2052</v>
      </c>
      <c r="B38" s="5">
        <f>'DB pension'!E45-'DC pension'!D44</f>
        <v>646473.22351883689</v>
      </c>
      <c r="C38" s="5">
        <f>'DB pension'!F45-'DC pension'!D44</f>
        <v>843295.17417397478</v>
      </c>
      <c r="D38" s="5">
        <f>'DB pension'!G45-'DC pension'!D44</f>
        <v>646473.22351883689</v>
      </c>
      <c r="E38" s="5">
        <f>'DB pension'!H45-'DC pension'!D44</f>
        <v>738433.82864122128</v>
      </c>
      <c r="F38" s="5"/>
      <c r="G38" s="16">
        <f t="shared" si="1"/>
        <v>2052</v>
      </c>
      <c r="H38" s="5">
        <f>'DB pension'!$C45-'DC pension'!F44</f>
        <v>12758.499028962398</v>
      </c>
      <c r="I38" s="5">
        <f>'DB pension'!$C45-'DC pension'!G44</f>
        <v>14556.49602751678</v>
      </c>
      <c r="J38" s="5">
        <f>'DB pension'!$C45-'DC pension'!H44</f>
        <v>12758.499028962398</v>
      </c>
      <c r="K38" s="5">
        <f>'DB pension'!$C45-'DC pension'!I44</f>
        <v>13672.056208389826</v>
      </c>
    </row>
    <row r="39" spans="1:11">
      <c r="A39" s="6">
        <f t="shared" si="0"/>
        <v>2053</v>
      </c>
      <c r="B39" s="5">
        <f>'DB pension'!E46-'DC pension'!D45</f>
        <v>677902.13083248481</v>
      </c>
      <c r="C39" s="5">
        <f>'DB pension'!F46-'DC pension'!D45</f>
        <v>883615.44559962733</v>
      </c>
      <c r="D39" s="5">
        <f>'DB pension'!G46-'DC pension'!D45</f>
        <v>677902.13083248481</v>
      </c>
      <c r="E39" s="5">
        <f>'DB pension'!H46-'DC pension'!D45</f>
        <v>774017.02474929357</v>
      </c>
      <c r="F39" s="5"/>
      <c r="G39" s="6">
        <f t="shared" si="1"/>
        <v>2053</v>
      </c>
      <c r="H39" s="5">
        <f>'DB pension'!$C46-'DC pension'!F45</f>
        <v>13211.739625546585</v>
      </c>
      <c r="I39" s="5">
        <f>'DB pension'!$C46-'DC pension'!G45</f>
        <v>15052.02446394023</v>
      </c>
      <c r="J39" s="5">
        <f>'DB pension'!$C46-'DC pension'!H45</f>
        <v>13211.739625546585</v>
      </c>
      <c r="K39" s="5">
        <f>'DB pension'!$C46-'DC pension'!I45</f>
        <v>14146.783136552262</v>
      </c>
    </row>
    <row r="40" spans="1:11">
      <c r="A40" s="6">
        <f t="shared" si="0"/>
        <v>2054</v>
      </c>
      <c r="B40" s="5">
        <f>'DB pension'!E47-'DC pension'!D46</f>
        <v>710228.8995366263</v>
      </c>
      <c r="C40" s="5">
        <f>'DB pension'!F47-'DC pension'!D46</f>
        <v>925056.03440023621</v>
      </c>
      <c r="D40" s="5">
        <f>'DB pension'!G47-'DC pension'!D46</f>
        <v>710228.8995366263</v>
      </c>
      <c r="E40" s="5">
        <f>'DB pension'!H47-'DC pension'!D46</f>
        <v>810602.01977553975</v>
      </c>
      <c r="F40" s="5"/>
      <c r="G40" s="6">
        <f t="shared" si="1"/>
        <v>2054</v>
      </c>
      <c r="H40" s="5">
        <f>'DB pension'!$C47-'DC pension'!F46</f>
        <v>13668.220828455133</v>
      </c>
      <c r="I40" s="5">
        <f>'DB pension'!$C47-'DC pension'!G46</f>
        <v>15550.304246442252</v>
      </c>
      <c r="J40" s="5">
        <f>'DB pension'!$C47-'DC pension'!H46</f>
        <v>13668.220828455133</v>
      </c>
      <c r="K40" s="5">
        <f>'DB pension'!$C47-'DC pension'!I46</f>
        <v>14624.502079294742</v>
      </c>
    </row>
    <row r="41" spans="1:11">
      <c r="A41" s="6">
        <f t="shared" si="0"/>
        <v>2055</v>
      </c>
      <c r="B41" s="5">
        <f>'DB pension'!E48-'DC pension'!D47</f>
        <v>743473.80588276393</v>
      </c>
      <c r="C41" s="5">
        <f>'DB pension'!F48-'DC pension'!D47</f>
        <v>967641.88994991255</v>
      </c>
      <c r="D41" s="5">
        <f>'DB pension'!G48-'DC pension'!D47</f>
        <v>743473.80588276393</v>
      </c>
      <c r="E41" s="5">
        <f>'DB pension'!H48-'DC pension'!D47</f>
        <v>848211.2733823139</v>
      </c>
      <c r="F41" s="5"/>
      <c r="G41" s="6">
        <f t="shared" si="1"/>
        <v>2055</v>
      </c>
      <c r="H41" s="5">
        <f>'DB pension'!$C48-'DC pension'!F47</f>
        <v>14127.892976126201</v>
      </c>
      <c r="I41" s="5">
        <f>'DB pension'!$C48-'DC pension'!G47</f>
        <v>16051.293211264043</v>
      </c>
      <c r="J41" s="5">
        <f>'DB pension'!$C48-'DC pension'!H47</f>
        <v>14127.892976126201</v>
      </c>
      <c r="K41" s="5">
        <f>'DB pension'!$C48-'DC pension'!I47</f>
        <v>15105.167184667898</v>
      </c>
    </row>
    <row r="42" spans="1:11">
      <c r="A42" s="6">
        <f t="shared" si="0"/>
        <v>2056</v>
      </c>
      <c r="B42" s="5">
        <f>'DB pension'!E49-'DC pension'!D48</f>
        <v>777657.53097866895</v>
      </c>
      <c r="C42" s="5">
        <f>'DB pension'!F49-'DC pension'!D48</f>
        <v>1011398.4566201179</v>
      </c>
      <c r="D42" s="5">
        <f>'DB pension'!G49-'DC pension'!D48</f>
        <v>777657.53097866895</v>
      </c>
      <c r="E42" s="5">
        <f>'DB pension'!H49-'DC pension'!D48</f>
        <v>886867.69220462022</v>
      </c>
      <c r="F42" s="5"/>
      <c r="G42" s="6">
        <f t="shared" si="1"/>
        <v>2056</v>
      </c>
      <c r="H42" s="5">
        <f>'DB pension'!$C49-'DC pension'!F48</f>
        <v>14590.707137423335</v>
      </c>
      <c r="I42" s="5">
        <f>'DB pension'!$C49-'DC pension'!G48</f>
        <v>16554.949814794025</v>
      </c>
      <c r="J42" s="5">
        <f>'DB pension'!$C49-'DC pension'!H48</f>
        <v>14590.707137423335</v>
      </c>
      <c r="K42" s="5">
        <f>'DB pension'!$C49-'DC pension'!I48</f>
        <v>15588.733275115728</v>
      </c>
    </row>
    <row r="43" spans="1:11">
      <c r="A43" s="6">
        <f t="shared" si="0"/>
        <v>2057</v>
      </c>
      <c r="B43" s="5">
        <f>'DB pension'!E50-'DC pension'!D49</f>
        <v>812801.16834790073</v>
      </c>
      <c r="C43" s="5">
        <f>'DB pension'!F50-'DC pension'!D49</f>
        <v>1056351.6829919643</v>
      </c>
      <c r="D43" s="5">
        <f>'DB pension'!G50-'DC pension'!D49</f>
        <v>812801.16834790073</v>
      </c>
      <c r="E43" s="5">
        <f>'DB pension'!H50-'DC pension'!D49</f>
        <v>926594.6381818587</v>
      </c>
      <c r="F43" s="5"/>
      <c r="G43" s="6">
        <f t="shared" si="1"/>
        <v>2057</v>
      </c>
      <c r="H43" s="5">
        <f>'DB pension'!$C50-'DC pension'!F49</f>
        <v>15056.615100834128</v>
      </c>
      <c r="I43" s="5">
        <f>'DB pension'!$C50-'DC pension'!G49</f>
        <v>17061.23312439728</v>
      </c>
      <c r="J43" s="5">
        <f>'DB pension'!$C50-'DC pension'!H49</f>
        <v>15056.615100834128</v>
      </c>
      <c r="K43" s="5">
        <f>'DB pension'!$C50-'DC pension'!I49</f>
        <v>16075.155837502853</v>
      </c>
    </row>
    <row r="44" spans="1:11">
      <c r="A44" s="6">
        <f t="shared" si="0"/>
        <v>2058</v>
      </c>
      <c r="B44" s="5">
        <f>'DB pension'!E51-'DC pension'!D50</f>
        <v>848926.23162461212</v>
      </c>
      <c r="C44" s="5">
        <f>'DB pension'!F51-'DC pension'!D50</f>
        <v>1102528.0312330995</v>
      </c>
      <c r="D44" s="5">
        <f>'DB pension'!G51-'DC pension'!D50</f>
        <v>848926.23162461212</v>
      </c>
      <c r="E44" s="5">
        <f>'DB pension'!H51-'DC pension'!D50</f>
        <v>967415.93703854107</v>
      </c>
      <c r="F44" s="5"/>
      <c r="G44" s="6">
        <f t="shared" si="1"/>
        <v>2058</v>
      </c>
      <c r="H44" s="5">
        <f>'DB pension'!$C51-'DC pension'!F50</f>
        <v>15525.569363828503</v>
      </c>
      <c r="I44" s="5">
        <f>'DB pension'!$C51-'DC pension'!G50</f>
        <v>17570.102809380482</v>
      </c>
      <c r="J44" s="5">
        <f>'DB pension'!$C51-'DC pension'!H50</f>
        <v>15525.569363828503</v>
      </c>
      <c r="K44" s="5">
        <f>'DB pension'!$C51-'DC pension'!I50</f>
        <v>16564.391013289121</v>
      </c>
    </row>
    <row r="45" spans="1:11">
      <c r="A45" s="6">
        <f t="shared" si="0"/>
        <v>2059</v>
      </c>
      <c r="B45" s="5">
        <f>'DB pension'!E52-'DC pension'!D51</f>
        <v>886054.66238598921</v>
      </c>
      <c r="C45" s="5">
        <f>'DB pension'!F52-'DC pension'!D51</f>
        <v>1149954.486642038</v>
      </c>
      <c r="D45" s="5">
        <f>'DB pension'!G52-'DC pension'!D51</f>
        <v>886054.66238598921</v>
      </c>
      <c r="E45" s="5">
        <f>'DB pension'!H52-'DC pension'!D51</f>
        <v>1009355.8869165753</v>
      </c>
      <c r="F45" s="5"/>
      <c r="G45" s="6">
        <f t="shared" si="1"/>
        <v>2059</v>
      </c>
      <c r="H45" s="5">
        <f>'DB pension'!$C52-'DC pension'!F51</f>
        <v>15997.523122374228</v>
      </c>
      <c r="I45" s="5">
        <f>'DB pension'!$C52-'DC pension'!G51</f>
        <v>18081.51913209035</v>
      </c>
      <c r="J45" s="5">
        <f>'DB pension'!$C52-'DC pension'!H51</f>
        <v>15997.523122374228</v>
      </c>
      <c r="K45" s="5">
        <f>'DB pension'!$C52-'DC pension'!I51</f>
        <v>17056.395588849424</v>
      </c>
    </row>
    <row r="46" spans="1:11">
      <c r="A46" s="6">
        <f t="shared" si="0"/>
        <v>2060</v>
      </c>
      <c r="B46" s="5">
        <f>'DB pension'!E53-'DC pension'!D52</f>
        <v>924208.83812471596</v>
      </c>
      <c r="C46" s="5">
        <f>'DB pension'!F53-'DC pension'!D52</f>
        <v>1198658.567362841</v>
      </c>
      <c r="D46" s="5">
        <f>'DB pension'!G53-'DC pension'!D52</f>
        <v>924208.83812471596</v>
      </c>
      <c r="E46" s="5">
        <f>'DB pension'!H53-'DC pension'!D52</f>
        <v>1052439.2671617412</v>
      </c>
      <c r="F46" s="5"/>
      <c r="G46" s="6">
        <f t="shared" si="1"/>
        <v>2060</v>
      </c>
      <c r="H46" s="5">
        <f>'DB pension'!$C53-'DC pension'!F52</f>
        <v>16472.430260607383</v>
      </c>
      <c r="I46" s="5">
        <f>'DB pension'!$C53-'DC pension'!G52</f>
        <v>18595.442939143642</v>
      </c>
      <c r="J46" s="5">
        <f>'DB pension'!$C53-'DC pension'!H52</f>
        <v>16472.430260607383</v>
      </c>
      <c r="K46" s="5">
        <f>'DB pension'!$C53-'DC pension'!I52</f>
        <v>17551.126985936535</v>
      </c>
    </row>
    <row r="47" spans="1:11">
      <c r="A47" s="6">
        <f t="shared" si="0"/>
        <v>2061</v>
      </c>
      <c r="B47" s="5">
        <f>'DB pension'!E54-'DC pension'!D53</f>
        <v>963411.580363899</v>
      </c>
      <c r="C47" s="5">
        <f>'DB pension'!F54-'DC pension'!D53</f>
        <v>1248668.334273105</v>
      </c>
      <c r="D47" s="5">
        <f>'DB pension'!G54-'DC pension'!D53</f>
        <v>963411.580363899</v>
      </c>
      <c r="E47" s="5">
        <f>'DB pension'!H54-'DC pension'!D53</f>
        <v>1096691.3472670366</v>
      </c>
      <c r="F47" s="5"/>
      <c r="G47" s="6">
        <f t="shared" si="1"/>
        <v>2061</v>
      </c>
      <c r="H47" s="5">
        <f>'DB pension'!$C54-'DC pension'!F53</f>
        <v>16950.245340655445</v>
      </c>
      <c r="I47" s="5">
        <f>'DB pension'!$C54-'DC pension'!G53</f>
        <v>19111.835652786729</v>
      </c>
      <c r="J47" s="5">
        <f>'DB pension'!$C54-'DC pension'!H53</f>
        <v>16950.245340655445</v>
      </c>
      <c r="K47" s="5">
        <f>'DB pension'!$C54-'DC pension'!I53</f>
        <v>18048.543252284901</v>
      </c>
    </row>
    <row r="48" spans="1:11">
      <c r="A48" s="6">
        <f t="shared" si="0"/>
        <v>2062</v>
      </c>
      <c r="B48" s="5">
        <f>'DB pension'!E55-'DC pension'!D54</f>
        <v>1003686.1629169196</v>
      </c>
      <c r="C48" s="5">
        <f>'DB pension'!F55-'DC pension'!D54</f>
        <v>1300012.4010482603</v>
      </c>
      <c r="D48" s="5">
        <f>'DB pension'!G55-'DC pension'!D54</f>
        <v>1003686.1629169196</v>
      </c>
      <c r="E48" s="5">
        <f>'DB pension'!H55-'DC pension'!D54</f>
        <v>1142137.8959756196</v>
      </c>
      <c r="F48" s="5"/>
      <c r="G48" s="6">
        <f t="shared" si="1"/>
        <v>2062</v>
      </c>
      <c r="H48" s="5">
        <f>'DB pension'!$C55-'DC pension'!F54</f>
        <v>17430.923592610772</v>
      </c>
      <c r="I48" s="5">
        <f>'DB pension'!$C55-'DC pension'!G54</f>
        <v>19630.659262382869</v>
      </c>
      <c r="J48" s="5">
        <f>'DB pension'!$C55-'DC pension'!H54</f>
        <v>17430.923592610772</v>
      </c>
      <c r="K48" s="5">
        <f>'DB pension'!$C55-'DC pension'!I54</f>
        <v>18548.603052353272</v>
      </c>
    </row>
    <row r="49" spans="1:11">
      <c r="A49" s="6">
        <f t="shared" si="0"/>
        <v>2063</v>
      </c>
      <c r="B49" s="5">
        <f>'DB pension'!E56-'DC pension'!D55</f>
        <v>1045056.3202947323</v>
      </c>
      <c r="C49" s="5">
        <f>'DB pension'!F56-'DC pension'!D55</f>
        <v>1352719.9444052428</v>
      </c>
      <c r="D49" s="5">
        <f>'DB pension'!G56-'DC pension'!D55</f>
        <v>1045056.3202947323</v>
      </c>
      <c r="E49" s="5">
        <f>'DB pension'!H56-'DC pension'!D55</f>
        <v>1188805.1905461089</v>
      </c>
      <c r="F49" s="5"/>
      <c r="G49" s="6">
        <f t="shared" si="1"/>
        <v>2063</v>
      </c>
      <c r="H49" s="5">
        <f>'DB pension'!$C56-'DC pension'!F55</f>
        <v>17914.420904652241</v>
      </c>
      <c r="I49" s="5">
        <f>'DB pension'!$C56-'DC pension'!G55</f>
        <v>20151.876316025249</v>
      </c>
      <c r="J49" s="5">
        <f>'DB pension'!$C56-'DC pension'!H55</f>
        <v>17914.420904652241</v>
      </c>
      <c r="K49" s="5">
        <f>'DB pension'!$C56-'DC pension'!I55</f>
        <v>19051.265658204109</v>
      </c>
    </row>
    <row r="50" spans="1:11">
      <c r="A50" s="6">
        <f t="shared" si="0"/>
        <v>2064</v>
      </c>
      <c r="B50" s="5">
        <f>'DB pension'!E57-'DC pension'!D56</f>
        <v>1087546.2562631662</v>
      </c>
      <c r="C50" s="5">
        <f>'DB pension'!F57-'DC pension'!D56</f>
        <v>1406820.7145286412</v>
      </c>
      <c r="D50" s="5">
        <f>'DB pension'!G57-'DC pension'!D56</f>
        <v>1087546.2562631662</v>
      </c>
      <c r="E50" s="5">
        <f>'DB pension'!H57-'DC pension'!D56</f>
        <v>1236720.0261830608</v>
      </c>
      <c r="F50" s="5"/>
      <c r="G50" s="6">
        <f t="shared" si="1"/>
        <v>2064</v>
      </c>
      <c r="H50" s="5">
        <f>'DB pension'!$C57-'DC pension'!F56</f>
        <v>18400.693813312864</v>
      </c>
      <c r="I50" s="5">
        <f>'DB pension'!$C57-'DC pension'!G56</f>
        <v>20675.449912273987</v>
      </c>
      <c r="J50" s="5">
        <f>'DB pension'!$C57-'DC pension'!H56</f>
        <v>18400.693813312864</v>
      </c>
      <c r="K50" s="5">
        <f>'DB pension'!$C57-'DC pension'!I56</f>
        <v>19556.490940517804</v>
      </c>
    </row>
    <row r="51" spans="1:11">
      <c r="A51" s="6">
        <f t="shared" si="0"/>
        <v>2065</v>
      </c>
      <c r="B51" s="5">
        <f>'DB pension'!E58-'DC pension'!D57</f>
        <v>1131180.6525528245</v>
      </c>
      <c r="C51" s="5">
        <f>'DB pension'!F58-'DC pension'!D57</f>
        <v>1462345.0456824892</v>
      </c>
      <c r="D51" s="5">
        <f>'DB pension'!G58-'DC pension'!D57</f>
        <v>1131180.6525528245</v>
      </c>
      <c r="E51" s="5">
        <f>'DB pension'!H58-'DC pension'!D57</f>
        <v>1285909.7256354869</v>
      </c>
      <c r="F51" s="5"/>
      <c r="G51" s="6">
        <f t="shared" si="1"/>
        <v>2065</v>
      </c>
      <c r="H51" s="5">
        <f>'DB pension'!$C58-'DC pension'!F57</f>
        <v>18889.699493891218</v>
      </c>
      <c r="I51" s="5">
        <f>'DB pension'!$C58-'DC pension'!G57</f>
        <v>21201.343692015227</v>
      </c>
      <c r="J51" s="5">
        <f>'DB pension'!$C58-'DC pension'!H57</f>
        <v>18889.699493891218</v>
      </c>
      <c r="K51" s="5">
        <f>'DB pension'!$C58-'DC pension'!I57</f>
        <v>20064.239359739648</v>
      </c>
    </row>
    <row r="52" spans="1:11">
      <c r="A52" s="6">
        <f t="shared" si="0"/>
        <v>2066</v>
      </c>
      <c r="B52" s="5">
        <f>'DB pension'!E59-'DC pension'!D58</f>
        <v>1175984.6777242383</v>
      </c>
      <c r="C52" s="5">
        <f>'DB pension'!F59-'DC pension'!D58</f>
        <v>1519323.8670109075</v>
      </c>
      <c r="D52" s="5">
        <f>'DB pension'!G59-'DC pension'!D58</f>
        <v>1175984.6777242383</v>
      </c>
      <c r="E52" s="5">
        <f>'DB pension'!H59-'DC pension'!D58</f>
        <v>1336402.1489663192</v>
      </c>
      <c r="F52" s="5"/>
      <c r="G52" s="6">
        <f t="shared" si="1"/>
        <v>2066</v>
      </c>
      <c r="H52" s="5">
        <f>'DB pension'!$C59-'DC pension'!F58</f>
        <v>19381.395751004551</v>
      </c>
      <c r="I52" s="5">
        <f>'DB pension'!$C59-'DC pension'!G58</f>
        <v>21729.521830440503</v>
      </c>
      <c r="J52" s="5">
        <f>'DB pension'!$C59-'DC pension'!H58</f>
        <v>19381.395751004551</v>
      </c>
      <c r="K52" s="5">
        <f>'DB pension'!$C59-'DC pension'!I58</f>
        <v>20574.471957357629</v>
      </c>
    </row>
    <row r="55" spans="1:11">
      <c r="C55" s="64"/>
      <c r="D55" s="64"/>
    </row>
    <row r="56" spans="1:11">
      <c r="C56" t="s">
        <v>24</v>
      </c>
      <c r="E56" t="s">
        <v>26</v>
      </c>
    </row>
    <row r="57" spans="1:11">
      <c r="B57" s="3" t="s">
        <v>102</v>
      </c>
      <c r="C57" t="s">
        <v>25</v>
      </c>
      <c r="D57" t="s">
        <v>11</v>
      </c>
      <c r="E57" t="s">
        <v>25</v>
      </c>
      <c r="F57" t="s">
        <v>11</v>
      </c>
    </row>
    <row r="58" spans="1:11">
      <c r="C58" t="s">
        <v>138</v>
      </c>
      <c r="D58" t="s">
        <v>107</v>
      </c>
      <c r="E58" t="s">
        <v>138</v>
      </c>
      <c r="F58" t="s">
        <v>107</v>
      </c>
    </row>
    <row r="59" spans="1:11">
      <c r="B59" t="s">
        <v>101</v>
      </c>
      <c r="C59" s="21">
        <f>LOOKUP(Inputs!$B12,'DB pension'!$A11:$A59,'DB pension'!C11:C59)</f>
        <v>24667.499391857004</v>
      </c>
      <c r="D59" s="21">
        <f>LOOKUP(Inputs!$B12,'DB pension'!$A11:$A59,'DB pension'!C11:C59)</f>
        <v>24667.499391857004</v>
      </c>
      <c r="E59" s="21">
        <f>LOOKUP(Inputs!$B12,'DB pension'!$A11:$A59,'DB pension'!C11:C59)</f>
        <v>24667.499391857004</v>
      </c>
      <c r="F59" s="21">
        <f>LOOKUP(Inputs!$B12,'DB pension'!$A11:$A59,'DB pension'!C11:C59)</f>
        <v>24667.499391857004</v>
      </c>
    </row>
    <row r="60" spans="1:11">
      <c r="B60" t="s">
        <v>104</v>
      </c>
      <c r="C60" s="21">
        <f>LOOKUP(Inputs!$B12,'DB pension'!$A11:$A59,'DB pension'!E11:E59)</f>
        <v>1180827.1518597272</v>
      </c>
      <c r="D60" s="21">
        <f>LOOKUP(Inputs!$B12,'DB pension'!$A11:$A59,'DB pension'!F11:F59)</f>
        <v>1377649.1025148651</v>
      </c>
      <c r="E60" s="21">
        <f>LOOKUP(Inputs!$B12,'DB pension'!$A11:$A59,'DB pension'!G11:G59)</f>
        <v>1180827.1518597272</v>
      </c>
      <c r="F60" s="21">
        <f>LOOKUP(Inputs!$B12,'DB pension'!$A11:$A59,'DB pension'!H11:H59)</f>
        <v>1272787.7569821116</v>
      </c>
    </row>
    <row r="62" spans="1:11">
      <c r="B62" s="3" t="s">
        <v>103</v>
      </c>
      <c r="C62" t="s">
        <v>25</v>
      </c>
      <c r="D62" t="s">
        <v>11</v>
      </c>
      <c r="E62" t="s">
        <v>25</v>
      </c>
      <c r="F62" t="s">
        <v>11</v>
      </c>
    </row>
    <row r="63" spans="1:11">
      <c r="C63" t="s">
        <v>138</v>
      </c>
      <c r="D63" t="s">
        <v>107</v>
      </c>
      <c r="E63" t="s">
        <v>138</v>
      </c>
      <c r="F63" t="s">
        <v>107</v>
      </c>
    </row>
    <row r="64" spans="1:11">
      <c r="B64" t="s">
        <v>101</v>
      </c>
      <c r="C64" s="21">
        <f>LOOKUP(Inputs!$B12,'DC pension'!$A10:$A58,'DC pension'!F10:F58)</f>
        <v>11909.000362894605</v>
      </c>
      <c r="D64" s="21">
        <f>LOOKUP(Inputs!$B12,'DC pension'!$A10:$A58,'DC pension'!G10:G58)</f>
        <v>10111.003364340224</v>
      </c>
      <c r="E64" s="21">
        <f>LOOKUP(Inputs!$B12,'DC pension'!$A10:$A58,'DC pension'!H10:H58)</f>
        <v>11909.000362894605</v>
      </c>
      <c r="F64" s="21">
        <f>LOOKUP(Inputs!$B12,'DC pension'!$A10:$A58,'DC pension'!I10:I58)</f>
        <v>10995.443183467178</v>
      </c>
    </row>
    <row r="65" spans="2:6">
      <c r="B65" t="s">
        <v>104</v>
      </c>
      <c r="C65" s="21">
        <f>LOOKUP(Inputs!$B12,'DC pension'!$A10:$A58,'DC pension'!D10:D58)</f>
        <v>534353.92834089033</v>
      </c>
      <c r="D65" s="21">
        <f>LOOKUP(Inputs!$B12,'DC pension'!$A10:$A58,'DC pension'!D10:D58)</f>
        <v>534353.92834089033</v>
      </c>
      <c r="E65" s="21">
        <f>LOOKUP(Inputs!$B12,'DC pension'!$A10:$A58,'DC pension'!D10:D58)</f>
        <v>534353.92834089033</v>
      </c>
      <c r="F65" s="21">
        <f>LOOKUP(Inputs!$B12,'DC pension'!$A10:$A58,'DC pension'!D10:D58)</f>
        <v>534353.92834089033</v>
      </c>
    </row>
    <row r="67" spans="2:6">
      <c r="C67">
        <v>0</v>
      </c>
      <c r="D67">
        <v>1</v>
      </c>
    </row>
    <row r="68" spans="2:6">
      <c r="B68" s="3" t="s">
        <v>102</v>
      </c>
      <c r="C68" t="s">
        <v>32</v>
      </c>
      <c r="D68" t="s">
        <v>33</v>
      </c>
    </row>
    <row r="69" spans="2:6">
      <c r="B69" t="s">
        <v>101</v>
      </c>
      <c r="C69" s="21">
        <f>LOOKUP(Inputs!B10,'Difference in benefits'!C58:D58,'Difference in benefits'!C59:D59)</f>
        <v>24667.499391857004</v>
      </c>
      <c r="D69" s="21">
        <f>LOOKUP(Inputs!B10,'Difference in benefits'!E58:F58,'Difference in benefits'!E59:F59)</f>
        <v>24667.499391857004</v>
      </c>
      <c r="E69" s="33"/>
      <c r="F69" s="33"/>
    </row>
    <row r="70" spans="2:6">
      <c r="B70" t="s">
        <v>104</v>
      </c>
      <c r="C70" s="21">
        <f>LOOKUP(Inputs!B10,'Difference in benefits'!C58:D58,'Difference in benefits'!C60:D60)</f>
        <v>1377649.1025148651</v>
      </c>
      <c r="D70" s="21">
        <f>LOOKUP(Inputs!B10,'Difference in benefits'!E58:F58,'Difference in benefits'!E60:F60)</f>
        <v>1272787.7569821116</v>
      </c>
      <c r="E70" s="33"/>
      <c r="F70" s="33"/>
    </row>
    <row r="72" spans="2:6">
      <c r="B72" s="3" t="s">
        <v>103</v>
      </c>
      <c r="C72" t="s">
        <v>32</v>
      </c>
      <c r="D72" t="s">
        <v>33</v>
      </c>
    </row>
    <row r="73" spans="2:6">
      <c r="B73" t="s">
        <v>101</v>
      </c>
      <c r="C73" s="21">
        <f>LOOKUP(Inputs!B10,'Difference in benefits'!C63:D63,'Difference in benefits'!C64:D64)</f>
        <v>10111.003364340224</v>
      </c>
      <c r="D73" s="21">
        <f>LOOKUP(Inputs!B10,'Difference in benefits'!E63:F63,'Difference in benefits'!E64:F64)</f>
        <v>10995.443183467178</v>
      </c>
    </row>
    <row r="74" spans="2:6">
      <c r="B74" t="s">
        <v>104</v>
      </c>
      <c r="C74" s="21">
        <f>LOOKUP(Inputs!B10,'Difference in benefits'!C63:D63,'Difference in benefits'!C65:D65)</f>
        <v>534353.92834089033</v>
      </c>
      <c r="D74" s="21">
        <f>LOOKUP(Inputs!B10,'Difference in benefits'!E63:F63,'Difference in benefits'!E65:F65)</f>
        <v>534353.92834089033</v>
      </c>
    </row>
    <row r="76" spans="2:6">
      <c r="C76">
        <f>IF(Inputs!B8="Female",1,IF(Inputs!B8="Male",0,-1))</f>
        <v>0</v>
      </c>
    </row>
    <row r="77" spans="2:6">
      <c r="B77" s="3" t="s">
        <v>102</v>
      </c>
    </row>
    <row r="78" spans="2:6">
      <c r="B78" t="s">
        <v>101</v>
      </c>
      <c r="C78" s="21">
        <f>LOOKUP(C76,'Difference in benefits'!C67:D67,'Difference in benefits'!C69:D69)</f>
        <v>24667.499391857004</v>
      </c>
    </row>
    <row r="79" spans="2:6">
      <c r="B79" t="s">
        <v>104</v>
      </c>
      <c r="C79" s="21">
        <f>LOOKUP(C76,'Difference in benefits'!C67:D67,'Difference in benefits'!C70:D70)</f>
        <v>1377649.1025148651</v>
      </c>
    </row>
    <row r="81" spans="2:3">
      <c r="B81" s="3" t="s">
        <v>103</v>
      </c>
    </row>
    <row r="82" spans="2:3">
      <c r="B82" t="s">
        <v>101</v>
      </c>
      <c r="C82" s="21">
        <f>LOOKUP(C76,'Difference in benefits'!C67:D67,'Difference in benefits'!C73:D73)</f>
        <v>10111.003364340224</v>
      </c>
    </row>
    <row r="83" spans="2:3">
      <c r="B83" t="s">
        <v>104</v>
      </c>
      <c r="C83" s="21">
        <f>LOOKUP(C76,'Difference in benefits'!C67:D67,'Difference in benefits'!C74:D74)</f>
        <v>534353.92834089033</v>
      </c>
    </row>
  </sheetData>
  <mergeCells count="1">
    <mergeCell ref="C55:D5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8A2B9-FF68-484E-8473-663DE53735B5}">
  <dimension ref="A1:K83"/>
  <sheetViews>
    <sheetView zoomScale="75" workbookViewId="0">
      <selection activeCell="C83" sqref="C83"/>
    </sheetView>
  </sheetViews>
  <sheetFormatPr baseColWidth="10" defaultRowHeight="16"/>
  <cols>
    <col min="2" max="2" width="15" customWidth="1"/>
    <col min="3" max="3" width="18" customWidth="1"/>
    <col min="4" max="4" width="17.6640625" customWidth="1"/>
    <col min="5" max="5" width="17.83203125" customWidth="1"/>
    <col min="6" max="6" width="17.5" customWidth="1"/>
    <col min="8" max="8" width="15.33203125" customWidth="1"/>
    <col min="9" max="9" width="16.83203125" customWidth="1"/>
    <col min="10" max="10" width="13.6640625" bestFit="1" customWidth="1"/>
    <col min="11" max="11" width="14" customWidth="1"/>
  </cols>
  <sheetData>
    <row r="1" spans="1:11">
      <c r="B1" t="s">
        <v>28</v>
      </c>
      <c r="H1" t="s">
        <v>29</v>
      </c>
    </row>
    <row r="2" spans="1:11">
      <c r="A2" t="s">
        <v>90</v>
      </c>
      <c r="B2" t="s">
        <v>24</v>
      </c>
      <c r="D2" t="s">
        <v>26</v>
      </c>
      <c r="G2" t="s">
        <v>90</v>
      </c>
      <c r="H2" t="s">
        <v>24</v>
      </c>
      <c r="J2" t="s">
        <v>26</v>
      </c>
    </row>
    <row r="3" spans="1:11">
      <c r="A3" t="s">
        <v>91</v>
      </c>
      <c r="B3" t="s">
        <v>96</v>
      </c>
      <c r="C3" t="s">
        <v>97</v>
      </c>
      <c r="D3" t="s">
        <v>98</v>
      </c>
      <c r="E3" t="s">
        <v>99</v>
      </c>
      <c r="G3" t="s">
        <v>91</v>
      </c>
      <c r="H3" t="s">
        <v>96</v>
      </c>
      <c r="I3" t="s">
        <v>97</v>
      </c>
      <c r="J3" t="s">
        <v>98</v>
      </c>
      <c r="K3" t="s">
        <v>99</v>
      </c>
    </row>
    <row r="4" spans="1:11">
      <c r="A4">
        <v>2018</v>
      </c>
      <c r="B4" s="5">
        <f>'DB pension'!M11-'DC pension'!D10</f>
        <v>17583.613232178926</v>
      </c>
      <c r="C4" s="5">
        <f>'DB pension'!N11-'DC pension'!D10</f>
        <v>24550.793740115492</v>
      </c>
      <c r="D4" s="5">
        <f>'DB pension'!O11-'DC pension'!D10</f>
        <v>19327.613232178926</v>
      </c>
      <c r="E4" s="5">
        <f>'DB pension'!P11-'DC pension'!D10</f>
        <v>22091.72532159691</v>
      </c>
      <c r="F4" s="5"/>
      <c r="G4">
        <v>2018</v>
      </c>
      <c r="H4" s="5">
        <f>'DB pension'!$K11-'DC pension'!F10</f>
        <v>538.76190943396227</v>
      </c>
      <c r="I4" s="5">
        <f>'DB pension'!$K11-'DC pension'!G10</f>
        <v>584.99425943396227</v>
      </c>
      <c r="J4" s="5">
        <f>'DB pension'!$K11-'DC pension'!H10</f>
        <v>538.76190943396227</v>
      </c>
      <c r="K4" s="5">
        <f>'DB pension'!$K11-'DC pension'!I10</f>
        <v>565.25980943396235</v>
      </c>
    </row>
    <row r="5" spans="1:11">
      <c r="A5">
        <f>A4+1</f>
        <v>2019</v>
      </c>
      <c r="B5" s="5">
        <f>'DB pension'!M12-'DC pension'!D11</f>
        <v>36817.537688827033</v>
      </c>
      <c r="C5" s="5">
        <f>'DB pension'!N12-'DC pension'!D11</f>
        <v>51134.329135698252</v>
      </c>
      <c r="D5" s="5">
        <f>'DB pension'!O12-'DC pension'!D11</f>
        <v>40340.41768882703</v>
      </c>
      <c r="E5" s="5">
        <f>'DB pension'!P12-'DC pension'!D11</f>
        <v>46052.565886092874</v>
      </c>
      <c r="F5" s="5"/>
      <c r="G5">
        <f>G4+1</f>
        <v>2019</v>
      </c>
      <c r="H5" s="5">
        <f>'DB pension'!$K12-'DC pension'!F11</f>
        <v>1111.4180835326704</v>
      </c>
      <c r="I5" s="5">
        <f>'DB pension'!$K12-'DC pension'!G11</f>
        <v>1203.1858820991729</v>
      </c>
      <c r="J5" s="5">
        <f>'DB pension'!$K12-'DC pension'!H11</f>
        <v>1111.4180835326704</v>
      </c>
      <c r="K5" s="5">
        <f>'DB pension'!$K12-'DC pension'!I11</f>
        <v>1164.014457059764</v>
      </c>
    </row>
    <row r="6" spans="1:11">
      <c r="A6">
        <f t="shared" ref="A6:A52" si="0">A5+1</f>
        <v>2020</v>
      </c>
      <c r="B6" s="5">
        <f>'DB pension'!M13-'DC pension'!D12</f>
        <v>59447.299747879981</v>
      </c>
      <c r="C6" s="5">
        <f>'DB pension'!N13-'DC pension'!D12</f>
        <v>76672.714218983529</v>
      </c>
      <c r="D6" s="5">
        <f>'DB pension'!O13-'DC pension'!D12</f>
        <v>64784.63734787998</v>
      </c>
      <c r="E6" s="5">
        <f>'DB pension'!P13-'DC pension'!D12</f>
        <v>69973.449972675837</v>
      </c>
      <c r="F6" s="5"/>
      <c r="G6">
        <f t="shared" ref="G6:G52" si="1">G5+1</f>
        <v>2020</v>
      </c>
      <c r="H6" s="5">
        <f>'DB pension'!$K13-'DC pension'!F12</f>
        <v>1734.5587909643746</v>
      </c>
      <c r="I6" s="5">
        <f>'DB pension'!$K13-'DC pension'!G12</f>
        <v>1832.849541706418</v>
      </c>
      <c r="J6" s="5">
        <f>'DB pension'!$K13-'DC pension'!H12</f>
        <v>1734.5587909643746</v>
      </c>
      <c r="K6" s="5">
        <f>'DB pension'!$K13-'DC pension'!I12</f>
        <v>1780.5555768269464</v>
      </c>
    </row>
    <row r="7" spans="1:11">
      <c r="A7">
        <f t="shared" si="0"/>
        <v>2021</v>
      </c>
      <c r="B7" s="5">
        <f>'DB pension'!M14-'DC pension'!D13</f>
        <v>82871.295687136182</v>
      </c>
      <c r="C7" s="5">
        <f>'DB pension'!N14-'DC pension'!D13</f>
        <v>106437.54643470928</v>
      </c>
      <c r="D7" s="5">
        <f>'DB pension'!O14-'DC pension'!D13</f>
        <v>90059.380039136187</v>
      </c>
      <c r="E7" s="5">
        <f>'DB pension'!P14-'DC pension'!D13</f>
        <v>97207.990994952444</v>
      </c>
      <c r="F7" s="5"/>
      <c r="G7">
        <f t="shared" si="1"/>
        <v>2021</v>
      </c>
      <c r="H7" s="5">
        <f>'DB pension'!$K14-'DC pension'!F13</f>
        <v>2382.2919244699065</v>
      </c>
      <c r="I7" s="5">
        <f>'DB pension'!$K14-'DC pension'!G13</f>
        <v>2512.372182631505</v>
      </c>
      <c r="J7" s="5">
        <f>'DB pension'!$K14-'DC pension'!H13</f>
        <v>2382.2919244699065</v>
      </c>
      <c r="K7" s="5">
        <f>'DB pension'!$K14-'DC pension'!I13</f>
        <v>2443.165137202911</v>
      </c>
    </row>
    <row r="8" spans="1:11">
      <c r="A8">
        <f t="shared" si="0"/>
        <v>2022</v>
      </c>
      <c r="B8" s="5">
        <f>'DB pension'!M15-'DC pension'!D14</f>
        <v>108256.2180295162</v>
      </c>
      <c r="C8" s="5">
        <f>'DB pension'!N15-'DC pension'!D14</f>
        <v>138485.98070724972</v>
      </c>
      <c r="D8" s="5">
        <f>'DB pension'!O15-'DC pension'!D14</f>
        <v>117332.06406855618</v>
      </c>
      <c r="E8" s="5">
        <f>'DB pension'!P15-'DC pension'!D14</f>
        <v>126565.15625906311</v>
      </c>
      <c r="F8" s="5"/>
      <c r="G8">
        <f t="shared" si="1"/>
        <v>2022</v>
      </c>
      <c r="H8" s="5">
        <f>'DB pension'!$K15-'DC pension'!F14</f>
        <v>3066.0388818242195</v>
      </c>
      <c r="I8" s="5">
        <f>'DB pension'!$K15-'DC pension'!G14</f>
        <v>3227.4391396335059</v>
      </c>
      <c r="J8" s="5">
        <f>'DB pension'!$K15-'DC pension'!H14</f>
        <v>3066.0388818242195</v>
      </c>
      <c r="K8" s="5">
        <f>'DB pension'!$K15-'DC pension'!I14</f>
        <v>3141.5688074842756</v>
      </c>
    </row>
    <row r="9" spans="1:11">
      <c r="A9">
        <f t="shared" si="0"/>
        <v>2023</v>
      </c>
      <c r="B9" s="5">
        <f>'DB pension'!M16-'DC pension'!D15</f>
        <v>135702.54503867379</v>
      </c>
      <c r="C9" s="5">
        <f>'DB pension'!N16-'DC pension'!D15</f>
        <v>172933.29191817343</v>
      </c>
      <c r="D9" s="5">
        <f>'DB pension'!O16-'DC pension'!D15</f>
        <v>146703.9079984946</v>
      </c>
      <c r="E9" s="5">
        <f>'DB pension'!P16-'DC pension'!D15</f>
        <v>158152.29951704753</v>
      </c>
      <c r="F9" s="5"/>
      <c r="G9">
        <f t="shared" si="1"/>
        <v>2023</v>
      </c>
      <c r="H9" s="5">
        <f>'DB pension'!$K16-'DC pension'!F15</f>
        <v>3786.5766957961432</v>
      </c>
      <c r="I9" s="5">
        <f>'DB pension'!$K16-'DC pension'!G15</f>
        <v>3978.8376547616954</v>
      </c>
      <c r="J9" s="5">
        <f>'DB pension'!$K16-'DC pension'!H15</f>
        <v>3786.5766957961432</v>
      </c>
      <c r="K9" s="5">
        <f>'DB pension'!$K16-'DC pension'!I15</f>
        <v>3876.5483980418612</v>
      </c>
    </row>
    <row r="10" spans="1:11">
      <c r="A10">
        <f t="shared" si="0"/>
        <v>2024</v>
      </c>
      <c r="B10" s="5">
        <f>'DB pension'!M17-'DC pension'!D16</f>
        <v>165315.26663370139</v>
      </c>
      <c r="C10" s="5">
        <f>'DB pension'!N17-'DC pension'!D16</f>
        <v>209899.90169930004</v>
      </c>
      <c r="D10" s="5">
        <f>'DB pension'!O17-'DC pension'!D16</f>
        <v>178280.65685271862</v>
      </c>
      <c r="E10" s="5">
        <f>'DB pension'!P17-'DC pension'!D16</f>
        <v>192081.57172106463</v>
      </c>
      <c r="F10" s="5"/>
      <c r="G10">
        <f t="shared" si="1"/>
        <v>2024</v>
      </c>
      <c r="H10" s="5">
        <f>'DB pension'!$K17-'DC pension'!F16</f>
        <v>4544.7048593000891</v>
      </c>
      <c r="I10" s="5">
        <f>'DB pension'!$K17-'DC pension'!G16</f>
        <v>4767.3772300604196</v>
      </c>
      <c r="J10" s="5">
        <f>'DB pension'!$K17-'DC pension'!H16</f>
        <v>4544.7048593000891</v>
      </c>
      <c r="K10" s="5">
        <f>'DB pension'!$K17-'DC pension'!I16</f>
        <v>4648.9080857283216</v>
      </c>
    </row>
    <row r="11" spans="1:11">
      <c r="A11">
        <f t="shared" si="0"/>
        <v>2025</v>
      </c>
      <c r="B11" s="5">
        <f>'DB pension'!M18-'DC pension'!D17</f>
        <v>197204.07317581103</v>
      </c>
      <c r="C11" s="5">
        <f>'DB pension'!N18-'DC pension'!D17</f>
        <v>249511.59328860481</v>
      </c>
      <c r="D11" s="5">
        <f>'DB pension'!O18-'DC pension'!D17</f>
        <v>212172.77119920857</v>
      </c>
      <c r="E11" s="5">
        <f>'DB pension'!P18-'DC pension'!D17</f>
        <v>228470.12135543115</v>
      </c>
      <c r="F11" s="5"/>
      <c r="G11">
        <f t="shared" si="1"/>
        <v>2025</v>
      </c>
      <c r="H11" s="5">
        <f>'DB pension'!$K18-'DC pension'!F17</f>
        <v>5341.2457639381009</v>
      </c>
      <c r="I11" s="5">
        <f>'DB pension'!$K18-'DC pension'!G17</f>
        <v>5593.8900701340335</v>
      </c>
      <c r="J11" s="5">
        <f>'DB pension'!$K18-'DC pension'!H17</f>
        <v>5341.2457639381009</v>
      </c>
      <c r="K11" s="5">
        <f>'DB pension'!$K18-'DC pension'!I17</f>
        <v>5459.4748543027708</v>
      </c>
    </row>
    <row r="12" spans="1:11">
      <c r="A12">
        <f t="shared" si="0"/>
        <v>2026</v>
      </c>
      <c r="B12" s="5">
        <f>'DB pension'!M19-'DC pension'!D18</f>
        <v>231483.55183128215</v>
      </c>
      <c r="C12" s="5">
        <f>'DB pension'!N19-'DC pension'!D18</f>
        <v>291899.73499921768</v>
      </c>
      <c r="D12" s="5">
        <f>'DB pension'!O19-'DC pension'!D18</f>
        <v>248495.62381514767</v>
      </c>
      <c r="E12" s="5">
        <f>'DB pension'!P19-'DC pension'!D18</f>
        <v>267440.30280081095</v>
      </c>
      <c r="F12" s="5"/>
      <c r="G12">
        <f t="shared" si="1"/>
        <v>2026</v>
      </c>
      <c r="H12" s="5">
        <f>'DB pension'!$K19-'DC pension'!F18</f>
        <v>6177.0451495640027</v>
      </c>
      <c r="I12" s="5">
        <f>'DB pension'!$K19-'DC pension'!G18</f>
        <v>6459.2315356535782</v>
      </c>
      <c r="J12" s="5">
        <f>'DB pension'!$K19-'DC pension'!H18</f>
        <v>6177.0451495640027</v>
      </c>
      <c r="K12" s="5">
        <f>'DB pension'!$K19-'DC pension'!I18</f>
        <v>6309.0989458399044</v>
      </c>
    </row>
    <row r="13" spans="1:11">
      <c r="A13">
        <f t="shared" si="0"/>
        <v>2027</v>
      </c>
      <c r="B13" s="5">
        <f>'DB pension'!M20-'DC pension'!D19</f>
        <v>254168.8674872081</v>
      </c>
      <c r="C13" s="5">
        <f>'DB pension'!N20-'DC pension'!D19</f>
        <v>324071.65566166758</v>
      </c>
      <c r="D13" s="5">
        <f>'DB pension'!O20-'DC pension'!D19</f>
        <v>273265.18091075093</v>
      </c>
      <c r="E13" s="5">
        <f>'DB pension'!P20-'DC pension'!D19</f>
        <v>297157.60755379946</v>
      </c>
      <c r="F13" s="5"/>
      <c r="G13">
        <f t="shared" si="1"/>
        <v>2027</v>
      </c>
      <c r="H13" s="5">
        <f>'DB pension'!$K20-'DC pension'!F19</f>
        <v>6948.914166324239</v>
      </c>
      <c r="I13" s="5">
        <f>'DB pension'!$K20-'DC pension'!G19</f>
        <v>7289.7054222415163</v>
      </c>
      <c r="J13" s="5">
        <f>'DB pension'!$K20-'DC pension'!H19</f>
        <v>6948.914166324239</v>
      </c>
      <c r="K13" s="5">
        <f>'DB pension'!$K20-'DC pension'!I19</f>
        <v>7120.6105242672947</v>
      </c>
    </row>
    <row r="14" spans="1:11">
      <c r="A14">
        <f t="shared" si="0"/>
        <v>2028</v>
      </c>
      <c r="B14" s="5">
        <f>'DB pension'!M21-'DC pension'!D20</f>
        <v>239286.57157050591</v>
      </c>
      <c r="C14" s="5">
        <f>'DB pension'!N21-'DC pension'!D20</f>
        <v>310723.72903213277</v>
      </c>
      <c r="D14" s="5">
        <f>'DB pension'!O21-'DC pension'!D20</f>
        <v>260508.81126251956</v>
      </c>
      <c r="E14" s="5">
        <f>'DB pension'!P21-'DC pension'!D20</f>
        <v>284123.05029561743</v>
      </c>
      <c r="F14" s="5"/>
      <c r="G14">
        <f t="shared" si="1"/>
        <v>2028</v>
      </c>
      <c r="H14" s="5">
        <f>'DB pension'!$K21-'DC pension'!F20</f>
        <v>7412.1588624008218</v>
      </c>
      <c r="I14" s="5">
        <f>'DB pension'!$K21-'DC pension'!G20</f>
        <v>7840.2128240668326</v>
      </c>
      <c r="J14" s="5">
        <f>'DB pension'!$K21-'DC pension'!H20</f>
        <v>7412.1588624008218</v>
      </c>
      <c r="K14" s="5">
        <f>'DB pension'!$K21-'DC pension'!I20</f>
        <v>7627.8196369806437</v>
      </c>
    </row>
    <row r="15" spans="1:11">
      <c r="A15">
        <f t="shared" si="0"/>
        <v>2029</v>
      </c>
      <c r="B15" s="5">
        <f>'DB pension'!M22-'DC pension'!D21</f>
        <v>269114.15350432182</v>
      </c>
      <c r="C15" s="5">
        <f>'DB pension'!N22-'DC pension'!D21</f>
        <v>349108.00412421254</v>
      </c>
      <c r="D15" s="5">
        <f>'DB pension'!O22-'DC pension'!D21</f>
        <v>292504.83799017582</v>
      </c>
      <c r="E15" s="5">
        <f>'DB pension'!P22-'DC pension'!D21</f>
        <v>319123.23655555467</v>
      </c>
      <c r="F15" s="5"/>
      <c r="G15">
        <f t="shared" si="1"/>
        <v>2029</v>
      </c>
      <c r="H15" s="5">
        <f>'DB pension'!$K22-'DC pension'!F21</f>
        <v>8212.9066864953456</v>
      </c>
      <c r="I15" s="5">
        <f>'DB pension'!$K22-'DC pension'!G21</f>
        <v>8690.641990106029</v>
      </c>
      <c r="J15" s="5">
        <f>'DB pension'!$K22-'DC pension'!H21</f>
        <v>8212.9066864953456</v>
      </c>
      <c r="K15" s="5">
        <f>'DB pension'!$K22-'DC pension'!I21</f>
        <v>8453.5977554900419</v>
      </c>
    </row>
    <row r="16" spans="1:11">
      <c r="A16">
        <f t="shared" si="0"/>
        <v>2030</v>
      </c>
      <c r="B16" s="5">
        <f>'DB pension'!M23-'DC pension'!D22</f>
        <v>300873.56268937385</v>
      </c>
      <c r="C16" s="5">
        <f>'DB pension'!N23-'DC pension'!D22</f>
        <v>389837.17380427517</v>
      </c>
      <c r="D16" s="5">
        <f>'DB pension'!O23-'DC pension'!D22</f>
        <v>326476.06086494488</v>
      </c>
      <c r="E16" s="5">
        <f>'DB pension'!P23-'DC pension'!D22</f>
        <v>356272.47461627581</v>
      </c>
      <c r="F16" s="5"/>
      <c r="G16">
        <f t="shared" si="1"/>
        <v>2030</v>
      </c>
      <c r="H16" s="5">
        <f>'DB pension'!$K23-'DC pension'!F22</f>
        <v>9046.4530928788117</v>
      </c>
      <c r="I16" s="5">
        <f>'DB pension'!$K23-'DC pension'!G22</f>
        <v>9574.7237796482914</v>
      </c>
      <c r="J16" s="5">
        <f>'DB pension'!$K23-'DC pension'!H22</f>
        <v>9046.4530928788117</v>
      </c>
      <c r="K16" s="5">
        <f>'DB pension'!$K23-'DC pension'!I22</f>
        <v>9312.6047365947343</v>
      </c>
    </row>
    <row r="17" spans="1:11">
      <c r="A17">
        <f t="shared" si="0"/>
        <v>2031</v>
      </c>
      <c r="B17" s="5">
        <f>'DB pension'!M24-'DC pension'!D23</f>
        <v>334962.14162350795</v>
      </c>
      <c r="C17" s="5">
        <f>'DB pension'!N24-'DC pension'!D23</f>
        <v>433270.95293740311</v>
      </c>
      <c r="D17" s="5">
        <f>'DB pension'!O24-'DC pension'!D23</f>
        <v>362764.63979907898</v>
      </c>
      <c r="E17" s="5">
        <f>'DB pension'!P24-'DC pension'!D23</f>
        <v>395921.17984221247</v>
      </c>
      <c r="F17" s="5"/>
      <c r="G17">
        <f t="shared" si="1"/>
        <v>2031</v>
      </c>
      <c r="H17" s="5">
        <f>'DB pension'!$K24-'DC pension'!F23</f>
        <v>9922.5658424791691</v>
      </c>
      <c r="I17" s="5">
        <f>'DB pension'!$K24-'DC pension'!G23</f>
        <v>10501.129029563117</v>
      </c>
      <c r="J17" s="5">
        <f>'DB pension'!$K24-'DC pension'!H23</f>
        <v>9922.5658424791691</v>
      </c>
      <c r="K17" s="5">
        <f>'DB pension'!$K24-'DC pension'!I23</f>
        <v>10214.055692460393</v>
      </c>
    </row>
    <row r="18" spans="1:11">
      <c r="A18">
        <f t="shared" si="0"/>
        <v>2032</v>
      </c>
      <c r="B18" s="5">
        <f>'DB pension'!M25-'DC pension'!D24</f>
        <v>371434.31049059582</v>
      </c>
      <c r="C18" s="5">
        <f>'DB pension'!N25-'DC pension'!D24</f>
        <v>479493.89076348761</v>
      </c>
      <c r="D18" s="5">
        <f>'DB pension'!O25-'DC pension'!D24</f>
        <v>401436.80866616691</v>
      </c>
      <c r="E18" s="5">
        <f>'DB pension'!P25-'DC pension'!D24</f>
        <v>438144.19915377413</v>
      </c>
      <c r="F18" s="5"/>
      <c r="G18">
        <f t="shared" si="1"/>
        <v>2032</v>
      </c>
      <c r="H18" s="5">
        <f>'DB pension'!$K25-'DC pension'!F24</f>
        <v>10840.37337525003</v>
      </c>
      <c r="I18" s="5">
        <f>'DB pension'!$K25-'DC pension'!G24</f>
        <v>11469.229954694634</v>
      </c>
      <c r="J18" s="5">
        <f>'DB pension'!$K25-'DC pension'!H24</f>
        <v>10840.37337525003</v>
      </c>
      <c r="K18" s="5">
        <f>'DB pension'!$K25-'DC pension'!I24</f>
        <v>11157.201880924411</v>
      </c>
    </row>
    <row r="19" spans="1:11">
      <c r="A19">
        <f t="shared" si="0"/>
        <v>2033</v>
      </c>
      <c r="B19" s="5">
        <f>'DB pension'!M26-'DC pension'!D25</f>
        <v>410410.7124499302</v>
      </c>
      <c r="C19" s="5">
        <f>'DB pension'!N26-'DC pension'!D25</f>
        <v>528645.73746039812</v>
      </c>
      <c r="D19" s="5">
        <f>'DB pension'!O26-'DC pension'!D25</f>
        <v>442613.21062550129</v>
      </c>
      <c r="E19" s="5">
        <f>'DB pension'!P26-'DC pension'!D25</f>
        <v>483071.1610421809</v>
      </c>
      <c r="F19" s="5"/>
      <c r="G19">
        <f t="shared" si="1"/>
        <v>2033</v>
      </c>
      <c r="H19" s="5">
        <f>'DB pension'!$K26-'DC pension'!F25</f>
        <v>11800.892886505459</v>
      </c>
      <c r="I19" s="5">
        <f>'DB pension'!$K26-'DC pension'!G25</f>
        <v>12480.053267915404</v>
      </c>
      <c r="J19" s="5">
        <f>'DB pension'!$K26-'DC pension'!H25</f>
        <v>11800.892886505459</v>
      </c>
      <c r="K19" s="5">
        <f>'DB pension'!$K26-'DC pension'!I25</f>
        <v>12143.065292406653</v>
      </c>
    </row>
    <row r="20" spans="1:11">
      <c r="A20">
        <f t="shared" si="0"/>
        <v>2034</v>
      </c>
      <c r="B20" s="5">
        <f>'DB pension'!M27-'DC pension'!D26</f>
        <v>452017.37936881994</v>
      </c>
      <c r="C20" s="5">
        <f>'DB pension'!N27-'DC pension'!D26</f>
        <v>580872.45604516333</v>
      </c>
      <c r="D20" s="5">
        <f>'DB pension'!O27-'DC pension'!D26</f>
        <v>486419.87754439103</v>
      </c>
      <c r="E20" s="5">
        <f>'DB pension'!P27-'DC pension'!D26</f>
        <v>530837.47026540083</v>
      </c>
      <c r="F20" s="5"/>
      <c r="G20">
        <f t="shared" si="1"/>
        <v>2034</v>
      </c>
      <c r="H20" s="5">
        <f>'DB pension'!$K27-'DC pension'!F26</f>
        <v>12805.167719181904</v>
      </c>
      <c r="I20" s="5">
        <f>'DB pension'!$K27-'DC pension'!G26</f>
        <v>13534.651811135416</v>
      </c>
      <c r="J20" s="5">
        <f>'DB pension'!$K27-'DC pension'!H26</f>
        <v>12805.167719181904</v>
      </c>
      <c r="K20" s="5">
        <f>'DB pension'!$K27-'DC pension'!I26</f>
        <v>13172.694055585962</v>
      </c>
    </row>
    <row r="21" spans="1:11">
      <c r="A21">
        <f t="shared" si="0"/>
        <v>2035</v>
      </c>
      <c r="B21" s="5">
        <f>'DB pension'!M28-'DC pension'!D27</f>
        <v>496385.95705604006</v>
      </c>
      <c r="C21" s="5">
        <f>'DB pension'!N28-'DC pension'!D27</f>
        <v>636326.48137442395</v>
      </c>
      <c r="D21" s="5">
        <f>'DB pension'!O28-'DC pension'!D27</f>
        <v>532988.45523161115</v>
      </c>
      <c r="E21" s="5">
        <f>'DB pension'!P28-'DC pension'!D27</f>
        <v>581584.54896098434</v>
      </c>
      <c r="F21" s="5"/>
      <c r="G21">
        <f t="shared" si="1"/>
        <v>2035</v>
      </c>
      <c r="H21" s="5">
        <f>'DB pension'!$K28-'DC pension'!F27</f>
        <v>13854.267935482269</v>
      </c>
      <c r="I21" s="5">
        <f>'DB pension'!$K28-'DC pension'!G27</f>
        <v>14634.105128784242</v>
      </c>
      <c r="J21" s="5">
        <f>'DB pension'!$K28-'DC pension'!H27</f>
        <v>13854.267935482269</v>
      </c>
      <c r="K21" s="5">
        <f>'DB pension'!$K28-'DC pension'!I27</f>
        <v>14247.163009970285</v>
      </c>
    </row>
    <row r="22" spans="1:11">
      <c r="A22">
        <f t="shared" si="0"/>
        <v>2036</v>
      </c>
      <c r="B22" s="5">
        <f>'DB pension'!M29-'DC pension'!D28</f>
        <v>543653.93953169836</v>
      </c>
      <c r="C22" s="5">
        <f>'DB pension'!N29-'DC pension'!D28</f>
        <v>695166.98951932532</v>
      </c>
      <c r="D22" s="5">
        <f>'DB pension'!O29-'DC pension'!D28</f>
        <v>582456.43770726933</v>
      </c>
      <c r="E22" s="5">
        <f>'DB pension'!P29-'DC pension'!D28</f>
        <v>635460.08742454252</v>
      </c>
      <c r="F22" s="5"/>
      <c r="G22">
        <f t="shared" si="1"/>
        <v>2036</v>
      </c>
      <c r="H22" s="5">
        <f>'DB pension'!$K29-'DC pension'!F28</f>
        <v>14949.290901362339</v>
      </c>
      <c r="I22" s="5">
        <f>'DB pension'!$K29-'DC pension'!G28</f>
        <v>15779.520054128423</v>
      </c>
      <c r="J22" s="5">
        <f>'DB pension'!$K29-'DC pension'!H28</f>
        <v>14949.290901362339</v>
      </c>
      <c r="K22" s="5">
        <f>'DB pension'!$K29-'DC pension'!I28</f>
        <v>15367.574291305556</v>
      </c>
    </row>
    <row r="23" spans="1:11">
      <c r="A23">
        <f t="shared" si="0"/>
        <v>2037</v>
      </c>
      <c r="B23" s="5">
        <f>'DB pension'!M30-'DC pension'!D29</f>
        <v>593964.91268619546</v>
      </c>
      <c r="C23" s="5">
        <f>'DB pension'!N30-'DC pension'!D29</f>
        <v>757560.17791933182</v>
      </c>
      <c r="D23" s="5">
        <f>'DB pension'!O30-'DC pension'!D29</f>
        <v>634967.41086176655</v>
      </c>
      <c r="E23" s="5">
        <f>'DB pension'!P30-'DC pension'!D29</f>
        <v>692618.30493090022</v>
      </c>
      <c r="F23" s="5"/>
      <c r="G23">
        <f t="shared" si="1"/>
        <v>2037</v>
      </c>
      <c r="H23" s="5">
        <f>'DB pension'!$K30-'DC pension'!F29</f>
        <v>16091.361884129401</v>
      </c>
      <c r="I23" s="5">
        <f>'DB pension'!$K30-'DC pension'!G29</f>
        <v>16972.031308694259</v>
      </c>
      <c r="J23" s="5">
        <f>'DB pension'!$K30-'DC pension'!H29</f>
        <v>16091.361884129401</v>
      </c>
      <c r="K23" s="5">
        <f>'DB pension'!$K30-'DC pension'!I29</f>
        <v>16535.057930093375</v>
      </c>
    </row>
    <row r="24" spans="1:11">
      <c r="A24">
        <f t="shared" si="0"/>
        <v>2038</v>
      </c>
      <c r="B24" s="5">
        <f>'DB pension'!M31-'DC pension'!D30</f>
        <v>647468.80769444746</v>
      </c>
      <c r="C24" s="5">
        <f>'DB pension'!N31-'DC pension'!D30</f>
        <v>823679.55673488602</v>
      </c>
      <c r="D24" s="5">
        <f>'DB pension'!O31-'DC pension'!D30</f>
        <v>690671.30587001843</v>
      </c>
      <c r="E24" s="5">
        <f>'DB pension'!P31-'DC pension'!D30</f>
        <v>753220.22098937957</v>
      </c>
      <c r="F24" s="5"/>
      <c r="G24">
        <f t="shared" si="1"/>
        <v>2038</v>
      </c>
      <c r="H24" s="5">
        <f>'DB pension'!$K31-'DC pension'!F30</f>
        <v>17281.634663428558</v>
      </c>
      <c r="I24" s="5">
        <f>'DB pension'!$K31-'DC pension'!G30</f>
        <v>18212.8021150719</v>
      </c>
      <c r="J24" s="5">
        <f>'DB pension'!$K31-'DC pension'!H30</f>
        <v>17281.634663428558</v>
      </c>
      <c r="K24" s="5">
        <f>'DB pension'!$K31-'DC pension'!I30</f>
        <v>17750.772463493144</v>
      </c>
    </row>
    <row r="25" spans="1:11">
      <c r="A25">
        <f t="shared" si="0"/>
        <v>2039</v>
      </c>
      <c r="B25" s="5">
        <f>'DB pension'!M32-'DC pension'!D31</f>
        <v>707374.63120699348</v>
      </c>
      <c r="C25" s="5">
        <f>'DB pension'!N32-'DC pension'!D31</f>
        <v>896758.71847635857</v>
      </c>
      <c r="D25" s="5">
        <f>'DB pension'!O32-'DC pension'!D31</f>
        <v>752777.12938256445</v>
      </c>
      <c r="E25" s="5">
        <f>'DB pension'!P32-'DC pension'!D31</f>
        <v>820486.40408108034</v>
      </c>
      <c r="F25" s="5"/>
      <c r="G25">
        <f t="shared" si="1"/>
        <v>2039</v>
      </c>
      <c r="H25" s="5">
        <f>'DB pension'!$K32-'DC pension'!F31</f>
        <v>18601.561710523383</v>
      </c>
      <c r="I25" s="5">
        <f>'DB pension'!$K32-'DC pension'!G31</f>
        <v>19573.202908088399</v>
      </c>
      <c r="J25" s="5">
        <f>'DB pension'!$K32-'DC pension'!H31</f>
        <v>18601.561710523383</v>
      </c>
      <c r="K25" s="5">
        <f>'DB pension'!$K32-'DC pension'!I31</f>
        <v>19091.090863495072</v>
      </c>
    </row>
    <row r="26" spans="1:11">
      <c r="A26">
        <f t="shared" si="0"/>
        <v>2040</v>
      </c>
      <c r="B26" s="5">
        <f>'DB pension'!M33-'DC pension'!D32</f>
        <v>771059.26300433557</v>
      </c>
      <c r="C26" s="5">
        <f>'DB pension'!N33-'DC pension'!D32</f>
        <v>974200.17665355722</v>
      </c>
      <c r="D26" s="5">
        <f>'DB pension'!O33-'DC pension'!D32</f>
        <v>818661.76117990655</v>
      </c>
      <c r="E26" s="5">
        <f>'DB pension'!P33-'DC pension'!D32</f>
        <v>891805.78859175043</v>
      </c>
      <c r="F26" s="5"/>
      <c r="G26">
        <f t="shared" si="1"/>
        <v>2040</v>
      </c>
      <c r="H26" s="5">
        <f>'DB pension'!$K33-'DC pension'!F32</f>
        <v>19976.603209828696</v>
      </c>
      <c r="I26" s="5">
        <f>'DB pension'!$K33-'DC pension'!G32</f>
        <v>20988.226885821496</v>
      </c>
      <c r="J26" s="5">
        <f>'DB pension'!$K33-'DC pension'!H32</f>
        <v>19976.603209828696</v>
      </c>
      <c r="K26" s="5">
        <f>'DB pension'!$K33-'DC pension'!I32</f>
        <v>20486.276206893774</v>
      </c>
    </row>
    <row r="27" spans="1:11">
      <c r="A27">
        <f t="shared" si="0"/>
        <v>2041</v>
      </c>
      <c r="B27" s="5">
        <f>'DB pension'!M34-'DC pension'!D33</f>
        <v>838703.80752661242</v>
      </c>
      <c r="C27" s="5">
        <f>'DB pension'!N34-'DC pension'!D33</f>
        <v>1056211.7599180385</v>
      </c>
      <c r="D27" s="5">
        <f>'DB pension'!O34-'DC pension'!D33</f>
        <v>888506.3057021834</v>
      </c>
      <c r="E27" s="5">
        <f>'DB pension'!P34-'DC pension'!D33</f>
        <v>967372.04638062231</v>
      </c>
      <c r="F27" s="5"/>
      <c r="G27">
        <f t="shared" si="1"/>
        <v>2041</v>
      </c>
      <c r="H27" s="5">
        <f>'DB pension'!$K34-'DC pension'!F33</f>
        <v>21408.017787057921</v>
      </c>
      <c r="I27" s="5">
        <f>'DB pension'!$K34-'DC pension'!G33</f>
        <v>22459.140144670113</v>
      </c>
      <c r="J27" s="5">
        <f>'DB pension'!$K34-'DC pension'!H33</f>
        <v>21408.017787057921</v>
      </c>
      <c r="K27" s="5">
        <f>'DB pension'!$K34-'DC pension'!I33</f>
        <v>21937.590883259483</v>
      </c>
    </row>
    <row r="28" spans="1:11">
      <c r="A28">
        <f t="shared" si="0"/>
        <v>2042</v>
      </c>
      <c r="B28" s="5">
        <f>'DB pension'!M35-'DC pension'!D34</f>
        <v>910497.18006446771</v>
      </c>
      <c r="C28" s="5">
        <f>'DB pension'!N35-'DC pension'!D34</f>
        <v>1143010.2425464955</v>
      </c>
      <c r="D28" s="5">
        <f>'DB pension'!O35-'DC pension'!D34</f>
        <v>962499.67824003869</v>
      </c>
      <c r="E28" s="5">
        <f>'DB pension'!P35-'DC pension'!D34</f>
        <v>1047387.1938004349</v>
      </c>
      <c r="F28" s="5"/>
      <c r="G28">
        <f t="shared" si="1"/>
        <v>2042</v>
      </c>
      <c r="H28" s="5">
        <f>'DB pension'!$K35-'DC pension'!F34</f>
        <v>22897.096006385997</v>
      </c>
      <c r="I28" s="5">
        <f>'DB pension'!$K35-'DC pension'!G34</f>
        <v>23987.240609505388</v>
      </c>
      <c r="J28" s="5">
        <f>'DB pension'!$K35-'DC pension'!H34</f>
        <v>22897.096006385997</v>
      </c>
      <c r="K28" s="5">
        <f>'DB pension'!$K35-'DC pension'!I34</f>
        <v>23446.329165209507</v>
      </c>
    </row>
    <row r="29" spans="1:11">
      <c r="A29">
        <f t="shared" si="0"/>
        <v>2043</v>
      </c>
      <c r="B29" s="5">
        <f>'DB pension'!M36-'DC pension'!D35</f>
        <v>986636.42554066284</v>
      </c>
      <c r="C29" s="5">
        <f>'DB pension'!N36-'DC pension'!D35</f>
        <v>1234821.7092595645</v>
      </c>
      <c r="D29" s="5">
        <f>'DB pension'!O36-'DC pension'!D35</f>
        <v>1040838.9237162338</v>
      </c>
      <c r="E29" s="5">
        <f>'DB pension'!P36-'DC pension'!D35</f>
        <v>1132061.9321286534</v>
      </c>
      <c r="F29" s="5"/>
      <c r="G29">
        <f t="shared" si="1"/>
        <v>2043</v>
      </c>
      <c r="H29" s="5">
        <f>'DB pension'!$K36-'DC pension'!F35</f>
        <v>24445.161054027041</v>
      </c>
      <c r="I29" s="5">
        <f>'DB pension'!$K36-'DC pension'!G35</f>
        <v>25573.85871887461</v>
      </c>
      <c r="J29" s="5">
        <f>'DB pension'!$K36-'DC pension'!H35</f>
        <v>24445.161054027041</v>
      </c>
      <c r="K29" s="5">
        <f>'DB pension'!$K36-'DC pension'!I35</f>
        <v>25013.817892805208</v>
      </c>
    </row>
    <row r="30" spans="1:11">
      <c r="A30">
        <f t="shared" si="0"/>
        <v>2044</v>
      </c>
      <c r="B30" s="5">
        <f>'DB pension'!M37-'DC pension'!D36</f>
        <v>1067327.0498688286</v>
      </c>
      <c r="C30" s="5">
        <f>'DB pension'!N37-'DC pension'!D36</f>
        <v>1331881.9344296844</v>
      </c>
      <c r="D30" s="5">
        <f>'DB pension'!O37-'DC pension'!D36</f>
        <v>1123729.5480443996</v>
      </c>
      <c r="E30" s="5">
        <f>'DB pension'!P37-'DC pension'!D36</f>
        <v>1221616.0014279063</v>
      </c>
      <c r="F30" s="5"/>
      <c r="G30">
        <f t="shared" si="1"/>
        <v>2044</v>
      </c>
      <c r="H30" s="5">
        <f>'DB pension'!$K37-'DC pension'!F36</f>
        <v>26053.569437137274</v>
      </c>
      <c r="I30" s="5">
        <f>'DB pension'!$K37-'DC pension'!G36</f>
        <v>27220.358125506405</v>
      </c>
      <c r="J30" s="5">
        <f>'DB pension'!$K37-'DC pension'!H36</f>
        <v>26053.569437137274</v>
      </c>
      <c r="K30" s="5">
        <f>'DB pension'!$K37-'DC pension'!I36</f>
        <v>26641.41717326218</v>
      </c>
    </row>
    <row r="31" spans="1:11">
      <c r="A31">
        <f t="shared" si="0"/>
        <v>2045</v>
      </c>
      <c r="B31" s="5">
        <f>'DB pension'!M38-'DC pension'!D37</f>
        <v>1109798.684079384</v>
      </c>
      <c r="C31" s="5">
        <f>'DB pension'!N38-'DC pension'!D37</f>
        <v>1436590.1267088023</v>
      </c>
      <c r="D31" s="5">
        <f>'DB pension'!O38-'DC pension'!D37</f>
        <v>1168401.1822549552</v>
      </c>
      <c r="E31" s="5">
        <f>'DB pension'!P38-'DC pension'!D37</f>
        <v>1293706.4011953077</v>
      </c>
      <c r="F31" s="5"/>
      <c r="G31">
        <f t="shared" si="1"/>
        <v>2045</v>
      </c>
      <c r="H31" s="5">
        <f>'DB pension'!$K38-'DC pension'!F37</f>
        <v>27450.660794049829</v>
      </c>
      <c r="I31" s="5">
        <f>'DB pension'!$K38-'DC pension'!G37</f>
        <v>28938.28987667078</v>
      </c>
      <c r="J31" s="5">
        <f>'DB pension'!$K38-'DC pension'!H37</f>
        <v>27450.660794049829</v>
      </c>
      <c r="K31" s="5">
        <f>'DB pension'!$K38-'DC pension'!I37</f>
        <v>28206.520914976667</v>
      </c>
    </row>
    <row r="32" spans="1:11">
      <c r="A32">
        <f t="shared" si="0"/>
        <v>2046</v>
      </c>
      <c r="B32" s="5">
        <f>'DB pension'!M39-'DC pension'!D38</f>
        <v>1197226.2233369702</v>
      </c>
      <c r="C32" s="5">
        <f>'DB pension'!N39-'DC pension'!D38</f>
        <v>1545047.1228184856</v>
      </c>
      <c r="D32" s="5">
        <f>'DB pension'!O39-'DC pension'!D38</f>
        <v>1258028.7215125412</v>
      </c>
      <c r="E32" s="5">
        <f>'DB pension'!P39-'DC pension'!D38</f>
        <v>1392131.5783204231</v>
      </c>
      <c r="F32" s="5"/>
      <c r="G32">
        <f t="shared" si="1"/>
        <v>2046</v>
      </c>
      <c r="H32" s="5">
        <f>'DB pension'!$K39-'DC pension'!F38</f>
        <v>29175.531488954322</v>
      </c>
      <c r="I32" s="5">
        <f>'DB pension'!$K39-'DC pension'!G38</f>
        <v>30709.092788917922</v>
      </c>
      <c r="J32" s="5">
        <f>'DB pension'!$K39-'DC pension'!H38</f>
        <v>29175.531488954322</v>
      </c>
      <c r="K32" s="5">
        <f>'DB pension'!$K39-'DC pension'!I38</f>
        <v>29954.729639340687</v>
      </c>
    </row>
    <row r="33" spans="1:11">
      <c r="A33">
        <f t="shared" si="0"/>
        <v>2047</v>
      </c>
      <c r="B33" s="5">
        <f>'DB pension'!M40-'DC pension'!D39</f>
        <v>1289722.5262556509</v>
      </c>
      <c r="C33" s="5">
        <f>'DB pension'!N40-'DC pension'!D39</f>
        <v>1659530.0433895488</v>
      </c>
      <c r="D33" s="5">
        <f>'DB pension'!O40-'DC pension'!D39</f>
        <v>1352725.0244312219</v>
      </c>
      <c r="E33" s="5">
        <f>'DB pension'!P40-'DC pension'!D39</f>
        <v>1496072.7308434374</v>
      </c>
      <c r="F33" s="5"/>
      <c r="G33">
        <f t="shared" si="1"/>
        <v>2047</v>
      </c>
      <c r="H33" s="5">
        <f>'DB pension'!$K40-'DC pension'!F39</f>
        <v>30965.122220993995</v>
      </c>
      <c r="I33" s="5">
        <f>'DB pension'!$K40-'DC pension'!G39</f>
        <v>32544.070763430333</v>
      </c>
      <c r="J33" s="5">
        <f>'DB pension'!$K40-'DC pension'!H39</f>
        <v>30965.122220993995</v>
      </c>
      <c r="K33" s="5">
        <f>'DB pension'!$K40-'DC pension'!I39</f>
        <v>31767.381500652944</v>
      </c>
    </row>
    <row r="34" spans="1:11">
      <c r="A34">
        <f t="shared" si="0"/>
        <v>2048</v>
      </c>
      <c r="B34" s="5">
        <f>'DB pension'!M41-'DC pension'!D40</f>
        <v>1387523.6453112899</v>
      </c>
      <c r="C34" s="5">
        <f>'DB pension'!N41-'DC pension'!D40</f>
        <v>1780317.8657797151</v>
      </c>
      <c r="D34" s="5">
        <f>'DB pension'!O41-'DC pension'!D40</f>
        <v>1452726.1434868607</v>
      </c>
      <c r="E34" s="5">
        <f>'DB pension'!P41-'DC pension'!D40</f>
        <v>1605785.966920475</v>
      </c>
      <c r="F34" s="5"/>
      <c r="G34">
        <f t="shared" si="1"/>
        <v>2048</v>
      </c>
      <c r="H34" s="5">
        <f>'DB pension'!$K41-'DC pension'!F40</f>
        <v>32820.928561280969</v>
      </c>
      <c r="I34" s="5">
        <f>'DB pension'!$K41-'DC pension'!G40</f>
        <v>34444.72768883322</v>
      </c>
      <c r="J34" s="5">
        <f>'DB pension'!$K41-'DC pension'!H40</f>
        <v>32820.928561280969</v>
      </c>
      <c r="K34" s="5">
        <f>'DB pension'!$K41-'DC pension'!I40</f>
        <v>33645.976296130393</v>
      </c>
    </row>
    <row r="35" spans="1:11">
      <c r="A35">
        <f t="shared" si="0"/>
        <v>2049</v>
      </c>
      <c r="B35" s="5">
        <f>'DB pension'!M42-'DC pension'!D41</f>
        <v>1490875.6684437846</v>
      </c>
      <c r="C35" s="5">
        <f>'DB pension'!N42-'DC pension'!D41</f>
        <v>1907701.4035022501</v>
      </c>
      <c r="D35" s="5">
        <f>'DB pension'!O42-'DC pension'!D41</f>
        <v>1558278.1666193558</v>
      </c>
      <c r="E35" s="5">
        <f>'DB pension'!P42-'DC pension'!D41</f>
        <v>1721538.2715040767</v>
      </c>
      <c r="F35" s="5"/>
      <c r="G35">
        <f t="shared" si="1"/>
        <v>2049</v>
      </c>
      <c r="H35" s="5">
        <f>'DB pension'!$K42-'DC pension'!F41</f>
        <v>34744.48316013936</v>
      </c>
      <c r="I35" s="5">
        <f>'DB pension'!$K42-'DC pension'!G41</f>
        <v>36412.604410564491</v>
      </c>
      <c r="J35" s="5">
        <f>'DB pension'!$K42-'DC pension'!H41</f>
        <v>34744.48316013936</v>
      </c>
      <c r="K35" s="5">
        <f>'DB pension'!$K42-'DC pension'!I41</f>
        <v>35592.050840011238</v>
      </c>
    </row>
    <row r="36" spans="1:11">
      <c r="A36" s="6">
        <f t="shared" si="0"/>
        <v>2050</v>
      </c>
      <c r="B36" s="5">
        <f>'DB pension'!M43-'DC pension'!D42</f>
        <v>1600035.1251145757</v>
      </c>
      <c r="C36" s="5">
        <f>'DB pension'!N43-'DC pension'!D42</f>
        <v>2041983.784765126</v>
      </c>
      <c r="D36" s="5">
        <f>'DB pension'!O43-'DC pension'!D42</f>
        <v>1669637.6232901469</v>
      </c>
      <c r="E36" s="5">
        <f>'DB pension'!P43-'DC pension'!D42</f>
        <v>1843607.9462661238</v>
      </c>
      <c r="F36" s="5"/>
      <c r="G36" s="16">
        <f t="shared" si="1"/>
        <v>2050</v>
      </c>
      <c r="H36" s="5">
        <f>'DB pension'!$K43-'DC pension'!F42</f>
        <v>36737.356544571827</v>
      </c>
      <c r="I36" s="5">
        <f>'DB pension'!$K43-'DC pension'!G42</f>
        <v>38449.279530151158</v>
      </c>
      <c r="J36" s="5">
        <f>'DB pension'!$K43-'DC pension'!H42</f>
        <v>36737.356544571827</v>
      </c>
      <c r="K36" s="5">
        <f>'DB pension'!$K43-'DC pension'!I42</f>
        <v>37607.179761941079</v>
      </c>
    </row>
    <row r="37" spans="1:11">
      <c r="A37" s="6">
        <f t="shared" si="0"/>
        <v>2051</v>
      </c>
      <c r="B37" s="5">
        <f>'DB pension'!M44-'DC pension'!D43</f>
        <v>1715269.4082927527</v>
      </c>
      <c r="C37" s="5">
        <f>'DB pension'!N44-'DC pension'!D43</f>
        <v>2183480.9497759617</v>
      </c>
      <c r="D37" s="5">
        <f>'DB pension'!O44-'DC pension'!D43</f>
        <v>1787071.9064683239</v>
      </c>
      <c r="E37" s="5">
        <f>'DB pension'!P44-'DC pension'!D43</f>
        <v>1972285.0667749648</v>
      </c>
      <c r="F37" s="5"/>
      <c r="G37" s="16">
        <f t="shared" si="1"/>
        <v>2051</v>
      </c>
      <c r="H37" s="5">
        <f>'DB pension'!$K44-'DC pension'!F43</f>
        <v>38801.157933437666</v>
      </c>
      <c r="I37" s="5">
        <f>'DB pension'!$K44-'DC pension'!G43</f>
        <v>40556.370222170561</v>
      </c>
      <c r="J37" s="5">
        <f>'DB pension'!$K44-'DC pension'!H43</f>
        <v>38801.157933437666</v>
      </c>
      <c r="K37" s="5">
        <f>'DB pension'!$K44-'DC pension'!I43</f>
        <v>39692.97632305701</v>
      </c>
    </row>
    <row r="38" spans="1:11">
      <c r="A38" s="6">
        <f t="shared" si="0"/>
        <v>2052</v>
      </c>
      <c r="B38" s="5">
        <f>'DB pension'!M45-'DC pension'!D44</f>
        <v>1836857.2129814699</v>
      </c>
      <c r="C38" s="5">
        <f>'DB pension'!N45-'DC pension'!D44</f>
        <v>2332522.1675332999</v>
      </c>
      <c r="D38" s="5">
        <f>'DB pension'!O45-'DC pension'!D44</f>
        <v>1910859.7111570411</v>
      </c>
      <c r="E38" s="5">
        <f>'DB pension'!P45-'DC pension'!D44</f>
        <v>2107871.957589319</v>
      </c>
      <c r="F38" s="5"/>
      <c r="G38" s="16">
        <f t="shared" si="1"/>
        <v>2052</v>
      </c>
      <c r="H38" s="5">
        <f>'DB pension'!$K45-'DC pension'!F44</f>
        <v>40937.536070712085</v>
      </c>
      <c r="I38" s="5">
        <f>'DB pension'!$K45-'DC pension'!G44</f>
        <v>42735.533069266472</v>
      </c>
      <c r="J38" s="5">
        <f>'DB pension'!$K45-'DC pension'!H44</f>
        <v>40937.536070712085</v>
      </c>
      <c r="K38" s="5">
        <f>'DB pension'!$K45-'DC pension'!I44</f>
        <v>41851.093250139515</v>
      </c>
    </row>
    <row r="39" spans="1:11">
      <c r="A39" s="6">
        <f t="shared" si="0"/>
        <v>2053</v>
      </c>
      <c r="B39" s="5">
        <f>'DB pension'!M46-'DC pension'!D45</f>
        <v>1965088.9919194872</v>
      </c>
      <c r="C39" s="5">
        <f>'DB pension'!N46-'DC pension'!D45</f>
        <v>2489450.5728520174</v>
      </c>
      <c r="D39" s="5">
        <f>'DB pension'!O46-'DC pension'!D45</f>
        <v>2041291.4900950585</v>
      </c>
      <c r="E39" s="5">
        <f>'DB pension'!P46-'DC pension'!D45</f>
        <v>2250683.6859565559</v>
      </c>
      <c r="F39" s="5"/>
      <c r="G39" s="6">
        <f t="shared" si="1"/>
        <v>2053</v>
      </c>
      <c r="H39" s="5">
        <f>'DB pension'!$K46-'DC pension'!F45</f>
        <v>43148.180077204102</v>
      </c>
      <c r="I39" s="5">
        <f>'DB pension'!$K46-'DC pension'!G45</f>
        <v>44988.464915597753</v>
      </c>
      <c r="J39" s="5">
        <f>'DB pension'!$K46-'DC pension'!H45</f>
        <v>43148.180077204102</v>
      </c>
      <c r="K39" s="5">
        <f>'DB pension'!$K46-'DC pension'!I45</f>
        <v>44083.223588209781</v>
      </c>
    </row>
    <row r="40" spans="1:11">
      <c r="A40" s="6">
        <f t="shared" si="0"/>
        <v>2054</v>
      </c>
      <c r="B40" s="5">
        <f>'DB pension'!M47-'DC pension'!D46</f>
        <v>2100267.429116671</v>
      </c>
      <c r="C40" s="5">
        <f>'DB pension'!N47-'DC pension'!D46</f>
        <v>2654623.724398931</v>
      </c>
      <c r="D40" s="5">
        <f>'DB pension'!O47-'DC pension'!D46</f>
        <v>2178669.9272922422</v>
      </c>
      <c r="E40" s="5">
        <f>'DB pension'!P47-'DC pension'!D46</f>
        <v>2401048.5748289572</v>
      </c>
      <c r="F40" s="5"/>
      <c r="G40" s="6">
        <f t="shared" si="1"/>
        <v>2054</v>
      </c>
      <c r="H40" s="5">
        <f>'DB pension'!$K47-'DC pension'!F46</f>
        <v>45434.820321118408</v>
      </c>
      <c r="I40" s="5">
        <f>'DB pension'!$K47-'DC pension'!G46</f>
        <v>47316.903739105532</v>
      </c>
      <c r="J40" s="5">
        <f>'DB pension'!$K47-'DC pension'!H46</f>
        <v>45434.820321118408</v>
      </c>
      <c r="K40" s="5">
        <f>'DB pension'!$K47-'DC pension'!I46</f>
        <v>46391.101571958017</v>
      </c>
    </row>
    <row r="41" spans="1:11">
      <c r="A41" s="6">
        <f t="shared" si="0"/>
        <v>2055</v>
      </c>
      <c r="B41" s="5">
        <f>'DB pension'!M48-'DC pension'!D47</f>
        <v>2242707.9319071635</v>
      </c>
      <c r="C41" s="5">
        <f>'DB pension'!N48-'DC pension'!D47</f>
        <v>2828414.1845439738</v>
      </c>
      <c r="D41" s="5">
        <f>'DB pension'!O48-'DC pension'!D47</f>
        <v>2323310.4300827347</v>
      </c>
      <c r="E41" s="5">
        <f>'DB pension'!P48-'DC pension'!D47</f>
        <v>2559308.7359385216</v>
      </c>
      <c r="F41" s="5"/>
      <c r="G41" s="6">
        <f t="shared" si="1"/>
        <v>2055</v>
      </c>
      <c r="H41" s="5">
        <f>'DB pension'!$K48-'DC pension'!F47</f>
        <v>47799.229307854846</v>
      </c>
      <c r="I41" s="5">
        <f>'DB pension'!$K48-'DC pension'!G47</f>
        <v>49722.62954299269</v>
      </c>
      <c r="J41" s="5">
        <f>'DB pension'!$K48-'DC pension'!H47</f>
        <v>47799.229307854846</v>
      </c>
      <c r="K41" s="5">
        <f>'DB pension'!$K48-'DC pension'!I47</f>
        <v>48776.503516396544</v>
      </c>
    </row>
    <row r="42" spans="1:11">
      <c r="A42" s="6">
        <f t="shared" si="0"/>
        <v>2056</v>
      </c>
      <c r="B42" s="5">
        <f>'DB pension'!M49-'DC pension'!D48</f>
        <v>2392739.142229748</v>
      </c>
      <c r="C42" s="5">
        <f>'DB pension'!N49-'DC pension'!D48</f>
        <v>3011210.1218627384</v>
      </c>
      <c r="D42" s="5">
        <f>'DB pension'!O49-'DC pension'!D48</f>
        <v>2475541.6404053192</v>
      </c>
      <c r="E42" s="5">
        <f>'DB pension'!P49-'DC pension'!D48</f>
        <v>2725820.6236988269</v>
      </c>
      <c r="F42" s="5"/>
      <c r="G42" s="6">
        <f t="shared" si="1"/>
        <v>2056</v>
      </c>
      <c r="H42" s="5">
        <f>'DB pension'!$K49-'DC pension'!F48</f>
        <v>50243.222589447323</v>
      </c>
      <c r="I42" s="5">
        <f>'DB pension'!$K49-'DC pension'!G48</f>
        <v>52207.465266818013</v>
      </c>
      <c r="J42" s="5">
        <f>'DB pension'!$K49-'DC pension'!H48</f>
        <v>50243.222589447323</v>
      </c>
      <c r="K42" s="5">
        <f>'DB pension'!$K49-'DC pension'!I48</f>
        <v>51241.248727139719</v>
      </c>
    </row>
    <row r="43" spans="1:11">
      <c r="A43" s="6">
        <f t="shared" si="0"/>
        <v>2057</v>
      </c>
      <c r="B43" s="5">
        <f>'DB pension'!M50-'DC pension'!D49</f>
        <v>2550703.4678717433</v>
      </c>
      <c r="C43" s="5">
        <f>'DB pension'!N50-'DC pension'!D49</f>
        <v>3203415.9371577231</v>
      </c>
      <c r="D43" s="5">
        <f>'DB pension'!O50-'DC pension'!D49</f>
        <v>2635705.966047314</v>
      </c>
      <c r="E43" s="5">
        <f>'DB pension'!P50-'DC pension'!D49</f>
        <v>2900955.6107315049</v>
      </c>
      <c r="F43" s="5"/>
      <c r="G43" s="6">
        <f t="shared" si="1"/>
        <v>2057</v>
      </c>
      <c r="H43" s="5">
        <f>'DB pension'!$K50-'DC pension'!F49</f>
        <v>52768.659694052556</v>
      </c>
      <c r="I43" s="5">
        <f>'DB pension'!$K50-'DC pension'!G49</f>
        <v>54773.277717615703</v>
      </c>
      <c r="J43" s="5">
        <f>'DB pension'!$K50-'DC pension'!H49</f>
        <v>52768.659694052556</v>
      </c>
      <c r="K43" s="5">
        <f>'DB pension'!$K50-'DC pension'!I49</f>
        <v>53787.200430721277</v>
      </c>
    </row>
    <row r="44" spans="1:11">
      <c r="A44" s="6">
        <f t="shared" si="0"/>
        <v>2058</v>
      </c>
      <c r="B44" s="5">
        <f>'DB pension'!M51-'DC pension'!D50</f>
        <v>2716957.6344405138</v>
      </c>
      <c r="C44" s="5">
        <f>'DB pension'!N51-'DC pension'!D50</f>
        <v>3405452.9138983618</v>
      </c>
      <c r="D44" s="5">
        <f>'DB pension'!O51-'DC pension'!D50</f>
        <v>2804160.132616085</v>
      </c>
      <c r="E44" s="5">
        <f>'DB pension'!P51-'DC pension'!D50</f>
        <v>3085100.5858449298</v>
      </c>
      <c r="F44" s="5"/>
      <c r="G44" s="6">
        <f t="shared" si="1"/>
        <v>2058</v>
      </c>
      <c r="H44" s="5">
        <f>'DB pension'!$K51-'DC pension'!F50</f>
        <v>55377.445075907657</v>
      </c>
      <c r="I44" s="5">
        <f>'DB pension'!$K51-'DC pension'!G50</f>
        <v>57421.978521459634</v>
      </c>
      <c r="J44" s="5">
        <f>'DB pension'!$K51-'DC pension'!H50</f>
        <v>55377.445075907657</v>
      </c>
      <c r="K44" s="5">
        <f>'DB pension'!$K51-'DC pension'!I50</f>
        <v>56416.266725368274</v>
      </c>
    </row>
    <row r="45" spans="1:11">
      <c r="A45" s="6">
        <f t="shared" si="0"/>
        <v>2059</v>
      </c>
      <c r="B45" s="5">
        <f>'DB pension'!M52-'DC pension'!D51</f>
        <v>2891873.2588555366</v>
      </c>
      <c r="C45" s="5">
        <f>'DB pension'!N52-'DC pension'!D51</f>
        <v>3617759.8940138263</v>
      </c>
      <c r="D45" s="5">
        <f>'DB pension'!O52-'DC pension'!D51</f>
        <v>2981275.7570311078</v>
      </c>
      <c r="E45" s="5">
        <f>'DB pension'!P52-'DC pension'!D51</f>
        <v>3278658.5753239999</v>
      </c>
      <c r="F45" s="5"/>
      <c r="G45" s="6">
        <f t="shared" si="1"/>
        <v>2059</v>
      </c>
      <c r="H45" s="5">
        <f>'DB pension'!$K52-'DC pension'!F51</f>
        <v>58071.529086184535</v>
      </c>
      <c r="I45" s="5">
        <f>'DB pension'!$K52-'DC pension'!G51</f>
        <v>60155.525095900659</v>
      </c>
      <c r="J45" s="5">
        <f>'DB pension'!$K52-'DC pension'!H51</f>
        <v>58071.529086184535</v>
      </c>
      <c r="K45" s="5">
        <f>'DB pension'!$K52-'DC pension'!I51</f>
        <v>59130.401552659736</v>
      </c>
    </row>
    <row r="46" spans="1:11">
      <c r="A46" s="6">
        <f t="shared" si="0"/>
        <v>2060</v>
      </c>
      <c r="B46" s="5">
        <f>'DB pension'!M53-'DC pension'!D52</f>
        <v>3075837.4451838224</v>
      </c>
      <c r="C46" s="5">
        <f>'DB pension'!N53-'DC pension'!D52</f>
        <v>3840793.9800078599</v>
      </c>
      <c r="D46" s="5">
        <f>'DB pension'!O53-'DC pension'!D52</f>
        <v>3167439.9433593936</v>
      </c>
      <c r="E46" s="5">
        <f>'DB pension'!P53-'DC pension'!D52</f>
        <v>3482049.3884222051</v>
      </c>
      <c r="F46" s="5"/>
      <c r="G46" s="6">
        <f t="shared" si="1"/>
        <v>2060</v>
      </c>
      <c r="H46" s="5">
        <f>'DB pension'!$K53-'DC pension'!F52</f>
        <v>60852.908965177907</v>
      </c>
      <c r="I46" s="5">
        <f>'DB pension'!$K53-'DC pension'!G52</f>
        <v>62975.921643714166</v>
      </c>
      <c r="J46" s="5">
        <f>'DB pension'!$K53-'DC pension'!H52</f>
        <v>60852.908965177907</v>
      </c>
      <c r="K46" s="5">
        <f>'DB pension'!$K53-'DC pension'!I52</f>
        <v>61931.605690507058</v>
      </c>
    </row>
    <row r="47" spans="1:11">
      <c r="A47" s="6">
        <f t="shared" si="0"/>
        <v>2061</v>
      </c>
      <c r="B47" s="5">
        <f>'DB pension'!M54-'DC pension'!D53</f>
        <v>3269253.4036725359</v>
      </c>
      <c r="C47" s="5">
        <f>'DB pension'!N54-'DC pension'!D53</f>
        <v>4075031.264401373</v>
      </c>
      <c r="D47" s="5">
        <f>'DB pension'!O54-'DC pension'!D53</f>
        <v>3363055.9018481071</v>
      </c>
      <c r="E47" s="5">
        <f>'DB pension'!P54-'DC pension'!D53</f>
        <v>3695710.2879808159</v>
      </c>
      <c r="F47" s="5"/>
      <c r="G47" s="6">
        <f t="shared" si="1"/>
        <v>2061</v>
      </c>
      <c r="H47" s="5">
        <f>'DB pension'!$K54-'DC pension'!F53</f>
        <v>63723.629856273074</v>
      </c>
      <c r="I47" s="5">
        <f>'DB pension'!$K54-'DC pension'!G53</f>
        <v>65885.220168404354</v>
      </c>
      <c r="J47" s="5">
        <f>'DB pension'!$K54-'DC pension'!H53</f>
        <v>63723.629856273074</v>
      </c>
      <c r="K47" s="5">
        <f>'DB pension'!$K54-'DC pension'!I53</f>
        <v>64821.927767902533</v>
      </c>
    </row>
    <row r="48" spans="1:11">
      <c r="A48" s="6">
        <f t="shared" si="0"/>
        <v>2062</v>
      </c>
      <c r="B48" s="5">
        <f>'DB pension'!M55-'DC pension'!D54</f>
        <v>3472541.0938648097</v>
      </c>
      <c r="C48" s="5">
        <f>'DB pension'!N55-'DC pension'!D54</f>
        <v>4320967.5875464473</v>
      </c>
      <c r="D48" s="5">
        <f>'DB pension'!O55-'DC pension'!D54</f>
        <v>3568543.5920403805</v>
      </c>
      <c r="E48" s="5">
        <f>'DB pension'!P55-'DC pension'!D54</f>
        <v>3920096.6871348266</v>
      </c>
      <c r="F48" s="5"/>
      <c r="G48" s="6">
        <f t="shared" si="1"/>
        <v>2062</v>
      </c>
      <c r="H48" s="5">
        <f>'DB pension'!$K55-'DC pension'!F54</f>
        <v>66685.785842148995</v>
      </c>
      <c r="I48" s="5">
        <f>'DB pension'!$K55-'DC pension'!G54</f>
        <v>68885.521511921092</v>
      </c>
      <c r="J48" s="5">
        <f>'DB pension'!$K55-'DC pension'!H54</f>
        <v>66685.785842148995</v>
      </c>
      <c r="K48" s="5">
        <f>'DB pension'!$K55-'DC pension'!I54</f>
        <v>67803.465301891498</v>
      </c>
    </row>
    <row r="49" spans="1:11">
      <c r="A49" s="6">
        <f t="shared" si="0"/>
        <v>2063</v>
      </c>
      <c r="B49" s="5">
        <f>'DB pension'!M56-'DC pension'!D55</f>
        <v>3686137.8927181014</v>
      </c>
      <c r="C49" s="5">
        <f>'DB pension'!N56-'DC pension'!D55</f>
        <v>4579119.3248947058</v>
      </c>
      <c r="D49" s="5">
        <f>'DB pension'!O56-'DC pension'!D55</f>
        <v>3784340.3908936721</v>
      </c>
      <c r="E49" s="5">
        <f>'DB pension'!P56-'DC pension'!D55</f>
        <v>4155682.873101464</v>
      </c>
      <c r="F49" s="5"/>
      <c r="G49" s="6">
        <f t="shared" si="1"/>
        <v>2063</v>
      </c>
      <c r="H49" s="5">
        <f>'DB pension'!$K56-'DC pension'!F55</f>
        <v>69741.521003681817</v>
      </c>
      <c r="I49" s="5">
        <f>'DB pension'!$K56-'DC pension'!G55</f>
        <v>71978.976415054829</v>
      </c>
      <c r="J49" s="5">
        <f>'DB pension'!$K56-'DC pension'!H55</f>
        <v>69741.521003681817</v>
      </c>
      <c r="K49" s="5">
        <f>'DB pension'!$K56-'DC pension'!I55</f>
        <v>70878.365757233696</v>
      </c>
    </row>
    <row r="50" spans="1:11">
      <c r="A50" s="6">
        <f t="shared" si="0"/>
        <v>2064</v>
      </c>
      <c r="B50" s="5">
        <f>'DB pension'!M57-'DC pension'!D56</f>
        <v>3910499.2886790666</v>
      </c>
      <c r="C50" s="5">
        <f>'DB pension'!N57-'DC pension'!D56</f>
        <v>4850024.2048437214</v>
      </c>
      <c r="D50" s="5">
        <f>'DB pension'!O57-'DC pension'!D56</f>
        <v>4010901.7868546373</v>
      </c>
      <c r="E50" s="5">
        <f>'DB pension'!P57-'DC pension'!D56</f>
        <v>4402962.7590845143</v>
      </c>
      <c r="F50" s="5"/>
      <c r="G50" s="6">
        <f t="shared" si="1"/>
        <v>2064</v>
      </c>
      <c r="H50" s="5">
        <f>'DB pension'!$K57-'DC pension'!F56</f>
        <v>72893.030502023583</v>
      </c>
      <c r="I50" s="5">
        <f>'DB pension'!$K57-'DC pension'!G56</f>
        <v>75167.786600984706</v>
      </c>
      <c r="J50" s="5">
        <f>'DB pension'!$K57-'DC pension'!H56</f>
        <v>72893.030502023583</v>
      </c>
      <c r="K50" s="5">
        <f>'DB pension'!$K57-'DC pension'!I56</f>
        <v>74048.82762922853</v>
      </c>
    </row>
    <row r="51" spans="1:11">
      <c r="A51" s="6">
        <f t="shared" si="0"/>
        <v>2065</v>
      </c>
      <c r="B51" s="5">
        <f>'DB pension'!M58-'DC pension'!D57</f>
        <v>4146099.6027048202</v>
      </c>
      <c r="C51" s="5">
        <f>'DB pension'!N58-'DC pension'!D57</f>
        <v>5134242.1583274836</v>
      </c>
      <c r="D51" s="5">
        <f>'DB pension'!O58-'DC pension'!D57</f>
        <v>4248702.100880391</v>
      </c>
      <c r="E51" s="5">
        <f>'DB pension'!P58-'DC pension'!D57</f>
        <v>4662450.6653666329</v>
      </c>
      <c r="F51" s="5"/>
      <c r="G51" s="6">
        <f t="shared" si="1"/>
        <v>2065</v>
      </c>
      <c r="H51" s="5">
        <f>'DB pension'!$K58-'DC pension'!F57</f>
        <v>76142.56168434117</v>
      </c>
      <c r="I51" s="5">
        <f>'DB pension'!$K58-'DC pension'!G57</f>
        <v>78454.205882465176</v>
      </c>
      <c r="J51" s="5">
        <f>'DB pension'!$K58-'DC pension'!H57</f>
        <v>76142.56168434117</v>
      </c>
      <c r="K51" s="5">
        <f>'DB pension'!$K58-'DC pension'!I57</f>
        <v>77317.101550189589</v>
      </c>
    </row>
    <row r="52" spans="1:11">
      <c r="A52" s="6">
        <f t="shared" si="0"/>
        <v>2066</v>
      </c>
      <c r="B52" s="5">
        <f>'DB pension'!M59-'DC pension'!D58</f>
        <v>4393432.7372576706</v>
      </c>
      <c r="C52" s="5">
        <f>'DB pension'!N59-'DC pension'!D58</f>
        <v>5432356.2013607481</v>
      </c>
      <c r="D52" s="5">
        <f>'DB pension'!O59-'DC pension'!D58</f>
        <v>4498235.2354332414</v>
      </c>
      <c r="E52" s="5">
        <f>'DB pension'!P59-'DC pension'!D58</f>
        <v>4934682.1307021203</v>
      </c>
      <c r="F52" s="5"/>
      <c r="G52" s="6">
        <f t="shared" si="1"/>
        <v>2066</v>
      </c>
      <c r="H52" s="5">
        <f>'DB pension'!$K59-'DC pension'!F58</f>
        <v>79492.415213710556</v>
      </c>
      <c r="I52" s="5">
        <f>'DB pension'!$K59-'DC pension'!G58</f>
        <v>81840.541293146511</v>
      </c>
      <c r="J52" s="5">
        <f>'DB pension'!$K59-'DC pension'!H58</f>
        <v>79492.415213710556</v>
      </c>
      <c r="K52" s="5">
        <f>'DB pension'!$K59-'DC pension'!I58</f>
        <v>80685.491420063641</v>
      </c>
    </row>
    <row r="55" spans="1:11">
      <c r="C55" s="64"/>
      <c r="D55" s="64"/>
    </row>
    <row r="56" spans="1:11">
      <c r="C56" t="s">
        <v>24</v>
      </c>
      <c r="E56" t="s">
        <v>26</v>
      </c>
    </row>
    <row r="57" spans="1:11">
      <c r="B57" s="3" t="s">
        <v>102</v>
      </c>
      <c r="C57" t="s">
        <v>25</v>
      </c>
      <c r="D57" t="s">
        <v>11</v>
      </c>
      <c r="E57" t="s">
        <v>25</v>
      </c>
      <c r="F57" t="s">
        <v>11</v>
      </c>
    </row>
    <row r="58" spans="1:11">
      <c r="C58" t="s">
        <v>138</v>
      </c>
      <c r="D58" t="s">
        <v>107</v>
      </c>
      <c r="E58" t="s">
        <v>138</v>
      </c>
      <c r="F58" t="s">
        <v>107</v>
      </c>
    </row>
    <row r="59" spans="1:11">
      <c r="B59" t="s">
        <v>101</v>
      </c>
      <c r="C59" s="21">
        <f>LOOKUP(Inputs!$B12,'DB pension'!$A11:$A59,'DB pension'!$K11:$K59)</f>
        <v>52846.536433606692</v>
      </c>
      <c r="D59" s="21">
        <f>LOOKUP(Inputs!$B12,'DB pension'!$A11:$A59,'DB pension'!$K11:$K59)</f>
        <v>52846.536433606692</v>
      </c>
      <c r="E59" s="21">
        <f>LOOKUP(Inputs!$B12,'DB pension'!$A11:$A59,'DB pension'!$K11:$K59)</f>
        <v>52846.536433606692</v>
      </c>
      <c r="F59" s="21">
        <f>LOOKUP(Inputs!$B12,'DB pension'!$A11:$A59,'DB pension'!$K11:$K59)</f>
        <v>52846.536433606692</v>
      </c>
    </row>
    <row r="60" spans="1:11">
      <c r="B60" t="s">
        <v>104</v>
      </c>
      <c r="C60" s="21">
        <f>LOOKUP(Inputs!$B12,'DB pension'!$A11:$A59,'DB pension'!M11:M59)</f>
        <v>2371211.1413223604</v>
      </c>
      <c r="D60" s="21">
        <f>LOOKUP(Inputs!$B12,'DB pension'!$A11:$A59,'DB pension'!N11:N59)</f>
        <v>2866876.0958741903</v>
      </c>
      <c r="E60" s="21">
        <f>LOOKUP(Inputs!$B12,'DB pension'!$A11:$A59,'DB pension'!O11:O59)</f>
        <v>2445213.6394979316</v>
      </c>
      <c r="F60" s="21">
        <f>LOOKUP(Inputs!$B12,'DB pension'!$A11:$A59,'DB pension'!P11:P59)</f>
        <v>2642225.8859302094</v>
      </c>
    </row>
    <row r="62" spans="1:11">
      <c r="B62" s="3" t="s">
        <v>103</v>
      </c>
      <c r="C62" t="s">
        <v>25</v>
      </c>
      <c r="D62" t="s">
        <v>11</v>
      </c>
      <c r="E62" t="s">
        <v>25</v>
      </c>
      <c r="F62" t="s">
        <v>11</v>
      </c>
    </row>
    <row r="63" spans="1:11">
      <c r="C63" t="s">
        <v>138</v>
      </c>
      <c r="D63" t="s">
        <v>107</v>
      </c>
      <c r="E63" t="s">
        <v>138</v>
      </c>
      <c r="F63" t="s">
        <v>107</v>
      </c>
    </row>
    <row r="64" spans="1:11">
      <c r="B64" t="s">
        <v>101</v>
      </c>
      <c r="C64" s="21">
        <f>LOOKUP(Inputs!$B12,'DC pension'!$A10:$A58,'DC pension'!F10:F58)</f>
        <v>11909.000362894605</v>
      </c>
      <c r="D64" s="21">
        <f>LOOKUP(Inputs!$B12,'DC pension'!$A10:$A58,'DC pension'!G10:G58)</f>
        <v>10111.003364340224</v>
      </c>
      <c r="E64" s="21">
        <f>LOOKUP(Inputs!$B12,'DC pension'!$A10:$A58,'DC pension'!H10:H58)</f>
        <v>11909.000362894605</v>
      </c>
      <c r="F64" s="21">
        <f>LOOKUP(Inputs!$B12,'DC pension'!$A10:$A58,'DC pension'!I10:I58)</f>
        <v>10995.443183467178</v>
      </c>
    </row>
    <row r="65" spans="2:6">
      <c r="B65" t="s">
        <v>104</v>
      </c>
      <c r="C65" s="21">
        <f>LOOKUP(Inputs!$B12,'DC pension'!$A10:$A58,'DC pension'!D10:D58)</f>
        <v>534353.92834089033</v>
      </c>
      <c r="D65" s="21">
        <f>LOOKUP(Inputs!$B12,'DC pension'!$A10:$A58,'DC pension'!D10:D58)</f>
        <v>534353.92834089033</v>
      </c>
      <c r="E65" s="21">
        <f>LOOKUP(Inputs!$B12,'DC pension'!$A10:$A58,'DC pension'!D10:D58)</f>
        <v>534353.92834089033</v>
      </c>
      <c r="F65" s="21">
        <f>LOOKUP(Inputs!$B12,'DC pension'!$A10:$A58,'DC pension'!D10:D58)</f>
        <v>534353.92834089033</v>
      </c>
    </row>
    <row r="67" spans="2:6">
      <c r="C67">
        <v>0</v>
      </c>
      <c r="D67">
        <v>1</v>
      </c>
    </row>
    <row r="68" spans="2:6">
      <c r="B68" s="3" t="s">
        <v>102</v>
      </c>
      <c r="C68" t="s">
        <v>32</v>
      </c>
      <c r="D68" t="s">
        <v>33</v>
      </c>
    </row>
    <row r="69" spans="2:6">
      <c r="B69" t="s">
        <v>101</v>
      </c>
      <c r="C69" s="21">
        <f>LOOKUP(Inputs!B10,'Difference in benefits TPS'!C58:D58,'Difference in benefits TPS'!C59:D59)</f>
        <v>52846.536433606692</v>
      </c>
      <c r="D69" s="21">
        <f>LOOKUP(Inputs!B10,'Difference in benefits TPS'!E58:F58,'Difference in benefits TPS'!E59:F59)</f>
        <v>52846.536433606692</v>
      </c>
      <c r="E69" s="33"/>
      <c r="F69" s="33"/>
    </row>
    <row r="70" spans="2:6">
      <c r="B70" t="s">
        <v>104</v>
      </c>
      <c r="C70" s="21">
        <f>LOOKUP(Inputs!B10,'Difference in benefits TPS'!C58:D58,'Difference in benefits TPS'!C60:D60)</f>
        <v>2866876.0958741903</v>
      </c>
      <c r="D70" s="21">
        <f>LOOKUP(Inputs!B10,'Difference in benefits TPS'!E58:F58,'Difference in benefits TPS'!E60:F60)</f>
        <v>2642225.8859302094</v>
      </c>
      <c r="E70" s="33"/>
      <c r="F70" s="33"/>
    </row>
    <row r="72" spans="2:6">
      <c r="B72" s="3" t="s">
        <v>103</v>
      </c>
      <c r="C72" t="s">
        <v>32</v>
      </c>
      <c r="D72" t="s">
        <v>33</v>
      </c>
    </row>
    <row r="73" spans="2:6">
      <c r="B73" t="s">
        <v>101</v>
      </c>
      <c r="C73" s="21">
        <f>LOOKUP(Inputs!B10,'Difference in benefits TPS'!C63:D63,'Difference in benefits TPS'!C64:D64)</f>
        <v>10111.003364340224</v>
      </c>
      <c r="D73" s="21">
        <f>LOOKUP(Inputs!B10,'Difference in benefits TPS'!E63:F63,'Difference in benefits TPS'!E64:F64)</f>
        <v>10995.443183467178</v>
      </c>
    </row>
    <row r="74" spans="2:6">
      <c r="B74" t="s">
        <v>104</v>
      </c>
      <c r="C74" s="21">
        <f>LOOKUP(Inputs!B10,'Difference in benefits TPS'!C63:D63,'Difference in benefits TPS'!C65:D65)</f>
        <v>534353.92834089033</v>
      </c>
      <c r="D74" s="21">
        <f>LOOKUP(Inputs!B10,'Difference in benefits TPS'!E63:F63,'Difference in benefits TPS'!E65:F65)</f>
        <v>534353.92834089033</v>
      </c>
    </row>
    <row r="76" spans="2:6">
      <c r="C76">
        <f>IF(Inputs!B8="Female",1,IF(Inputs!B8="Male",0,-1))</f>
        <v>0</v>
      </c>
    </row>
    <row r="77" spans="2:6">
      <c r="B77" s="3" t="s">
        <v>102</v>
      </c>
    </row>
    <row r="78" spans="2:6">
      <c r="B78" t="s">
        <v>101</v>
      </c>
      <c r="C78" s="21">
        <f>LOOKUP(C76,'Difference in benefits TPS'!C67:D67,'Difference in benefits TPS'!C69:D69)</f>
        <v>52846.536433606692</v>
      </c>
    </row>
    <row r="79" spans="2:6">
      <c r="B79" t="s">
        <v>104</v>
      </c>
      <c r="C79" s="21">
        <f>LOOKUP(C76,'Difference in benefits TPS'!C67:D67,'Difference in benefits TPS'!C70:D70)</f>
        <v>2866876.0958741903</v>
      </c>
    </row>
    <row r="81" spans="2:3">
      <c r="B81" s="3" t="s">
        <v>103</v>
      </c>
    </row>
    <row r="82" spans="2:3">
      <c r="B82" t="s">
        <v>101</v>
      </c>
      <c r="C82" s="21">
        <f>LOOKUP(C76,'Difference in benefits TPS'!C67:D67,'Difference in benefits TPS'!C73:D73)</f>
        <v>10111.003364340224</v>
      </c>
    </row>
    <row r="83" spans="2:3">
      <c r="B83" t="s">
        <v>104</v>
      </c>
      <c r="C83" s="21">
        <f>LOOKUP(C76,'Difference in benefits TPS'!C67:D67,'Difference in benefits TPS'!C74:D74)</f>
        <v>534353.92834089033</v>
      </c>
    </row>
  </sheetData>
  <mergeCells count="1">
    <mergeCell ref="C55:D5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9"/>
  <sheetViews>
    <sheetView workbookViewId="0">
      <selection activeCell="I35" sqref="I35"/>
    </sheetView>
  </sheetViews>
  <sheetFormatPr baseColWidth="10" defaultRowHeight="16"/>
  <cols>
    <col min="2" max="2" width="18.1640625" customWidth="1"/>
    <col min="3" max="3" width="17" bestFit="1" customWidth="1"/>
    <col min="5" max="5" width="15.1640625" customWidth="1"/>
    <col min="9" max="9" width="11.1640625" bestFit="1" customWidth="1"/>
  </cols>
  <sheetData>
    <row r="1" spans="1:13">
      <c r="B1" s="3" t="s">
        <v>117</v>
      </c>
    </row>
    <row r="2" spans="1:13">
      <c r="B2" t="s">
        <v>15</v>
      </c>
      <c r="C2" t="s">
        <v>16</v>
      </c>
    </row>
    <row r="3" spans="1:13">
      <c r="B3" t="s">
        <v>1</v>
      </c>
      <c r="C3" s="1">
        <v>100000</v>
      </c>
    </row>
    <row r="4" spans="1:13">
      <c r="B4" t="s">
        <v>0</v>
      </c>
    </row>
    <row r="5" spans="1:13">
      <c r="A5" t="s">
        <v>89</v>
      </c>
      <c r="B5" t="s">
        <v>3</v>
      </c>
      <c r="C5" t="s">
        <v>3</v>
      </c>
      <c r="H5" s="65" t="s">
        <v>34</v>
      </c>
      <c r="I5" s="65"/>
      <c r="J5" s="65"/>
      <c r="K5" s="65"/>
      <c r="L5" s="65"/>
    </row>
    <row r="6" spans="1:13">
      <c r="A6">
        <v>65</v>
      </c>
      <c r="B6" s="1">
        <v>3064</v>
      </c>
      <c r="C6" s="1">
        <f>B6</f>
        <v>3064</v>
      </c>
      <c r="E6" s="1"/>
      <c r="H6" s="3" t="s">
        <v>90</v>
      </c>
      <c r="I6" s="3" t="s">
        <v>32</v>
      </c>
      <c r="J6" s="3"/>
      <c r="K6" s="3" t="s">
        <v>33</v>
      </c>
      <c r="L6" s="3"/>
    </row>
    <row r="7" spans="1:13">
      <c r="A7">
        <v>66</v>
      </c>
      <c r="B7" s="1">
        <v>3006</v>
      </c>
      <c r="C7" s="1">
        <f>B7</f>
        <v>3006</v>
      </c>
      <c r="H7" s="3" t="s">
        <v>91</v>
      </c>
      <c r="I7" s="3" t="s">
        <v>25</v>
      </c>
      <c r="J7" s="3" t="s">
        <v>11</v>
      </c>
      <c r="K7" s="3" t="s">
        <v>25</v>
      </c>
      <c r="L7" s="3" t="s">
        <v>11</v>
      </c>
    </row>
    <row r="8" spans="1:13">
      <c r="A8">
        <v>67</v>
      </c>
      <c r="B8" s="1">
        <v>3126</v>
      </c>
      <c r="C8" s="1">
        <f>B8</f>
        <v>3126</v>
      </c>
      <c r="G8">
        <v>1</v>
      </c>
      <c r="H8">
        <v>2018</v>
      </c>
      <c r="I8" s="1">
        <f>B6</f>
        <v>3064</v>
      </c>
      <c r="J8" s="5">
        <f>B13</f>
        <v>2565</v>
      </c>
      <c r="K8" s="5">
        <f>C6</f>
        <v>3064</v>
      </c>
      <c r="L8" s="5">
        <f>C13</f>
        <v>2778</v>
      </c>
    </row>
    <row r="9" spans="1:13">
      <c r="A9">
        <v>68</v>
      </c>
      <c r="B9" s="1">
        <v>3272</v>
      </c>
      <c r="C9" s="1">
        <f>B9</f>
        <v>3272</v>
      </c>
      <c r="G9">
        <f>G8+1</f>
        <v>2</v>
      </c>
      <c r="H9">
        <f>H8+1</f>
        <v>2019</v>
      </c>
      <c r="I9" s="1">
        <f>I8/'Annuity rates'!$C38</f>
        <v>3018.7192118226603</v>
      </c>
      <c r="J9" s="1">
        <f>J8/'Annuity rates'!$C38</f>
        <v>2527.0935960591137</v>
      </c>
      <c r="K9" s="1">
        <f>K8/'Annuity rates'!$C38</f>
        <v>3018.7192118226603</v>
      </c>
      <c r="L9" s="1">
        <f>L8/'Annuity rates'!$C38</f>
        <v>2736.9458128078822</v>
      </c>
    </row>
    <row r="10" spans="1:13">
      <c r="B10" s="1"/>
      <c r="C10" s="1"/>
      <c r="G10">
        <f t="shared" ref="G10:G56" si="0">G9+1</f>
        <v>3</v>
      </c>
      <c r="H10">
        <f t="shared" ref="H10:H56" si="1">H9+1</f>
        <v>2020</v>
      </c>
      <c r="I10" s="1">
        <f>B7/('Annuity rates'!$C38^(G10-1))</f>
        <v>2917.8092164333043</v>
      </c>
      <c r="J10" s="1">
        <f>B14/('Annuity rates'!$C38^(G10-1))</f>
        <v>2569.3416486689807</v>
      </c>
      <c r="K10" s="1">
        <f>C7/('Annuity rates'!$C38^(G10-1))</f>
        <v>2917.8092164333043</v>
      </c>
      <c r="L10" s="1">
        <f>C14/('Annuity rates'!$C38^(G10-1))</f>
        <v>2754.7380426605846</v>
      </c>
      <c r="M10" t="s">
        <v>114</v>
      </c>
    </row>
    <row r="11" spans="1:13">
      <c r="B11" s="1"/>
      <c r="C11" s="1"/>
      <c r="G11">
        <f t="shared" si="0"/>
        <v>4</v>
      </c>
      <c r="H11">
        <f t="shared" si="1"/>
        <v>2021</v>
      </c>
      <c r="I11" s="1">
        <f>I10/'Annuity rates'!$C$38</f>
        <v>2874.6888831855217</v>
      </c>
      <c r="J11" s="1">
        <f>J10/'Annuity rates'!$C$38</f>
        <v>2531.3710824324935</v>
      </c>
      <c r="K11" s="1">
        <f>K10/'Annuity rates'!$C$38</f>
        <v>2874.6888831855217</v>
      </c>
      <c r="L11" s="1">
        <f>L10/'Annuity rates'!$C$38</f>
        <v>2714.0276282370296</v>
      </c>
    </row>
    <row r="12" spans="1:13">
      <c r="A12" t="s">
        <v>89</v>
      </c>
      <c r="B12" s="1" t="s">
        <v>2</v>
      </c>
      <c r="C12" s="1" t="s">
        <v>2</v>
      </c>
      <c r="G12">
        <f t="shared" si="0"/>
        <v>5</v>
      </c>
      <c r="H12">
        <f t="shared" si="1"/>
        <v>2022</v>
      </c>
      <c r="I12" s="1">
        <f>I11/'Annuity rates'!$C$38</f>
        <v>2832.2057962418935</v>
      </c>
      <c r="J12" s="1">
        <f>J11/'Annuity rates'!$C$38</f>
        <v>2493.9616575689593</v>
      </c>
      <c r="K12" s="1">
        <f>K11/'Annuity rates'!$C$38</f>
        <v>2832.2057962418935</v>
      </c>
      <c r="L12" s="1">
        <f>L11/'Annuity rates'!$C$38</f>
        <v>2673.9188455537242</v>
      </c>
    </row>
    <row r="13" spans="1:13">
      <c r="A13">
        <v>65</v>
      </c>
      <c r="B13" s="1">
        <v>2565</v>
      </c>
      <c r="C13" s="1">
        <v>2778</v>
      </c>
      <c r="E13" s="1"/>
      <c r="G13">
        <f t="shared" si="0"/>
        <v>6</v>
      </c>
      <c r="H13">
        <f t="shared" si="1"/>
        <v>2023</v>
      </c>
      <c r="I13" s="1">
        <f>I12/'Annuity rates'!$C$38</f>
        <v>2790.3505381693535</v>
      </c>
      <c r="J13" s="1">
        <f>J12/'Annuity rates'!$C$38</f>
        <v>2457.1050813487286</v>
      </c>
      <c r="K13" s="1">
        <f>K12/'Annuity rates'!$C$38</f>
        <v>2790.3505381693535</v>
      </c>
      <c r="L13" s="1">
        <f>L12/'Annuity rates'!$C$38</f>
        <v>2634.4028035012061</v>
      </c>
    </row>
    <row r="14" spans="1:13">
      <c r="A14">
        <v>66</v>
      </c>
      <c r="B14" s="1">
        <v>2647</v>
      </c>
      <c r="C14" s="1">
        <v>2838</v>
      </c>
      <c r="G14">
        <f t="shared" si="0"/>
        <v>7</v>
      </c>
      <c r="H14">
        <f t="shared" si="1"/>
        <v>2024</v>
      </c>
      <c r="I14" s="1">
        <f>I13/'Annuity rates'!$C$38</f>
        <v>2749.1138307087231</v>
      </c>
      <c r="J14" s="1">
        <f>J13/'Annuity rates'!$C$38</f>
        <v>2420.7931835948066</v>
      </c>
      <c r="K14" s="1">
        <f>K13/'Annuity rates'!$C$38</f>
        <v>2749.1138307087231</v>
      </c>
      <c r="L14" s="1">
        <f>L13/'Annuity rates'!$C$38</f>
        <v>2595.4707423657205</v>
      </c>
    </row>
    <row r="15" spans="1:13">
      <c r="A15">
        <v>67</v>
      </c>
      <c r="B15" s="1">
        <v>2733</v>
      </c>
      <c r="C15" s="1">
        <v>2928</v>
      </c>
      <c r="G15">
        <f t="shared" si="0"/>
        <v>8</v>
      </c>
      <c r="H15">
        <f t="shared" si="1"/>
        <v>2025</v>
      </c>
      <c r="I15" s="1">
        <f>I14/'Annuity rates'!$C$38</f>
        <v>2708.4865327179541</v>
      </c>
      <c r="J15" s="1">
        <f>J14/'Annuity rates'!$C$38</f>
        <v>2385.0179148717307</v>
      </c>
      <c r="K15" s="1">
        <f>K14/'Annuity rates'!$C$38</f>
        <v>2708.4865327179541</v>
      </c>
      <c r="L15" s="1">
        <f>L14/'Annuity rates'!$C$38</f>
        <v>2557.1140318874095</v>
      </c>
    </row>
    <row r="16" spans="1:13">
      <c r="A16">
        <v>68</v>
      </c>
      <c r="B16" s="1">
        <v>2778</v>
      </c>
      <c r="C16" s="1">
        <v>3021</v>
      </c>
      <c r="G16">
        <f t="shared" si="0"/>
        <v>9</v>
      </c>
      <c r="H16">
        <f t="shared" si="1"/>
        <v>2026</v>
      </c>
      <c r="I16" s="1">
        <f>I15/'Annuity rates'!$C$38</f>
        <v>2668.4596381457677</v>
      </c>
      <c r="J16" s="1">
        <f>J15/'Annuity rates'!$C$38</f>
        <v>2349.7713447012129</v>
      </c>
      <c r="K16" s="1">
        <f>K15/'Annuity rates'!$C$38</f>
        <v>2668.4596381457677</v>
      </c>
      <c r="L16" s="1">
        <f>L15/'Annuity rates'!$C$38</f>
        <v>2519.3241693472019</v>
      </c>
    </row>
    <row r="17" spans="2:13">
      <c r="G17">
        <f t="shared" si="0"/>
        <v>10</v>
      </c>
      <c r="H17">
        <f t="shared" si="1"/>
        <v>2027</v>
      </c>
      <c r="I17" s="1">
        <f>B8/('Annuity rates'!$C$38^(G17-1))</f>
        <v>2733.975342859002</v>
      </c>
      <c r="J17" s="1">
        <f>B15/('Annuity rates'!$C38^(G17-1))</f>
        <v>2390.2605924611812</v>
      </c>
      <c r="K17" s="1">
        <f>C8/('Annuity rates'!$C38^(G17-1))</f>
        <v>2733.975342859002</v>
      </c>
      <c r="L17" s="1">
        <f>C15/('Annuity rates'!$C38^(G17-1))</f>
        <v>2560.8060792997949</v>
      </c>
      <c r="M17" t="s">
        <v>115</v>
      </c>
    </row>
    <row r="18" spans="2:13">
      <c r="G18">
        <f t="shared" si="0"/>
        <v>11</v>
      </c>
      <c r="H18">
        <f t="shared" si="1"/>
        <v>2028</v>
      </c>
      <c r="I18" s="1">
        <f>I17/'Annuity rates'!$C38*1.15</f>
        <v>3097.6075313180813</v>
      </c>
      <c r="J18" s="1">
        <f>J17/'Annuity rates'!$C38*1.15</f>
        <v>2708.1770259412397</v>
      </c>
      <c r="K18" s="1">
        <f>K17/'Annuity rates'!$C38*1.15</f>
        <v>3097.6075313180813</v>
      </c>
      <c r="L18" s="1">
        <f>L17/'Annuity rates'!$C38*1.15</f>
        <v>2901.4059026549398</v>
      </c>
      <c r="M18" t="s">
        <v>119</v>
      </c>
    </row>
    <row r="19" spans="2:13">
      <c r="B19" t="s">
        <v>4</v>
      </c>
      <c r="G19">
        <f t="shared" si="0"/>
        <v>12</v>
      </c>
      <c r="H19">
        <f t="shared" si="1"/>
        <v>2029</v>
      </c>
      <c r="I19" s="1">
        <f>I18/'Annuity rates'!$C$38</f>
        <v>3051.8300801163364</v>
      </c>
      <c r="J19" s="1">
        <f>J18/'Annuity rates'!$C$38</f>
        <v>2668.1547053608274</v>
      </c>
      <c r="K19" s="1">
        <f>K18/'Annuity rates'!$C$38</f>
        <v>3051.8300801163364</v>
      </c>
      <c r="L19" s="1">
        <f>L18/'Annuity rates'!$C$38</f>
        <v>2858.527982911271</v>
      </c>
    </row>
    <row r="20" spans="2:13">
      <c r="B20" t="s">
        <v>5</v>
      </c>
      <c r="G20">
        <f t="shared" si="0"/>
        <v>13</v>
      </c>
      <c r="H20">
        <f t="shared" si="1"/>
        <v>2030</v>
      </c>
      <c r="I20" s="1">
        <f>I19/'Annuity rates'!$C$38</f>
        <v>3006.7291429717602</v>
      </c>
      <c r="J20" s="1">
        <f>J19/'Annuity rates'!$C$38</f>
        <v>2628.7238476461357</v>
      </c>
      <c r="K20" s="1">
        <f>K19/'Annuity rates'!$C$38</f>
        <v>3006.7291429717602</v>
      </c>
      <c r="L20" s="1">
        <f>L19/'Annuity rates'!$C$38</f>
        <v>2816.2837270061787</v>
      </c>
    </row>
    <row r="21" spans="2:13">
      <c r="B21" t="s">
        <v>6</v>
      </c>
      <c r="G21">
        <f t="shared" si="0"/>
        <v>14</v>
      </c>
      <c r="H21">
        <f t="shared" si="1"/>
        <v>2031</v>
      </c>
      <c r="I21" s="1">
        <f>I20/'Annuity rates'!$C$38</f>
        <v>2962.2947221396657</v>
      </c>
      <c r="J21" s="1">
        <f>J20/'Annuity rates'!$C$38</f>
        <v>2589.8757119666366</v>
      </c>
      <c r="K21" s="1">
        <f>K20/'Annuity rates'!$C$38</f>
        <v>2962.2947221396657</v>
      </c>
      <c r="L21" s="1">
        <f>L20/'Annuity rates'!$C$38</f>
        <v>2774.6637704494374</v>
      </c>
    </row>
    <row r="22" spans="2:13">
      <c r="B22" t="s">
        <v>7</v>
      </c>
      <c r="G22">
        <f t="shared" si="0"/>
        <v>15</v>
      </c>
      <c r="H22">
        <f t="shared" si="1"/>
        <v>2032</v>
      </c>
      <c r="I22" s="1">
        <f>I21/'Annuity rates'!$C$38</f>
        <v>2918.5169676252867</v>
      </c>
      <c r="J22" s="1">
        <f>J21/'Annuity rates'!$C$38</f>
        <v>2551.6016866666373</v>
      </c>
      <c r="K22" s="1">
        <f>K21/'Annuity rates'!$C$38</f>
        <v>2918.5169676252867</v>
      </c>
      <c r="L22" s="1">
        <f>L21/'Annuity rates'!$C$38</f>
        <v>2733.6588871423032</v>
      </c>
    </row>
    <row r="23" spans="2:13">
      <c r="B23" t="s">
        <v>8</v>
      </c>
      <c r="C23">
        <v>175</v>
      </c>
      <c r="G23">
        <f t="shared" si="0"/>
        <v>16</v>
      </c>
      <c r="H23">
        <f t="shared" si="1"/>
        <v>2033</v>
      </c>
      <c r="I23" s="1">
        <f>I22/'Annuity rates'!$C$38</f>
        <v>2875.3861750002829</v>
      </c>
      <c r="J23" s="1">
        <f>J22/'Annuity rates'!$C$38</f>
        <v>2513.8932873562931</v>
      </c>
      <c r="K23" s="1">
        <f>K22/'Annuity rates'!$C$38</f>
        <v>2875.3861750002829</v>
      </c>
      <c r="L23" s="1">
        <f>L22/'Annuity rates'!$C$38</f>
        <v>2693.2599873323188</v>
      </c>
    </row>
    <row r="24" spans="2:13">
      <c r="B24" t="s">
        <v>9</v>
      </c>
      <c r="C24">
        <v>86</v>
      </c>
      <c r="G24">
        <f t="shared" si="0"/>
        <v>17</v>
      </c>
      <c r="H24">
        <f t="shared" si="1"/>
        <v>2034</v>
      </c>
      <c r="I24" s="1">
        <f>I23/'Annuity rates'!$C$38</f>
        <v>2832.8927832515105</v>
      </c>
      <c r="J24" s="1">
        <f>J23/'Annuity rates'!$C$38</f>
        <v>2476.7421550308309</v>
      </c>
      <c r="K24" s="1">
        <f>K23/'Annuity rates'!$C$38</f>
        <v>2832.8927832515105</v>
      </c>
      <c r="L24" s="1">
        <f>L23/'Annuity rates'!$C$38</f>
        <v>2653.4581155983437</v>
      </c>
    </row>
    <row r="25" spans="2:13">
      <c r="B25" t="s">
        <v>10</v>
      </c>
      <c r="C25">
        <v>14</v>
      </c>
      <c r="G25">
        <f t="shared" si="0"/>
        <v>18</v>
      </c>
      <c r="H25">
        <f t="shared" si="1"/>
        <v>2035</v>
      </c>
      <c r="I25" s="1">
        <f>I24/'Annuity rates'!$C$38</f>
        <v>2791.0273726615869</v>
      </c>
      <c r="J25" s="1">
        <f>J24/'Annuity rates'!$C$38</f>
        <v>2440.1400542175675</v>
      </c>
      <c r="K25" s="1">
        <f>K24/'Annuity rates'!$C$38</f>
        <v>2791.0273726615869</v>
      </c>
      <c r="L25" s="1">
        <f>L24/'Annuity rates'!$C$38</f>
        <v>2614.2444488653637</v>
      </c>
    </row>
    <row r="26" spans="2:13">
      <c r="B26" t="s">
        <v>13</v>
      </c>
      <c r="C26">
        <v>36</v>
      </c>
      <c r="G26">
        <f t="shared" si="0"/>
        <v>19</v>
      </c>
      <c r="H26">
        <f t="shared" si="1"/>
        <v>2036</v>
      </c>
      <c r="I26" s="1">
        <f>I25/'Annuity rates'!$C$38</f>
        <v>2749.7806627207756</v>
      </c>
      <c r="J26" s="1">
        <f>J25/'Annuity rates'!$C$38</f>
        <v>2404.0788711503128</v>
      </c>
      <c r="K26" s="1">
        <f>K25/'Annuity rates'!$C$38</f>
        <v>2749.7806627207756</v>
      </c>
      <c r="L26" s="1">
        <f>L25/'Annuity rates'!$C$38</f>
        <v>2575.6102944486342</v>
      </c>
    </row>
    <row r="27" spans="2:13">
      <c r="B27" t="s">
        <v>14</v>
      </c>
      <c r="G27">
        <f t="shared" si="0"/>
        <v>20</v>
      </c>
      <c r="H27">
        <f t="shared" si="1"/>
        <v>2037</v>
      </c>
      <c r="I27" s="1">
        <f>I26/'Annuity rates'!$C$38</f>
        <v>2709.1435100697299</v>
      </c>
      <c r="J27" s="1">
        <f>J26/'Annuity rates'!$C$38</f>
        <v>2368.5506119707516</v>
      </c>
      <c r="K27" s="1">
        <f>K26/'Annuity rates'!$C$38</f>
        <v>2709.1435100697299</v>
      </c>
      <c r="L27" s="1">
        <f>L26/'Annuity rates'!$C$38</f>
        <v>2537.5470881267333</v>
      </c>
    </row>
    <row r="28" spans="2:13">
      <c r="G28">
        <f t="shared" si="0"/>
        <v>21</v>
      </c>
      <c r="H28">
        <f t="shared" si="1"/>
        <v>2038</v>
      </c>
      <c r="I28" s="1">
        <f>I27/'Annuity rates'!$C$38</f>
        <v>2669.1069064726407</v>
      </c>
      <c r="J28" s="1">
        <f>J27/'Annuity rates'!$C$38</f>
        <v>2333.5474009564059</v>
      </c>
      <c r="K28" s="1">
        <f>K27/'Annuity rates'!$C$38</f>
        <v>2669.1069064726407</v>
      </c>
      <c r="L28" s="1">
        <f>L27/'Annuity rates'!$C$38</f>
        <v>2500.0463922430872</v>
      </c>
    </row>
    <row r="29" spans="2:13">
      <c r="B29" t="s">
        <v>12</v>
      </c>
      <c r="G29">
        <f t="shared" si="0"/>
        <v>22</v>
      </c>
      <c r="H29">
        <f t="shared" si="1"/>
        <v>2039</v>
      </c>
      <c r="I29" s="1">
        <f>I28/'Annuity rates'!$C$38</f>
        <v>2629.6619768203359</v>
      </c>
      <c r="J29" s="1">
        <f>J28/'Annuity rates'!$C$38</f>
        <v>2299.0614787747845</v>
      </c>
      <c r="K29" s="1">
        <f>K28/'Annuity rates'!$C$38</f>
        <v>2629.6619768203359</v>
      </c>
      <c r="L29" s="1">
        <f>L28/'Annuity rates'!$C$38</f>
        <v>2463.0998938355542</v>
      </c>
    </row>
    <row r="30" spans="2:13">
      <c r="B30" t="s">
        <v>8</v>
      </c>
      <c r="C30">
        <v>162</v>
      </c>
      <c r="G30">
        <f t="shared" si="0"/>
        <v>23</v>
      </c>
      <c r="H30">
        <f t="shared" si="1"/>
        <v>2040</v>
      </c>
      <c r="I30" s="1">
        <f>I29/'Annuity rates'!$C$38</f>
        <v>2590.7999771628929</v>
      </c>
      <c r="J30" s="1">
        <f>J29/'Annuity rates'!$C$38</f>
        <v>2265.0852007633348</v>
      </c>
      <c r="K30" s="1">
        <f>K29/'Annuity rates'!$C$38</f>
        <v>2590.7999771628929</v>
      </c>
      <c r="L30" s="1">
        <f>L29/'Annuity rates'!$C$38</f>
        <v>2426.6994027936498</v>
      </c>
    </row>
    <row r="31" spans="2:13">
      <c r="B31" t="s">
        <v>9</v>
      </c>
      <c r="C31">
        <v>71</v>
      </c>
      <c r="G31">
        <f t="shared" si="0"/>
        <v>24</v>
      </c>
      <c r="H31">
        <f t="shared" si="1"/>
        <v>2041</v>
      </c>
      <c r="I31" s="1">
        <f>I30/'Annuity rates'!$C$38</f>
        <v>2552.5122927713232</v>
      </c>
      <c r="J31" s="1">
        <f>J30/'Annuity rates'!$C$38</f>
        <v>2231.6110352348128</v>
      </c>
      <c r="K31" s="1">
        <f>K30/'Annuity rates'!$C$38</f>
        <v>2552.5122927713232</v>
      </c>
      <c r="L31" s="1">
        <f>L30/'Annuity rates'!$C$38</f>
        <v>2390.8368500430051</v>
      </c>
    </row>
    <row r="32" spans="2:13">
      <c r="B32" t="s">
        <v>10</v>
      </c>
      <c r="C32">
        <v>14</v>
      </c>
      <c r="G32">
        <f t="shared" si="0"/>
        <v>25</v>
      </c>
      <c r="H32">
        <f t="shared" si="1"/>
        <v>2042</v>
      </c>
      <c r="I32" s="1">
        <f>I31/'Annuity rates'!$C$38</f>
        <v>2514.790436227905</v>
      </c>
      <c r="J32" s="1">
        <f>J31/'Annuity rates'!$C$38</f>
        <v>2198.6315618076974</v>
      </c>
      <c r="K32" s="1">
        <f>K31/'Annuity rates'!$C$38</f>
        <v>2514.790436227905</v>
      </c>
      <c r="L32" s="1">
        <f>L31/'Annuity rates'!$C$38</f>
        <v>2355.5042857566555</v>
      </c>
    </row>
    <row r="33" spans="2:13">
      <c r="B33" t="s">
        <v>13</v>
      </c>
      <c r="C33">
        <v>30</v>
      </c>
      <c r="G33">
        <f t="shared" si="0"/>
        <v>26</v>
      </c>
      <c r="H33">
        <f t="shared" si="1"/>
        <v>2043</v>
      </c>
      <c r="I33" s="1">
        <f>I32/'Annuity rates'!$C$38</f>
        <v>2477.6260455447341</v>
      </c>
      <c r="J33" s="1">
        <f>J32/'Annuity rates'!$C$38</f>
        <v>2166.1394697612786</v>
      </c>
      <c r="K33" s="1">
        <f>K32/'Annuity rates'!$C$38</f>
        <v>2477.6260455447341</v>
      </c>
      <c r="L33" s="1">
        <f>L32/'Annuity rates'!$C$38</f>
        <v>2320.6938775927642</v>
      </c>
    </row>
    <row r="34" spans="2:13">
      <c r="B34" t="s">
        <v>14</v>
      </c>
      <c r="G34">
        <f t="shared" si="0"/>
        <v>27</v>
      </c>
      <c r="H34">
        <f t="shared" si="1"/>
        <v>2044</v>
      </c>
      <c r="I34" s="1">
        <f>I33/'Annuity rates'!$C$38</f>
        <v>2441.0108823100832</v>
      </c>
      <c r="J34" s="1">
        <f>J33/'Annuity rates'!$C$38</f>
        <v>2134.1275564150528</v>
      </c>
      <c r="K34" s="1">
        <f>K33/'Annuity rates'!$C$38</f>
        <v>2441.0108823100832</v>
      </c>
      <c r="L34" s="1">
        <f>L33/'Annuity rates'!$C$38</f>
        <v>2286.3979089583886</v>
      </c>
    </row>
    <row r="35" spans="2:13">
      <c r="G35">
        <f t="shared" si="0"/>
        <v>28</v>
      </c>
      <c r="H35">
        <f t="shared" si="1"/>
        <v>2045</v>
      </c>
      <c r="I35" s="1">
        <f>B9/('Annuity rates'!$C$38^(G35-1))*1.13</f>
        <v>2473.4811085869223</v>
      </c>
      <c r="J35" s="1">
        <f>B16/('Annuity rates'!$C$38^(G35-1))*1.13</f>
        <v>2100.0398898699482</v>
      </c>
      <c r="K35" s="1">
        <f>C9/('Annuity rates'!$C$38^(G35-1))*1.13</f>
        <v>2473.4811085869223</v>
      </c>
      <c r="L35" s="1">
        <f>C16/('Annuity rates'!$C$38^(G35-1))*1.13</f>
        <v>2283.7366836922656</v>
      </c>
      <c r="M35" t="s">
        <v>116</v>
      </c>
    </row>
    <row r="36" spans="2:13">
      <c r="B36" t="s">
        <v>17</v>
      </c>
      <c r="G36">
        <f t="shared" si="0"/>
        <v>29</v>
      </c>
      <c r="H36">
        <f t="shared" si="1"/>
        <v>2046</v>
      </c>
      <c r="I36" s="1">
        <f>I35/'Annuity rates'!$C$38</f>
        <v>2436.9272005782486</v>
      </c>
      <c r="J36" s="1">
        <f>J35/'Annuity rates'!$C$38</f>
        <v>2069.0048176058604</v>
      </c>
      <c r="K36" s="1">
        <f>K35/'Annuity rates'!$C$38</f>
        <v>2436.9272005782486</v>
      </c>
      <c r="L36" s="1">
        <f>L35/'Annuity rates'!$C$38</f>
        <v>2249.9868804849912</v>
      </c>
    </row>
    <row r="37" spans="2:13">
      <c r="G37">
        <f t="shared" si="0"/>
        <v>30</v>
      </c>
      <c r="H37">
        <f t="shared" si="1"/>
        <v>2047</v>
      </c>
      <c r="I37" s="1">
        <f>I36/'Annuity rates'!$C$38</f>
        <v>2400.9134981066491</v>
      </c>
      <c r="J37" s="1">
        <f>J36/'Annuity rates'!$C$38</f>
        <v>2038.4283917299119</v>
      </c>
      <c r="K37" s="1">
        <f>K36/'Annuity rates'!$C$38</f>
        <v>2400.9134981066491</v>
      </c>
      <c r="L37" s="1">
        <f>L36/'Annuity rates'!$C$38</f>
        <v>2216.7358428423559</v>
      </c>
    </row>
    <row r="38" spans="2:13">
      <c r="B38" s="66" t="s">
        <v>106</v>
      </c>
      <c r="C38" s="30">
        <f>Inputs!B16+1</f>
        <v>1.0149999999999999</v>
      </c>
      <c r="G38">
        <f t="shared" si="0"/>
        <v>31</v>
      </c>
      <c r="H38">
        <f t="shared" si="1"/>
        <v>2048</v>
      </c>
      <c r="I38" s="1">
        <f>I37/'Annuity rates'!$C$38</f>
        <v>2365.4320178390635</v>
      </c>
      <c r="J38" s="1">
        <f>J37/'Annuity rates'!$C$38</f>
        <v>2008.3038342166622</v>
      </c>
      <c r="K38" s="1">
        <f>K37/'Annuity rates'!$C$38</f>
        <v>2365.4320178390635</v>
      </c>
      <c r="L38" s="1">
        <f>L37/'Annuity rates'!$C$38</f>
        <v>2183.9761998446857</v>
      </c>
    </row>
    <row r="39" spans="2:13">
      <c r="B39" s="66"/>
      <c r="G39">
        <f t="shared" si="0"/>
        <v>32</v>
      </c>
      <c r="H39">
        <f t="shared" si="1"/>
        <v>2049</v>
      </c>
      <c r="I39" s="1">
        <f>I38/'Annuity rates'!$C$38</f>
        <v>2330.4748944227231</v>
      </c>
      <c r="J39" s="1">
        <f>J38/'Annuity rates'!$C$38</f>
        <v>1978.6244672085343</v>
      </c>
      <c r="K39" s="1">
        <f>K38/'Annuity rates'!$C$38</f>
        <v>2330.4748944227231</v>
      </c>
      <c r="L39" s="1">
        <f>L38/'Annuity rates'!$C$38</f>
        <v>2151.7006895021536</v>
      </c>
    </row>
    <row r="40" spans="2:13">
      <c r="G40">
        <f t="shared" si="0"/>
        <v>33</v>
      </c>
      <c r="H40">
        <f t="shared" si="1"/>
        <v>2050</v>
      </c>
      <c r="I40" s="1">
        <f>I39/'Annuity rates'!$C$38</f>
        <v>2296.0343787415995</v>
      </c>
      <c r="J40" s="1">
        <f>J39/'Annuity rates'!$C$38</f>
        <v>1949.383711535502</v>
      </c>
      <c r="K40" s="1">
        <f>K39/'Annuity rates'!$C$38</f>
        <v>2296.0343787415995</v>
      </c>
      <c r="L40" s="1">
        <f>L39/'Annuity rates'!$C$38</f>
        <v>2119.9021571449794</v>
      </c>
    </row>
    <row r="41" spans="2:13">
      <c r="G41">
        <f t="shared" si="0"/>
        <v>34</v>
      </c>
      <c r="H41">
        <f t="shared" si="1"/>
        <v>2051</v>
      </c>
      <c r="I41" s="1">
        <f>I40/'Annuity rates'!$C$38</f>
        <v>2262.1028361986205</v>
      </c>
      <c r="J41" s="1">
        <f>J40/'Annuity rates'!$C$38</f>
        <v>1920.5750852566525</v>
      </c>
      <c r="K41" s="1">
        <f>K40/'Annuity rates'!$C$38</f>
        <v>2262.1028361986205</v>
      </c>
      <c r="L41" s="1">
        <f>L40/'Annuity rates'!$C$38</f>
        <v>2088.5735538374183</v>
      </c>
    </row>
    <row r="42" spans="2:13">
      <c r="G42">
        <f t="shared" si="0"/>
        <v>35</v>
      </c>
      <c r="H42">
        <f t="shared" si="1"/>
        <v>2052</v>
      </c>
      <c r="I42" s="1">
        <f>I41/'Annuity rates'!$C$38</f>
        <v>2228.6727450232715</v>
      </c>
      <c r="J42" s="1">
        <f>J41/'Annuity rates'!$C$38</f>
        <v>1892.1922022233032</v>
      </c>
      <c r="K42" s="1">
        <f>K41/'Annuity rates'!$C$38</f>
        <v>2228.6727450232715</v>
      </c>
      <c r="L42" s="1">
        <f>L41/'Annuity rates'!$C$38</f>
        <v>2057.7079348151906</v>
      </c>
    </row>
    <row r="43" spans="2:13">
      <c r="G43">
        <f t="shared" si="0"/>
        <v>36</v>
      </c>
      <c r="H43">
        <f t="shared" si="1"/>
        <v>2053</v>
      </c>
      <c r="I43" s="1">
        <f>I42/'Annuity rates'!$C$38</f>
        <v>2195.7366946042084</v>
      </c>
      <c r="J43" s="1">
        <f>J42/'Annuity rates'!$C$38</f>
        <v>1864.2287706633531</v>
      </c>
      <c r="K43" s="1">
        <f>K42/'Annuity rates'!$C$38</f>
        <v>2195.7366946042084</v>
      </c>
      <c r="L43" s="1">
        <f>L42/'Annuity rates'!$C$38</f>
        <v>2027.2984579460008</v>
      </c>
    </row>
    <row r="44" spans="2:13">
      <c r="G44">
        <f t="shared" si="0"/>
        <v>37</v>
      </c>
      <c r="H44">
        <f t="shared" si="1"/>
        <v>2054</v>
      </c>
      <c r="I44" s="1">
        <f>I43/'Annuity rates'!$C$38</f>
        <v>2163.2873838465111</v>
      </c>
      <c r="J44" s="1">
        <f>J43/'Annuity rates'!$C$38</f>
        <v>1836.678591786555</v>
      </c>
      <c r="K44" s="1">
        <f>K43/'Annuity rates'!$C$38</f>
        <v>2163.2873838465111</v>
      </c>
      <c r="L44" s="1">
        <f>L43/'Annuity rates'!$C$38</f>
        <v>1997.3383822128089</v>
      </c>
    </row>
    <row r="45" spans="2:13">
      <c r="G45">
        <f t="shared" si="0"/>
        <v>38</v>
      </c>
      <c r="H45">
        <f t="shared" si="1"/>
        <v>2055</v>
      </c>
      <c r="I45" s="1">
        <f>I44/'Annuity rates'!$C$38</f>
        <v>2131.3176195532133</v>
      </c>
      <c r="J45" s="1">
        <f>J44/'Annuity rates'!$C$38</f>
        <v>1809.5355584103993</v>
      </c>
      <c r="K45" s="1">
        <f>K44/'Annuity rates'!$C$38</f>
        <v>2131.3176195532133</v>
      </c>
      <c r="L45" s="1">
        <f>L44/'Annuity rates'!$C$38</f>
        <v>1967.8210662195163</v>
      </c>
    </row>
    <row r="46" spans="2:13">
      <c r="G46">
        <f t="shared" si="0"/>
        <v>39</v>
      </c>
      <c r="H46">
        <f t="shared" si="1"/>
        <v>2056</v>
      </c>
      <c r="I46" s="1">
        <f>I45/'Annuity rates'!$C$38</f>
        <v>2099.8203148307521</v>
      </c>
      <c r="J46" s="1">
        <f>J45/'Annuity rates'!$C$38</f>
        <v>1782.7936536063048</v>
      </c>
      <c r="K46" s="1">
        <f>K45/'Annuity rates'!$C$38</f>
        <v>2099.8203148307521</v>
      </c>
      <c r="L46" s="1">
        <f>L45/'Annuity rates'!$C$38</f>
        <v>1938.7399667187356</v>
      </c>
    </row>
    <row r="47" spans="2:13">
      <c r="G47">
        <f t="shared" si="0"/>
        <v>40</v>
      </c>
      <c r="H47">
        <f t="shared" si="1"/>
        <v>2057</v>
      </c>
      <c r="I47" s="1">
        <f>I46/'Annuity rates'!$C$38</f>
        <v>2068.7884875179825</v>
      </c>
      <c r="J47" s="1">
        <f>J46/'Annuity rates'!$C$38</f>
        <v>1756.4469493658178</v>
      </c>
      <c r="K47" s="1">
        <f>K46/'Annuity rates'!$C$38</f>
        <v>2068.7884875179825</v>
      </c>
      <c r="L47" s="1">
        <f>L46/'Annuity rates'!$C$38</f>
        <v>1910.088637161316</v>
      </c>
    </row>
    <row r="48" spans="2:13">
      <c r="G48">
        <f t="shared" si="0"/>
        <v>41</v>
      </c>
      <c r="H48">
        <f t="shared" si="1"/>
        <v>2058</v>
      </c>
      <c r="I48" s="1">
        <f>I47/'Annuity rates'!$C$38</f>
        <v>2038.2152586384066</v>
      </c>
      <c r="J48" s="1">
        <f>J47/'Annuity rates'!$C$38</f>
        <v>1730.4896052865201</v>
      </c>
      <c r="K48" s="1">
        <f>K47/'Annuity rates'!$C$38</f>
        <v>2038.2152586384066</v>
      </c>
      <c r="L48" s="1">
        <f>L47/'Annuity rates'!$C$38</f>
        <v>1881.8607262673065</v>
      </c>
    </row>
    <row r="49" spans="5:12">
      <c r="G49">
        <f t="shared" si="0"/>
        <v>42</v>
      </c>
      <c r="H49">
        <f t="shared" si="1"/>
        <v>2059</v>
      </c>
      <c r="I49" s="1">
        <f>I48/'Annuity rates'!$C$38</f>
        <v>2008.0938508752777</v>
      </c>
      <c r="J49" s="1">
        <f>J48/'Annuity rates'!$C$38</f>
        <v>1704.9158672773599</v>
      </c>
      <c r="K49" s="1">
        <f>K48/'Annuity rates'!$C$38</f>
        <v>2008.0938508752777</v>
      </c>
      <c r="L49" s="1">
        <f>L48/'Annuity rates'!$C$38</f>
        <v>1854.0499766180362</v>
      </c>
    </row>
    <row r="50" spans="5:12">
      <c r="G50">
        <f t="shared" si="0"/>
        <v>43</v>
      </c>
      <c r="H50">
        <f t="shared" si="1"/>
        <v>2060</v>
      </c>
      <c r="I50" s="1">
        <f>I49/'Annuity rates'!$C$38</f>
        <v>1978.4175870692393</v>
      </c>
      <c r="J50" s="1">
        <f>J49/'Annuity rates'!$C$38</f>
        <v>1679.7200662831133</v>
      </c>
      <c r="K50" s="1">
        <f>K49/'Annuity rates'!$C$38</f>
        <v>1978.4175870692393</v>
      </c>
      <c r="L50" s="1">
        <f>L49/'Annuity rates'!$C$38</f>
        <v>1826.6502232690013</v>
      </c>
    </row>
    <row r="51" spans="5:12">
      <c r="G51">
        <f t="shared" si="0"/>
        <v>44</v>
      </c>
      <c r="H51">
        <f t="shared" si="1"/>
        <v>2061</v>
      </c>
      <c r="I51" s="1">
        <f>I50/'Annuity rates'!$C$38</f>
        <v>1949.1798887381669</v>
      </c>
      <c r="J51" s="1">
        <f>J50/'Annuity rates'!$C$38</f>
        <v>1654.8966170276981</v>
      </c>
      <c r="K51" s="1">
        <f>K50/'Annuity rates'!$C$38</f>
        <v>1949.1798887381669</v>
      </c>
      <c r="L51" s="1">
        <f>L50/'Annuity rates'!$C$38</f>
        <v>1799.6553923832528</v>
      </c>
    </row>
    <row r="52" spans="5:12">
      <c r="G52">
        <f t="shared" si="0"/>
        <v>45</v>
      </c>
      <c r="H52">
        <f t="shared" si="1"/>
        <v>2062</v>
      </c>
      <c r="I52" s="1">
        <f>I51/'Annuity rates'!$C$38</f>
        <v>1920.3742746188839</v>
      </c>
      <c r="J52" s="1">
        <f>J51/'Annuity rates'!$C$38</f>
        <v>1630.4400167760573</v>
      </c>
      <c r="K52" s="1">
        <f>K51/'Annuity rates'!$C$38</f>
        <v>1920.3742746188839</v>
      </c>
      <c r="L52" s="1">
        <f>L51/'Annuity rates'!$C$38</f>
        <v>1773.0594998849783</v>
      </c>
    </row>
    <row r="53" spans="5:12">
      <c r="G53">
        <f t="shared" si="0"/>
        <v>46</v>
      </c>
      <c r="H53">
        <f t="shared" si="1"/>
        <v>2063</v>
      </c>
      <c r="I53" s="1">
        <f>I52/'Annuity rates'!$C$38</f>
        <v>1891.9943592304276</v>
      </c>
      <c r="J53" s="1">
        <f>J52/'Annuity rates'!$C$38</f>
        <v>1606.3448441143423</v>
      </c>
      <c r="K53" s="1">
        <f>K52/'Annuity rates'!$C$38</f>
        <v>1891.9943592304276</v>
      </c>
      <c r="L53" s="1">
        <f>L52/'Annuity rates'!$C$38</f>
        <v>1746.8566501329838</v>
      </c>
    </row>
    <row r="54" spans="5:12">
      <c r="G54">
        <f t="shared" si="0"/>
        <v>47</v>
      </c>
      <c r="H54">
        <f t="shared" si="1"/>
        <v>2064</v>
      </c>
      <c r="I54" s="1">
        <f>I53/'Annuity rates'!$C$38</f>
        <v>1864.0338514585494</v>
      </c>
      <c r="J54" s="1">
        <f>J53/'Annuity rates'!$C$38</f>
        <v>1582.6057577481206</v>
      </c>
      <c r="K54" s="1">
        <f>K53/'Annuity rates'!$C$38</f>
        <v>1864.0338514585494</v>
      </c>
      <c r="L54" s="1">
        <f>L53/'Annuity rates'!$C$38</f>
        <v>1721.0410346137774</v>
      </c>
    </row>
    <row r="55" spans="5:12">
      <c r="E55" s="5"/>
      <c r="G55">
        <f t="shared" si="0"/>
        <v>48</v>
      </c>
      <c r="H55">
        <f t="shared" si="1"/>
        <v>2065</v>
      </c>
      <c r="I55" s="1">
        <f>I54/'Annuity rates'!$C$38</f>
        <v>1836.4865531611326</v>
      </c>
      <c r="J55" s="1">
        <f>J54/'Annuity rates'!$C$38</f>
        <v>1559.2174953183455</v>
      </c>
      <c r="K55" s="1">
        <f>K54/'Annuity rates'!$C$38</f>
        <v>1836.4865531611326</v>
      </c>
      <c r="L55" s="1">
        <f>L54/'Annuity rates'!$C$38</f>
        <v>1695.606930653968</v>
      </c>
    </row>
    <row r="56" spans="5:12">
      <c r="G56">
        <f t="shared" si="0"/>
        <v>49</v>
      </c>
      <c r="H56">
        <f t="shared" si="1"/>
        <v>2066</v>
      </c>
      <c r="I56" s="1">
        <f>I55/'Annuity rates'!$C$38</f>
        <v>1809.3463577942196</v>
      </c>
      <c r="J56" s="1">
        <f>J55/'Annuity rates'!$C$38</f>
        <v>1536.1748722348234</v>
      </c>
      <c r="K56" s="1">
        <f>K55/'Annuity rates'!$C$38</f>
        <v>1809.3463577942196</v>
      </c>
      <c r="L56" s="1">
        <f>L55/'Annuity rates'!$C$38</f>
        <v>1670.5487001516929</v>
      </c>
    </row>
    <row r="58" spans="5:12">
      <c r="H58" s="9" t="s">
        <v>118</v>
      </c>
    </row>
    <row r="59" spans="5:12">
      <c r="H59" t="s">
        <v>37</v>
      </c>
    </row>
  </sheetData>
  <mergeCells count="2">
    <mergeCell ref="H5:L5"/>
    <mergeCell ref="B38:B3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68"/>
  <sheetViews>
    <sheetView workbookViewId="0">
      <selection activeCell="G47" sqref="G47"/>
    </sheetView>
  </sheetViews>
  <sheetFormatPr baseColWidth="10" defaultRowHeight="16"/>
  <cols>
    <col min="2" max="2" width="11.5" bestFit="1" customWidth="1"/>
    <col min="3" max="3" width="12.5" bestFit="1" customWidth="1"/>
    <col min="4" max="4" width="12.5" customWidth="1"/>
    <col min="5" max="5" width="13.83203125" bestFit="1" customWidth="1"/>
    <col min="6" max="8" width="14" bestFit="1" customWidth="1"/>
    <col min="10" max="10" width="12.5" bestFit="1" customWidth="1"/>
    <col min="11" max="11" width="16.33203125" bestFit="1" customWidth="1"/>
    <col min="13" max="13" width="16" customWidth="1"/>
    <col min="14" max="14" width="14.6640625" customWidth="1"/>
    <col min="15" max="15" width="15.5" customWidth="1"/>
    <col min="16" max="16" width="14" customWidth="1"/>
  </cols>
  <sheetData>
    <row r="1" spans="1:16">
      <c r="A1" s="3" t="s">
        <v>126</v>
      </c>
    </row>
    <row r="3" spans="1:16">
      <c r="A3" t="s">
        <v>127</v>
      </c>
    </row>
    <row r="4" spans="1:16">
      <c r="A4" t="s">
        <v>128</v>
      </c>
    </row>
    <row r="5" spans="1:16">
      <c r="A5" t="s">
        <v>129</v>
      </c>
    </row>
    <row r="6" spans="1:16">
      <c r="A6" t="s">
        <v>130</v>
      </c>
    </row>
    <row r="7" spans="1:16">
      <c r="E7" s="65" t="s">
        <v>218</v>
      </c>
      <c r="F7" s="65"/>
      <c r="G7" s="65"/>
      <c r="H7" s="65"/>
      <c r="J7" s="65" t="s">
        <v>216</v>
      </c>
      <c r="K7" s="65"/>
      <c r="L7" s="65"/>
      <c r="M7" s="65"/>
      <c r="N7" s="65"/>
      <c r="O7" s="65"/>
      <c r="P7" s="65"/>
    </row>
    <row r="8" spans="1:16">
      <c r="E8" s="64" t="s">
        <v>30</v>
      </c>
      <c r="F8" s="64"/>
      <c r="G8" s="64"/>
      <c r="H8" s="64"/>
      <c r="M8" s="64" t="s">
        <v>217</v>
      </c>
      <c r="N8" s="64"/>
      <c r="O8" s="64"/>
      <c r="P8" s="64"/>
    </row>
    <row r="9" spans="1:16">
      <c r="E9" t="s">
        <v>24</v>
      </c>
      <c r="G9" t="s">
        <v>26</v>
      </c>
      <c r="H9" t="s">
        <v>11</v>
      </c>
      <c r="M9" t="s">
        <v>24</v>
      </c>
      <c r="O9" t="s">
        <v>26</v>
      </c>
      <c r="P9" t="s">
        <v>11</v>
      </c>
    </row>
    <row r="10" spans="1:16">
      <c r="B10" t="s">
        <v>21</v>
      </c>
      <c r="C10" t="s">
        <v>27</v>
      </c>
      <c r="E10" t="s">
        <v>25</v>
      </c>
      <c r="F10" t="s">
        <v>11</v>
      </c>
      <c r="G10" t="s">
        <v>25</v>
      </c>
      <c r="H10" t="s">
        <v>11</v>
      </c>
      <c r="K10" t="s">
        <v>212</v>
      </c>
      <c r="M10" t="s">
        <v>25</v>
      </c>
      <c r="N10" t="s">
        <v>11</v>
      </c>
      <c r="O10" t="s">
        <v>25</v>
      </c>
      <c r="P10" t="s">
        <v>11</v>
      </c>
    </row>
    <row r="11" spans="1:16">
      <c r="A11">
        <v>2018</v>
      </c>
      <c r="B11" s="1">
        <f>Income!B9</f>
        <v>43600</v>
      </c>
      <c r="C11" s="1">
        <f>B11/75</f>
        <v>581.33333333333337</v>
      </c>
      <c r="D11" s="1"/>
      <c r="E11" s="5">
        <f>C11/'Annuity rates'!I8*100000+3*C11</f>
        <v>20717.020017406441</v>
      </c>
      <c r="F11" s="5">
        <f>C11/'Annuity rates'!J8*100000+C11*3</f>
        <v>24408.06757634828</v>
      </c>
      <c r="G11" s="5">
        <f>C11/'Annuity rates'!K8*100000+C11*3</f>
        <v>20717.020017406441</v>
      </c>
      <c r="H11" s="5">
        <f>C11/'Annuity rates'!L8*100000+3*C11</f>
        <v>22670.32589392849</v>
      </c>
      <c r="J11" s="5">
        <f>Income!C9</f>
        <v>43600</v>
      </c>
      <c r="K11" s="5">
        <f>J11/53</f>
        <v>822.64150943396226</v>
      </c>
      <c r="M11" s="5">
        <f>K11/'Annuity rates'!I8*100000</f>
        <v>26848.613232178926</v>
      </c>
      <c r="N11" s="5">
        <f>K11/'Annuity rates'!J8*100000+C11*3</f>
        <v>33815.793740115492</v>
      </c>
      <c r="O11" s="5">
        <f>K11/'Annuity rates'!K8*100000+C11*3</f>
        <v>28592.613232178926</v>
      </c>
      <c r="P11" s="5">
        <f>K11/'Annuity rates'!L8*100000+3*C11</f>
        <v>31356.72532159691</v>
      </c>
    </row>
    <row r="12" spans="1:16">
      <c r="A12">
        <f>A11+1</f>
        <v>2019</v>
      </c>
      <c r="B12" s="1">
        <f>Income!B10</f>
        <v>44472</v>
      </c>
      <c r="C12" s="1">
        <f t="shared" ref="C12:C59" si="0">C11+B12/75</f>
        <v>1174.2933333333335</v>
      </c>
      <c r="D12" s="1"/>
      <c r="E12" s="5">
        <f>C12/'Annuity rates'!I9*100000+3*C12</f>
        <v>42423.262941688423</v>
      </c>
      <c r="F12" s="5">
        <f>C12/'Annuity rates'!J9*100000+C12*3</f>
        <v>49991.017751786872</v>
      </c>
      <c r="G12" s="5">
        <f>C12/'Annuity rates'!K9*100000+C12*3</f>
        <v>42423.262941688423</v>
      </c>
      <c r="H12" s="5">
        <f>C12/'Annuity rates'!L9*100000+3*C12</f>
        <v>46428.125980321565</v>
      </c>
      <c r="J12" s="5">
        <f>Income!C10</f>
        <v>44472</v>
      </c>
      <c r="K12" s="5">
        <f>K11*1.016+J12/53</f>
        <v>1674.8981132075473</v>
      </c>
      <c r="M12" s="5">
        <f>K12/'Annuity rates'!I9*100000</f>
        <v>55483.733188827035</v>
      </c>
      <c r="N12" s="5">
        <f>K12/'Annuity rates'!J9*100000+C12*3</f>
        <v>69800.524635698253</v>
      </c>
      <c r="O12" s="5">
        <f>K12/'Annuity rates'!K9*100000+C12*3</f>
        <v>59006.613188827032</v>
      </c>
      <c r="P12" s="5">
        <f>K12/'Annuity rates'!L9*100000+3*C12</f>
        <v>64718.761386092876</v>
      </c>
    </row>
    <row r="13" spans="1:16">
      <c r="A13">
        <f t="shared" ref="A13:A59" si="1">A12+1</f>
        <v>2020</v>
      </c>
      <c r="B13" s="1">
        <f>Income!B11</f>
        <v>45361.440000000002</v>
      </c>
      <c r="C13" s="1">
        <f t="shared" si="0"/>
        <v>1779.1125333333334</v>
      </c>
      <c r="D13" s="1"/>
      <c r="E13" s="5">
        <f>C13/'Annuity rates'!I10*100000+3*C13</f>
        <v>66311.596071501437</v>
      </c>
      <c r="F13" s="5">
        <f>C13/'Annuity rates'!J10*100000+C13*3</f>
        <v>74581.24427371865</v>
      </c>
      <c r="G13" s="5">
        <f>C13/'Annuity rates'!K10*100000+C13*3</f>
        <v>66311.596071501437</v>
      </c>
      <c r="H13" s="5">
        <f>C13/'Annuity rates'!L10*100000+3*C13</f>
        <v>69921.065917594533</v>
      </c>
      <c r="J13" s="5">
        <f>Income!C11</f>
        <v>45361.440000000002</v>
      </c>
      <c r="K13" s="5">
        <f t="shared" ref="K13:K59" si="2">K12*1.016+J13/53</f>
        <v>2557.5727094339627</v>
      </c>
      <c r="M13" s="5">
        <f>K13/'Annuity rates'!I10*100000</f>
        <v>87653.870411729979</v>
      </c>
      <c r="N13" s="5">
        <f>K13/'Annuity rates'!J10*100000+C13*3</f>
        <v>104879.28488283353</v>
      </c>
      <c r="O13" s="5">
        <f>K13/'Annuity rates'!K10*100000+C13*3</f>
        <v>92991.208011729977</v>
      </c>
      <c r="P13" s="5">
        <f>K13/'Annuity rates'!L10*100000+3*C13</f>
        <v>98180.020636525835</v>
      </c>
    </row>
    <row r="14" spans="1:16">
      <c r="A14">
        <f t="shared" si="1"/>
        <v>2021</v>
      </c>
      <c r="B14" s="1">
        <f>Income!B12</f>
        <v>46268.668800000007</v>
      </c>
      <c r="C14" s="1">
        <f t="shared" si="0"/>
        <v>2396.0281173333333</v>
      </c>
      <c r="D14" s="1"/>
      <c r="E14" s="5">
        <f>C14/'Annuity rates'!I11*100000+3*C14</f>
        <v>90537.212368880515</v>
      </c>
      <c r="F14" s="5">
        <f>C14/'Annuity rates'!J11*100000+C14*3</f>
        <v>101841.4575362625</v>
      </c>
      <c r="G14" s="5">
        <f>C14/'Annuity rates'!K11*100000+C14*3</f>
        <v>90537.212368880515</v>
      </c>
      <c r="H14" s="5">
        <f>C14/'Annuity rates'!L11*100000+3*C14</f>
        <v>95471.198805397755</v>
      </c>
      <c r="J14" s="5">
        <f>Income!C12</f>
        <v>46268.668800000007</v>
      </c>
      <c r="K14" s="5">
        <f t="shared" si="2"/>
        <v>3471.4876237283024</v>
      </c>
      <c r="M14" s="5">
        <f>K14/'Annuity rates'!I11*100000</f>
        <v>120760.46364646778</v>
      </c>
      <c r="N14" s="5">
        <f>K14/'Annuity rates'!J11*100000+C14*3</f>
        <v>144326.71439404087</v>
      </c>
      <c r="O14" s="5">
        <f>K14/'Annuity rates'!K11*100000+C14*3</f>
        <v>127948.54799846778</v>
      </c>
      <c r="P14" s="5">
        <f>K14/'Annuity rates'!L11*100000+3*C14</f>
        <v>135097.15895428404</v>
      </c>
    </row>
    <row r="15" spans="1:16">
      <c r="A15">
        <f t="shared" si="1"/>
        <v>2022</v>
      </c>
      <c r="B15" s="1">
        <f>Income!B13</f>
        <v>47194.04217600001</v>
      </c>
      <c r="C15" s="1">
        <f t="shared" si="0"/>
        <v>3025.2820130133332</v>
      </c>
      <c r="D15" s="1"/>
      <c r="E15" s="5">
        <f>C15/'Annuity rates'!I12*100000+3*C15</f>
        <v>115893.0136695715</v>
      </c>
      <c r="F15" s="5">
        <f>C15/'Annuity rates'!J12*100000+C15*3</f>
        <v>130380.11725074297</v>
      </c>
      <c r="G15" s="5">
        <f>C15/'Annuity rates'!K12*100000+C15*3</f>
        <v>115893.0136695715</v>
      </c>
      <c r="H15" s="5">
        <f>C15/'Annuity rates'!L12*100000+3*C15</f>
        <v>122216.22866672771</v>
      </c>
      <c r="J15" s="5">
        <f>Income!C13</f>
        <v>47194.04217600001</v>
      </c>
      <c r="K15" s="5">
        <f t="shared" si="2"/>
        <v>4417.4850516702199</v>
      </c>
      <c r="M15" s="5">
        <f>K15/'Annuity rates'!I12*100000</f>
        <v>155973.30736106334</v>
      </c>
      <c r="N15" s="5">
        <f>K15/'Annuity rates'!J12*100000+C15*3</f>
        <v>186203.07003879687</v>
      </c>
      <c r="O15" s="5">
        <f>K15/'Annuity rates'!K12*100000+C15*3</f>
        <v>165049.15340010333</v>
      </c>
      <c r="P15" s="5">
        <f>K15/'Annuity rates'!L12*100000+3*C15</f>
        <v>174282.24559061026</v>
      </c>
    </row>
    <row r="16" spans="1:16">
      <c r="A16">
        <f t="shared" si="1"/>
        <v>2023</v>
      </c>
      <c r="B16" s="1">
        <f>Income!B14</f>
        <v>48137.923019520014</v>
      </c>
      <c r="C16" s="1">
        <f t="shared" si="0"/>
        <v>3667.1209866069335</v>
      </c>
      <c r="D16" s="1"/>
      <c r="E16" s="5">
        <f>C16/'Annuity rates'!I13*100000+3*C16</f>
        <v>142422.87923328503</v>
      </c>
      <c r="F16" s="5">
        <f>C16/'Annuity rates'!J13*100000+C16*3</f>
        <v>160246.95340864343</v>
      </c>
      <c r="G16" s="5">
        <f>C16/'Annuity rates'!K13*100000+C16*3</f>
        <v>142422.87923328503</v>
      </c>
      <c r="H16" s="5">
        <f>C16/'Annuity rates'!L13*100000+3*C16</f>
        <v>150202.5884418622</v>
      </c>
      <c r="J16" s="5">
        <f>Income!C14</f>
        <v>48137.923019520014</v>
      </c>
      <c r="K16" s="5">
        <f t="shared" si="2"/>
        <v>5396.427510978453</v>
      </c>
      <c r="M16" s="5">
        <f>K16/'Annuity rates'!I13*100000</f>
        <v>193396.04243841174</v>
      </c>
      <c r="N16" s="5">
        <f>K16/'Annuity rates'!J13*100000+C16*3</f>
        <v>230626.78931791137</v>
      </c>
      <c r="O16" s="5">
        <f>K16/'Annuity rates'!K13*100000+C16*3</f>
        <v>204397.40539823254</v>
      </c>
      <c r="P16" s="5">
        <f>K16/'Annuity rates'!L13*100000+3*C16</f>
        <v>215845.79691678548</v>
      </c>
    </row>
    <row r="17" spans="1:16">
      <c r="A17">
        <f t="shared" si="1"/>
        <v>2024</v>
      </c>
      <c r="B17" s="1">
        <f>Income!B15</f>
        <v>49100.681479910418</v>
      </c>
      <c r="C17" s="1">
        <f t="shared" si="0"/>
        <v>4321.7967396724052</v>
      </c>
      <c r="D17" s="1"/>
      <c r="E17" s="5">
        <f>C17/'Annuity rates'!I14*100000+3*C17</f>
        <v>170172.29418189326</v>
      </c>
      <c r="F17" s="5">
        <f>C17/'Annuity rates'!J14*100000+C17*3</f>
        <v>191493.51765098001</v>
      </c>
      <c r="G17" s="5">
        <f>C17/'Annuity rates'!K14*100000+C17*3</f>
        <v>170172.29418189326</v>
      </c>
      <c r="H17" s="5">
        <f>C17/'Annuity rates'!L14*100000+3*C17</f>
        <v>179478.41111838489</v>
      </c>
      <c r="J17" s="5">
        <f>Income!C15</f>
        <v>49100.681479910418</v>
      </c>
      <c r="K17" s="5">
        <f t="shared" si="2"/>
        <v>6409.1983036052488</v>
      </c>
      <c r="M17" s="5">
        <f>K17/'Annuity rates'!I14*100000</f>
        <v>233136.88331170171</v>
      </c>
      <c r="N17" s="5">
        <f>K17/'Annuity rates'!J14*100000+C17*3</f>
        <v>277721.51837730035</v>
      </c>
      <c r="O17" s="5">
        <f>K17/'Annuity rates'!K14*100000+C17*3</f>
        <v>246102.27353071893</v>
      </c>
      <c r="P17" s="5">
        <f>K17/'Annuity rates'!L14*100000+3*C17</f>
        <v>259903.18839906494</v>
      </c>
    </row>
    <row r="18" spans="1:16">
      <c r="A18">
        <f t="shared" si="1"/>
        <v>2025</v>
      </c>
      <c r="B18" s="1">
        <f>Income!B16</f>
        <v>50082.695109508626</v>
      </c>
      <c r="C18" s="1">
        <f t="shared" si="0"/>
        <v>4989.566007799187</v>
      </c>
      <c r="D18" s="1"/>
      <c r="E18" s="5">
        <f>C18/'Annuity rates'!I15*100000+3*C18</f>
        <v>199188.4069835961</v>
      </c>
      <c r="F18" s="5">
        <f>C18/'Annuity rates'!J15*100000+C18*3</f>
        <v>224173.24850860986</v>
      </c>
      <c r="G18" s="5">
        <f>C18/'Annuity rates'!K15*100000+C18*3</f>
        <v>199188.4069835961</v>
      </c>
      <c r="H18" s="5">
        <f>C18/'Annuity rates'!L15*100000+3*C18</f>
        <v>210093.59060069028</v>
      </c>
      <c r="J18" s="5">
        <f>Income!C16</f>
        <v>50082.695109508626</v>
      </c>
      <c r="K18" s="5">
        <f t="shared" si="2"/>
        <v>7456.7019879630952</v>
      </c>
      <c r="M18" s="5">
        <f>K18/'Annuity rates'!I15*100000</f>
        <v>275308.80799618852</v>
      </c>
      <c r="N18" s="5">
        <f>K18/'Annuity rates'!J15*100000+C18*3</f>
        <v>327616.3281089823</v>
      </c>
      <c r="O18" s="5">
        <f>K18/'Annuity rates'!K15*100000+C18*3</f>
        <v>290277.50601958606</v>
      </c>
      <c r="P18" s="5">
        <f>K18/'Annuity rates'!L15*100000+3*C18</f>
        <v>306574.85617580864</v>
      </c>
    </row>
    <row r="19" spans="1:16">
      <c r="A19">
        <f t="shared" si="1"/>
        <v>2026</v>
      </c>
      <c r="B19" s="1">
        <f>Income!B17</f>
        <v>51084.349011698796</v>
      </c>
      <c r="C19" s="1">
        <f t="shared" si="0"/>
        <v>5670.6906612885041</v>
      </c>
      <c r="D19" s="1"/>
      <c r="E19" s="5">
        <f>C19/'Annuity rates'!I16*100000+3*C19</f>
        <v>229520.08897710347</v>
      </c>
      <c r="F19" s="5">
        <f>C19/'Annuity rates'!J16*100000+C19*3</f>
        <v>258341.53895843044</v>
      </c>
      <c r="G19" s="5">
        <f>C19/'Annuity rates'!K16*100000+C19*3</f>
        <v>229520.08897710347</v>
      </c>
      <c r="H19" s="5">
        <f>C19/'Annuity rates'!L16*100000+3*C19</f>
        <v>242099.84473991671</v>
      </c>
      <c r="J19" s="5">
        <f>Income!C17</f>
        <v>51084.349011698796</v>
      </c>
      <c r="K19" s="5">
        <f t="shared" si="2"/>
        <v>8539.8648615006714</v>
      </c>
      <c r="M19" s="5">
        <f>K19/'Annuity rates'!I16*100000</f>
        <v>320029.75572209765</v>
      </c>
      <c r="N19" s="5">
        <f>K19/'Annuity rates'!J16*100000+C19*3</f>
        <v>380445.93889003317</v>
      </c>
      <c r="O19" s="5">
        <f>K19/'Annuity rates'!K16*100000+C19*3</f>
        <v>337041.82770596317</v>
      </c>
      <c r="P19" s="5">
        <f>K19/'Annuity rates'!L16*100000+3*C19</f>
        <v>355986.50669162645</v>
      </c>
    </row>
    <row r="20" spans="1:16">
      <c r="A20">
        <f t="shared" si="1"/>
        <v>2027</v>
      </c>
      <c r="B20" s="1">
        <f>Income!B18</f>
        <v>52106.035991932775</v>
      </c>
      <c r="C20" s="1">
        <f t="shared" si="0"/>
        <v>6365.4378078476075</v>
      </c>
      <c r="D20" s="1"/>
      <c r="E20" s="5">
        <f>C20/'Annuity rates'!I17*100000+3*C20</f>
        <v>251923.49763622388</v>
      </c>
      <c r="F20" s="5">
        <f>C20/'Annuity rates'!J17*100000+C20*3</f>
        <v>285403.58669424942</v>
      </c>
      <c r="G20" s="5">
        <f>C20/'Annuity rates'!K17*100000+C20*3</f>
        <v>251923.49763622388</v>
      </c>
      <c r="H20" s="5">
        <f>C20/'Annuity rates'!L17*100000+3*C20</f>
        <v>267667.95886372076</v>
      </c>
      <c r="J20" s="5">
        <f>Income!C18</f>
        <v>52106.035991932775</v>
      </c>
      <c r="K20" s="5">
        <f t="shared" si="2"/>
        <v>9659.6354538494506</v>
      </c>
      <c r="M20" s="5">
        <f>K20/'Annuity rates'!I17*100000</f>
        <v>353318.30914568796</v>
      </c>
      <c r="N20" s="5">
        <f>K20/'Annuity rates'!J17*100000+C20*3</f>
        <v>423221.09732014744</v>
      </c>
      <c r="O20" s="5">
        <f>K20/'Annuity rates'!K17*100000+C20*3</f>
        <v>372414.62256923079</v>
      </c>
      <c r="P20" s="5">
        <f>K20/'Annuity rates'!L17*100000+3*C20</f>
        <v>396307.04921227932</v>
      </c>
    </row>
    <row r="21" spans="1:16">
      <c r="A21">
        <f t="shared" si="1"/>
        <v>2028</v>
      </c>
      <c r="B21" s="1">
        <f>Income!B19</f>
        <v>53148.156711771429</v>
      </c>
      <c r="C21" s="1">
        <f t="shared" si="0"/>
        <v>7074.0798973378933</v>
      </c>
      <c r="D21" s="1"/>
      <c r="E21" s="5">
        <f>C21/'Annuity rates'!I18*100000+3*C21</f>
        <v>249594.61501122528</v>
      </c>
      <c r="F21" s="5">
        <f>C21/'Annuity rates'!J18*100000+C21*3</f>
        <v>282434.11135240726</v>
      </c>
      <c r="G21" s="5">
        <f>C21/'Annuity rates'!K18*100000+C21*3</f>
        <v>249594.61501122528</v>
      </c>
      <c r="H21" s="5">
        <f>C21/'Annuity rates'!L18*100000+3*C21</f>
        <v>265037.828916008</v>
      </c>
      <c r="J21" s="5">
        <f>Income!C19</f>
        <v>53148.156711771429</v>
      </c>
      <c r="K21" s="5">
        <f t="shared" si="2"/>
        <v>10816.985030767106</v>
      </c>
      <c r="M21" s="5">
        <f>K21/'Annuity rates'!I18*100000</f>
        <v>349204.50448944728</v>
      </c>
      <c r="N21" s="5">
        <f>K21/'Annuity rates'!J18*100000+C21*3</f>
        <v>420641.66195107414</v>
      </c>
      <c r="O21" s="5">
        <f>K21/'Annuity rates'!K18*100000+C21*3</f>
        <v>370426.74418146093</v>
      </c>
      <c r="P21" s="5">
        <f>K21/'Annuity rates'!L18*100000+3*C21</f>
        <v>394040.9832145588</v>
      </c>
    </row>
    <row r="22" spans="1:16">
      <c r="A22">
        <f t="shared" si="1"/>
        <v>2029</v>
      </c>
      <c r="B22" s="1">
        <f>Income!B20</f>
        <v>54211.119846006855</v>
      </c>
      <c r="C22" s="1">
        <f t="shared" si="0"/>
        <v>7796.8948286179848</v>
      </c>
      <c r="D22" s="1"/>
      <c r="E22" s="5">
        <f>C22/'Annuity rates'!I19*100000+3*C22</f>
        <v>278873.28423533821</v>
      </c>
      <c r="F22" s="5">
        <f>C22/'Annuity rates'!J19*100000+C22*3</f>
        <v>315611.17728383711</v>
      </c>
      <c r="G22" s="5">
        <f>C22/'Annuity rates'!K19*100000+C22*3</f>
        <v>278873.28423533821</v>
      </c>
      <c r="H22" s="5">
        <f>C22/'Annuity rates'!L19*100000+3*C22</f>
        <v>296149.77151347953</v>
      </c>
      <c r="J22" s="5">
        <f>Income!C20</f>
        <v>54211.119846006855</v>
      </c>
      <c r="K22" s="5">
        <f t="shared" si="2"/>
        <v>12012.908109108566</v>
      </c>
      <c r="M22" s="5">
        <f>K22/'Annuity rates'!I19*100000</f>
        <v>393629.65151227004</v>
      </c>
      <c r="N22" s="5">
        <f>K22/'Annuity rates'!J19*100000+C22*3</f>
        <v>473623.50213216071</v>
      </c>
      <c r="O22" s="5">
        <f>K22/'Annuity rates'!K19*100000+C22*3</f>
        <v>417020.33599812398</v>
      </c>
      <c r="P22" s="5">
        <f>K22/'Annuity rates'!L19*100000+3*C22</f>
        <v>443638.73456350283</v>
      </c>
    </row>
    <row r="23" spans="1:16">
      <c r="A23">
        <f t="shared" si="1"/>
        <v>2030</v>
      </c>
      <c r="B23" s="1">
        <f>Income!B21</f>
        <v>55295.342242926992</v>
      </c>
      <c r="C23" s="1">
        <f t="shared" si="0"/>
        <v>8534.1660585236787</v>
      </c>
      <c r="D23" s="1"/>
      <c r="E23" s="5">
        <f>C23/'Annuity rates'!I20*100000+3*C23</f>
        <v>309438.04347143922</v>
      </c>
      <c r="F23" s="5">
        <f>C23/'Annuity rates'!J20*100000+C23*3</f>
        <v>350253.03406832035</v>
      </c>
      <c r="G23" s="5">
        <f>C23/'Annuity rates'!K20*100000+C23*3</f>
        <v>309438.04347143922</v>
      </c>
      <c r="H23" s="5">
        <f>C23/'Annuity rates'!L20*100000+3*C23</f>
        <v>328631.84059185651</v>
      </c>
      <c r="J23" s="5">
        <f>Income!C21</f>
        <v>55295.342242926992</v>
      </c>
      <c r="K23" s="5">
        <f t="shared" si="2"/>
        <v>13248.422983060475</v>
      </c>
      <c r="M23" s="5">
        <f>K23/'Annuity rates'!I20*100000</f>
        <v>440625.75486816658</v>
      </c>
      <c r="N23" s="5">
        <f>K23/'Annuity rates'!J20*100000+C23*3</f>
        <v>529589.3659830679</v>
      </c>
      <c r="O23" s="5">
        <f>K23/'Annuity rates'!K20*100000+C23*3</f>
        <v>466228.25304373761</v>
      </c>
      <c r="P23" s="5">
        <f>K23/'Annuity rates'!L20*100000+3*C23</f>
        <v>496024.66679506854</v>
      </c>
    </row>
    <row r="24" spans="1:16">
      <c r="A24">
        <f t="shared" si="1"/>
        <v>2031</v>
      </c>
      <c r="B24" s="1">
        <f>Income!B22</f>
        <v>55000</v>
      </c>
      <c r="C24" s="1">
        <f t="shared" si="0"/>
        <v>9267.4993918570126</v>
      </c>
      <c r="D24" s="1"/>
      <c r="E24" s="5">
        <f>C24/'Annuity rates'!I21*100000+3*C24</f>
        <v>340651.15980918112</v>
      </c>
      <c r="F24" s="5">
        <f>C24/'Annuity rates'!J21*100000+C24*3</f>
        <v>385638.17920984293</v>
      </c>
      <c r="G24" s="5">
        <f>C24/'Annuity rates'!K21*100000+C24*3</f>
        <v>340651.15980918112</v>
      </c>
      <c r="H24" s="5">
        <f>C24/'Annuity rates'!L21*100000+3*C24</f>
        <v>361806.90946883097</v>
      </c>
      <c r="J24" s="5">
        <f>Income!C22</f>
        <v>56401.249087785531</v>
      </c>
      <c r="K24" s="5">
        <f t="shared" si="2"/>
        <v>14524.572261879734</v>
      </c>
      <c r="M24" s="5">
        <f>K24/'Annuity rates'!I21*100000</f>
        <v>490314.89518330689</v>
      </c>
      <c r="N24" s="5">
        <f>K24/'Annuity rates'!J21*100000+C24*3</f>
        <v>588623.70649720205</v>
      </c>
      <c r="O24" s="5">
        <f>K24/'Annuity rates'!K21*100000+C24*3</f>
        <v>518117.39335887792</v>
      </c>
      <c r="P24" s="5">
        <f>K24/'Annuity rates'!L21*100000+3*C24</f>
        <v>551273.9334020114</v>
      </c>
    </row>
    <row r="25" spans="1:16">
      <c r="A25">
        <f t="shared" si="1"/>
        <v>2032</v>
      </c>
      <c r="B25" s="1">
        <f>Income!B23</f>
        <v>55000</v>
      </c>
      <c r="C25" s="1">
        <f t="shared" si="0"/>
        <v>10000.832725190347</v>
      </c>
      <c r="D25" s="1"/>
      <c r="E25" s="5">
        <f>C25/'Annuity rates'!I22*100000+3*C25</f>
        <v>372670.80663936376</v>
      </c>
      <c r="F25" s="5">
        <f>C25/'Annuity rates'!J22*100000+C25*3</f>
        <v>421945.83233503537</v>
      </c>
      <c r="G25" s="5">
        <f>C25/'Annuity rates'!K22*100000+C25*3</f>
        <v>372670.80663936376</v>
      </c>
      <c r="H25" s="5">
        <f>C25/'Annuity rates'!L22*100000+3*C25</f>
        <v>395843.04881007102</v>
      </c>
      <c r="J25" s="5">
        <f>Income!C23</f>
        <v>57529.274069541243</v>
      </c>
      <c r="K25" s="5">
        <f t="shared" si="2"/>
        <v>15842.423419381908</v>
      </c>
      <c r="M25" s="5">
        <f>K25/'Annuity rates'!I22*100000</f>
        <v>542824.44115006912</v>
      </c>
      <c r="N25" s="5">
        <f>K25/'Annuity rates'!J22*100000+C25*3</f>
        <v>650884.02142296091</v>
      </c>
      <c r="O25" s="5">
        <f>K25/'Annuity rates'!K22*100000+C25*3</f>
        <v>572826.93932564021</v>
      </c>
      <c r="P25" s="5">
        <f>K25/'Annuity rates'!L22*100000+3*C25</f>
        <v>609534.32981324743</v>
      </c>
    </row>
    <row r="26" spans="1:16">
      <c r="A26">
        <f t="shared" si="1"/>
        <v>2033</v>
      </c>
      <c r="B26" s="1">
        <f>Income!B24</f>
        <v>55000</v>
      </c>
      <c r="C26" s="1">
        <f t="shared" si="0"/>
        <v>10734.16605852368</v>
      </c>
      <c r="D26" s="1"/>
      <c r="E26" s="5">
        <f>C26/'Annuity rates'!I23*100000+3*C26</f>
        <v>405514.65192558424</v>
      </c>
      <c r="F26" s="5">
        <f>C26/'Annuity rates'!J23*100000+C26*3</f>
        <v>459196.20202575088</v>
      </c>
      <c r="G26" s="5">
        <f>C26/'Annuity rates'!K23*100000+C26*3</f>
        <v>405514.65192558424</v>
      </c>
      <c r="H26" s="5">
        <f>C26/'Annuity rates'!L23*100000+3*C26</f>
        <v>430759.12133900728</v>
      </c>
      <c r="J26" s="5">
        <f>Income!C24</f>
        <v>58679.859550932066</v>
      </c>
      <c r="K26" s="5">
        <f t="shared" si="2"/>
        <v>17203.069355430362</v>
      </c>
      <c r="M26" s="5">
        <f>K26/'Annuity rates'!I23*100000</f>
        <v>598287.26676786877</v>
      </c>
      <c r="N26" s="5">
        <f>K26/'Annuity rates'!J23*100000+C26*3</f>
        <v>716522.29177833663</v>
      </c>
      <c r="O26" s="5">
        <f>K26/'Annuity rates'!K23*100000+C26*3</f>
        <v>630489.76494343986</v>
      </c>
      <c r="P26" s="5">
        <f>K26/'Annuity rates'!L23*100000+3*C26</f>
        <v>670947.71536011947</v>
      </c>
    </row>
    <row r="27" spans="1:16">
      <c r="A27">
        <f t="shared" si="1"/>
        <v>2034</v>
      </c>
      <c r="B27" s="1">
        <f>Income!B25</f>
        <v>55000</v>
      </c>
      <c r="C27" s="1">
        <f t="shared" si="0"/>
        <v>11467.499391857014</v>
      </c>
      <c r="D27" s="1"/>
      <c r="E27" s="5">
        <f>C27/'Annuity rates'!I24*100000+3*C27</f>
        <v>439200.71220098709</v>
      </c>
      <c r="F27" s="5">
        <f>C27/'Annuity rates'!J24*100000+C27*3</f>
        <v>497409.89555700187</v>
      </c>
      <c r="G27" s="5">
        <f>C27/'Annuity rates'!K24*100000+C27*3</f>
        <v>439200.71220098709</v>
      </c>
      <c r="H27" s="5">
        <f>C27/'Annuity rates'!L24*100000+3*C27</f>
        <v>466574.36191991885</v>
      </c>
      <c r="J27" s="5">
        <f>Income!C25</f>
        <v>59853.456741950708</v>
      </c>
      <c r="K27" s="5">
        <f t="shared" si="2"/>
        <v>18607.628969682355</v>
      </c>
      <c r="M27" s="5">
        <f>K27/'Annuity rates'!I24*100000</f>
        <v>656841.97720766079</v>
      </c>
      <c r="N27" s="5">
        <f>K27/'Annuity rates'!J24*100000+C27*3</f>
        <v>785697.05388400424</v>
      </c>
      <c r="O27" s="5">
        <f>K27/'Annuity rates'!K24*100000+C27*3</f>
        <v>691244.47538323188</v>
      </c>
      <c r="P27" s="5">
        <f>K27/'Annuity rates'!L24*100000+3*C27</f>
        <v>735662.06810424174</v>
      </c>
    </row>
    <row r="28" spans="1:16">
      <c r="A28">
        <f t="shared" si="1"/>
        <v>2035</v>
      </c>
      <c r="B28" s="1">
        <f>Income!B26</f>
        <v>55000</v>
      </c>
      <c r="C28" s="1">
        <f t="shared" si="0"/>
        <v>12200.832725190348</v>
      </c>
      <c r="D28" s="1"/>
      <c r="E28" s="5">
        <f>C28/'Annuity rates'!I25*100000+3*C28</f>
        <v>473747.35905005818</v>
      </c>
      <c r="F28" s="5">
        <f>C28/'Annuity rates'!J25*100000+C28*3</f>
        <v>536607.92631082423</v>
      </c>
      <c r="G28" s="5">
        <f>C28/'Annuity rates'!K25*100000+C28*3</f>
        <v>473747.35905005818</v>
      </c>
      <c r="H28" s="5">
        <f>C28/'Annuity rates'!L25*100000+3*C28</f>
        <v>503308.38447804603</v>
      </c>
      <c r="J28" s="5">
        <f>Income!C26</f>
        <v>61050.525876789725</v>
      </c>
      <c r="K28" s="5">
        <f t="shared" si="2"/>
        <v>20057.247747853682</v>
      </c>
      <c r="M28" s="5">
        <f>K28/'Annuity rates'!I25*100000</f>
        <v>718633.14363436843</v>
      </c>
      <c r="N28" s="5">
        <f>K28/'Annuity rates'!J25*100000+C28*3</f>
        <v>858573.66795275232</v>
      </c>
      <c r="O28" s="5">
        <f>K28/'Annuity rates'!K25*100000+C28*3</f>
        <v>755235.64180993952</v>
      </c>
      <c r="P28" s="5">
        <f>K28/'Annuity rates'!L25*100000+3*C28</f>
        <v>803831.73553931271</v>
      </c>
    </row>
    <row r="29" spans="1:16">
      <c r="A29">
        <f t="shared" si="1"/>
        <v>2036</v>
      </c>
      <c r="B29" s="1">
        <f>Income!B27</f>
        <v>55000</v>
      </c>
      <c r="C29" s="1">
        <f t="shared" si="0"/>
        <v>12934.166058523682</v>
      </c>
      <c r="D29" s="1"/>
      <c r="E29" s="5">
        <f>C29/'Annuity rates'!I26*100000+3*C29</f>
        <v>509173.32570644573</v>
      </c>
      <c r="F29" s="5">
        <f>C29/'Annuity rates'!J26*100000+C29*3</f>
        <v>576811.72132285056</v>
      </c>
      <c r="G29" s="5">
        <f>C29/'Annuity rates'!K26*100000+C29*3</f>
        <v>509173.32570644573</v>
      </c>
      <c r="H29" s="5">
        <f>C29/'Annuity rates'!L26*100000+3*C29</f>
        <v>540981.1890435745</v>
      </c>
      <c r="J29" s="5">
        <f>Income!C27</f>
        <v>62271.536394325522</v>
      </c>
      <c r="K29" s="5">
        <f t="shared" si="2"/>
        <v>21553.09836076888</v>
      </c>
      <c r="M29" s="5">
        <f>K29/'Annuity rates'!I26*100000</f>
        <v>783811.54733421991</v>
      </c>
      <c r="N29" s="5">
        <f>K29/'Annuity rates'!J26*100000+C29*3</f>
        <v>935324.59732184699</v>
      </c>
      <c r="O29" s="5">
        <f>K29/'Annuity rates'!K26*100000+C29*3</f>
        <v>822614.045509791</v>
      </c>
      <c r="P29" s="5">
        <f>K29/'Annuity rates'!L26*100000+3*C29</f>
        <v>875617.69522706408</v>
      </c>
    </row>
    <row r="30" spans="1:16">
      <c r="A30">
        <f t="shared" si="1"/>
        <v>2037</v>
      </c>
      <c r="B30" s="1">
        <f>Income!B28</f>
        <v>55000</v>
      </c>
      <c r="C30" s="1">
        <f t="shared" si="0"/>
        <v>13667.499391857016</v>
      </c>
      <c r="D30" s="1"/>
      <c r="E30" s="5">
        <f>C30/'Annuity rates'!I27*100000+3*C30</f>
        <v>545497.71376882819</v>
      </c>
      <c r="F30" s="5">
        <f>C30/'Annuity rates'!J27*100000+C30*3</f>
        <v>618043.12896390702</v>
      </c>
      <c r="G30" s="5">
        <f>C30/'Annuity rates'!K27*100000+C30*3</f>
        <v>545497.71376882819</v>
      </c>
      <c r="H30" s="5">
        <f>C30/'Annuity rates'!L27*100000+3*C30</f>
        <v>579613.16892165097</v>
      </c>
      <c r="J30" s="5">
        <f>Income!C28</f>
        <v>63516.967122212031</v>
      </c>
      <c r="K30" s="5">
        <f t="shared" si="2"/>
        <v>23096.38127646971</v>
      </c>
      <c r="M30" s="5">
        <f>K30/'Annuity rates'!I27*100000</f>
        <v>852534.43350718764</v>
      </c>
      <c r="N30" s="5">
        <f>K30/'Annuity rates'!J27*100000+C30*3</f>
        <v>1016129.698740324</v>
      </c>
      <c r="O30" s="5">
        <f>K30/'Annuity rates'!K27*100000+C30*3</f>
        <v>893536.93168275873</v>
      </c>
      <c r="P30" s="5">
        <f>K30/'Annuity rates'!L27*100000+3*C30</f>
        <v>951187.82575189241</v>
      </c>
    </row>
    <row r="31" spans="1:16">
      <c r="A31">
        <f t="shared" si="1"/>
        <v>2038</v>
      </c>
      <c r="B31" s="1">
        <f>Income!B29</f>
        <v>55000</v>
      </c>
      <c r="C31" s="1">
        <f t="shared" si="0"/>
        <v>14400.83272519035</v>
      </c>
      <c r="D31" s="1"/>
      <c r="E31" s="5">
        <f>C31/'Annuity rates'!I28*100000+3*C31</f>
        <v>582740.00003688759</v>
      </c>
      <c r="F31" s="5">
        <f>C31/'Annuity rates'!J28*100000+C31*3</f>
        <v>660324.42675898701</v>
      </c>
      <c r="G31" s="5">
        <f>C31/'Annuity rates'!K28*100000+C31*3</f>
        <v>582740.00003688759</v>
      </c>
      <c r="H31" s="5">
        <f>C31/'Annuity rates'!L28*100000+3*C31</f>
        <v>619225.11799062416</v>
      </c>
      <c r="J31" s="5">
        <f>Income!C29</f>
        <v>64787.306464656271</v>
      </c>
      <c r="K31" s="5">
        <f t="shared" si="2"/>
        <v>24688.325385660322</v>
      </c>
      <c r="M31" s="5">
        <f>K31/'Annuity rates'!I28*100000</f>
        <v>924965.77509842743</v>
      </c>
      <c r="N31" s="5">
        <f>K31/'Annuity rates'!J28*100000+C31*3</f>
        <v>1101176.524138866</v>
      </c>
      <c r="O31" s="5">
        <f>K31/'Annuity rates'!K28*100000+C31*3</f>
        <v>968168.27327399852</v>
      </c>
      <c r="P31" s="5">
        <f>K31/'Annuity rates'!L28*100000+3*C31</f>
        <v>1030717.1883933597</v>
      </c>
    </row>
    <row r="32" spans="1:16">
      <c r="A32">
        <f t="shared" si="1"/>
        <v>2039</v>
      </c>
      <c r="B32" s="1">
        <f>Income!B30</f>
        <v>55000</v>
      </c>
      <c r="C32" s="1">
        <f t="shared" si="0"/>
        <v>15134.166058523684</v>
      </c>
      <c r="D32" s="1"/>
      <c r="E32" s="5">
        <f>C32/'Annuity rates'!I29*100000+3*C32</f>
        <v>620920.04346948024</v>
      </c>
      <c r="F32" s="5">
        <f>C32/'Annuity rates'!J29*100000+C32*3</f>
        <v>703678.32934599207</v>
      </c>
      <c r="G32" s="5">
        <f>C32/'Annuity rates'!K29*100000+C32*3</f>
        <v>620920.04346948024</v>
      </c>
      <c r="H32" s="5">
        <f>C32/'Annuity rates'!L29*100000+3*C32</f>
        <v>659838.23813074874</v>
      </c>
      <c r="J32" s="5">
        <f>Income!C30</f>
        <v>66083.052593949396</v>
      </c>
      <c r="K32" s="5">
        <f t="shared" si="2"/>
        <v>26330.188640773329</v>
      </c>
      <c r="M32" s="5">
        <f>K32/'Annuity rates'!I29*100000</f>
        <v>1001276.5470568411</v>
      </c>
      <c r="N32" s="5">
        <f>K32/'Annuity rates'!J29*100000+C32*3</f>
        <v>1190660.6343262063</v>
      </c>
      <c r="O32" s="5">
        <f>K32/'Annuity rates'!K29*100000+C32*3</f>
        <v>1046679.0452324122</v>
      </c>
      <c r="P32" s="5">
        <f>K32/'Annuity rates'!L29*100000+3*C32</f>
        <v>1114388.3199309281</v>
      </c>
    </row>
    <row r="33" spans="1:16">
      <c r="A33">
        <f t="shared" si="1"/>
        <v>2040</v>
      </c>
      <c r="B33" s="1">
        <f>Income!B31</f>
        <v>55000</v>
      </c>
      <c r="C33" s="1">
        <f t="shared" si="0"/>
        <v>15867.499391857018</v>
      </c>
      <c r="D33" s="1"/>
      <c r="E33" s="5">
        <f>C33/'Annuity rates'!I30*100000+3*C33</f>
        <v>660058.0922671319</v>
      </c>
      <c r="F33" s="5">
        <f>C33/'Annuity rates'!J30*100000+C33*3</f>
        <v>748127.99657667591</v>
      </c>
      <c r="G33" s="5">
        <f>C33/'Annuity rates'!K30*100000+C33*3</f>
        <v>660058.0922671319</v>
      </c>
      <c r="H33" s="5">
        <f>C33/'Annuity rates'!L30*100000+3*C33</f>
        <v>701474.14678561874</v>
      </c>
      <c r="J33" s="5">
        <f>Income!C31</f>
        <v>67404.713645828379</v>
      </c>
      <c r="K33" s="5">
        <f t="shared" si="2"/>
        <v>28023.258708946993</v>
      </c>
      <c r="M33" s="5">
        <f>K33/'Annuity rates'!I30*100000</f>
        <v>1081645.0114236306</v>
      </c>
      <c r="N33" s="5">
        <f>K33/'Annuity rates'!J30*100000+C33*3</f>
        <v>1284785.9250728523</v>
      </c>
      <c r="O33" s="5">
        <f>K33/'Annuity rates'!K30*100000+C33*3</f>
        <v>1129247.5095992016</v>
      </c>
      <c r="P33" s="5">
        <f>K33/'Annuity rates'!L30*100000+3*C33</f>
        <v>1202391.5370110455</v>
      </c>
    </row>
    <row r="34" spans="1:16">
      <c r="A34">
        <f t="shared" si="1"/>
        <v>2041</v>
      </c>
      <c r="B34" s="1">
        <f>Income!B32</f>
        <v>55000</v>
      </c>
      <c r="C34" s="1">
        <f t="shared" si="0"/>
        <v>16600.83272519035</v>
      </c>
      <c r="D34" s="1"/>
      <c r="E34" s="5">
        <f>C34/'Annuity rates'!I31*100000+3*C34</f>
        <v>700174.79108102201</v>
      </c>
      <c r="F34" s="5">
        <f>C34/'Annuity rates'!J31*100000+C34*3</f>
        <v>793697.04176226701</v>
      </c>
      <c r="G34" s="5">
        <f>C34/'Annuity rates'!K31*100000+C34*3</f>
        <v>700174.79108102201</v>
      </c>
      <c r="H34" s="5">
        <f>C34/'Annuity rates'!L31*100000+3*C34</f>
        <v>744154.88465864467</v>
      </c>
      <c r="J34" s="5">
        <f>Income!C32</f>
        <v>68752.807918744948</v>
      </c>
      <c r="K34" s="5">
        <f t="shared" si="2"/>
        <v>29768.853639209861</v>
      </c>
      <c r="M34" s="5">
        <f>K34/'Annuity rates'!I31*100000</f>
        <v>1166257.0136690354</v>
      </c>
      <c r="N34" s="5">
        <f>K34/'Annuity rates'!J31*100000+C34*3</f>
        <v>1383764.9660604615</v>
      </c>
      <c r="O34" s="5">
        <f>K34/'Annuity rates'!K31*100000+C34*3</f>
        <v>1216059.5118446064</v>
      </c>
      <c r="P34" s="5">
        <f>K34/'Annuity rates'!L31*100000+3*C34</f>
        <v>1294925.2525230453</v>
      </c>
    </row>
    <row r="35" spans="1:16">
      <c r="A35">
        <f t="shared" si="1"/>
        <v>2042</v>
      </c>
      <c r="B35" s="1">
        <f>Income!B33</f>
        <v>55000</v>
      </c>
      <c r="C35" s="1">
        <f t="shared" si="0"/>
        <v>17334.166058523682</v>
      </c>
      <c r="D35" s="1"/>
      <c r="E35" s="5">
        <f>C35/'Annuity rates'!I32*100000+3*C35</f>
        <v>741291.18835065805</v>
      </c>
      <c r="F35" s="5">
        <f>C35/'Annuity rates'!J32*100000+C35*3</f>
        <v>840409.54006628552</v>
      </c>
      <c r="G35" s="5">
        <f>C35/'Annuity rates'!K32*100000+C35*3</f>
        <v>741291.18835065805</v>
      </c>
      <c r="H35" s="5">
        <f>C35/'Annuity rates'!L32*100000+3*C35</f>
        <v>787902.92354692426</v>
      </c>
      <c r="J35" s="5">
        <f>Income!C33</f>
        <v>70127.864077119841</v>
      </c>
      <c r="K35" s="5">
        <f t="shared" si="2"/>
        <v>31568.322544175331</v>
      </c>
      <c r="M35" s="5">
        <f>K35/'Annuity rates'!I32*100000</f>
        <v>1255306.2907113119</v>
      </c>
      <c r="N35" s="5">
        <f>K35/'Annuity rates'!J32*100000+C35*3</f>
        <v>1487819.3531933397</v>
      </c>
      <c r="O35" s="5">
        <f>K35/'Annuity rates'!K32*100000+C35*3</f>
        <v>1307308.7888868828</v>
      </c>
      <c r="P35" s="5">
        <f>K35/'Annuity rates'!L32*100000+3*C35</f>
        <v>1392196.3044472791</v>
      </c>
    </row>
    <row r="36" spans="1:16">
      <c r="A36">
        <f t="shared" si="1"/>
        <v>2043</v>
      </c>
      <c r="B36" s="1">
        <f>Income!B34</f>
        <v>55000</v>
      </c>
      <c r="C36" s="1">
        <f t="shared" si="0"/>
        <v>18067.499391857014</v>
      </c>
      <c r="D36" s="1"/>
      <c r="E36" s="5">
        <f>C36/'Annuity rates'!I33*100000+3*C36</f>
        <v>783428.74377247959</v>
      </c>
      <c r="F36" s="5">
        <f>C36/'Annuity rates'!J33*100000+C36*3</f>
        <v>888290.03704711748</v>
      </c>
      <c r="G36" s="5">
        <f>C36/'Annuity rates'!K33*100000+C36*3</f>
        <v>783428.74377247959</v>
      </c>
      <c r="H36" s="5">
        <f>C36/'Annuity rates'!L33*100000+3*C36</f>
        <v>832741.17431489343</v>
      </c>
      <c r="J36" s="5">
        <f>Income!C34</f>
        <v>71530.421358662235</v>
      </c>
      <c r="K36" s="5">
        <f t="shared" si="2"/>
        <v>33423.04629655501</v>
      </c>
      <c r="M36" s="5">
        <f>K36/'Annuity rates'!I33*100000</f>
        <v>1348994.7910685034</v>
      </c>
      <c r="N36" s="5">
        <f>K36/'Annuity rates'!J33*100000+C36*3</f>
        <v>1597180.0747874051</v>
      </c>
      <c r="O36" s="5">
        <f>K36/'Annuity rates'!K33*100000+C36*3</f>
        <v>1403197.2892440744</v>
      </c>
      <c r="P36" s="5">
        <f>K36/'Annuity rates'!L33*100000+3*C36</f>
        <v>1494420.297656494</v>
      </c>
    </row>
    <row r="37" spans="1:16">
      <c r="A37">
        <f t="shared" si="1"/>
        <v>2044</v>
      </c>
      <c r="B37" s="1">
        <f>Income!B35</f>
        <v>55000</v>
      </c>
      <c r="C37" s="1">
        <f t="shared" si="0"/>
        <v>18800.832725190347</v>
      </c>
      <c r="D37" s="1"/>
      <c r="E37" s="5">
        <f>C37/'Annuity rates'!I34*100000+3*C37</f>
        <v>826609.33590166632</v>
      </c>
      <c r="F37" s="5">
        <f>C37/'Annuity rates'!J34*100000+C37*3</f>
        <v>937363.55735294917</v>
      </c>
      <c r="G37" s="5">
        <f>C37/'Annuity rates'!K34*100000+C37*3</f>
        <v>826609.33590166632</v>
      </c>
      <c r="H37" s="5">
        <f>C37/'Annuity rates'!L34*100000+3*C37</f>
        <v>878692.99501019332</v>
      </c>
      <c r="J37" s="5">
        <f>Income!C35</f>
        <v>72961.029785835475</v>
      </c>
      <c r="K37" s="5">
        <f t="shared" si="2"/>
        <v>35334.438240806223</v>
      </c>
      <c r="M37" s="5">
        <f>K37/'Annuity rates'!I34*100000</f>
        <v>1447533.0076106424</v>
      </c>
      <c r="N37" s="5">
        <f>K37/'Annuity rates'!J34*100000+C37*3</f>
        <v>1712087.8921714982</v>
      </c>
      <c r="O37" s="5">
        <f>K37/'Annuity rates'!K34*100000+C37*3</f>
        <v>1503935.5057862133</v>
      </c>
      <c r="P37" s="5">
        <f>K37/'Annuity rates'!L34*100000+3*C37</f>
        <v>1601821.9591697201</v>
      </c>
    </row>
    <row r="38" spans="1:16">
      <c r="A38">
        <f t="shared" si="1"/>
        <v>2045</v>
      </c>
      <c r="B38" s="1">
        <f>Income!B36</f>
        <v>55000</v>
      </c>
      <c r="C38" s="1">
        <f t="shared" si="0"/>
        <v>19534.166058523679</v>
      </c>
      <c r="D38" s="1"/>
      <c r="E38" s="5">
        <f>C38/'Annuity rates'!I35*100000+3*C38</f>
        <v>848346.39355884213</v>
      </c>
      <c r="F38" s="5">
        <f>C38/'Annuity rates'!J35*100000+C38*3</f>
        <v>988783.21296825027</v>
      </c>
      <c r="G38" s="5">
        <f>C38/'Annuity rates'!K35*100000+C38*3</f>
        <v>848346.39355884213</v>
      </c>
      <c r="H38" s="5">
        <f>C38/'Annuity rates'!L35*100000+3*C38</f>
        <v>913962.32131163939</v>
      </c>
      <c r="J38" s="5">
        <f>Income!C36</f>
        <v>74420.250381552192</v>
      </c>
      <c r="K38" s="5">
        <f t="shared" si="2"/>
        <v>37303.944920235583</v>
      </c>
      <c r="M38" s="5">
        <f>K38/'Annuity rates'!I35*100000</f>
        <v>1508155.6431028086</v>
      </c>
      <c r="N38" s="5">
        <f>K38/'Annuity rates'!J35*100000+C38*3</f>
        <v>1834947.085732227</v>
      </c>
      <c r="O38" s="5">
        <f>K38/'Annuity rates'!K35*100000+C38*3</f>
        <v>1566758.1412783796</v>
      </c>
      <c r="P38" s="5">
        <f>K38/'Annuity rates'!L35*100000+3*C38</f>
        <v>1692063.3602187324</v>
      </c>
    </row>
    <row r="39" spans="1:16">
      <c r="A39">
        <f t="shared" si="1"/>
        <v>2046</v>
      </c>
      <c r="B39" s="1">
        <f>Income!B37</f>
        <v>55000</v>
      </c>
      <c r="C39" s="1">
        <f t="shared" si="0"/>
        <v>20267.499391857011</v>
      </c>
      <c r="D39" s="1"/>
      <c r="E39" s="5">
        <f>C39/'Annuity rates'!I36*100000+3*C39</f>
        <v>892485.09366089455</v>
      </c>
      <c r="F39" s="5">
        <f>C39/'Annuity rates'!J36*100000+C39*3</f>
        <v>1040379.6948739071</v>
      </c>
      <c r="G39" s="5">
        <f>C39/'Annuity rates'!K36*100000+C39*3</f>
        <v>892485.09366089455</v>
      </c>
      <c r="H39" s="5">
        <f>C39/'Annuity rates'!L36*100000+3*C39</f>
        <v>961585.50129638449</v>
      </c>
      <c r="J39" s="5">
        <f>Income!C37</f>
        <v>75908.655389183245</v>
      </c>
      <c r="K39" s="5">
        <f t="shared" si="2"/>
        <v>39333.046819887335</v>
      </c>
      <c r="M39" s="5">
        <f>K39/'Annuity rates'!I36*100000</f>
        <v>1614042.7506637929</v>
      </c>
      <c r="N39" s="5">
        <f>K39/'Annuity rates'!J36*100000+C39*3</f>
        <v>1961863.6501453083</v>
      </c>
      <c r="O39" s="5">
        <f>K39/'Annuity rates'!K36*100000+C39*3</f>
        <v>1674845.2488393639</v>
      </c>
      <c r="P39" s="5">
        <f>K39/'Annuity rates'!L36*100000+3*C39</f>
        <v>1808948.1056472459</v>
      </c>
    </row>
    <row r="40" spans="1:16">
      <c r="A40">
        <f t="shared" si="1"/>
        <v>2047</v>
      </c>
      <c r="B40" s="1">
        <f>Income!B38</f>
        <v>55000</v>
      </c>
      <c r="C40" s="1">
        <f t="shared" si="0"/>
        <v>21000.832725190343</v>
      </c>
      <c r="D40" s="1"/>
      <c r="E40" s="5">
        <f>C40/'Annuity rates'!I37*100000+3*C40</f>
        <v>937704.26238954696</v>
      </c>
      <c r="F40" s="5">
        <f>C40/'Annuity rates'!J37*100000+C40*3</f>
        <v>1093248.7805759055</v>
      </c>
      <c r="G40" s="5">
        <f>C40/'Annuity rates'!K37*100000+C40*3</f>
        <v>937704.26238954696</v>
      </c>
      <c r="H40" s="5">
        <f>C40/'Annuity rates'!L37*100000+3*C40</f>
        <v>1010378.9207204664</v>
      </c>
      <c r="J40" s="5">
        <f>Income!C38</f>
        <v>77426.828496966904</v>
      </c>
      <c r="K40" s="5">
        <f t="shared" si="2"/>
        <v>41423.259125552082</v>
      </c>
      <c r="M40" s="5">
        <f>K40/'Annuity rates'!I37*100000</f>
        <v>1725312.4345470297</v>
      </c>
      <c r="N40" s="5">
        <f>K40/'Annuity rates'!J37*100000+C40*3</f>
        <v>2095119.9516809275</v>
      </c>
      <c r="O40" s="5">
        <f>K40/'Annuity rates'!K37*100000+C40*3</f>
        <v>1788314.9327226006</v>
      </c>
      <c r="P40" s="5">
        <f>K40/'Annuity rates'!L37*100000+3*C40</f>
        <v>1931662.6391348161</v>
      </c>
    </row>
    <row r="41" spans="1:16">
      <c r="A41">
        <f t="shared" si="1"/>
        <v>2048</v>
      </c>
      <c r="B41" s="1">
        <f>Income!B39</f>
        <v>55000</v>
      </c>
      <c r="C41" s="1">
        <f t="shared" si="0"/>
        <v>21734.166058523675</v>
      </c>
      <c r="D41" s="1"/>
      <c r="E41" s="5">
        <f>C41/'Annuity rates'!I38*100000+3*C41</f>
        <v>984026.87759607472</v>
      </c>
      <c r="F41" s="5">
        <f>C41/'Annuity rates'!J38*100000+C41*3</f>
        <v>1147417.5339797062</v>
      </c>
      <c r="G41" s="5">
        <f>C41/'Annuity rates'!K38*100000+C41*3</f>
        <v>984026.87759607472</v>
      </c>
      <c r="H41" s="5">
        <f>C41/'Annuity rates'!L38*100000+3*C41</f>
        <v>1060367.4665515684</v>
      </c>
      <c r="J41" s="5">
        <f>Income!C39</f>
        <v>78975.365066906248</v>
      </c>
      <c r="K41" s="5">
        <f t="shared" si="2"/>
        <v>43576.132499238396</v>
      </c>
      <c r="M41" s="5">
        <f>K41/'Annuity rates'!I38*100000</f>
        <v>1842206.0820436219</v>
      </c>
      <c r="N41" s="5">
        <f>K41/'Annuity rates'!J38*100000+C41*3</f>
        <v>2235000.3025120473</v>
      </c>
      <c r="O41" s="5">
        <f>K41/'Annuity rates'!K38*100000+C41*3</f>
        <v>1907408.5802191929</v>
      </c>
      <c r="P41" s="5">
        <f>K41/'Annuity rates'!L38*100000+3*C41</f>
        <v>2060468.4036528072</v>
      </c>
    </row>
    <row r="42" spans="1:16">
      <c r="A42">
        <f t="shared" si="1"/>
        <v>2049</v>
      </c>
      <c r="B42" s="1">
        <f>Income!B40</f>
        <v>55000</v>
      </c>
      <c r="C42" s="1">
        <f t="shared" si="0"/>
        <v>22467.499391857007</v>
      </c>
      <c r="D42" s="1"/>
      <c r="E42" s="5">
        <f>C42/'Annuity rates'!I39*100000+3*C42</f>
        <v>1031476.3633618501</v>
      </c>
      <c r="F42" s="5">
        <f>C42/'Annuity rates'!J39*100000+C42*3</f>
        <v>1202913.5445720814</v>
      </c>
      <c r="G42" s="5">
        <f>C42/'Annuity rates'!K39*100000+C42*3</f>
        <v>1031476.3633618501</v>
      </c>
      <c r="H42" s="5">
        <f>C42/'Annuity rates'!L39*100000+3*C42</f>
        <v>1111576.5090625309</v>
      </c>
      <c r="J42" s="5">
        <f>Income!C40</f>
        <v>80554.872368244382</v>
      </c>
      <c r="K42" s="5">
        <f t="shared" si="2"/>
        <v>45793.253871457237</v>
      </c>
      <c r="M42" s="5">
        <f>K42/'Annuity rates'!I39*100000</f>
        <v>1964975.2066005664</v>
      </c>
      <c r="N42" s="5">
        <f>K42/'Annuity rates'!J39*100000+C42*3</f>
        <v>2381800.9416590319</v>
      </c>
      <c r="O42" s="5">
        <f>K42/'Annuity rates'!K39*100000+C42*3</f>
        <v>2032377.7047761374</v>
      </c>
      <c r="P42" s="5">
        <f>K42/'Annuity rates'!L39*100000+3*C42</f>
        <v>2195637.8096608585</v>
      </c>
    </row>
    <row r="43" spans="1:16">
      <c r="A43" s="6">
        <f t="shared" si="1"/>
        <v>2050</v>
      </c>
      <c r="B43" s="7">
        <f>Income!B41</f>
        <v>55000</v>
      </c>
      <c r="C43" s="1">
        <f t="shared" si="0"/>
        <v>23200.832725190339</v>
      </c>
      <c r="D43" s="1"/>
      <c r="E43" s="5">
        <f>C43/'Annuity rates'!I40*100000+3*C43</f>
        <v>1080076.5982152293</v>
      </c>
      <c r="F43" s="5">
        <f>C43/'Annuity rates'!J40*100000+C43*3</f>
        <v>1259764.9370991716</v>
      </c>
      <c r="G43" s="5">
        <f>C43/'Annuity rates'!K40*100000+C43*3</f>
        <v>1080076.5982152293</v>
      </c>
      <c r="H43" s="5">
        <f>C43/'Annuity rates'!L40*100000+3*C43</f>
        <v>1164031.9107309375</v>
      </c>
      <c r="J43" s="5">
        <f>Income!C41</f>
        <v>82165.969815609264</v>
      </c>
      <c r="K43" s="5">
        <f t="shared" si="2"/>
        <v>48076.247250676199</v>
      </c>
      <c r="M43" s="5">
        <f>K43/'Annuity rates'!I40*100000</f>
        <v>2093881.8554200227</v>
      </c>
      <c r="N43" s="5">
        <f>K43/'Annuity rates'!J40*100000+C43*3</f>
        <v>2535830.515070573</v>
      </c>
      <c r="O43" s="5">
        <f>K43/'Annuity rates'!K40*100000+C43*3</f>
        <v>2163484.3535955939</v>
      </c>
      <c r="P43" s="5">
        <f>K43/'Annuity rates'!L40*100000+3*C43</f>
        <v>2337454.6765715708</v>
      </c>
    </row>
    <row r="44" spans="1:16">
      <c r="A44" s="6">
        <f t="shared" si="1"/>
        <v>2051</v>
      </c>
      <c r="B44" s="7">
        <f>Income!B42</f>
        <v>55000</v>
      </c>
      <c r="C44" s="1">
        <f t="shared" si="0"/>
        <v>23934.166058523671</v>
      </c>
      <c r="D44" s="1"/>
      <c r="E44" s="5">
        <f>C44/'Annuity rates'!I41*100000+3*C44</f>
        <v>1129851.9234945429</v>
      </c>
      <c r="F44" s="5">
        <f>C44/'Annuity rates'!J41*100000+C44*3</f>
        <v>1318000.3814166354</v>
      </c>
      <c r="G44" s="5">
        <f>C44/'Annuity rates'!K41*100000+C44*3</f>
        <v>1129851.9234945429</v>
      </c>
      <c r="H44" s="5">
        <f>C44/'Annuity rates'!L41*100000+3*C44</f>
        <v>1217760.0352969468</v>
      </c>
      <c r="J44" s="5">
        <f>Income!C42</f>
        <v>83809.289211921452</v>
      </c>
      <c r="K44" s="5">
        <f t="shared" si="2"/>
        <v>50426.774550308175</v>
      </c>
      <c r="M44" s="5">
        <f>K44/'Annuity rates'!I41*100000</f>
        <v>2229199.0330133922</v>
      </c>
      <c r="N44" s="5">
        <f>K44/'Annuity rates'!J41*100000+C44*3</f>
        <v>2697410.5744966012</v>
      </c>
      <c r="O44" s="5">
        <f>K44/'Annuity rates'!K41*100000+C44*3</f>
        <v>2301001.5311889634</v>
      </c>
      <c r="P44" s="5">
        <f>K44/'Annuity rates'!L41*100000+3*C44</f>
        <v>2486214.6914956043</v>
      </c>
    </row>
    <row r="45" spans="1:16">
      <c r="A45" s="6">
        <f t="shared" si="1"/>
        <v>2052</v>
      </c>
      <c r="B45" s="7">
        <f>Income!B43</f>
        <v>55000</v>
      </c>
      <c r="C45" s="1">
        <f t="shared" si="0"/>
        <v>24667.499391857004</v>
      </c>
      <c r="D45" s="1"/>
      <c r="E45" s="5">
        <f>C45/'Annuity rates'!I42*100000+3*C45</f>
        <v>1180827.1518597272</v>
      </c>
      <c r="F45" s="5">
        <f>C45/'Annuity rates'!J42*100000+C45*3</f>
        <v>1377649.1025148651</v>
      </c>
      <c r="G45" s="5">
        <f>C45/'Annuity rates'!K42*100000+C45*3</f>
        <v>1180827.1518597272</v>
      </c>
      <c r="H45" s="5">
        <f>C45/'Annuity rates'!L42*100000+3*C45</f>
        <v>1272787.7569821116</v>
      </c>
      <c r="J45" s="5">
        <f>Income!C43</f>
        <v>85485.474996159886</v>
      </c>
      <c r="K45" s="5">
        <f t="shared" si="2"/>
        <v>52846.536433606692</v>
      </c>
      <c r="M45" s="5">
        <f>K45/'Annuity rates'!I42*100000</f>
        <v>2371211.1413223604</v>
      </c>
      <c r="N45" s="5">
        <f>K45/'Annuity rates'!J42*100000+C45*3</f>
        <v>2866876.0958741903</v>
      </c>
      <c r="O45" s="5">
        <f>K45/'Annuity rates'!K42*100000+C45*3</f>
        <v>2445213.6394979316</v>
      </c>
      <c r="P45" s="5">
        <f>K45/'Annuity rates'!L42*100000+3*C45</f>
        <v>2642225.8859302094</v>
      </c>
    </row>
    <row r="46" spans="1:16">
      <c r="A46" s="6">
        <f t="shared" si="1"/>
        <v>2053</v>
      </c>
      <c r="B46" s="7">
        <f>Income!B44</f>
        <v>55000</v>
      </c>
      <c r="C46" s="1">
        <f t="shared" si="0"/>
        <v>25400.832725190336</v>
      </c>
      <c r="D46" s="1"/>
      <c r="E46" s="5">
        <f>C46/'Annuity rates'!I43*100000+3*C46</f>
        <v>1233027.5759551702</v>
      </c>
      <c r="F46" s="5">
        <f>C46/'Annuity rates'!J43*100000+C46*3</f>
        <v>1438740.8907223127</v>
      </c>
      <c r="G46" s="5">
        <f>C46/'Annuity rates'!K43*100000+C46*3</f>
        <v>1233027.5759551702</v>
      </c>
      <c r="H46" s="5">
        <f>C46/'Annuity rates'!L43*100000+3*C46</f>
        <v>1329142.469871979</v>
      </c>
      <c r="J46" s="5">
        <f>Income!C44</f>
        <v>87195.184496083079</v>
      </c>
      <c r="K46" s="5">
        <f t="shared" si="2"/>
        <v>55337.273176847855</v>
      </c>
      <c r="M46" s="5">
        <f>K46/'Annuity rates'!I43*100000</f>
        <v>2520214.4370421725</v>
      </c>
      <c r="N46" s="5">
        <f>K46/'Annuity rates'!J43*100000+C46*3</f>
        <v>3044576.0179747026</v>
      </c>
      <c r="O46" s="5">
        <f>K46/'Annuity rates'!K43*100000+C46*3</f>
        <v>2596416.9352177437</v>
      </c>
      <c r="P46" s="5">
        <f>K46/'Annuity rates'!L43*100000+3*C46</f>
        <v>2805809.1310792412</v>
      </c>
    </row>
    <row r="47" spans="1:16">
      <c r="A47" s="6">
        <f t="shared" si="1"/>
        <v>2054</v>
      </c>
      <c r="B47" s="7">
        <f>Income!B45</f>
        <v>55000</v>
      </c>
      <c r="C47" s="1">
        <f t="shared" si="0"/>
        <v>26134.166058523668</v>
      </c>
      <c r="D47" s="1"/>
      <c r="E47" s="5">
        <f>C47/'Annuity rates'!I44*100000+3*C47</f>
        <v>1286478.9772263973</v>
      </c>
      <c r="F47" s="5">
        <f>C47/'Annuity rates'!J44*100000+C47*3</f>
        <v>1501306.1120900072</v>
      </c>
      <c r="G47" s="5">
        <f>C47/'Annuity rates'!K44*100000+C47*3</f>
        <v>1286478.9772263973</v>
      </c>
      <c r="H47" s="5">
        <f>C47/'Annuity rates'!L44*100000+3*C47</f>
        <v>1386852.0974653107</v>
      </c>
      <c r="J47" s="5">
        <f>Income!C45</f>
        <v>88939.088186004738</v>
      </c>
      <c r="K47" s="5">
        <f t="shared" si="2"/>
        <v>57900.765551186945</v>
      </c>
      <c r="M47" s="5">
        <f>K47/'Annuity rates'!I44*100000</f>
        <v>2676517.506806442</v>
      </c>
      <c r="N47" s="5">
        <f>K47/'Annuity rates'!J44*100000+C47*3</f>
        <v>3230873.8020887021</v>
      </c>
      <c r="O47" s="5">
        <f>K47/'Annuity rates'!K44*100000+C47*3</f>
        <v>2754920.0049820133</v>
      </c>
      <c r="P47" s="5">
        <f>K47/'Annuity rates'!L44*100000+3*C47</f>
        <v>2977298.6525187283</v>
      </c>
    </row>
    <row r="48" spans="1:16">
      <c r="A48" s="6">
        <f t="shared" si="1"/>
        <v>2055</v>
      </c>
      <c r="B48" s="7">
        <f>Income!B46</f>
        <v>55000</v>
      </c>
      <c r="C48" s="1">
        <f t="shared" si="0"/>
        <v>26867.499391857</v>
      </c>
      <c r="D48" s="1"/>
      <c r="E48" s="5">
        <f>C48/'Annuity rates'!I45*100000+3*C48</f>
        <v>1341207.6348932609</v>
      </c>
      <c r="F48" s="5">
        <f>C48/'Annuity rates'!J45*100000+C48*3</f>
        <v>1565375.7189604095</v>
      </c>
      <c r="G48" s="5">
        <f>C48/'Annuity rates'!K45*100000+C48*3</f>
        <v>1341207.6348932609</v>
      </c>
      <c r="H48" s="5">
        <f>C48/'Annuity rates'!L45*100000+3*C48</f>
        <v>1445945.1023928109</v>
      </c>
      <c r="J48" s="5">
        <f>Income!C46</f>
        <v>90717.869949724831</v>
      </c>
      <c r="K48" s="5">
        <f t="shared" si="2"/>
        <v>60538.835723585646</v>
      </c>
      <c r="M48" s="5">
        <f>K48/'Annuity rates'!I45*100000</f>
        <v>2840441.7609176603</v>
      </c>
      <c r="N48" s="5">
        <f>K48/'Annuity rates'!J45*100000+C48*3</f>
        <v>3426148.0135544706</v>
      </c>
      <c r="O48" s="5">
        <f>K48/'Annuity rates'!K45*100000+C48*3</f>
        <v>2921044.2590932315</v>
      </c>
      <c r="P48" s="5">
        <f>K48/'Annuity rates'!L45*100000+3*C48</f>
        <v>3157042.5649490184</v>
      </c>
    </row>
    <row r="49" spans="1:16">
      <c r="A49" s="6">
        <f t="shared" si="1"/>
        <v>2056</v>
      </c>
      <c r="B49" s="7">
        <f>Income!B47</f>
        <v>55000</v>
      </c>
      <c r="C49" s="1">
        <f t="shared" si="0"/>
        <v>27600.832725190332</v>
      </c>
      <c r="D49" s="1"/>
      <c r="E49" s="5">
        <f>C49/'Annuity rates'!I46*100000+3*C49</f>
        <v>1397240.3350823442</v>
      </c>
      <c r="F49" s="5">
        <f>C49/'Annuity rates'!J46*100000+C49*3</f>
        <v>1630981.2607237932</v>
      </c>
      <c r="G49" s="5">
        <f>C49/'Annuity rates'!K46*100000+C49*3</f>
        <v>1397240.3350823442</v>
      </c>
      <c r="H49" s="5">
        <f>C49/'Annuity rates'!L46*100000+3*C49</f>
        <v>1506450.4963082955</v>
      </c>
      <c r="J49" s="5">
        <f>Income!C47</f>
        <v>92532.227348719331</v>
      </c>
      <c r="K49" s="5">
        <f t="shared" si="2"/>
        <v>63253.34817721432</v>
      </c>
      <c r="M49" s="5">
        <f>K49/'Annuity rates'!I46*100000</f>
        <v>3012321.9463334233</v>
      </c>
      <c r="N49" s="5">
        <f>K49/'Annuity rates'!J46*100000+C49*3</f>
        <v>3630792.9259664137</v>
      </c>
      <c r="O49" s="5">
        <f>K49/'Annuity rates'!K46*100000+C49*3</f>
        <v>3095124.4445089945</v>
      </c>
      <c r="P49" s="5">
        <f>K49/'Annuity rates'!L46*100000+3*C49</f>
        <v>3345403.4278025022</v>
      </c>
    </row>
    <row r="50" spans="1:16">
      <c r="A50" s="6">
        <f t="shared" si="1"/>
        <v>2057</v>
      </c>
      <c r="B50" s="7">
        <f>Income!B48</f>
        <v>55000</v>
      </c>
      <c r="C50" s="1">
        <f t="shared" si="0"/>
        <v>28334.166058523664</v>
      </c>
      <c r="D50" s="1"/>
      <c r="E50" s="5">
        <f>C50/'Annuity rates'!I47*100000+3*C50</f>
        <v>1454604.3801213384</v>
      </c>
      <c r="F50" s="5">
        <f>C50/'Annuity rates'!J47*100000+C50*3</f>
        <v>1698154.894765402</v>
      </c>
      <c r="G50" s="5">
        <f>C50/'Annuity rates'!K47*100000+C50*3</f>
        <v>1454604.3801213384</v>
      </c>
      <c r="H50" s="5">
        <f>C50/'Annuity rates'!L47*100000+3*C50</f>
        <v>1568397.8499552964</v>
      </c>
      <c r="J50" s="5">
        <f>Income!C48</f>
        <v>94382.871895693723</v>
      </c>
      <c r="K50" s="5">
        <f t="shared" si="2"/>
        <v>66046.210651742091</v>
      </c>
      <c r="M50" s="5">
        <f>K50/'Annuity rates'!I47*100000</f>
        <v>3192506.6796451807</v>
      </c>
      <c r="N50" s="5">
        <f>K50/'Annuity rates'!J47*100000+C50*3</f>
        <v>3845219.148931161</v>
      </c>
      <c r="O50" s="5">
        <f>K50/'Annuity rates'!K47*100000+C50*3</f>
        <v>3277509.1778207519</v>
      </c>
      <c r="P50" s="5">
        <f>K50/'Annuity rates'!L47*100000+3*C50</f>
        <v>3542758.8225049423</v>
      </c>
    </row>
    <row r="51" spans="1:16">
      <c r="A51" s="6">
        <f t="shared" si="1"/>
        <v>2058</v>
      </c>
      <c r="B51" s="7">
        <f>Income!B49</f>
        <v>55000</v>
      </c>
      <c r="C51" s="1">
        <f t="shared" si="0"/>
        <v>29067.499391856996</v>
      </c>
      <c r="D51" s="1"/>
      <c r="E51" s="5">
        <f>C51/'Annuity rates'!I48*100000+3*C51</f>
        <v>1513327.5979981981</v>
      </c>
      <c r="F51" s="5">
        <f>C51/'Annuity rates'!J48*100000+C51*3</f>
        <v>1766929.3976066855</v>
      </c>
      <c r="G51" s="5">
        <f>C51/'Annuity rates'!K48*100000+C51*3</f>
        <v>1513327.5979981981</v>
      </c>
      <c r="H51" s="5">
        <f>C51/'Annuity rates'!L48*100000+3*C51</f>
        <v>1631817.3034121271</v>
      </c>
      <c r="J51" s="5">
        <f>Income!C49</f>
        <v>96270.529333607599</v>
      </c>
      <c r="K51" s="5">
        <f t="shared" si="2"/>
        <v>68919.375103936152</v>
      </c>
      <c r="M51" s="5">
        <f>K51/'Annuity rates'!I48*100000</f>
        <v>3381359.0008140998</v>
      </c>
      <c r="N51" s="5">
        <f>K51/'Annuity rates'!J48*100000+C51*3</f>
        <v>4069854.2802719478</v>
      </c>
      <c r="O51" s="5">
        <f>K51/'Annuity rates'!K48*100000+C51*3</f>
        <v>3468561.498989671</v>
      </c>
      <c r="P51" s="5">
        <f>K51/'Annuity rates'!L48*100000+3*C51</f>
        <v>3749501.9522185158</v>
      </c>
    </row>
    <row r="52" spans="1:16">
      <c r="A52" s="6">
        <f t="shared" si="1"/>
        <v>2059</v>
      </c>
      <c r="B52" s="7">
        <f>Income!B50</f>
        <v>55000</v>
      </c>
      <c r="C52" s="1">
        <f t="shared" si="0"/>
        <v>29800.832725190328</v>
      </c>
      <c r="D52" s="1"/>
      <c r="E52" s="5">
        <f>C52/'Annuity rates'!I49*100000+3*C52</f>
        <v>1573438.3519879261</v>
      </c>
      <c r="F52" s="5">
        <f>C52/'Annuity rates'!J49*100000+C52*3</f>
        <v>1837338.1762439748</v>
      </c>
      <c r="G52" s="5">
        <f>C52/'Annuity rates'!K49*100000+C52*3</f>
        <v>1573438.3519879261</v>
      </c>
      <c r="H52" s="5">
        <f>C52/'Annuity rates'!L49*100000+3*C52</f>
        <v>1696739.5765185121</v>
      </c>
      <c r="J52" s="5">
        <f>Income!C50</f>
        <v>98195.93992027975</v>
      </c>
      <c r="K52" s="5">
        <f t="shared" si="2"/>
        <v>71874.838689000637</v>
      </c>
      <c r="M52" s="5">
        <f>K52/'Annuity rates'!I49*100000</f>
        <v>3579256.9484574734</v>
      </c>
      <c r="N52" s="5">
        <f>K52/'Annuity rates'!J49*100000+C52*3</f>
        <v>4305143.5836157631</v>
      </c>
      <c r="O52" s="5">
        <f>K52/'Annuity rates'!K49*100000+C52*3</f>
        <v>3668659.4466330446</v>
      </c>
      <c r="P52" s="5">
        <f>K52/'Annuity rates'!L49*100000+3*C52</f>
        <v>3966042.2649259367</v>
      </c>
    </row>
    <row r="53" spans="1:16">
      <c r="A53" s="6">
        <f t="shared" si="1"/>
        <v>2060</v>
      </c>
      <c r="B53" s="7">
        <f>Income!B51</f>
        <v>55000</v>
      </c>
      <c r="C53" s="1">
        <f t="shared" si="0"/>
        <v>30534.16605852366</v>
      </c>
      <c r="D53" s="1"/>
      <c r="E53" s="5">
        <f>C53/'Annuity rates'!I50*100000+3*C53</f>
        <v>1634965.5504498857</v>
      </c>
      <c r="F53" s="5">
        <f>C53/'Annuity rates'!J50*100000+C53*3</f>
        <v>1909415.2796880107</v>
      </c>
      <c r="G53" s="5">
        <f>C53/'Annuity rates'!K50*100000+C53*3</f>
        <v>1634965.5504498857</v>
      </c>
      <c r="H53" s="5">
        <f>C53/'Annuity rates'!L50*100000+3*C53</f>
        <v>1763195.9794869109</v>
      </c>
      <c r="J53" s="5">
        <f>Income!C51</f>
        <v>100159.85871868534</v>
      </c>
      <c r="K53" s="5">
        <f t="shared" si="2"/>
        <v>74914.644763094184</v>
      </c>
      <c r="M53" s="5">
        <f>K53/'Annuity rates'!I50*100000</f>
        <v>3786594.1575089921</v>
      </c>
      <c r="N53" s="5">
        <f>K53/'Annuity rates'!J50*100000+C53*3</f>
        <v>4551550.6923330296</v>
      </c>
      <c r="O53" s="5">
        <f>K53/'Annuity rates'!K50*100000+C53*3</f>
        <v>3878196.6556845633</v>
      </c>
      <c r="P53" s="5">
        <f>K53/'Annuity rates'!L50*100000+3*C53</f>
        <v>4192806.1007473748</v>
      </c>
    </row>
    <row r="54" spans="1:16">
      <c r="A54" s="6">
        <f t="shared" si="1"/>
        <v>2061</v>
      </c>
      <c r="B54" s="7">
        <f>Income!B52</f>
        <v>55000</v>
      </c>
      <c r="C54" s="1">
        <f t="shared" si="0"/>
        <v>31267.499391856993</v>
      </c>
      <c r="D54" s="1"/>
      <c r="E54" s="5">
        <f>C54/'Annuity rates'!I51*100000+3*C54</f>
        <v>1697938.6567985965</v>
      </c>
      <c r="F54" s="5">
        <f>C54/'Annuity rates'!J51*100000+C54*3</f>
        <v>1983195.4107078025</v>
      </c>
      <c r="G54" s="5">
        <f>C54/'Annuity rates'!K51*100000+C54*3</f>
        <v>1697938.6567985965</v>
      </c>
      <c r="H54" s="5">
        <f>C54/'Annuity rates'!L51*100000+3*C54</f>
        <v>1831218.423701734</v>
      </c>
      <c r="J54" s="5">
        <f>Income!C52</f>
        <v>102163.05589305905</v>
      </c>
      <c r="K54" s="5">
        <f t="shared" si="2"/>
        <v>78040.883907474621</v>
      </c>
      <c r="M54" s="5">
        <f>K54/'Annuity rates'!I51*100000</f>
        <v>4003780.4801072334</v>
      </c>
      <c r="N54" s="5">
        <f>K54/'Annuity rates'!J51*100000+C54*3</f>
        <v>4809558.3408360705</v>
      </c>
      <c r="O54" s="5">
        <f>K54/'Annuity rates'!K51*100000+C54*3</f>
        <v>4097582.9782828046</v>
      </c>
      <c r="P54" s="5">
        <f>K54/'Annuity rates'!L51*100000+3*C54</f>
        <v>4430237.3644155134</v>
      </c>
    </row>
    <row r="55" spans="1:16">
      <c r="A55" s="6">
        <f t="shared" si="1"/>
        <v>2062</v>
      </c>
      <c r="B55" s="7">
        <f>Income!B53</f>
        <v>55000</v>
      </c>
      <c r="C55" s="1">
        <f t="shared" si="0"/>
        <v>32000.832725190325</v>
      </c>
      <c r="D55" s="1"/>
      <c r="E55" s="5">
        <f>C55/'Annuity rates'!I52*100000+3*C55</f>
        <v>1762387.6996510068</v>
      </c>
      <c r="F55" s="5">
        <f>C55/'Annuity rates'!J52*100000+C55*3</f>
        <v>2058713.9377823477</v>
      </c>
      <c r="G55" s="5">
        <f>C55/'Annuity rates'!K52*100000+C55*3</f>
        <v>1762387.6996510068</v>
      </c>
      <c r="H55" s="5">
        <f>C55/'Annuity rates'!L52*100000+3*C55</f>
        <v>1900839.4327097069</v>
      </c>
      <c r="J55" s="5">
        <f>Income!C53</f>
        <v>104206.31701092023</v>
      </c>
      <c r="K55" s="5">
        <f t="shared" si="2"/>
        <v>81255.694974728554</v>
      </c>
      <c r="M55" s="5">
        <f>K55/'Annuity rates'!I52*100000</f>
        <v>4231242.6305988971</v>
      </c>
      <c r="N55" s="5">
        <f>K55/'Annuity rates'!J52*100000+C55*3</f>
        <v>5079669.1242805347</v>
      </c>
      <c r="O55" s="5">
        <f>K55/'Annuity rates'!K52*100000+C55*3</f>
        <v>4327245.1287744679</v>
      </c>
      <c r="P55" s="5">
        <f>K55/'Annuity rates'!L52*100000+3*C55</f>
        <v>4678798.2238689139</v>
      </c>
    </row>
    <row r="56" spans="1:16">
      <c r="A56" s="6">
        <f t="shared" si="1"/>
        <v>2063</v>
      </c>
      <c r="B56" s="7">
        <f>Income!B54</f>
        <v>55000</v>
      </c>
      <c r="C56" s="1">
        <f t="shared" si="0"/>
        <v>32734.166058523657</v>
      </c>
      <c r="D56" s="1"/>
      <c r="E56" s="5">
        <f>C56/'Annuity rates'!I53*100000+3*C56</f>
        <v>1828343.283153299</v>
      </c>
      <c r="F56" s="5">
        <f>C56/'Annuity rates'!J53*100000+C56*3</f>
        <v>2136006.9072638093</v>
      </c>
      <c r="G56" s="5">
        <f>C56/'Annuity rates'!K53*100000+C56*3</f>
        <v>1828343.283153299</v>
      </c>
      <c r="H56" s="5">
        <f>C56/'Annuity rates'!L53*100000+3*C56</f>
        <v>1972092.1534046754</v>
      </c>
      <c r="J56" s="5">
        <f>Income!C54</f>
        <v>106290.44335113865</v>
      </c>
      <c r="K56" s="5">
        <f t="shared" si="2"/>
        <v>84561.26615755324</v>
      </c>
      <c r="M56" s="5">
        <f>K56/'Annuity rates'!I53*100000</f>
        <v>4469424.8555766679</v>
      </c>
      <c r="N56" s="5">
        <f>K56/'Annuity rates'!J53*100000+C56*3</f>
        <v>5362406.2877532728</v>
      </c>
      <c r="O56" s="5">
        <f>K56/'Annuity rates'!K53*100000+C56*3</f>
        <v>4567627.3537522387</v>
      </c>
      <c r="P56" s="5">
        <f>K56/'Annuity rates'!L53*100000+3*C56</f>
        <v>4938969.8359600306</v>
      </c>
    </row>
    <row r="57" spans="1:16">
      <c r="A57" s="6">
        <f t="shared" si="1"/>
        <v>2064</v>
      </c>
      <c r="B57" s="7">
        <f>Income!B55</f>
        <v>55000</v>
      </c>
      <c r="C57" s="1">
        <f t="shared" si="0"/>
        <v>33467.499391856989</v>
      </c>
      <c r="D57" s="1"/>
      <c r="E57" s="5">
        <f>C57/'Annuity rates'!I54*100000+3*C57</f>
        <v>1895836.5974903284</v>
      </c>
      <c r="F57" s="5">
        <f>C57/'Annuity rates'!J54*100000+C57*3</f>
        <v>2215111.0557558034</v>
      </c>
      <c r="G57" s="5">
        <f>C57/'Annuity rates'!K54*100000+C57*3</f>
        <v>1895836.5974903284</v>
      </c>
      <c r="H57" s="5">
        <f>C57/'Annuity rates'!L54*100000+3*C57</f>
        <v>2045010.3674102232</v>
      </c>
      <c r="J57" s="5">
        <f>Income!C55</f>
        <v>108416.25221816142</v>
      </c>
      <c r="K57" s="5">
        <f t="shared" si="2"/>
        <v>87959.836080567708</v>
      </c>
      <c r="M57" s="5">
        <f>K57/'Annuity rates'!I54*100000</f>
        <v>4718789.6299062287</v>
      </c>
      <c r="N57" s="5">
        <f>K57/'Annuity rates'!J54*100000+C57*3</f>
        <v>5658314.546070884</v>
      </c>
      <c r="O57" s="5">
        <f>K57/'Annuity rates'!K54*100000+C57*3</f>
        <v>4819192.1280817995</v>
      </c>
      <c r="P57" s="5">
        <f>K57/'Annuity rates'!L54*100000+3*C57</f>
        <v>5211253.100311677</v>
      </c>
    </row>
    <row r="58" spans="1:16">
      <c r="A58" s="6">
        <f t="shared" si="1"/>
        <v>2065</v>
      </c>
      <c r="B58" s="7">
        <f>Income!B56</f>
        <v>55000</v>
      </c>
      <c r="C58" s="1">
        <f t="shared" si="0"/>
        <v>34200.832725190325</v>
      </c>
      <c r="D58" s="1"/>
      <c r="E58" s="5">
        <f>C58/'Annuity rates'!I55*100000+3*C58</f>
        <v>1964899.4295808484</v>
      </c>
      <c r="F58" s="5">
        <f>C58/'Annuity rates'!J55*100000+C58*3</f>
        <v>2296063.8227105131</v>
      </c>
      <c r="G58" s="5">
        <f>C58/'Annuity rates'!K55*100000+C58*3</f>
        <v>1964899.4295808484</v>
      </c>
      <c r="H58" s="5">
        <f>C58/'Annuity rates'!L55*100000+3*C58</f>
        <v>2119628.5026635109</v>
      </c>
      <c r="J58" s="5">
        <f>Income!C56</f>
        <v>110584.57726252465</v>
      </c>
      <c r="K58" s="5">
        <f t="shared" si="2"/>
        <v>91453.69491564027</v>
      </c>
      <c r="M58" s="5">
        <f>K58/'Annuity rates'!I55*100000</f>
        <v>4979818.3797328444</v>
      </c>
      <c r="N58" s="5">
        <f>K58/'Annuity rates'!J55*100000+C58*3</f>
        <v>5967960.9353555078</v>
      </c>
      <c r="O58" s="5">
        <f>K58/'Annuity rates'!K55*100000+C58*3</f>
        <v>5082420.8779084152</v>
      </c>
      <c r="P58" s="5">
        <f>K58/'Annuity rates'!L55*100000+3*C58</f>
        <v>5496169.4423946571</v>
      </c>
    </row>
    <row r="59" spans="1:16">
      <c r="A59" s="6">
        <f t="shared" si="1"/>
        <v>2066</v>
      </c>
      <c r="B59" s="7">
        <f>Income!B57</f>
        <v>55000</v>
      </c>
      <c r="C59" s="1">
        <f t="shared" si="0"/>
        <v>34934.16605852366</v>
      </c>
      <c r="D59" s="1"/>
      <c r="E59" s="5">
        <f>C59/'Annuity rates'!I56*100000+3*C59</f>
        <v>2035564.1739617386</v>
      </c>
      <c r="F59" s="5">
        <f>C59/'Annuity rates'!J56*100000+C59*3</f>
        <v>2378903.3632484078</v>
      </c>
      <c r="G59" s="5">
        <f>C59/'Annuity rates'!K56*100000+C59*3</f>
        <v>2035564.1739617386</v>
      </c>
      <c r="H59" s="5">
        <f>C59/'Annuity rates'!L56*100000+3*C59</f>
        <v>2195981.6452038195</v>
      </c>
      <c r="J59" s="5">
        <f>Income!C57</f>
        <v>112796.26880777514</v>
      </c>
      <c r="K59" s="5">
        <f t="shared" si="2"/>
        <v>95045.185521229665</v>
      </c>
      <c r="M59" s="5">
        <f>K59/'Annuity rates'!I56*100000</f>
        <v>5253012.2334951712</v>
      </c>
      <c r="N59" s="5">
        <f>K59/'Annuity rates'!J56*100000+C59*3</f>
        <v>6291935.6975982487</v>
      </c>
      <c r="O59" s="5">
        <f>K59/'Annuity rates'!K56*100000+C59*3</f>
        <v>5357814.7316707419</v>
      </c>
      <c r="P59" s="5">
        <f>K59/'Annuity rates'!L56*100000+3*C59</f>
        <v>5794261.6269396208</v>
      </c>
    </row>
    <row r="65" spans="5:7">
      <c r="E65">
        <f>1984+65</f>
        <v>2049</v>
      </c>
      <c r="G65">
        <f>2049-2018</f>
        <v>31</v>
      </c>
    </row>
    <row r="66" spans="5:7">
      <c r="G66">
        <f>G65/75*55550</f>
        <v>22960.666666666668</v>
      </c>
    </row>
    <row r="67" spans="5:7">
      <c r="G67" s="5">
        <f>G66/'Annuity rates'!B13*100000</f>
        <v>895152.69655620551</v>
      </c>
    </row>
    <row r="68" spans="5:7">
      <c r="G68" s="5"/>
    </row>
  </sheetData>
  <mergeCells count="4">
    <mergeCell ref="J7:P7"/>
    <mergeCell ref="M8:P8"/>
    <mergeCell ref="E8:H8"/>
    <mergeCell ref="E7:H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7"/>
  <sheetViews>
    <sheetView workbookViewId="0">
      <selection activeCell="F19" sqref="F19"/>
    </sheetView>
  </sheetViews>
  <sheetFormatPr baseColWidth="10" defaultRowHeight="16"/>
  <cols>
    <col min="1" max="1" width="17.6640625" bestFit="1" customWidth="1"/>
    <col min="2" max="2" width="11.5" bestFit="1" customWidth="1"/>
    <col min="3" max="3" width="12.5" bestFit="1" customWidth="1"/>
  </cols>
  <sheetData>
    <row r="1" spans="1:3">
      <c r="A1" s="3" t="s">
        <v>21</v>
      </c>
    </row>
    <row r="3" spans="1:3">
      <c r="A3" t="s">
        <v>125</v>
      </c>
    </row>
    <row r="4" spans="1:3">
      <c r="A4" t="s">
        <v>136</v>
      </c>
    </row>
    <row r="7" spans="1:3">
      <c r="A7" t="s">
        <v>105</v>
      </c>
      <c r="B7" s="23">
        <f>Inputs!B15+1</f>
        <v>1.02</v>
      </c>
    </row>
    <row r="8" spans="1:3">
      <c r="B8" t="s">
        <v>21</v>
      </c>
      <c r="C8" t="s">
        <v>213</v>
      </c>
    </row>
    <row r="9" spans="1:3">
      <c r="A9">
        <v>2018</v>
      </c>
      <c r="B9" s="1">
        <f>Inputs!B9</f>
        <v>43600</v>
      </c>
      <c r="C9" s="5">
        <f>B9</f>
        <v>43600</v>
      </c>
    </row>
    <row r="10" spans="1:3">
      <c r="A10">
        <f>A9+1</f>
        <v>2019</v>
      </c>
      <c r="B10" s="1">
        <f>IF(B9*Income!B$7&lt;55500,B9*Income!B$7,55000)</f>
        <v>44472</v>
      </c>
      <c r="C10" s="5">
        <f>C9*B$7</f>
        <v>44472</v>
      </c>
    </row>
    <row r="11" spans="1:3">
      <c r="A11">
        <f t="shared" ref="A11:A57" si="0">A10+1</f>
        <v>2020</v>
      </c>
      <c r="B11" s="1">
        <f>IF(B10*Income!B$7&lt;55500,B10*Income!B$7,55000)</f>
        <v>45361.440000000002</v>
      </c>
      <c r="C11" s="5">
        <f t="shared" ref="C11:C57" si="1">C10*B$7</f>
        <v>45361.440000000002</v>
      </c>
    </row>
    <row r="12" spans="1:3">
      <c r="A12">
        <f t="shared" si="0"/>
        <v>2021</v>
      </c>
      <c r="B12" s="1">
        <f>IF(B11*Income!B$7&lt;55500,B11*Income!B$7,55000)</f>
        <v>46268.668800000007</v>
      </c>
      <c r="C12" s="5">
        <f t="shared" si="1"/>
        <v>46268.668800000007</v>
      </c>
    </row>
    <row r="13" spans="1:3">
      <c r="A13">
        <f t="shared" si="0"/>
        <v>2022</v>
      </c>
      <c r="B13" s="1">
        <f>IF(B12*Income!B$7&lt;55500,B12*Income!B$7,55000)</f>
        <v>47194.04217600001</v>
      </c>
      <c r="C13" s="5">
        <f t="shared" si="1"/>
        <v>47194.04217600001</v>
      </c>
    </row>
    <row r="14" spans="1:3">
      <c r="A14">
        <f t="shared" si="0"/>
        <v>2023</v>
      </c>
      <c r="B14" s="1">
        <f>IF(B13*Income!B$7&lt;55500,B13*Income!B$7,55000)</f>
        <v>48137.923019520014</v>
      </c>
      <c r="C14" s="5">
        <f t="shared" si="1"/>
        <v>48137.923019520014</v>
      </c>
    </row>
    <row r="15" spans="1:3">
      <c r="A15">
        <f t="shared" si="0"/>
        <v>2024</v>
      </c>
      <c r="B15" s="1">
        <f>IF(B14*Income!B$7&lt;55500,B14*Income!B$7,55000)</f>
        <v>49100.681479910418</v>
      </c>
      <c r="C15" s="5">
        <f t="shared" si="1"/>
        <v>49100.681479910418</v>
      </c>
    </row>
    <row r="16" spans="1:3">
      <c r="A16">
        <f t="shared" si="0"/>
        <v>2025</v>
      </c>
      <c r="B16" s="1">
        <f>IF(B15*Income!B$7&lt;55500,B15*Income!B$7,55000)</f>
        <v>50082.695109508626</v>
      </c>
      <c r="C16" s="5">
        <f t="shared" si="1"/>
        <v>50082.695109508626</v>
      </c>
    </row>
    <row r="17" spans="1:3">
      <c r="A17">
        <f t="shared" si="0"/>
        <v>2026</v>
      </c>
      <c r="B17" s="1">
        <f>IF(B16*Income!B$7&lt;55500,B16*Income!B$7,55000)</f>
        <v>51084.349011698796</v>
      </c>
      <c r="C17" s="5">
        <f t="shared" si="1"/>
        <v>51084.349011698796</v>
      </c>
    </row>
    <row r="18" spans="1:3">
      <c r="A18">
        <f t="shared" si="0"/>
        <v>2027</v>
      </c>
      <c r="B18" s="1">
        <f>IF(B17*Income!B$7&lt;55500,B17*Income!B$7,55000)</f>
        <v>52106.035991932775</v>
      </c>
      <c r="C18" s="5">
        <f t="shared" si="1"/>
        <v>52106.035991932775</v>
      </c>
    </row>
    <row r="19" spans="1:3">
      <c r="A19">
        <f t="shared" si="0"/>
        <v>2028</v>
      </c>
      <c r="B19" s="1">
        <f>IF(B18*Income!B$7&lt;55500,B18*Income!B$7,55000)</f>
        <v>53148.156711771429</v>
      </c>
      <c r="C19" s="5">
        <f t="shared" si="1"/>
        <v>53148.156711771429</v>
      </c>
    </row>
    <row r="20" spans="1:3">
      <c r="A20">
        <f t="shared" si="0"/>
        <v>2029</v>
      </c>
      <c r="B20" s="1">
        <f>IF(B19*Income!B$7&lt;55500,B19*Income!B$7,55000)</f>
        <v>54211.119846006855</v>
      </c>
      <c r="C20" s="5">
        <f t="shared" si="1"/>
        <v>54211.119846006855</v>
      </c>
    </row>
    <row r="21" spans="1:3">
      <c r="A21">
        <f t="shared" si="0"/>
        <v>2030</v>
      </c>
      <c r="B21" s="1">
        <f>IF(B20*Income!B$7&lt;55500,B20*Income!B$7,55000)</f>
        <v>55295.342242926992</v>
      </c>
      <c r="C21" s="5">
        <f t="shared" si="1"/>
        <v>55295.342242926992</v>
      </c>
    </row>
    <row r="22" spans="1:3">
      <c r="A22">
        <f t="shared" si="0"/>
        <v>2031</v>
      </c>
      <c r="B22" s="1">
        <f>IF(B21*Income!B$7&lt;55500,B21*Income!B$7,55000)</f>
        <v>55000</v>
      </c>
      <c r="C22" s="5">
        <f t="shared" si="1"/>
        <v>56401.249087785531</v>
      </c>
    </row>
    <row r="23" spans="1:3">
      <c r="A23">
        <f t="shared" si="0"/>
        <v>2032</v>
      </c>
      <c r="B23" s="1">
        <f>IF(B22*Income!B$7&lt;55500,B22*Income!B$7,55000)</f>
        <v>55000</v>
      </c>
      <c r="C23" s="5">
        <f t="shared" si="1"/>
        <v>57529.274069541243</v>
      </c>
    </row>
    <row r="24" spans="1:3">
      <c r="A24">
        <f t="shared" si="0"/>
        <v>2033</v>
      </c>
      <c r="B24" s="1">
        <f>IF(B23*Income!B$7&lt;55500,B23*Income!B$7,55000)</f>
        <v>55000</v>
      </c>
      <c r="C24" s="5">
        <f t="shared" si="1"/>
        <v>58679.859550932066</v>
      </c>
    </row>
    <row r="25" spans="1:3">
      <c r="A25">
        <f t="shared" si="0"/>
        <v>2034</v>
      </c>
      <c r="B25" s="1">
        <f>IF(B24*Income!B$7&lt;55500,B24*Income!B$7,55000)</f>
        <v>55000</v>
      </c>
      <c r="C25" s="5">
        <f t="shared" si="1"/>
        <v>59853.456741950708</v>
      </c>
    </row>
    <row r="26" spans="1:3">
      <c r="A26">
        <f t="shared" si="0"/>
        <v>2035</v>
      </c>
      <c r="B26" s="1">
        <f>IF(B25*Income!B$7&lt;55500,B25*Income!B$7,55000)</f>
        <v>55000</v>
      </c>
      <c r="C26" s="5">
        <f t="shared" si="1"/>
        <v>61050.525876789725</v>
      </c>
    </row>
    <row r="27" spans="1:3">
      <c r="A27">
        <f t="shared" si="0"/>
        <v>2036</v>
      </c>
      <c r="B27" s="1">
        <f>IF(B26*Income!B$7&lt;55500,B26*Income!B$7,55000)</f>
        <v>55000</v>
      </c>
      <c r="C27" s="5">
        <f t="shared" si="1"/>
        <v>62271.536394325522</v>
      </c>
    </row>
    <row r="28" spans="1:3">
      <c r="A28">
        <f t="shared" si="0"/>
        <v>2037</v>
      </c>
      <c r="B28" s="1">
        <f>IF(B27*Income!B$7&lt;55500,B27*Income!B$7,55000)</f>
        <v>55000</v>
      </c>
      <c r="C28" s="5">
        <f t="shared" si="1"/>
        <v>63516.967122212031</v>
      </c>
    </row>
    <row r="29" spans="1:3">
      <c r="A29">
        <f t="shared" si="0"/>
        <v>2038</v>
      </c>
      <c r="B29" s="1">
        <f>IF(B28*Income!B$7&lt;55500,B28*Income!B$7,55000)</f>
        <v>55000</v>
      </c>
      <c r="C29" s="5">
        <f t="shared" si="1"/>
        <v>64787.306464656271</v>
      </c>
    </row>
    <row r="30" spans="1:3">
      <c r="A30">
        <f t="shared" si="0"/>
        <v>2039</v>
      </c>
      <c r="B30" s="1">
        <f>IF(B29*Income!B$7&lt;55500,B29*Income!B$7,55000)</f>
        <v>55000</v>
      </c>
      <c r="C30" s="5">
        <f t="shared" si="1"/>
        <v>66083.052593949396</v>
      </c>
    </row>
    <row r="31" spans="1:3">
      <c r="A31">
        <f t="shared" si="0"/>
        <v>2040</v>
      </c>
      <c r="B31" s="1">
        <f>IF(B30*Income!B$7&lt;55500,B30*Income!B$7,55000)</f>
        <v>55000</v>
      </c>
      <c r="C31" s="5">
        <f t="shared" si="1"/>
        <v>67404.713645828379</v>
      </c>
    </row>
    <row r="32" spans="1:3">
      <c r="A32">
        <f t="shared" si="0"/>
        <v>2041</v>
      </c>
      <c r="B32" s="1">
        <f>IF(B31*Income!B$7&lt;55500,B31*Income!B$7,55000)</f>
        <v>55000</v>
      </c>
      <c r="C32" s="5">
        <f t="shared" si="1"/>
        <v>68752.807918744948</v>
      </c>
    </row>
    <row r="33" spans="1:3">
      <c r="A33">
        <f t="shared" si="0"/>
        <v>2042</v>
      </c>
      <c r="B33" s="1">
        <f>IF(B32*Income!B$7&lt;55500,B32*Income!B$7,55000)</f>
        <v>55000</v>
      </c>
      <c r="C33" s="5">
        <f t="shared" si="1"/>
        <v>70127.864077119841</v>
      </c>
    </row>
    <row r="34" spans="1:3">
      <c r="A34">
        <f t="shared" si="0"/>
        <v>2043</v>
      </c>
      <c r="B34" s="1">
        <f>IF(B33*Income!B$7&lt;55500,B33*Income!B$7,55000)</f>
        <v>55000</v>
      </c>
      <c r="C34" s="5">
        <f t="shared" si="1"/>
        <v>71530.421358662235</v>
      </c>
    </row>
    <row r="35" spans="1:3">
      <c r="A35">
        <f t="shared" si="0"/>
        <v>2044</v>
      </c>
      <c r="B35" s="1">
        <f>IF(B34*Income!B$7&lt;55500,B34*Income!B$7,55000)</f>
        <v>55000</v>
      </c>
      <c r="C35" s="5">
        <f t="shared" si="1"/>
        <v>72961.029785835475</v>
      </c>
    </row>
    <row r="36" spans="1:3">
      <c r="A36">
        <f t="shared" si="0"/>
        <v>2045</v>
      </c>
      <c r="B36" s="1">
        <f>IF(B35*Income!B$7&lt;55500,B35*Income!B$7,55000)</f>
        <v>55000</v>
      </c>
      <c r="C36" s="5">
        <f t="shared" si="1"/>
        <v>74420.250381552192</v>
      </c>
    </row>
    <row r="37" spans="1:3">
      <c r="A37">
        <f t="shared" si="0"/>
        <v>2046</v>
      </c>
      <c r="B37" s="1">
        <f>IF(B36*Income!B$7&lt;55500,B36*Income!B$7,55000)</f>
        <v>55000</v>
      </c>
      <c r="C37" s="5">
        <f t="shared" si="1"/>
        <v>75908.655389183245</v>
      </c>
    </row>
    <row r="38" spans="1:3">
      <c r="A38">
        <f t="shared" si="0"/>
        <v>2047</v>
      </c>
      <c r="B38" s="1">
        <f>IF(B37*Income!B$7&lt;55500,B37*Income!B$7,55000)</f>
        <v>55000</v>
      </c>
      <c r="C38" s="5">
        <f t="shared" si="1"/>
        <v>77426.828496966904</v>
      </c>
    </row>
    <row r="39" spans="1:3">
      <c r="A39">
        <f t="shared" si="0"/>
        <v>2048</v>
      </c>
      <c r="B39" s="1">
        <f>IF(B38*Income!B$7&lt;55500,B38*Income!B$7,55000)</f>
        <v>55000</v>
      </c>
      <c r="C39" s="5">
        <f t="shared" si="1"/>
        <v>78975.365066906248</v>
      </c>
    </row>
    <row r="40" spans="1:3">
      <c r="A40">
        <f t="shared" si="0"/>
        <v>2049</v>
      </c>
      <c r="B40" s="1">
        <f>IF(B39*Income!B$7&lt;55500,B39*Income!B$7,55000)</f>
        <v>55000</v>
      </c>
      <c r="C40" s="5">
        <f t="shared" si="1"/>
        <v>80554.872368244382</v>
      </c>
    </row>
    <row r="41" spans="1:3">
      <c r="A41" s="6">
        <f t="shared" si="0"/>
        <v>2050</v>
      </c>
      <c r="B41" s="1">
        <f>IF(B40*Income!B$7&lt;55500,B40*Income!B$7,55000)</f>
        <v>55000</v>
      </c>
      <c r="C41" s="5">
        <f t="shared" si="1"/>
        <v>82165.969815609264</v>
      </c>
    </row>
    <row r="42" spans="1:3">
      <c r="A42" s="6">
        <f t="shared" si="0"/>
        <v>2051</v>
      </c>
      <c r="B42" s="1">
        <f>IF(B41*Income!B$7&lt;55500,B41*Income!B$7,55000)</f>
        <v>55000</v>
      </c>
      <c r="C42" s="5">
        <f t="shared" si="1"/>
        <v>83809.289211921452</v>
      </c>
    </row>
    <row r="43" spans="1:3">
      <c r="A43" s="6">
        <f t="shared" si="0"/>
        <v>2052</v>
      </c>
      <c r="B43" s="1">
        <f>IF(B42*Income!B$7&lt;55500,B42*Income!B$7,55000)</f>
        <v>55000</v>
      </c>
      <c r="C43" s="5">
        <f t="shared" si="1"/>
        <v>85485.474996159886</v>
      </c>
    </row>
    <row r="44" spans="1:3">
      <c r="A44" s="6">
        <f t="shared" si="0"/>
        <v>2053</v>
      </c>
      <c r="B44" s="1">
        <f>IF(B43*Income!B$7&lt;55500,B43*Income!B$7,55000)</f>
        <v>55000</v>
      </c>
      <c r="C44" s="5">
        <f t="shared" si="1"/>
        <v>87195.184496083079</v>
      </c>
    </row>
    <row r="45" spans="1:3">
      <c r="A45" s="6">
        <f t="shared" si="0"/>
        <v>2054</v>
      </c>
      <c r="B45" s="1">
        <f>IF(B44*Income!B$7&lt;55500,B44*Income!B$7,55000)</f>
        <v>55000</v>
      </c>
      <c r="C45" s="5">
        <f t="shared" si="1"/>
        <v>88939.088186004738</v>
      </c>
    </row>
    <row r="46" spans="1:3">
      <c r="A46" s="6">
        <f t="shared" si="0"/>
        <v>2055</v>
      </c>
      <c r="B46" s="1">
        <f>IF(B45*Income!B$7&lt;55500,B45*Income!B$7,55000)</f>
        <v>55000</v>
      </c>
      <c r="C46" s="5">
        <f t="shared" si="1"/>
        <v>90717.869949724831</v>
      </c>
    </row>
    <row r="47" spans="1:3">
      <c r="A47" s="6">
        <f t="shared" si="0"/>
        <v>2056</v>
      </c>
      <c r="B47" s="1">
        <f>IF(B46*Income!B$7&lt;55500,B46*Income!B$7,55000)</f>
        <v>55000</v>
      </c>
      <c r="C47" s="5">
        <f t="shared" si="1"/>
        <v>92532.227348719331</v>
      </c>
    </row>
    <row r="48" spans="1:3">
      <c r="A48" s="6">
        <f t="shared" si="0"/>
        <v>2057</v>
      </c>
      <c r="B48" s="1">
        <f>IF(B47*Income!B$7&lt;55500,B47*Income!B$7,55000)</f>
        <v>55000</v>
      </c>
      <c r="C48" s="5">
        <f t="shared" si="1"/>
        <v>94382.871895693723</v>
      </c>
    </row>
    <row r="49" spans="1:3">
      <c r="A49" s="6">
        <f t="shared" si="0"/>
        <v>2058</v>
      </c>
      <c r="B49" s="1">
        <f>IF(B48*Income!B$7&lt;55500,B48*Income!B$7,55000)</f>
        <v>55000</v>
      </c>
      <c r="C49" s="5">
        <f t="shared" si="1"/>
        <v>96270.529333607599</v>
      </c>
    </row>
    <row r="50" spans="1:3">
      <c r="A50" s="6">
        <f t="shared" si="0"/>
        <v>2059</v>
      </c>
      <c r="B50" s="1">
        <f>IF(B49*Income!B$7&lt;55500,B49*Income!B$7,55000)</f>
        <v>55000</v>
      </c>
      <c r="C50" s="5">
        <f t="shared" si="1"/>
        <v>98195.93992027975</v>
      </c>
    </row>
    <row r="51" spans="1:3">
      <c r="A51" s="6">
        <f t="shared" si="0"/>
        <v>2060</v>
      </c>
      <c r="B51" s="1">
        <f>IF(B50*Income!B$7&lt;55500,B50*Income!B$7,55000)</f>
        <v>55000</v>
      </c>
      <c r="C51" s="5">
        <f t="shared" si="1"/>
        <v>100159.85871868534</v>
      </c>
    </row>
    <row r="52" spans="1:3">
      <c r="A52" s="6">
        <f t="shared" si="0"/>
        <v>2061</v>
      </c>
      <c r="B52" s="1">
        <f>IF(B51*Income!B$7&lt;55500,B51*Income!B$7,55000)</f>
        <v>55000</v>
      </c>
      <c r="C52" s="5">
        <f t="shared" si="1"/>
        <v>102163.05589305905</v>
      </c>
    </row>
    <row r="53" spans="1:3">
      <c r="A53" s="6">
        <f t="shared" si="0"/>
        <v>2062</v>
      </c>
      <c r="B53" s="1">
        <f>IF(B52*Income!B$7&lt;55500,B52*Income!B$7,55000)</f>
        <v>55000</v>
      </c>
      <c r="C53" s="5">
        <f t="shared" si="1"/>
        <v>104206.31701092023</v>
      </c>
    </row>
    <row r="54" spans="1:3">
      <c r="A54" s="6">
        <f t="shared" si="0"/>
        <v>2063</v>
      </c>
      <c r="B54" s="1">
        <f>IF(B53*Income!B$7&lt;55500,B53*Income!B$7,55000)</f>
        <v>55000</v>
      </c>
      <c r="C54" s="5">
        <f t="shared" si="1"/>
        <v>106290.44335113865</v>
      </c>
    </row>
    <row r="55" spans="1:3">
      <c r="A55" s="6">
        <f t="shared" si="0"/>
        <v>2064</v>
      </c>
      <c r="B55" s="1">
        <f>IF(B54*Income!B$7&lt;55500,B54*Income!B$7,55000)</f>
        <v>55000</v>
      </c>
      <c r="C55" s="5">
        <f t="shared" si="1"/>
        <v>108416.25221816142</v>
      </c>
    </row>
    <row r="56" spans="1:3">
      <c r="A56" s="6">
        <f t="shared" si="0"/>
        <v>2065</v>
      </c>
      <c r="B56" s="1">
        <f>IF(B55*Income!B$7&lt;55500,B55*Income!B$7,55000)</f>
        <v>55000</v>
      </c>
      <c r="C56" s="5">
        <f t="shared" si="1"/>
        <v>110584.57726252465</v>
      </c>
    </row>
    <row r="57" spans="1:3">
      <c r="A57" s="6">
        <f t="shared" si="0"/>
        <v>2066</v>
      </c>
      <c r="B57" s="1">
        <f>IF(B56*Income!B$7&lt;55500,B56*Income!B$7,55000)</f>
        <v>55000</v>
      </c>
      <c r="C57" s="5">
        <f t="shared" si="1"/>
        <v>112796.26880777514</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67"/>
  <sheetViews>
    <sheetView workbookViewId="0">
      <selection activeCell="C10" sqref="C10"/>
    </sheetView>
  </sheetViews>
  <sheetFormatPr baseColWidth="10" defaultRowHeight="16"/>
  <cols>
    <col min="2" max="2" width="11.5" bestFit="1" customWidth="1"/>
    <col min="3" max="3" width="20.83203125" bestFit="1" customWidth="1"/>
    <col min="4" max="4" width="12.5" bestFit="1" customWidth="1"/>
    <col min="5" max="5" width="7" customWidth="1"/>
    <col min="6" max="6" width="13.83203125" bestFit="1" customWidth="1"/>
    <col min="7" max="7" width="11.5" bestFit="1" customWidth="1"/>
    <col min="8" max="8" width="12.5" bestFit="1" customWidth="1"/>
    <col min="9" max="9" width="11.5" bestFit="1" customWidth="1"/>
  </cols>
  <sheetData>
    <row r="1" spans="1:9">
      <c r="A1" s="3" t="s">
        <v>131</v>
      </c>
    </row>
    <row r="3" spans="1:9">
      <c r="A3" t="s">
        <v>132</v>
      </c>
    </row>
    <row r="7" spans="1:9">
      <c r="F7" t="s">
        <v>23</v>
      </c>
    </row>
    <row r="8" spans="1:9">
      <c r="F8" t="s">
        <v>24</v>
      </c>
      <c r="H8" t="s">
        <v>26</v>
      </c>
      <c r="I8" t="s">
        <v>11</v>
      </c>
    </row>
    <row r="9" spans="1:9">
      <c r="B9" t="s">
        <v>21</v>
      </c>
      <c r="C9" t="s">
        <v>22</v>
      </c>
      <c r="D9" t="s">
        <v>1</v>
      </c>
      <c r="F9" t="s">
        <v>25</v>
      </c>
      <c r="G9" t="s">
        <v>11</v>
      </c>
      <c r="H9" t="s">
        <v>25</v>
      </c>
      <c r="I9" t="s">
        <v>11</v>
      </c>
    </row>
    <row r="10" spans="1:9">
      <c r="A10">
        <v>2018</v>
      </c>
      <c r="B10" s="1">
        <f>Income!B9</f>
        <v>43600</v>
      </c>
      <c r="C10" s="1">
        <f>B10*Inputs!B$18+B10*Inputs!B$17</f>
        <v>9265</v>
      </c>
      <c r="D10" s="1">
        <f>C10</f>
        <v>9265</v>
      </c>
      <c r="E10" s="1"/>
      <c r="F10" s="5">
        <f>(D10/100000)*'Annuity rates'!I8</f>
        <v>283.87959999999998</v>
      </c>
      <c r="G10" s="5">
        <f>(D10/100000)*'Annuity rates'!J8</f>
        <v>237.64724999999999</v>
      </c>
      <c r="H10" s="5">
        <f>(D10/100000)*'Annuity rates'!K8</f>
        <v>283.87959999999998</v>
      </c>
      <c r="I10" s="5">
        <f>(D10/100000)*'Annuity rates'!L8</f>
        <v>257.38169999999997</v>
      </c>
    </row>
    <row r="11" spans="1:9">
      <c r="A11">
        <f>A10+1</f>
        <v>2019</v>
      </c>
      <c r="B11" s="1">
        <f>Income!B10</f>
        <v>44472</v>
      </c>
      <c r="C11" s="1">
        <f>B11*Inputs!B$18+B11*Inputs!B$17</f>
        <v>9450.2999999999993</v>
      </c>
      <c r="D11" s="1">
        <f>D10*(1+'Investment returns'!B23)+C11</f>
        <v>18666.195500000002</v>
      </c>
      <c r="E11" s="1"/>
      <c r="F11" s="5">
        <f>(D11/100000)*'Annuity rates'!I9</f>
        <v>563.48002967487696</v>
      </c>
      <c r="G11" s="5">
        <f>(D11/100000)*'Annuity rates'!J9</f>
        <v>471.71223110837451</v>
      </c>
      <c r="H11" s="5">
        <f>(D11/100000)*'Annuity rates'!K9</f>
        <v>563.48002967487696</v>
      </c>
      <c r="I11" s="5">
        <f>(D11/100000)*'Annuity rates'!L9</f>
        <v>510.88365614778337</v>
      </c>
    </row>
    <row r="12" spans="1:9">
      <c r="A12">
        <f t="shared" ref="A12:A58" si="0">A11+1</f>
        <v>2020</v>
      </c>
      <c r="B12" s="1">
        <f>Income!B11</f>
        <v>45361.440000000002</v>
      </c>
      <c r="C12" s="1">
        <f>B12*Inputs!B$18+B12*Inputs!B$17</f>
        <v>9639.3060000000005</v>
      </c>
      <c r="D12" s="1">
        <f>D11*(1+'Investment returns'!B24)+C12</f>
        <v>28206.570663850001</v>
      </c>
      <c r="E12" s="1"/>
      <c r="F12" s="5">
        <f>(D12/100000)*'Annuity rates'!I10</f>
        <v>823.01391846958802</v>
      </c>
      <c r="G12" s="5">
        <f>(D12/100000)*'Annuity rates'!J10</f>
        <v>724.72316772754471</v>
      </c>
      <c r="H12" s="5">
        <f>(D12/100000)*'Annuity rates'!K10</f>
        <v>823.01391846958802</v>
      </c>
      <c r="I12" s="5">
        <f>(D12/100000)*'Annuity rates'!L10</f>
        <v>777.01713260701615</v>
      </c>
    </row>
    <row r="13" spans="1:9">
      <c r="A13">
        <f t="shared" si="0"/>
        <v>2021</v>
      </c>
      <c r="B13" s="1">
        <f>Income!B12</f>
        <v>46268.668800000007</v>
      </c>
      <c r="C13" s="1">
        <f>B13*Inputs!B$18+B13*Inputs!B$17</f>
        <v>9832.0921200000012</v>
      </c>
      <c r="D13" s="1">
        <f>D12*(1+'Investment returns'!B25)+C13</f>
        <v>37889.167959331593</v>
      </c>
      <c r="E13" s="1"/>
      <c r="F13" s="5">
        <f>(D13/100000)*'Annuity rates'!I11</f>
        <v>1089.195699258396</v>
      </c>
      <c r="G13" s="5">
        <f>(D13/100000)*'Annuity rates'!J11</f>
        <v>959.11544109679767</v>
      </c>
      <c r="H13" s="5">
        <f>(D13/100000)*'Annuity rates'!K11</f>
        <v>1089.195699258396</v>
      </c>
      <c r="I13" s="5">
        <f>(D13/100000)*'Annuity rates'!L11</f>
        <v>1028.3224865253917</v>
      </c>
    </row>
    <row r="14" spans="1:9">
      <c r="A14">
        <f t="shared" si="0"/>
        <v>2022</v>
      </c>
      <c r="B14" s="1">
        <f>Income!B13</f>
        <v>47194.04217600001</v>
      </c>
      <c r="C14" s="1">
        <f>B14*Inputs!B$18+B14*Inputs!B$17</f>
        <v>10028.733962400003</v>
      </c>
      <c r="D14" s="1">
        <f>D13*(1+'Investment returns'!B26)+C14</f>
        <v>47717.08933154714</v>
      </c>
      <c r="E14" s="1"/>
      <c r="F14" s="5">
        <f>(D14/100000)*'Annuity rates'!I12</f>
        <v>1351.4461698460004</v>
      </c>
      <c r="G14" s="5">
        <f>(D14/100000)*'Annuity rates'!J12</f>
        <v>1190.0459120367141</v>
      </c>
      <c r="H14" s="5">
        <f>(D14/100000)*'Annuity rates'!K12</f>
        <v>1351.4461698460004</v>
      </c>
      <c r="I14" s="5">
        <f>(D14/100000)*'Annuity rates'!L12</f>
        <v>1275.9162441859446</v>
      </c>
    </row>
    <row r="15" spans="1:9">
      <c r="A15">
        <f t="shared" si="0"/>
        <v>2023</v>
      </c>
      <c r="B15" s="1">
        <f>Income!B14</f>
        <v>48137.923019520014</v>
      </c>
      <c r="C15" s="1">
        <f>B15*Inputs!B$18+B15*Inputs!B$17</f>
        <v>10229.308641648004</v>
      </c>
      <c r="D15" s="1">
        <f>D14*(1+'Investment returns'!B27)+C15</f>
        <v>57693.497399737942</v>
      </c>
      <c r="E15" s="1"/>
      <c r="F15" s="5">
        <f>(D15/100000)*'Annuity rates'!I13</f>
        <v>1609.8508151823098</v>
      </c>
      <c r="G15" s="5">
        <f>(D15/100000)*'Annuity rates'!J13</f>
        <v>1417.5898562167577</v>
      </c>
      <c r="H15" s="5">
        <f>(D15/100000)*'Annuity rates'!K13</f>
        <v>1609.8508151823098</v>
      </c>
      <c r="I15" s="5">
        <f>(D15/100000)*'Annuity rates'!L13</f>
        <v>1519.879112936592</v>
      </c>
    </row>
    <row r="16" spans="1:9">
      <c r="A16">
        <f t="shared" si="0"/>
        <v>2024</v>
      </c>
      <c r="B16" s="1">
        <f>Income!B15</f>
        <v>49100.681479910418</v>
      </c>
      <c r="C16" s="1">
        <f>B16*Inputs!B$18+B16*Inputs!B$17</f>
        <v>10433.894814480964</v>
      </c>
      <c r="D16" s="1">
        <f>D15*(1+'Investment returns'!B28)+C16</f>
        <v>67821.616678000297</v>
      </c>
      <c r="E16" s="1"/>
      <c r="F16" s="5">
        <f>(D16/100000)*'Annuity rates'!I14</f>
        <v>1864.4934443051602</v>
      </c>
      <c r="G16" s="5">
        <f>(D16/100000)*'Annuity rates'!J14</f>
        <v>1641.8210735448297</v>
      </c>
      <c r="H16" s="5">
        <f>(D16/100000)*'Annuity rates'!K14</f>
        <v>1864.4934443051602</v>
      </c>
      <c r="I16" s="5">
        <f>(D16/100000)*'Annuity rates'!L14</f>
        <v>1760.2902178769275</v>
      </c>
    </row>
    <row r="17" spans="1:9">
      <c r="A17">
        <f t="shared" si="0"/>
        <v>2025</v>
      </c>
      <c r="B17" s="1">
        <f>Income!B16</f>
        <v>50082.695109508626</v>
      </c>
      <c r="C17" s="1">
        <f>B17*Inputs!B$18+B17*Inputs!B$17</f>
        <v>10642.572710770582</v>
      </c>
      <c r="D17" s="1">
        <f>D16*(1+'Investment returns'!B29)+C17</f>
        <v>78104.734820377489</v>
      </c>
      <c r="E17" s="1"/>
      <c r="F17" s="5">
        <f>(D17/100000)*'Annuity rates'!I15</f>
        <v>2115.4562240249948</v>
      </c>
      <c r="G17" s="5">
        <f>(D17/100000)*'Annuity rates'!J15</f>
        <v>1862.8119178290617</v>
      </c>
      <c r="H17" s="5">
        <f>(D17/100000)*'Annuity rates'!K15</f>
        <v>2115.4562240249948</v>
      </c>
      <c r="I17" s="5">
        <f>(D17/100000)*'Annuity rates'!L15</f>
        <v>1997.2271336603242</v>
      </c>
    </row>
    <row r="18" spans="1:9">
      <c r="A18">
        <f t="shared" si="0"/>
        <v>2026</v>
      </c>
      <c r="B18" s="1">
        <f>Income!B17</f>
        <v>51084.349011698796</v>
      </c>
      <c r="C18" s="1">
        <f>B18*Inputs!B$18+B18*Inputs!B$17</f>
        <v>10855.424164985994</v>
      </c>
      <c r="D18" s="1">
        <f>D17*(1+'Investment returns'!B30)+C18</f>
        <v>88546.203890815479</v>
      </c>
      <c r="E18" s="1"/>
      <c r="F18" s="5">
        <f>(D18/100000)*'Annuity rates'!I16</f>
        <v>2362.8197119366682</v>
      </c>
      <c r="G18" s="5">
        <f>(D18/100000)*'Annuity rates'!J16</f>
        <v>2080.6333258470927</v>
      </c>
      <c r="H18" s="5">
        <f>(D18/100000)*'Annuity rates'!K16</f>
        <v>2362.8197119366682</v>
      </c>
      <c r="I18" s="5">
        <f>(D18/100000)*'Annuity rates'!L16</f>
        <v>2230.765915660767</v>
      </c>
    </row>
    <row r="19" spans="1:9">
      <c r="A19">
        <f t="shared" si="0"/>
        <v>2027</v>
      </c>
      <c r="B19" s="1">
        <f>Income!B18</f>
        <v>52106.035991932775</v>
      </c>
      <c r="C19" s="1">
        <f>B19*Inputs!B$18+B19*Inputs!B$17</f>
        <v>11072.532648285716</v>
      </c>
      <c r="D19" s="1">
        <f>D18*(1+'Investment returns'!B31)+C19</f>
        <v>99149.441658479875</v>
      </c>
      <c r="E19" s="1"/>
      <c r="F19" s="5">
        <f>(D19/100000)*'Annuity rates'!I17</f>
        <v>2710.7212875252112</v>
      </c>
      <c r="G19" s="5">
        <f>(D19/100000)*'Annuity rates'!J17</f>
        <v>2369.9300316079343</v>
      </c>
      <c r="H19" s="5">
        <f>(D19/100000)*'Annuity rates'!K17</f>
        <v>2710.7212875252112</v>
      </c>
      <c r="I19" s="5">
        <f>(D19/100000)*'Annuity rates'!L17</f>
        <v>2539.0249295821559</v>
      </c>
    </row>
    <row r="20" spans="1:9">
      <c r="A20">
        <f t="shared" si="0"/>
        <v>2028</v>
      </c>
      <c r="B20" s="1">
        <f>Income!B19</f>
        <v>53148.156711771429</v>
      </c>
      <c r="C20" s="1">
        <f>B20*Inputs!B$18+B20*Inputs!B$17</f>
        <v>11293.983301251428</v>
      </c>
      <c r="D20" s="1">
        <f>D19*(1+'Investment returns'!B32)+C20</f>
        <v>109917.93291894137</v>
      </c>
      <c r="E20" s="1"/>
      <c r="F20" s="5">
        <f>(D20/100000)*'Annuity rates'!I18</f>
        <v>3404.826168366284</v>
      </c>
      <c r="G20" s="5">
        <f>(D20/100000)*'Annuity rates'!J18</f>
        <v>2976.7722067002733</v>
      </c>
      <c r="H20" s="5">
        <f>(D20/100000)*'Annuity rates'!K18</f>
        <v>3404.826168366284</v>
      </c>
      <c r="I20" s="5">
        <f>(D20/100000)*'Annuity rates'!L18</f>
        <v>3189.1653937864621</v>
      </c>
    </row>
    <row r="21" spans="1:9">
      <c r="A21">
        <f t="shared" si="0"/>
        <v>2029</v>
      </c>
      <c r="B21" s="1">
        <f>Income!B20</f>
        <v>54211.119846006855</v>
      </c>
      <c r="C21" s="1">
        <f>B21*Inputs!B$18+B21*Inputs!B$17</f>
        <v>11519.862967276458</v>
      </c>
      <c r="D21" s="1">
        <f>D20*(1+'Investment returns'!B33)+C21</f>
        <v>124515.49800794819</v>
      </c>
      <c r="E21" s="1"/>
      <c r="F21" s="5">
        <f>(D21/100000)*'Annuity rates'!I19</f>
        <v>3800.0014226132203</v>
      </c>
      <c r="G21" s="5">
        <f>(D21/100000)*'Annuity rates'!J19</f>
        <v>3322.2661190025369</v>
      </c>
      <c r="H21" s="5">
        <f>(D21/100000)*'Annuity rates'!K19</f>
        <v>3800.0014226132203</v>
      </c>
      <c r="I21" s="5">
        <f>(D21/100000)*'Annuity rates'!L19</f>
        <v>3559.3103536185254</v>
      </c>
    </row>
    <row r="22" spans="1:9">
      <c r="A22">
        <f t="shared" si="0"/>
        <v>2030</v>
      </c>
      <c r="B22" s="1">
        <f>Income!B21</f>
        <v>55295.342242926992</v>
      </c>
      <c r="C22" s="1">
        <f>B22*Inputs!B$18+B22*Inputs!B$17</f>
        <v>11750.260226621987</v>
      </c>
      <c r="D22" s="1">
        <f>D21*(1+'Investment returns'!B34)+C22</f>
        <v>139752.19217879273</v>
      </c>
      <c r="E22" s="1"/>
      <c r="F22" s="5">
        <f>(D22/100000)*'Annuity rates'!I20</f>
        <v>4201.9698901816619</v>
      </c>
      <c r="G22" s="5">
        <f>(D22/100000)*'Annuity rates'!J20</f>
        <v>3673.6992034121822</v>
      </c>
      <c r="H22" s="5">
        <f>(D22/100000)*'Annuity rates'!K20</f>
        <v>4201.9698901816619</v>
      </c>
      <c r="I22" s="5">
        <f>(D22/100000)*'Annuity rates'!L20</f>
        <v>3935.8182464657411</v>
      </c>
    </row>
    <row r="23" spans="1:9">
      <c r="A23">
        <f t="shared" si="0"/>
        <v>2031</v>
      </c>
      <c r="B23" s="1">
        <f>Income!B22</f>
        <v>55000</v>
      </c>
      <c r="C23" s="1">
        <f>B23*Inputs!B$18+B23*Inputs!B$17</f>
        <v>11687.5</v>
      </c>
      <c r="D23" s="1">
        <f>D22*(1+'Investment returns'!B35)+C23</f>
        <v>155352.75355979893</v>
      </c>
      <c r="E23" s="1"/>
      <c r="F23" s="5">
        <f>(D23/100000)*'Annuity rates'!I21</f>
        <v>4602.0064194005654</v>
      </c>
      <c r="G23" s="5">
        <f>(D23/100000)*'Annuity rates'!J21</f>
        <v>4023.443232316617</v>
      </c>
      <c r="H23" s="5">
        <f>(D23/100000)*'Annuity rates'!K21</f>
        <v>4602.0064194005654</v>
      </c>
      <c r="I23" s="5">
        <f>(D23/100000)*'Annuity rates'!L21</f>
        <v>4310.5165694193402</v>
      </c>
    </row>
    <row r="24" spans="1:9">
      <c r="A24">
        <f t="shared" si="0"/>
        <v>2032</v>
      </c>
      <c r="B24" s="1">
        <f>Income!B23</f>
        <v>55000</v>
      </c>
      <c r="C24" s="1">
        <f>B24*Inputs!B$18+B24*Inputs!B$17</f>
        <v>11687.5</v>
      </c>
      <c r="D24" s="1">
        <f>D23*(1+'Investment returns'!B36)+C24</f>
        <v>171390.1306594733</v>
      </c>
      <c r="E24" s="1"/>
      <c r="F24" s="5">
        <f>(D24/100000)*'Annuity rates'!I22</f>
        <v>5002.0500441318773</v>
      </c>
      <c r="G24" s="5">
        <f>(D24/100000)*'Annuity rates'!J22</f>
        <v>4373.1934646872742</v>
      </c>
      <c r="H24" s="5">
        <f>(D24/100000)*'Annuity rates'!K22</f>
        <v>5002.0500441318773</v>
      </c>
      <c r="I24" s="5">
        <f>(D24/100000)*'Annuity rates'!L22</f>
        <v>4685.2215384574974</v>
      </c>
    </row>
    <row r="25" spans="1:9">
      <c r="A25">
        <f t="shared" si="0"/>
        <v>2033</v>
      </c>
      <c r="B25" s="1">
        <f>Income!B24</f>
        <v>55000</v>
      </c>
      <c r="C25" s="1">
        <f>B25*Inputs!B$18+B25*Inputs!B$17</f>
        <v>11687.5</v>
      </c>
      <c r="D25" s="1">
        <f>D24*(1+'Investment returns'!B37)+C25</f>
        <v>187876.55431793857</v>
      </c>
      <c r="E25" s="1"/>
      <c r="F25" s="5">
        <f>(D25/100000)*'Annuity rates'!I23</f>
        <v>5402.176468924903</v>
      </c>
      <c r="G25" s="5">
        <f>(D25/100000)*'Annuity rates'!J23</f>
        <v>4723.0160875149577</v>
      </c>
      <c r="H25" s="5">
        <f>(D25/100000)*'Annuity rates'!K23</f>
        <v>5402.176468924903</v>
      </c>
      <c r="I25" s="5">
        <f>(D25/100000)*'Annuity rates'!L23</f>
        <v>5060.004063023709</v>
      </c>
    </row>
    <row r="26" spans="1:9">
      <c r="A26">
        <f t="shared" si="0"/>
        <v>2034</v>
      </c>
      <c r="B26" s="1">
        <f>Income!B25</f>
        <v>55000</v>
      </c>
      <c r="C26" s="1">
        <f>B26*Inputs!B$18+B26*Inputs!B$17</f>
        <v>11687.5</v>
      </c>
      <c r="D26" s="1">
        <f>D25*(1+'Investment returns'!B38)+C26</f>
        <v>204824.59783884085</v>
      </c>
      <c r="E26" s="1"/>
      <c r="F26" s="5">
        <f>(D26/100000)*'Annuity rates'!I24</f>
        <v>5802.4612505004525</v>
      </c>
      <c r="G26" s="5">
        <f>(D26/100000)*'Annuity rates'!J24</f>
        <v>5072.9771585469398</v>
      </c>
      <c r="H26" s="5">
        <f>(D26/100000)*'Annuity rates'!K24</f>
        <v>5802.4612505004525</v>
      </c>
      <c r="I26" s="5">
        <f>(D26/100000)*'Annuity rates'!L24</f>
        <v>5434.9349140963923</v>
      </c>
    </row>
    <row r="27" spans="1:9">
      <c r="A27">
        <f t="shared" si="0"/>
        <v>2035</v>
      </c>
      <c r="B27" s="1">
        <f>Income!B26</f>
        <v>55000</v>
      </c>
      <c r="C27" s="1">
        <f>B27*Inputs!B$18+B27*Inputs!B$17</f>
        <v>11687.5</v>
      </c>
      <c r="D27" s="1">
        <f>D26*(1+'Investment returns'!B39)+C27</f>
        <v>222247.1865783284</v>
      </c>
      <c r="E27" s="1"/>
      <c r="F27" s="5">
        <f>(D27/100000)*'Annuity rates'!I25</f>
        <v>6202.9798123714136</v>
      </c>
      <c r="G27" s="5">
        <f>(D27/100000)*'Annuity rates'!J25</f>
        <v>5423.1426190694401</v>
      </c>
      <c r="H27" s="5">
        <f>(D27/100000)*'Annuity rates'!K25</f>
        <v>6202.9798123714136</v>
      </c>
      <c r="I27" s="5">
        <f>(D27/100000)*'Annuity rates'!L25</f>
        <v>5810.0847378833969</v>
      </c>
    </row>
    <row r="28" spans="1:9">
      <c r="A28">
        <f t="shared" si="0"/>
        <v>2036</v>
      </c>
      <c r="B28" s="1">
        <f>Income!B27</f>
        <v>55000</v>
      </c>
      <c r="C28" s="1">
        <f>B28*Inputs!B$18+B28*Inputs!B$17</f>
        <v>11687.5</v>
      </c>
      <c r="D28" s="1">
        <f>D27*(1+'Investment returns'!B40)+C28</f>
        <v>240157.60780252161</v>
      </c>
      <c r="E28" s="1"/>
      <c r="F28" s="5">
        <f>(D28/100000)*'Annuity rates'!I26</f>
        <v>6603.8074594065392</v>
      </c>
      <c r="G28" s="5">
        <f>(D28/100000)*'Annuity rates'!J26</f>
        <v>5773.5783066404565</v>
      </c>
      <c r="H28" s="5">
        <f>(D28/100000)*'Annuity rates'!K26</f>
        <v>6603.8074594065392</v>
      </c>
      <c r="I28" s="5">
        <f>(D28/100000)*'Annuity rates'!L26</f>
        <v>6185.524069463323</v>
      </c>
    </row>
    <row r="29" spans="1:9">
      <c r="A29">
        <f t="shared" si="0"/>
        <v>2037</v>
      </c>
      <c r="B29" s="1">
        <f>Income!B28</f>
        <v>55000</v>
      </c>
      <c r="C29" s="1">
        <f>B29*Inputs!B$18+B29*Inputs!B$17</f>
        <v>11687.5</v>
      </c>
      <c r="D29" s="1">
        <f>D28*(1+'Investment returns'!B41)+C29</f>
        <v>258569.52082099221</v>
      </c>
      <c r="E29" s="1"/>
      <c r="F29" s="5">
        <f>(D29/100000)*'Annuity rates'!I27</f>
        <v>7005.0193923403094</v>
      </c>
      <c r="G29" s="5">
        <f>(D29/100000)*'Annuity rates'!J27</f>
        <v>6124.3499677754508</v>
      </c>
      <c r="H29" s="5">
        <f>(D29/100000)*'Annuity rates'!K27</f>
        <v>7005.0193923403094</v>
      </c>
      <c r="I29" s="5">
        <f>(D29/100000)*'Annuity rates'!L27</f>
        <v>6561.3233463763354</v>
      </c>
    </row>
    <row r="30" spans="1:9">
      <c r="A30">
        <f t="shared" si="0"/>
        <v>2038</v>
      </c>
      <c r="B30" s="1">
        <f>Income!B29</f>
        <v>55000</v>
      </c>
      <c r="C30" s="1">
        <f>B30*Inputs!B$18+B30*Inputs!B$17</f>
        <v>11687.5</v>
      </c>
      <c r="D30" s="1">
        <f>D29*(1+'Investment returns'!B42)+C30</f>
        <v>277496.96740398003</v>
      </c>
      <c r="E30" s="1"/>
      <c r="F30" s="5">
        <f>(D30/100000)*'Annuity rates'!I28</f>
        <v>7406.6907222317641</v>
      </c>
      <c r="G30" s="5">
        <f>(D30/100000)*'Annuity rates'!J28</f>
        <v>6475.5232705884209</v>
      </c>
      <c r="H30" s="5">
        <f>(D30/100000)*'Annuity rates'!K28</f>
        <v>7406.6907222317641</v>
      </c>
      <c r="I30" s="5">
        <f>(D30/100000)*'Annuity rates'!L28</f>
        <v>6937.5529221671786</v>
      </c>
    </row>
    <row r="31" spans="1:9">
      <c r="A31">
        <f t="shared" si="0"/>
        <v>2039</v>
      </c>
      <c r="B31" s="1">
        <f>Income!B30</f>
        <v>55000</v>
      </c>
      <c r="C31" s="1">
        <f>B31*Inputs!B$18+B31*Inputs!B$17</f>
        <v>11687.5</v>
      </c>
      <c r="D31" s="1">
        <f>D30*(1+'Investment returns'!B43)+C31</f>
        <v>293901.91584984766</v>
      </c>
      <c r="E31" s="1"/>
      <c r="F31" s="5">
        <f>(D31/100000)*'Annuity rates'!I29</f>
        <v>7728.6269302499441</v>
      </c>
      <c r="G31" s="5">
        <f>(D31/100000)*'Annuity rates'!J29</f>
        <v>6756.9857326849306</v>
      </c>
      <c r="H31" s="5">
        <f>(D31/100000)*'Annuity rates'!K29</f>
        <v>7728.6269302499441</v>
      </c>
      <c r="I31" s="5">
        <f>(D31/100000)*'Annuity rates'!L29</f>
        <v>7239.097777278258</v>
      </c>
    </row>
    <row r="32" spans="1:9">
      <c r="A32">
        <f t="shared" si="0"/>
        <v>2040</v>
      </c>
      <c r="B32" s="1">
        <f>Income!B31</f>
        <v>55000</v>
      </c>
      <c r="C32" s="1">
        <f>B32*Inputs!B$18+B32*Inputs!B$17</f>
        <v>11687.5</v>
      </c>
      <c r="D32" s="1">
        <f>D31*(1+'Investment returns'!B44)+C32</f>
        <v>310585.74841929507</v>
      </c>
      <c r="E32" s="1"/>
      <c r="F32" s="5">
        <f>(D32/100000)*'Annuity rates'!I30</f>
        <v>8046.6554991182966</v>
      </c>
      <c r="G32" s="5">
        <f>(D32/100000)*'Annuity rates'!J30</f>
        <v>7035.0318231254951</v>
      </c>
      <c r="H32" s="5">
        <f>(D32/100000)*'Annuity rates'!K30</f>
        <v>8046.6554991182966</v>
      </c>
      <c r="I32" s="5">
        <f>(D32/100000)*'Annuity rates'!L30</f>
        <v>7536.9825020532207</v>
      </c>
    </row>
    <row r="33" spans="1:9">
      <c r="A33">
        <f t="shared" si="0"/>
        <v>2041</v>
      </c>
      <c r="B33" s="1">
        <f>Income!B32</f>
        <v>55000</v>
      </c>
      <c r="C33" s="1">
        <f>B33*Inputs!B$18+B33*Inputs!B$17</f>
        <v>11687.5</v>
      </c>
      <c r="D33" s="1">
        <f>D32*(1+'Investment returns'!B45)+C33</f>
        <v>327553.20614242303</v>
      </c>
      <c r="E33" s="1"/>
      <c r="F33" s="5">
        <f>(D33/100000)*'Annuity rates'!I31</f>
        <v>8360.8358521519403</v>
      </c>
      <c r="G33" s="5">
        <f>(D33/100000)*'Annuity rates'!J31</f>
        <v>7309.7134945397465</v>
      </c>
      <c r="H33" s="5">
        <f>(D33/100000)*'Annuity rates'!K31</f>
        <v>8360.8358521519403</v>
      </c>
      <c r="I33" s="5">
        <f>(D33/100000)*'Annuity rates'!L31</f>
        <v>7831.2627559503781</v>
      </c>
    </row>
    <row r="34" spans="1:9">
      <c r="A34">
        <f t="shared" si="0"/>
        <v>2042</v>
      </c>
      <c r="B34" s="1">
        <f>Income!B33</f>
        <v>55000</v>
      </c>
      <c r="C34" s="1">
        <f>B34*Inputs!B$18+B34*Inputs!B$17</f>
        <v>11687.5</v>
      </c>
      <c r="D34" s="1">
        <f>D33*(1+'Investment returns'!B46)+C34</f>
        <v>344809.1106468442</v>
      </c>
      <c r="E34" s="1"/>
      <c r="F34" s="5">
        <f>(D34/100000)*'Annuity rates'!I32</f>
        <v>8671.2265377893327</v>
      </c>
      <c r="G34" s="5">
        <f>(D34/100000)*'Annuity rates'!J32</f>
        <v>7581.0819346699418</v>
      </c>
      <c r="H34" s="5">
        <f>(D34/100000)*'Annuity rates'!K32</f>
        <v>8671.2265377893327</v>
      </c>
      <c r="I34" s="5">
        <f>(D34/100000)*'Annuity rates'!L32</f>
        <v>8121.9933789658226</v>
      </c>
    </row>
    <row r="35" spans="1:9">
      <c r="A35">
        <f t="shared" si="0"/>
        <v>2043</v>
      </c>
      <c r="B35" s="1">
        <f>Income!B34</f>
        <v>55000</v>
      </c>
      <c r="C35" s="1">
        <f>B35*Inputs!B$18+B35*Inputs!B$17</f>
        <v>11687.5</v>
      </c>
      <c r="D35" s="1">
        <f>D34*(1+'Investment returns'!B47)+C35</f>
        <v>362358.36552784051</v>
      </c>
      <c r="E35" s="1"/>
      <c r="F35" s="5">
        <f>(D35/100000)*'Annuity rates'!I33</f>
        <v>8977.8852425279674</v>
      </c>
      <c r="G35" s="5">
        <f>(D35/100000)*'Annuity rates'!J33</f>
        <v>7849.1875776804</v>
      </c>
      <c r="H35" s="5">
        <f>(D35/100000)*'Annuity rates'!K33</f>
        <v>8977.8852425279674</v>
      </c>
      <c r="I35" s="5">
        <f>(D35/100000)*'Annuity rates'!L33</f>
        <v>8409.228403749803</v>
      </c>
    </row>
    <row r="36" spans="1:9">
      <c r="A36">
        <f t="shared" si="0"/>
        <v>2044</v>
      </c>
      <c r="B36" s="1">
        <f>Income!B35</f>
        <v>55000</v>
      </c>
      <c r="C36" s="1">
        <f>B36*Inputs!B$18+B36*Inputs!B$17</f>
        <v>11687.5</v>
      </c>
      <c r="D36" s="1">
        <f>D35*(1+'Investment returns'!B48)+C36</f>
        <v>380205.95774181373</v>
      </c>
      <c r="E36" s="1"/>
      <c r="F36" s="5">
        <f>(D36/100000)*'Annuity rates'!I34</f>
        <v>9280.8688036689491</v>
      </c>
      <c r="G36" s="5">
        <f>(D36/100000)*'Annuity rates'!J34</f>
        <v>8114.0801152998174</v>
      </c>
      <c r="H36" s="5">
        <f>(D36/100000)*'Annuity rates'!K34</f>
        <v>9280.8688036689491</v>
      </c>
      <c r="I36" s="5">
        <f>(D36/100000)*'Annuity rates'!L34</f>
        <v>8693.021067544043</v>
      </c>
    </row>
    <row r="37" spans="1:9">
      <c r="A37">
        <f t="shared" si="0"/>
        <v>2045</v>
      </c>
      <c r="B37" s="1">
        <f>Income!B36</f>
        <v>55000</v>
      </c>
      <c r="C37" s="1">
        <f>B37*Inputs!B$18+B37*Inputs!B$17</f>
        <v>11687.5</v>
      </c>
      <c r="D37" s="1">
        <f>D36*(1+'Investment returns'!B49)+C37</f>
        <v>398356.95902342454</v>
      </c>
      <c r="E37" s="1"/>
      <c r="F37" s="5">
        <f>(D37/100000)*'Annuity rates'!I35</f>
        <v>9853.2841261857538</v>
      </c>
      <c r="G37" s="5">
        <f>(D37/100000)*'Annuity rates'!J35</f>
        <v>8365.6550435648005</v>
      </c>
      <c r="H37" s="5">
        <f>(D37/100000)*'Annuity rates'!K35</f>
        <v>9853.2841261857538</v>
      </c>
      <c r="I37" s="5">
        <f>(D37/100000)*'Annuity rates'!L35</f>
        <v>9097.4240052589139</v>
      </c>
    </row>
    <row r="38" spans="1:9">
      <c r="A38">
        <f t="shared" si="0"/>
        <v>2046</v>
      </c>
      <c r="B38" s="1">
        <f>Income!B37</f>
        <v>55000</v>
      </c>
      <c r="C38" s="1">
        <f>B38*Inputs!B$18+B38*Inputs!B$17</f>
        <v>11687.5</v>
      </c>
      <c r="D38" s="1">
        <f>D37*(1+'Investment returns'!B50)+C38</f>
        <v>416816.52732682275</v>
      </c>
      <c r="E38" s="1"/>
      <c r="F38" s="5">
        <f>(D38/100000)*'Annuity rates'!I36</f>
        <v>10157.515330933013</v>
      </c>
      <c r="G38" s="5">
        <f>(D38/100000)*'Annuity rates'!J36</f>
        <v>8623.9540309694112</v>
      </c>
      <c r="H38" s="5">
        <f>(D38/100000)*'Annuity rates'!K36</f>
        <v>10157.515330933013</v>
      </c>
      <c r="I38" s="5">
        <f>(D38/100000)*'Annuity rates'!L36</f>
        <v>9378.31718054665</v>
      </c>
    </row>
    <row r="39" spans="1:9">
      <c r="A39">
        <f t="shared" si="0"/>
        <v>2047</v>
      </c>
      <c r="B39" s="1">
        <f>Income!B38</f>
        <v>55000</v>
      </c>
      <c r="C39" s="1">
        <f>B39*Inputs!B$18+B39*Inputs!B$17</f>
        <v>11687.5</v>
      </c>
      <c r="D39" s="1">
        <f>D38*(1+'Investment returns'!B51)+C39</f>
        <v>435589.9082913787</v>
      </c>
      <c r="E39" s="1"/>
      <c r="F39" s="5">
        <f>(D39/100000)*'Annuity rates'!I37</f>
        <v>10458.136904558085</v>
      </c>
      <c r="G39" s="5">
        <f>(D39/100000)*'Annuity rates'!J37</f>
        <v>8879.1883621217494</v>
      </c>
      <c r="H39" s="5">
        <f>(D39/100000)*'Annuity rates'!K37</f>
        <v>10458.136904558085</v>
      </c>
      <c r="I39" s="5">
        <f>(D39/100000)*'Annuity rates'!L37</f>
        <v>9655.877624899138</v>
      </c>
    </row>
    <row r="40" spans="1:9">
      <c r="A40">
        <f t="shared" si="0"/>
        <v>2048</v>
      </c>
      <c r="B40" s="1">
        <f>Income!B39</f>
        <v>55000</v>
      </c>
      <c r="C40" s="1">
        <f>B40*Inputs!B$18+B40*Inputs!B$17</f>
        <v>11687.5</v>
      </c>
      <c r="D40" s="1">
        <f>D39*(1+'Investment returns'!B52)+C40</f>
        <v>454682.43673233211</v>
      </c>
      <c r="E40" s="1"/>
      <c r="F40" s="5">
        <f>(D40/100000)*'Annuity rates'!I38</f>
        <v>10755.203937957427</v>
      </c>
      <c r="G40" s="5">
        <f>(D40/100000)*'Annuity rates'!J38</f>
        <v>9131.4048104051744</v>
      </c>
      <c r="H40" s="5">
        <f>(D40/100000)*'Annuity rates'!K38</f>
        <v>10755.203937957427</v>
      </c>
      <c r="I40" s="5">
        <f>(D40/100000)*'Annuity rates'!L38</f>
        <v>9930.156203108003</v>
      </c>
    </row>
    <row r="41" spans="1:9">
      <c r="A41">
        <f t="shared" si="0"/>
        <v>2049</v>
      </c>
      <c r="B41" s="1">
        <f>Income!B40</f>
        <v>55000</v>
      </c>
      <c r="C41" s="1">
        <f>B41*Inputs!B$18+B41*Inputs!B$17</f>
        <v>11687.5</v>
      </c>
      <c r="D41" s="1">
        <f>D40*(1+'Investment returns'!B53)+C41</f>
        <v>474099.53815678169</v>
      </c>
      <c r="E41" s="1"/>
      <c r="F41" s="5">
        <f>(D41/100000)*'Annuity rates'!I39</f>
        <v>11048.770711317877</v>
      </c>
      <c r="G41" s="5">
        <f>(D41/100000)*'Annuity rates'!J39</f>
        <v>9380.6494608927442</v>
      </c>
      <c r="H41" s="5">
        <f>(D41/100000)*'Annuity rates'!K39</f>
        <v>11048.770711317877</v>
      </c>
      <c r="I41" s="5">
        <f>(D41/100000)*'Annuity rates'!L39</f>
        <v>10201.203031445999</v>
      </c>
    </row>
    <row r="42" spans="1:9">
      <c r="A42" s="6">
        <f t="shared" si="0"/>
        <v>2050</v>
      </c>
      <c r="B42" s="7">
        <f>Income!B41</f>
        <v>55000</v>
      </c>
      <c r="C42" s="1">
        <f>B42*Inputs!B$18+B42*Inputs!B$17</f>
        <v>11687.5</v>
      </c>
      <c r="D42" s="7">
        <f>D41*(1+'Investment returns'!B54)+C42</f>
        <v>493846.73030544695</v>
      </c>
      <c r="E42" s="7"/>
      <c r="F42" s="5">
        <f>(D42/100000)*'Annuity rates'!I40</f>
        <v>11338.890706104372</v>
      </c>
      <c r="G42" s="5">
        <f>(D42/100000)*'Annuity rates'!J40</f>
        <v>9626.9677205250428</v>
      </c>
      <c r="H42" s="5">
        <f>(D42/100000)*'Annuity rates'!K40</f>
        <v>11338.890706104372</v>
      </c>
      <c r="I42" s="5">
        <f>(D42/100000)*'Annuity rates'!L40</f>
        <v>10469.067488735118</v>
      </c>
    </row>
    <row r="43" spans="1:9">
      <c r="A43" s="6">
        <f t="shared" si="0"/>
        <v>2051</v>
      </c>
      <c r="B43" s="7">
        <f>Income!B42</f>
        <v>55000</v>
      </c>
      <c r="C43" s="1">
        <f>B43*Inputs!B$18+B43*Inputs!B$17</f>
        <v>11687.5</v>
      </c>
      <c r="D43" s="7">
        <f>D42*(1+'Investment returns'!B55)+C43</f>
        <v>513929.62472063949</v>
      </c>
      <c r="E43" s="7"/>
      <c r="F43" s="5">
        <f>(D43/100000)*'Annuity rates'!I41</f>
        <v>11625.616616870511</v>
      </c>
      <c r="G43" s="5">
        <f>(D43/100000)*'Annuity rates'!J41</f>
        <v>9870.4043281376162</v>
      </c>
      <c r="H43" s="5">
        <f>(D43/100000)*'Annuity rates'!K41</f>
        <v>11625.616616870511</v>
      </c>
      <c r="I43" s="5">
        <f>(D43/100000)*'Annuity rates'!L41</f>
        <v>10733.798227251167</v>
      </c>
    </row>
    <row r="44" spans="1:9">
      <c r="A44" s="6">
        <f t="shared" si="0"/>
        <v>2052</v>
      </c>
      <c r="B44" s="7">
        <f>Income!B43</f>
        <v>55000</v>
      </c>
      <c r="C44" s="1">
        <f>B44*Inputs!B$18+B44*Inputs!B$17</f>
        <v>11687.5</v>
      </c>
      <c r="D44" s="7">
        <f>D43*(1+'Investment returns'!B56)+C44</f>
        <v>534353.92834089033</v>
      </c>
      <c r="E44" s="7"/>
      <c r="F44" s="5">
        <f>(D44/100000)*'Annuity rates'!I42</f>
        <v>11909.000362894605</v>
      </c>
      <c r="G44" s="5">
        <f>(D44/100000)*'Annuity rates'!J42</f>
        <v>10111.003364340224</v>
      </c>
      <c r="H44" s="5">
        <f>(D44/100000)*'Annuity rates'!K42</f>
        <v>11909.000362894605</v>
      </c>
      <c r="I44" s="5">
        <f>(D44/100000)*'Annuity rates'!L42</f>
        <v>10995.443183467178</v>
      </c>
    </row>
    <row r="45" spans="1:9">
      <c r="A45" s="6">
        <f t="shared" si="0"/>
        <v>2053</v>
      </c>
      <c r="B45" s="7">
        <f>Income!B44</f>
        <v>55000</v>
      </c>
      <c r="C45" s="1">
        <f>B45*Inputs!B$18+B45*Inputs!B$17</f>
        <v>11687.5</v>
      </c>
      <c r="D45" s="7">
        <f>D44*(1+'Investment returns'!B57)+C45</f>
        <v>555125.4451226854</v>
      </c>
      <c r="E45" s="7"/>
      <c r="F45" s="5">
        <f>(D45/100000)*'Annuity rates'!I43</f>
        <v>12189.093099643751</v>
      </c>
      <c r="G45" s="5">
        <f>(D45/100000)*'Annuity rates'!J43</f>
        <v>10348.808261250106</v>
      </c>
      <c r="H45" s="5">
        <f>(D45/100000)*'Annuity rates'!K43</f>
        <v>12189.093099643751</v>
      </c>
      <c r="I45" s="5">
        <f>(D45/100000)*'Annuity rates'!L43</f>
        <v>11254.049588638074</v>
      </c>
    </row>
    <row r="46" spans="1:9">
      <c r="A46" s="6">
        <f t="shared" si="0"/>
        <v>2054</v>
      </c>
      <c r="B46" s="7">
        <f>Income!B45</f>
        <v>55000</v>
      </c>
      <c r="C46" s="1">
        <f>B46*Inputs!B$18+B46*Inputs!B$17</f>
        <v>11687.5</v>
      </c>
      <c r="D46" s="7">
        <f>D45*(1+'Investment returns'!B58)+C46</f>
        <v>576250.07768977096</v>
      </c>
      <c r="E46" s="7"/>
      <c r="F46" s="5">
        <f>(D46/100000)*'Annuity rates'!I44</f>
        <v>12465.945230068535</v>
      </c>
      <c r="G46" s="5">
        <f>(D46/100000)*'Annuity rates'!J44</f>
        <v>10583.861812081415</v>
      </c>
      <c r="H46" s="5">
        <f>(D46/100000)*'Annuity rates'!K44</f>
        <v>12465.945230068535</v>
      </c>
      <c r="I46" s="5">
        <f>(D46/100000)*'Annuity rates'!L44</f>
        <v>11509.663979228926</v>
      </c>
    </row>
    <row r="47" spans="1:9">
      <c r="A47" s="6">
        <f t="shared" si="0"/>
        <v>2055</v>
      </c>
      <c r="B47" s="7">
        <f>Income!B46</f>
        <v>55000</v>
      </c>
      <c r="C47" s="1">
        <f>B47*Inputs!B$18+B47*Inputs!B$17</f>
        <v>11687.5</v>
      </c>
      <c r="D47" s="7">
        <f>D46*(1+'Investment returns'!B59)+C47</f>
        <v>597733.82901049696</v>
      </c>
      <c r="E47" s="7"/>
      <c r="F47" s="5">
        <f>(D47/100000)*'Annuity rates'!I45</f>
        <v>12739.606415730799</v>
      </c>
      <c r="G47" s="5">
        <f>(D47/100000)*'Annuity rates'!J45</f>
        <v>10816.206180592957</v>
      </c>
      <c r="H47" s="5">
        <f>(D47/100000)*'Annuity rates'!K45</f>
        <v>12739.606415730799</v>
      </c>
      <c r="I47" s="5">
        <f>(D47/100000)*'Annuity rates'!L45</f>
        <v>11762.332207189102</v>
      </c>
    </row>
    <row r="48" spans="1:9">
      <c r="A48" s="6">
        <f t="shared" si="0"/>
        <v>2056</v>
      </c>
      <c r="B48" s="7">
        <f>Income!B47</f>
        <v>55000</v>
      </c>
      <c r="C48" s="1">
        <f>B48*Inputs!B$18+B48*Inputs!B$17</f>
        <v>11687.5</v>
      </c>
      <c r="D48" s="7">
        <f>D47*(1+'Investment returns'!B60)+C48</f>
        <v>619582.8041036753</v>
      </c>
      <c r="E48" s="7"/>
      <c r="F48" s="5">
        <f>(D48/100000)*'Annuity rates'!I46</f>
        <v>13010.125587766997</v>
      </c>
      <c r="G48" s="5">
        <f>(D48/100000)*'Annuity rates'!J46</f>
        <v>11045.882910396307</v>
      </c>
      <c r="H48" s="5">
        <f>(D48/100000)*'Annuity rates'!K46</f>
        <v>13010.125587766997</v>
      </c>
      <c r="I48" s="5">
        <f>(D48/100000)*'Annuity rates'!L46</f>
        <v>12012.099450074604</v>
      </c>
    </row>
    <row r="49" spans="1:9">
      <c r="A49" s="6">
        <f t="shared" si="0"/>
        <v>2057</v>
      </c>
      <c r="B49" s="7">
        <f>Income!B48</f>
        <v>55000</v>
      </c>
      <c r="C49" s="1">
        <f>B49*Inputs!B$18+B49*Inputs!B$17</f>
        <v>11687.5</v>
      </c>
      <c r="D49" s="7">
        <f>D48*(1+'Investment returns'!B61)+C49</f>
        <v>641803.21177343768</v>
      </c>
      <c r="E49" s="7"/>
      <c r="F49" s="5">
        <f>(D49/100000)*'Annuity rates'!I47</f>
        <v>13277.550957689537</v>
      </c>
      <c r="G49" s="5">
        <f>(D49/100000)*'Annuity rates'!J47</f>
        <v>11272.932934126386</v>
      </c>
      <c r="H49" s="5">
        <f>(D49/100000)*'Annuity rates'!K47</f>
        <v>13277.550957689537</v>
      </c>
      <c r="I49" s="5">
        <f>(D49/100000)*'Annuity rates'!L47</f>
        <v>12259.010221020812</v>
      </c>
    </row>
    <row r="50" spans="1:9">
      <c r="A50" s="6">
        <f t="shared" si="0"/>
        <v>2058</v>
      </c>
      <c r="B50" s="7">
        <f>Income!B49</f>
        <v>55000</v>
      </c>
      <c r="C50" s="1">
        <f>B50*Inputs!B$18+B50*Inputs!B$17</f>
        <v>11687.5</v>
      </c>
      <c r="D50" s="7">
        <f>D49*(1+'Investment returns'!B62)+C50</f>
        <v>664401.366373586</v>
      </c>
      <c r="E50" s="7"/>
      <c r="F50" s="5">
        <f>(D50/100000)*'Annuity rates'!I48</f>
        <v>13541.930028028493</v>
      </c>
      <c r="G50" s="5">
        <f>(D50/100000)*'Annuity rates'!J48</f>
        <v>11497.396582476515</v>
      </c>
      <c r="H50" s="5">
        <f>(D50/100000)*'Annuity rates'!K48</f>
        <v>13541.930028028493</v>
      </c>
      <c r="I50" s="5">
        <f>(D50/100000)*'Annuity rates'!L48</f>
        <v>12503.108378567875</v>
      </c>
    </row>
    <row r="51" spans="1:9">
      <c r="A51" s="6">
        <f t="shared" si="0"/>
        <v>2059</v>
      </c>
      <c r="B51" s="7">
        <f>Income!B50</f>
        <v>55000</v>
      </c>
      <c r="C51" s="1">
        <f>B51*Inputs!B$18+B51*Inputs!B$17</f>
        <v>11687.5</v>
      </c>
      <c r="D51" s="7">
        <f>D50*(1+'Investment returns'!B63)+C51</f>
        <v>687383.68960193684</v>
      </c>
      <c r="E51" s="7"/>
      <c r="F51" s="5">
        <f>(D51/100000)*'Annuity rates'!I49</f>
        <v>13803.3096028161</v>
      </c>
      <c r="G51" s="5">
        <f>(D51/100000)*'Annuity rates'!J49</f>
        <v>11719.313593099978</v>
      </c>
      <c r="H51" s="5">
        <f>(D51/100000)*'Annuity rates'!K49</f>
        <v>13803.3096028161</v>
      </c>
      <c r="I51" s="5">
        <f>(D51/100000)*'Annuity rates'!L49</f>
        <v>12744.437136340905</v>
      </c>
    </row>
    <row r="52" spans="1:9">
      <c r="A52" s="6">
        <f t="shared" si="0"/>
        <v>2060</v>
      </c>
      <c r="B52" s="7">
        <f>Income!B51</f>
        <v>55000</v>
      </c>
      <c r="C52" s="1">
        <f>B52*Inputs!B$18+B52*Inputs!B$17</f>
        <v>11687.5</v>
      </c>
      <c r="D52" s="7">
        <f>D51*(1+'Investment returns'!B64)+C52</f>
        <v>710756.7123251697</v>
      </c>
      <c r="E52" s="7"/>
      <c r="F52" s="5">
        <f>(D52/100000)*'Annuity rates'!I50</f>
        <v>14061.735797916277</v>
      </c>
      <c r="G52" s="5">
        <f>(D52/100000)*'Annuity rates'!J50</f>
        <v>11938.723119380018</v>
      </c>
      <c r="H52" s="5">
        <f>(D52/100000)*'Annuity rates'!K50</f>
        <v>14061.735797916277</v>
      </c>
      <c r="I52" s="5">
        <f>(D52/100000)*'Annuity rates'!L50</f>
        <v>12983.039072587126</v>
      </c>
    </row>
    <row r="53" spans="1:9">
      <c r="A53" s="6">
        <f t="shared" si="0"/>
        <v>2061</v>
      </c>
      <c r="B53" s="7">
        <f>Income!B52</f>
        <v>55000</v>
      </c>
      <c r="C53" s="1">
        <f>B53*Inputs!B$18+B53*Inputs!B$17</f>
        <v>11687.5</v>
      </c>
      <c r="D53" s="7">
        <f>D52*(1+'Investment returns'!B65)+C53</f>
        <v>734527.07643469749</v>
      </c>
      <c r="E53" s="7"/>
      <c r="F53" s="5">
        <f>(D53/100000)*'Annuity rates'!I51</f>
        <v>14317.254051201548</v>
      </c>
      <c r="G53" s="5">
        <f>(D53/100000)*'Annuity rates'!J51</f>
        <v>12155.663739070264</v>
      </c>
      <c r="H53" s="5">
        <f>(D53/100000)*'Annuity rates'!K51</f>
        <v>14317.254051201548</v>
      </c>
      <c r="I53" s="5">
        <f>(D53/100000)*'Annuity rates'!L51</f>
        <v>13218.95613957209</v>
      </c>
    </row>
    <row r="54" spans="1:9">
      <c r="A54" s="6">
        <f t="shared" si="0"/>
        <v>2062</v>
      </c>
      <c r="B54" s="7">
        <f>Income!B53</f>
        <v>55000</v>
      </c>
      <c r="C54" s="1">
        <f>B54*Inputs!B$18+B54*Inputs!B$17</f>
        <v>11687.5</v>
      </c>
      <c r="D54" s="7">
        <f>D53*(1+'Investment returns'!B66)+C54</f>
        <v>758701.53673408728</v>
      </c>
      <c r="E54" s="7"/>
      <c r="F54" s="5">
        <f>(D54/100000)*'Annuity rates'!I52</f>
        <v>14569.909132579553</v>
      </c>
      <c r="G54" s="5">
        <f>(D54/100000)*'Annuity rates'!J52</f>
        <v>12370.173462807457</v>
      </c>
      <c r="H54" s="5">
        <f>(D54/100000)*'Annuity rates'!K52</f>
        <v>14569.909132579553</v>
      </c>
      <c r="I54" s="5">
        <f>(D54/100000)*'Annuity rates'!L52</f>
        <v>13452.229672837053</v>
      </c>
    </row>
    <row r="55" spans="1:9">
      <c r="A55" s="6">
        <f t="shared" si="0"/>
        <v>2063</v>
      </c>
      <c r="B55" s="7">
        <f>Income!B54</f>
        <v>55000</v>
      </c>
      <c r="C55" s="1">
        <f>B55*Inputs!B$18+B55*Inputs!B$17</f>
        <v>11687.5</v>
      </c>
      <c r="D55" s="7">
        <f>D54*(1+'Investment returns'!B67)+C55</f>
        <v>783286.96285856667</v>
      </c>
      <c r="E55" s="7"/>
      <c r="F55" s="5">
        <f>(D55/100000)*'Annuity rates'!I53</f>
        <v>14819.745153871416</v>
      </c>
      <c r="G55" s="5">
        <f>(D55/100000)*'Annuity rates'!J53</f>
        <v>12582.289742498409</v>
      </c>
      <c r="H55" s="5">
        <f>(D55/100000)*'Annuity rates'!K53</f>
        <v>14819.745153871416</v>
      </c>
      <c r="I55" s="5">
        <f>(D55/100000)*'Annuity rates'!L53</f>
        <v>13682.900400319546</v>
      </c>
    </row>
    <row r="56" spans="1:9">
      <c r="A56" s="6">
        <f t="shared" si="0"/>
        <v>2064</v>
      </c>
      <c r="B56" s="7">
        <f>Income!B55</f>
        <v>55000</v>
      </c>
      <c r="C56" s="1">
        <f>B56*Inputs!B$18+B56*Inputs!B$17</f>
        <v>11687.5</v>
      </c>
      <c r="D56" s="7">
        <f>D55*(1+'Investment returns'!B68)+C56</f>
        <v>808290.34122716228</v>
      </c>
      <c r="E56" s="7"/>
      <c r="F56" s="5">
        <f>(D56/100000)*'Annuity rates'!I54</f>
        <v>15066.805578544125</v>
      </c>
      <c r="G56" s="5">
        <f>(D56/100000)*'Annuity rates'!J54</f>
        <v>12792.049479583002</v>
      </c>
      <c r="H56" s="5">
        <f>(D56/100000)*'Annuity rates'!K54</f>
        <v>15066.805578544125</v>
      </c>
      <c r="I56" s="5">
        <f>(D56/100000)*'Annuity rates'!L54</f>
        <v>13911.008451339185</v>
      </c>
    </row>
    <row r="57" spans="1:9">
      <c r="A57" s="6">
        <f t="shared" si="0"/>
        <v>2065</v>
      </c>
      <c r="B57" s="7">
        <f>Income!B56</f>
        <v>55000</v>
      </c>
      <c r="C57" s="1">
        <f>B57*Inputs!B$18+B57*Inputs!B$17</f>
        <v>11687.5</v>
      </c>
      <c r="D57" s="7">
        <f>D56*(1+'Investment returns'!B69)+C57</f>
        <v>833718.77702802396</v>
      </c>
      <c r="E57" s="7"/>
      <c r="F57" s="5">
        <f>(D57/100000)*'Annuity rates'!I55</f>
        <v>15311.133231299107</v>
      </c>
      <c r="G57" s="5">
        <f>(D57/100000)*'Annuity rates'!J55</f>
        <v>12999.489033175098</v>
      </c>
      <c r="H57" s="5">
        <f>(D57/100000)*'Annuity rates'!K55</f>
        <v>15311.133231299107</v>
      </c>
      <c r="I57" s="5">
        <f>(D57/100000)*'Annuity rates'!L55</f>
        <v>14136.593365450677</v>
      </c>
    </row>
    <row r="58" spans="1:9">
      <c r="A58" s="6">
        <f t="shared" si="0"/>
        <v>2066</v>
      </c>
      <c r="B58" s="7">
        <f>Income!B57</f>
        <v>55000</v>
      </c>
      <c r="C58" s="1">
        <f>B58*Inputs!B$18+B58*Inputs!B$17</f>
        <v>11687.5</v>
      </c>
      <c r="D58" s="7">
        <f>D57*(1+'Investment returns'!B70)+C58</f>
        <v>859579.49623750034</v>
      </c>
      <c r="E58" s="7"/>
      <c r="F58" s="5">
        <f>(D58/100000)*'Annuity rates'!I56</f>
        <v>15552.770307519111</v>
      </c>
      <c r="G58" s="5">
        <f>(D58/100000)*'Annuity rates'!J56</f>
        <v>13204.644228083158</v>
      </c>
      <c r="H58" s="5">
        <f>(D58/100000)*'Annuity rates'!K56</f>
        <v>15552.770307519111</v>
      </c>
      <c r="I58" s="5">
        <f>(D58/100000)*'Annuity rates'!L56</f>
        <v>14359.694101166029</v>
      </c>
    </row>
    <row r="66" spans="8:8">
      <c r="H66" s="5"/>
    </row>
    <row r="67" spans="8:8">
      <c r="H67"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AG55"/>
  <sheetViews>
    <sheetView topLeftCell="Q5" workbookViewId="0">
      <selection activeCell="Z47" sqref="Z47:Z55"/>
    </sheetView>
  </sheetViews>
  <sheetFormatPr baseColWidth="10" defaultRowHeight="16"/>
  <cols>
    <col min="17" max="17" width="24.6640625" bestFit="1" customWidth="1"/>
    <col min="18" max="18" width="23.1640625" bestFit="1" customWidth="1"/>
    <col min="19" max="20" width="12.1640625" bestFit="1" customWidth="1"/>
  </cols>
  <sheetData>
    <row r="2" spans="1:33">
      <c r="A2" s="3" t="s">
        <v>161</v>
      </c>
    </row>
    <row r="3" spans="1:33" ht="17" thickBot="1"/>
    <row r="4" spans="1:33" ht="17" thickBot="1">
      <c r="C4" s="70" t="s">
        <v>203</v>
      </c>
      <c r="D4" s="71"/>
      <c r="E4" s="71"/>
      <c r="F4" s="72"/>
      <c r="L4" s="70" t="s">
        <v>166</v>
      </c>
      <c r="M4" s="71"/>
      <c r="N4" s="71"/>
      <c r="O4" s="72"/>
    </row>
    <row r="5" spans="1:33" ht="48">
      <c r="A5" s="32"/>
      <c r="B5" s="50" t="s">
        <v>152</v>
      </c>
      <c r="C5" s="41" t="s">
        <v>148</v>
      </c>
      <c r="D5" s="42" t="s">
        <v>149</v>
      </c>
      <c r="E5" s="42" t="s">
        <v>150</v>
      </c>
      <c r="F5" s="43" t="s">
        <v>151</v>
      </c>
      <c r="J5" s="50"/>
      <c r="K5" s="50"/>
      <c r="L5" s="53" t="s">
        <v>167</v>
      </c>
      <c r="M5" s="54" t="s">
        <v>168</v>
      </c>
      <c r="N5" s="54" t="s">
        <v>169</v>
      </c>
      <c r="O5" s="55" t="s">
        <v>170</v>
      </c>
      <c r="R5" s="67" t="s">
        <v>204</v>
      </c>
      <c r="S5" s="68"/>
      <c r="T5" s="68"/>
      <c r="U5" s="69"/>
      <c r="Z5" s="64" t="s">
        <v>175</v>
      </c>
      <c r="AA5" s="64"/>
      <c r="AB5" s="64"/>
      <c r="AC5" s="64"/>
      <c r="AD5" s="64" t="s">
        <v>174</v>
      </c>
      <c r="AE5" s="64"/>
      <c r="AF5" s="64"/>
      <c r="AG5" s="64"/>
    </row>
    <row r="6" spans="1:33" ht="24">
      <c r="A6" s="51" t="s">
        <v>153</v>
      </c>
      <c r="B6" s="4">
        <v>0.62509999999999999</v>
      </c>
      <c r="C6" s="44">
        <v>1.9099999999999999E-2</v>
      </c>
      <c r="D6" s="45">
        <v>4.5199999999999997E-2</v>
      </c>
      <c r="E6" s="45">
        <f>AVERAGE(C6:D6)</f>
        <v>3.2149999999999998E-2</v>
      </c>
      <c r="F6" s="46">
        <v>3.6400000000000002E-2</v>
      </c>
      <c r="K6" s="51" t="s">
        <v>153</v>
      </c>
      <c r="L6" s="44">
        <f>16.78%+36.62%+10.38%</f>
        <v>0.63780000000000003</v>
      </c>
      <c r="M6" s="45">
        <f>11.73%+25.77%+7.34%</f>
        <v>0.44840000000000002</v>
      </c>
      <c r="N6" s="45">
        <f>7.93%+16.62%+5%</f>
        <v>0.29549999999999998</v>
      </c>
      <c r="O6" s="46">
        <v>0</v>
      </c>
      <c r="R6" s="41" t="s">
        <v>148</v>
      </c>
      <c r="S6" s="42" t="s">
        <v>149</v>
      </c>
      <c r="T6" s="42" t="s">
        <v>150</v>
      </c>
      <c r="U6" s="43" t="s">
        <v>151</v>
      </c>
      <c r="Y6" t="s">
        <v>173</v>
      </c>
      <c r="Z6" s="3" t="s">
        <v>176</v>
      </c>
      <c r="AA6" s="3" t="s">
        <v>177</v>
      </c>
      <c r="AB6" s="3" t="s">
        <v>178</v>
      </c>
      <c r="AC6" s="3" t="s">
        <v>179</v>
      </c>
      <c r="AD6" s="3" t="s">
        <v>180</v>
      </c>
      <c r="AE6" s="3" t="s">
        <v>181</v>
      </c>
      <c r="AF6" s="3" t="s">
        <v>182</v>
      </c>
      <c r="AG6" s="3" t="s">
        <v>183</v>
      </c>
    </row>
    <row r="7" spans="1:33">
      <c r="A7" s="51" t="s">
        <v>154</v>
      </c>
      <c r="B7" s="4">
        <v>7.4999999999999997E-2</v>
      </c>
      <c r="C7" s="44">
        <v>2.5600000000000001E-2</v>
      </c>
      <c r="D7" s="45">
        <v>3.5700000000000003E-2</v>
      </c>
      <c r="E7" s="45">
        <f>AVERAGE(C7:D7)</f>
        <v>3.0650000000000004E-2</v>
      </c>
      <c r="F7" s="46">
        <v>3.2300000000000002E-2</v>
      </c>
      <c r="K7" s="51" t="s">
        <v>154</v>
      </c>
      <c r="L7" s="44">
        <v>8.9300000000000004E-2</v>
      </c>
      <c r="M7" s="45">
        <v>6.7000000000000004E-2</v>
      </c>
      <c r="N7" s="45">
        <v>4.4900000000000002E-2</v>
      </c>
      <c r="O7" s="46">
        <v>0</v>
      </c>
      <c r="Q7" s="3" t="s">
        <v>167</v>
      </c>
      <c r="R7" s="44">
        <f>$L6*C6+$L7*C7+$L8*C8+$L9*C9+$L10*C10</f>
        <v>1.4061860000000002E-2</v>
      </c>
      <c r="S7" s="45">
        <f>$L6*D6+$L7*D7+$L8*D8+$L9*D9+$L10*D10</f>
        <v>3.8095570000000002E-2</v>
      </c>
      <c r="T7" s="45">
        <f>$L6*E6+$L7*E7+$L8*E8+$L9*E9+$L10*E10</f>
        <v>2.6078714999999999E-2</v>
      </c>
      <c r="U7" s="46">
        <f>$L6*F6+$L7*F7+$L8*F8+$L9*F9+$L10*F10</f>
        <v>3.000856E-2</v>
      </c>
      <c r="Y7">
        <v>2018</v>
      </c>
      <c r="Z7" s="4">
        <f>R7</f>
        <v>1.4061860000000002E-2</v>
      </c>
      <c r="AA7" s="4">
        <f>R8</f>
        <v>7.4494999999999995E-3</v>
      </c>
      <c r="AB7" s="4">
        <f>R9</f>
        <v>-5.1000000000109118E-7</v>
      </c>
      <c r="AC7" s="4">
        <f>R10</f>
        <v>-1.0999999999999999E-2</v>
      </c>
      <c r="AD7" s="4">
        <f>R18</f>
        <v>-9.5755000000017102E-4</v>
      </c>
      <c r="AE7" s="4">
        <f>R19</f>
        <v>-7.5669064183583341E-3</v>
      </c>
      <c r="AF7" s="4">
        <f>R20</f>
        <v>-1.5018418209179252E-2</v>
      </c>
      <c r="AG7" s="4">
        <f>R21</f>
        <v>-2.6017908209179253E-2</v>
      </c>
    </row>
    <row r="8" spans="1:33">
      <c r="A8" s="51" t="s">
        <v>155</v>
      </c>
      <c r="B8" s="4">
        <v>0.1</v>
      </c>
      <c r="C8" s="44">
        <v>-1.4E-3</v>
      </c>
      <c r="D8" s="45">
        <v>2.2499999999999999E-2</v>
      </c>
      <c r="E8" s="45">
        <f t="shared" ref="E8:E10" si="0">AVERAGE(C8:D8)</f>
        <v>1.055E-2</v>
      </c>
      <c r="F8" s="46">
        <v>1.4500000000000001E-2</v>
      </c>
      <c r="K8" s="51" t="s">
        <v>155</v>
      </c>
      <c r="L8" s="44">
        <f>5.68%+5.48%+7.92%+7.97%</f>
        <v>0.27049999999999996</v>
      </c>
      <c r="M8" s="45">
        <f>8.05%+8.45%+11.49%+12.24%</f>
        <v>0.40229999999999999</v>
      </c>
      <c r="N8" s="45">
        <f>9.53%+9.97%+13.62%+14.5%</f>
        <v>0.47619999999999996</v>
      </c>
      <c r="O8" s="46">
        <v>0</v>
      </c>
      <c r="Q8" s="3" t="s">
        <v>168</v>
      </c>
      <c r="R8" s="44">
        <f>$M6*C6+$M7*C7+$M8*C8+$M9*C9+$M10*C10</f>
        <v>7.4494999999999995E-3</v>
      </c>
      <c r="S8" s="45">
        <f>$M6*D6+$M7*D7+$M8*D8+$M9*D9+$M10*D10</f>
        <v>3.2019039999999999E-2</v>
      </c>
      <c r="T8" s="45">
        <f>$M6*E6+$M7*E7+$M8*E8+$M9*E9+$M10*E10</f>
        <v>1.9734270000000002E-2</v>
      </c>
      <c r="U8" s="46">
        <f>$M6*F6+$M7*F7+$M8*F8+$M9*F9+$M10*F10</f>
        <v>2.3758689999999999E-2</v>
      </c>
      <c r="Y8">
        <f>Y7+1</f>
        <v>2019</v>
      </c>
      <c r="Z8" s="4">
        <f>Z7</f>
        <v>1.4061860000000002E-2</v>
      </c>
      <c r="AA8" s="4">
        <f t="shared" ref="AA8:AG16" si="1">AA7</f>
        <v>7.4494999999999995E-3</v>
      </c>
      <c r="AB8" s="4">
        <f t="shared" si="1"/>
        <v>-5.1000000000109118E-7</v>
      </c>
      <c r="AC8" s="4">
        <f t="shared" si="1"/>
        <v>-1.0999999999999999E-2</v>
      </c>
      <c r="AD8" s="4">
        <f t="shared" si="1"/>
        <v>-9.5755000000017102E-4</v>
      </c>
      <c r="AE8" s="4">
        <f t="shared" si="1"/>
        <v>-7.5669064183583341E-3</v>
      </c>
      <c r="AF8" s="4">
        <f t="shared" si="1"/>
        <v>-1.5018418209179252E-2</v>
      </c>
      <c r="AG8" s="4">
        <f t="shared" si="1"/>
        <v>-2.6017908209179253E-2</v>
      </c>
    </row>
    <row r="9" spans="1:33">
      <c r="A9" s="51" t="s">
        <v>156</v>
      </c>
      <c r="B9" s="4">
        <v>0.25</v>
      </c>
      <c r="C9" s="44">
        <v>-3.8199999999999998E-2</v>
      </c>
      <c r="D9" s="45">
        <v>8.0000000000000002E-3</v>
      </c>
      <c r="E9" s="45">
        <f t="shared" si="0"/>
        <v>-1.5099999999999999E-2</v>
      </c>
      <c r="F9" s="46">
        <v>-7.6E-3</v>
      </c>
      <c r="K9" s="51" t="s">
        <v>156</v>
      </c>
      <c r="L9" s="44">
        <v>0</v>
      </c>
      <c r="M9" s="45">
        <f>2.01%+3%</f>
        <v>5.0099999999999992E-2</v>
      </c>
      <c r="N9" s="45">
        <f>7.08%+8.03%</f>
        <v>0.15110000000000001</v>
      </c>
      <c r="O9" s="46">
        <v>0</v>
      </c>
      <c r="Q9" s="3" t="s">
        <v>169</v>
      </c>
      <c r="R9" s="44">
        <f>$N6*C6+$N7*C7+$N8*C8+$N9*C9+$N10*C10</f>
        <v>-5.1000000000109118E-7</v>
      </c>
      <c r="S9" s="45">
        <f>$N6*D6+$N7*D7+$N8*D8+$N9*D9+$N10*D10</f>
        <v>2.6789159999999996E-2</v>
      </c>
      <c r="T9" s="45">
        <f>$N6*E6+$N7*E7+$N8*E8+$N9*E9+$N10*E10</f>
        <v>1.3394324999999999E-2</v>
      </c>
      <c r="U9" s="46">
        <f>$N6*F6+$N7*F7+$N8*F8+$N9*F9+$N10*F10</f>
        <v>1.7782129999999997E-2</v>
      </c>
      <c r="Y9">
        <f t="shared" ref="Y9:Y55" si="2">Y8+1</f>
        <v>2020</v>
      </c>
      <c r="Z9" s="4">
        <f t="shared" ref="Z9:Z16" si="3">Z8</f>
        <v>1.4061860000000002E-2</v>
      </c>
      <c r="AA9" s="4">
        <f t="shared" si="1"/>
        <v>7.4494999999999995E-3</v>
      </c>
      <c r="AB9" s="4">
        <f t="shared" si="1"/>
        <v>-5.1000000000109118E-7</v>
      </c>
      <c r="AC9" s="4">
        <f t="shared" si="1"/>
        <v>-1.0999999999999999E-2</v>
      </c>
      <c r="AD9" s="4">
        <f t="shared" si="1"/>
        <v>-9.5755000000017102E-4</v>
      </c>
      <c r="AE9" s="4">
        <f t="shared" si="1"/>
        <v>-7.5669064183583341E-3</v>
      </c>
      <c r="AF9" s="4">
        <f t="shared" si="1"/>
        <v>-1.5018418209179252E-2</v>
      </c>
      <c r="AG9" s="4">
        <f t="shared" si="1"/>
        <v>-2.6017908209179253E-2</v>
      </c>
    </row>
    <row r="10" spans="1:33" ht="17" thickBot="1">
      <c r="A10" s="51" t="s">
        <v>157</v>
      </c>
      <c r="B10" s="4">
        <v>-0.05</v>
      </c>
      <c r="C10" s="47">
        <v>-1.0999999999999999E-2</v>
      </c>
      <c r="D10" s="48">
        <v>-2.8999999999999998E-3</v>
      </c>
      <c r="E10" s="48">
        <f t="shared" si="0"/>
        <v>-6.9499999999999996E-3</v>
      </c>
      <c r="F10" s="49">
        <v>-5.5999999999999999E-3</v>
      </c>
      <c r="K10" s="51" t="s">
        <v>157</v>
      </c>
      <c r="L10" s="47">
        <v>2.5000000000000001E-3</v>
      </c>
      <c r="M10" s="48">
        <f>3.21%</f>
        <v>3.2099999999999997E-2</v>
      </c>
      <c r="N10" s="48">
        <f>3.23%</f>
        <v>3.2300000000000002E-2</v>
      </c>
      <c r="O10" s="49">
        <v>1</v>
      </c>
      <c r="Q10" s="3" t="s">
        <v>171</v>
      </c>
      <c r="R10" s="47">
        <f>$O6*C6+$O7*C7+$O8*C8+$O9*C9+$O10*C10</f>
        <v>-1.0999999999999999E-2</v>
      </c>
      <c r="S10" s="48">
        <f>$O6*D6+$O7*D7+$O8*D8+$O9*D9+$O10*D10</f>
        <v>-2.8999999999999998E-3</v>
      </c>
      <c r="T10" s="48">
        <f>$O6*E6+$O7*E7+$O8*E8+$O9*E9+$O10*E10</f>
        <v>-6.9499999999999996E-3</v>
      </c>
      <c r="U10" s="49">
        <f>$O6*F6+$O7*F7+$O8*F8+$O9*F9+$O10*F10</f>
        <v>-5.5999999999999999E-3</v>
      </c>
      <c r="Y10">
        <f t="shared" si="2"/>
        <v>2021</v>
      </c>
      <c r="Z10" s="4">
        <f t="shared" si="3"/>
        <v>1.4061860000000002E-2</v>
      </c>
      <c r="AA10" s="4">
        <f t="shared" si="1"/>
        <v>7.4494999999999995E-3</v>
      </c>
      <c r="AB10" s="4">
        <f t="shared" si="1"/>
        <v>-5.1000000000109118E-7</v>
      </c>
      <c r="AC10" s="4">
        <f t="shared" si="1"/>
        <v>-1.0999999999999999E-2</v>
      </c>
      <c r="AD10" s="4">
        <f t="shared" si="1"/>
        <v>-9.5755000000017102E-4</v>
      </c>
      <c r="AE10" s="4">
        <f t="shared" si="1"/>
        <v>-7.5669064183583341E-3</v>
      </c>
      <c r="AF10" s="4">
        <f t="shared" si="1"/>
        <v>-1.5018418209179252E-2</v>
      </c>
      <c r="AG10" s="4">
        <f t="shared" si="1"/>
        <v>-2.6017908209179253E-2</v>
      </c>
    </row>
    <row r="11" spans="1:33">
      <c r="A11" s="51" t="s">
        <v>158</v>
      </c>
      <c r="B11" s="4"/>
      <c r="C11" s="4">
        <v>5.0000000000000001E-3</v>
      </c>
      <c r="D11" s="4">
        <v>5.0000000000000001E-3</v>
      </c>
      <c r="E11" s="4">
        <v>5.0000000000000001E-3</v>
      </c>
      <c r="F11" s="4">
        <v>5.0000000000000001E-3</v>
      </c>
      <c r="J11" s="52"/>
      <c r="L11" s="4"/>
      <c r="M11" s="4"/>
      <c r="N11" s="4"/>
      <c r="O11" s="4"/>
      <c r="Y11">
        <f t="shared" si="2"/>
        <v>2022</v>
      </c>
      <c r="Z11" s="4">
        <f t="shared" si="3"/>
        <v>1.4061860000000002E-2</v>
      </c>
      <c r="AA11" s="4">
        <f t="shared" si="1"/>
        <v>7.4494999999999995E-3</v>
      </c>
      <c r="AB11" s="4">
        <f t="shared" si="1"/>
        <v>-5.1000000000109118E-7</v>
      </c>
      <c r="AC11" s="4">
        <f t="shared" si="1"/>
        <v>-1.0999999999999999E-2</v>
      </c>
      <c r="AD11" s="4">
        <f t="shared" si="1"/>
        <v>-9.5755000000017102E-4</v>
      </c>
      <c r="AE11" s="4">
        <f t="shared" si="1"/>
        <v>-7.5669064183583341E-3</v>
      </c>
      <c r="AF11" s="4">
        <f t="shared" si="1"/>
        <v>-1.5018418209179252E-2</v>
      </c>
      <c r="AG11" s="4">
        <f t="shared" si="1"/>
        <v>-2.6017908209179253E-2</v>
      </c>
    </row>
    <row r="12" spans="1:33">
      <c r="A12" s="52" t="s">
        <v>159</v>
      </c>
      <c r="C12" s="4">
        <f>(SUM((B6*C6),(B7*C7),(B8*C8),(B9*C9),(B10*C10)))+C11</f>
        <v>9.7194100000000012E-3</v>
      </c>
      <c r="D12" s="4">
        <f>(SUM((B6*D6),(B7*D7),(B8*D8),(B9*D9),(B10*D10)))+D11</f>
        <v>4.0327019999999998E-2</v>
      </c>
      <c r="E12" s="4">
        <f>(SUM((B6*E6),(B7*E7),(B8*E8),(B9*E9),(B10*E10)))+E11</f>
        <v>2.5023214999999998E-2</v>
      </c>
      <c r="F12" s="4">
        <f>(SUM((B6*F6),(B7*F7),(B8*F8),(B9*F9),(B10*F10)))+F11</f>
        <v>3.0006140000000004E-2</v>
      </c>
      <c r="Y12">
        <f t="shared" si="2"/>
        <v>2023</v>
      </c>
      <c r="Z12" s="4">
        <f t="shared" si="3"/>
        <v>1.4061860000000002E-2</v>
      </c>
      <c r="AA12" s="4">
        <f t="shared" si="1"/>
        <v>7.4494999999999995E-3</v>
      </c>
      <c r="AB12" s="4">
        <f t="shared" si="1"/>
        <v>-5.1000000000109118E-7</v>
      </c>
      <c r="AC12" s="4">
        <f t="shared" si="1"/>
        <v>-1.0999999999999999E-2</v>
      </c>
      <c r="AD12" s="4">
        <f t="shared" si="1"/>
        <v>-9.5755000000017102E-4</v>
      </c>
      <c r="AE12" s="4">
        <f t="shared" si="1"/>
        <v>-7.5669064183583341E-3</v>
      </c>
      <c r="AF12" s="4">
        <f t="shared" si="1"/>
        <v>-1.5018418209179252E-2</v>
      </c>
      <c r="AG12" s="4">
        <f t="shared" si="1"/>
        <v>-2.6017908209179253E-2</v>
      </c>
    </row>
    <row r="13" spans="1:33">
      <c r="L13" s="56"/>
      <c r="M13" s="56"/>
      <c r="N13" s="56"/>
      <c r="O13" s="56"/>
      <c r="Y13">
        <f t="shared" si="2"/>
        <v>2024</v>
      </c>
      <c r="Z13" s="4">
        <f t="shared" si="3"/>
        <v>1.4061860000000002E-2</v>
      </c>
      <c r="AA13" s="4">
        <f t="shared" si="1"/>
        <v>7.4494999999999995E-3</v>
      </c>
      <c r="AB13" s="4">
        <f t="shared" si="1"/>
        <v>-5.1000000000109118E-7</v>
      </c>
      <c r="AC13" s="4">
        <f t="shared" si="1"/>
        <v>-1.0999999999999999E-2</v>
      </c>
      <c r="AD13" s="4">
        <f t="shared" si="1"/>
        <v>-9.5755000000017102E-4</v>
      </c>
      <c r="AE13" s="4">
        <f t="shared" si="1"/>
        <v>-7.5669064183583341E-3</v>
      </c>
      <c r="AF13" s="4">
        <f t="shared" si="1"/>
        <v>-1.5018418209179252E-2</v>
      </c>
      <c r="AG13" s="4">
        <f t="shared" si="1"/>
        <v>-2.6017908209179253E-2</v>
      </c>
    </row>
    <row r="14" spans="1:33" ht="17" thickBot="1">
      <c r="Y14">
        <f t="shared" si="2"/>
        <v>2025</v>
      </c>
      <c r="Z14" s="4">
        <f t="shared" si="3"/>
        <v>1.4061860000000002E-2</v>
      </c>
      <c r="AA14" s="4">
        <f t="shared" si="1"/>
        <v>7.4494999999999995E-3</v>
      </c>
      <c r="AB14" s="4">
        <f t="shared" si="1"/>
        <v>-5.1000000000109118E-7</v>
      </c>
      <c r="AC14" s="4">
        <f t="shared" si="1"/>
        <v>-1.0999999999999999E-2</v>
      </c>
      <c r="AD14" s="4">
        <f t="shared" si="1"/>
        <v>-9.5755000000017102E-4</v>
      </c>
      <c r="AE14" s="4">
        <f t="shared" si="1"/>
        <v>-7.5669064183583341E-3</v>
      </c>
      <c r="AF14" s="4">
        <f t="shared" si="1"/>
        <v>-1.5018418209179252E-2</v>
      </c>
      <c r="AG14" s="4">
        <f t="shared" si="1"/>
        <v>-2.6017908209179253E-2</v>
      </c>
    </row>
    <row r="15" spans="1:33" ht="17" thickBot="1">
      <c r="C15" s="70" t="s">
        <v>165</v>
      </c>
      <c r="D15" s="71"/>
      <c r="E15" s="71"/>
      <c r="F15" s="72"/>
      <c r="J15" s="56"/>
      <c r="K15" s="57"/>
      <c r="Y15">
        <f t="shared" si="2"/>
        <v>2026</v>
      </c>
      <c r="Z15" s="4">
        <f t="shared" si="3"/>
        <v>1.4061860000000002E-2</v>
      </c>
      <c r="AA15" s="4">
        <f t="shared" si="1"/>
        <v>7.4494999999999995E-3</v>
      </c>
      <c r="AB15" s="4">
        <f t="shared" si="1"/>
        <v>-5.1000000000109118E-7</v>
      </c>
      <c r="AC15" s="4">
        <f t="shared" si="1"/>
        <v>-1.0999999999999999E-2</v>
      </c>
      <c r="AD15" s="4">
        <f t="shared" si="1"/>
        <v>-9.5755000000017102E-4</v>
      </c>
      <c r="AE15" s="4">
        <f t="shared" si="1"/>
        <v>-7.5669064183583341E-3</v>
      </c>
      <c r="AF15" s="4">
        <f t="shared" si="1"/>
        <v>-1.5018418209179252E-2</v>
      </c>
      <c r="AG15" s="4">
        <f t="shared" si="1"/>
        <v>-2.6017908209179253E-2</v>
      </c>
    </row>
    <row r="16" spans="1:33" ht="48">
      <c r="A16" s="32"/>
      <c r="B16" s="50" t="s">
        <v>152</v>
      </c>
      <c r="C16" s="41" t="s">
        <v>148</v>
      </c>
      <c r="D16" s="42" t="s">
        <v>149</v>
      </c>
      <c r="E16" s="42" t="s">
        <v>150</v>
      </c>
      <c r="F16" s="43" t="s">
        <v>151</v>
      </c>
      <c r="K16" s="4"/>
      <c r="N16" s="4"/>
      <c r="R16" s="67" t="s">
        <v>172</v>
      </c>
      <c r="S16" s="68"/>
      <c r="T16" s="68"/>
      <c r="U16" s="69"/>
      <c r="Y16">
        <f t="shared" si="2"/>
        <v>2027</v>
      </c>
      <c r="Z16" s="4">
        <f t="shared" si="3"/>
        <v>1.4061860000000002E-2</v>
      </c>
      <c r="AA16" s="4">
        <f t="shared" si="1"/>
        <v>7.4494999999999995E-3</v>
      </c>
      <c r="AB16" s="4">
        <f t="shared" si="1"/>
        <v>-5.1000000000109118E-7</v>
      </c>
      <c r="AC16" s="4">
        <f t="shared" si="1"/>
        <v>-1.0999999999999999E-2</v>
      </c>
      <c r="AD16" s="4">
        <f t="shared" si="1"/>
        <v>-9.5755000000017102E-4</v>
      </c>
      <c r="AE16" s="4">
        <f t="shared" si="1"/>
        <v>-7.5669064183583341E-3</v>
      </c>
      <c r="AF16" s="4">
        <f t="shared" si="1"/>
        <v>-1.5018418209179252E-2</v>
      </c>
      <c r="AG16" s="4">
        <f t="shared" si="1"/>
        <v>-2.6017908209179253E-2</v>
      </c>
    </row>
    <row r="17" spans="1:33" ht="24">
      <c r="A17" s="51" t="s">
        <v>153</v>
      </c>
      <c r="B17" s="4">
        <v>0.62509999999999999</v>
      </c>
      <c r="C17" s="44">
        <f t="shared" ref="C17:F21" si="4">C6-C$29</f>
        <v>4.0820917908207452E-3</v>
      </c>
      <c r="D17" s="45">
        <f t="shared" si="4"/>
        <v>3.2874212578742117E-2</v>
      </c>
      <c r="E17" s="45">
        <f t="shared" si="4"/>
        <v>2.4127587241275873E-2</v>
      </c>
      <c r="F17" s="46">
        <f t="shared" si="4"/>
        <v>2.3034061693830467E-2</v>
      </c>
      <c r="K17" s="4"/>
      <c r="R17" s="41" t="s">
        <v>148</v>
      </c>
      <c r="S17" s="42" t="s">
        <v>149</v>
      </c>
      <c r="T17" s="42" t="s">
        <v>150</v>
      </c>
      <c r="U17" s="43" t="s">
        <v>151</v>
      </c>
      <c r="Y17">
        <f t="shared" si="2"/>
        <v>2028</v>
      </c>
      <c r="Z17" s="4">
        <f>S7</f>
        <v>3.8095570000000002E-2</v>
      </c>
      <c r="AA17" s="4">
        <f>S8</f>
        <v>3.2019039999999999E-2</v>
      </c>
      <c r="AB17" s="4">
        <f>S9</f>
        <v>2.6789159999999996E-2</v>
      </c>
      <c r="AC17" s="4">
        <f>S10</f>
        <v>-2.8999999999999998E-3</v>
      </c>
      <c r="AD17" s="4">
        <f>S18</f>
        <v>2.5768549999999994E-2</v>
      </c>
      <c r="AE17" s="4">
        <f>S19</f>
        <v>1.9694485157484246E-2</v>
      </c>
      <c r="AF17" s="4">
        <f>S20</f>
        <v>1.4463372578742121E-2</v>
      </c>
      <c r="AG17" s="4">
        <f>S21</f>
        <v>-1.5225787421257879E-2</v>
      </c>
    </row>
    <row r="18" spans="1:33">
      <c r="A18" s="51" t="s">
        <v>154</v>
      </c>
      <c r="B18" s="4">
        <v>7.4999999999999997E-2</v>
      </c>
      <c r="C18" s="44">
        <f t="shared" si="4"/>
        <v>1.0582091790820747E-2</v>
      </c>
      <c r="D18" s="45">
        <f t="shared" si="4"/>
        <v>2.3374212578742122E-2</v>
      </c>
      <c r="E18" s="45">
        <f t="shared" si="4"/>
        <v>2.2627587241275879E-2</v>
      </c>
      <c r="F18" s="46">
        <f t="shared" si="4"/>
        <v>1.8934061693830467E-2</v>
      </c>
      <c r="K18" s="4"/>
      <c r="Q18" s="3" t="s">
        <v>167</v>
      </c>
      <c r="R18" s="44">
        <f>$L6*C17+$L7*C18+$L8*C19+$L9*C20+$L10*C21</f>
        <v>-9.5755000000017102E-4</v>
      </c>
      <c r="S18" s="45">
        <f>$L6*D17+$L7*D18+$L8*D19+$L9*D20+$L10*D21</f>
        <v>2.5768549999999994E-2</v>
      </c>
      <c r="T18" s="45">
        <f>$L6*E17+$L7*E18+$L8*E19+$L9*E20+$L10*E21</f>
        <v>1.8055500000000002E-2</v>
      </c>
      <c r="U18" s="46">
        <f>$L6*F17+$L7*F18+$L8*F19+$L9*F20+$L10*F21</f>
        <v>1.6641285099999851E-2</v>
      </c>
      <c r="Y18">
        <f t="shared" si="2"/>
        <v>2029</v>
      </c>
      <c r="Z18" s="4">
        <f>Z17</f>
        <v>3.8095570000000002E-2</v>
      </c>
      <c r="AA18" s="4">
        <f t="shared" ref="AA18:AG18" si="5">AA17</f>
        <v>3.2019039999999999E-2</v>
      </c>
      <c r="AB18" s="4">
        <f t="shared" si="5"/>
        <v>2.6789159999999996E-2</v>
      </c>
      <c r="AC18" s="4">
        <f t="shared" si="5"/>
        <v>-2.8999999999999998E-3</v>
      </c>
      <c r="AD18" s="4">
        <f t="shared" si="5"/>
        <v>2.5768549999999994E-2</v>
      </c>
      <c r="AE18" s="4">
        <f t="shared" si="5"/>
        <v>1.9694485157484246E-2</v>
      </c>
      <c r="AF18" s="4">
        <f t="shared" si="5"/>
        <v>1.4463372578742121E-2</v>
      </c>
      <c r="AG18" s="4">
        <f t="shared" si="5"/>
        <v>-1.5225787421257879E-2</v>
      </c>
    </row>
    <row r="19" spans="1:33">
      <c r="A19" s="51" t="s">
        <v>155</v>
      </c>
      <c r="B19" s="4">
        <v>0.1</v>
      </c>
      <c r="C19" s="44">
        <f t="shared" si="4"/>
        <v>-1.6417908209179252E-2</v>
      </c>
      <c r="D19" s="45">
        <f t="shared" si="4"/>
        <v>1.017421257874212E-2</v>
      </c>
      <c r="E19" s="45">
        <f t="shared" si="4"/>
        <v>2.5275872412758738E-3</v>
      </c>
      <c r="F19" s="46">
        <f t="shared" si="4"/>
        <v>1.134061693830464E-3</v>
      </c>
      <c r="K19" s="4"/>
      <c r="Q19" s="3" t="s">
        <v>168</v>
      </c>
      <c r="R19" s="44">
        <f>$M6*C17+$M7*C18+$M8*C19+$M9*C20+$M10*C21</f>
        <v>-7.5669064183583341E-3</v>
      </c>
      <c r="S19" s="45">
        <f>$M6*D17+$M7*D18+$M8*D19+$M9*D20+$M10*D21</f>
        <v>1.9694485157484246E-2</v>
      </c>
      <c r="T19" s="45">
        <f>$M6*E17+$M7*E18+$M8*E19+$M9*E20+$M10*E21</f>
        <v>1.1712659482551745E-2</v>
      </c>
      <c r="U19" s="46">
        <f>$M6*F17+$M7*F18+$M8*F19+$M9*F20+$M10*F21</f>
        <v>1.0394088287661083E-2</v>
      </c>
      <c r="Y19">
        <f t="shared" si="2"/>
        <v>2030</v>
      </c>
      <c r="Z19" s="4">
        <f t="shared" ref="Z19:Z26" si="6">Z18</f>
        <v>3.8095570000000002E-2</v>
      </c>
      <c r="AA19" s="4">
        <f t="shared" ref="AA19:AA26" si="7">AA18</f>
        <v>3.2019039999999999E-2</v>
      </c>
      <c r="AB19" s="4">
        <f t="shared" ref="AB19:AB26" si="8">AB18</f>
        <v>2.6789159999999996E-2</v>
      </c>
      <c r="AC19" s="4">
        <f t="shared" ref="AC19:AC26" si="9">AC18</f>
        <v>-2.8999999999999998E-3</v>
      </c>
      <c r="AD19" s="4">
        <f t="shared" ref="AD19:AD26" si="10">AD18</f>
        <v>2.5768549999999994E-2</v>
      </c>
      <c r="AE19" s="4">
        <f t="shared" ref="AE19:AE26" si="11">AE18</f>
        <v>1.9694485157484246E-2</v>
      </c>
      <c r="AF19" s="4">
        <f t="shared" ref="AF19:AF26" si="12">AF18</f>
        <v>1.4463372578742121E-2</v>
      </c>
      <c r="AG19" s="4">
        <f t="shared" ref="AG19:AG26" si="13">AG18</f>
        <v>-1.5225787421257879E-2</v>
      </c>
    </row>
    <row r="20" spans="1:33">
      <c r="A20" s="51" t="s">
        <v>156</v>
      </c>
      <c r="B20" s="4">
        <v>0.25</v>
      </c>
      <c r="C20" s="44">
        <f t="shared" si="4"/>
        <v>-5.3217908209179252E-2</v>
      </c>
      <c r="D20" s="45">
        <f t="shared" si="4"/>
        <v>-4.3257874212578786E-3</v>
      </c>
      <c r="E20" s="45">
        <f t="shared" si="4"/>
        <v>-2.3122412758724127E-2</v>
      </c>
      <c r="F20" s="46">
        <f t="shared" si="4"/>
        <v>-2.0965938306169538E-2</v>
      </c>
      <c r="K20" s="4"/>
      <c r="Q20" s="3" t="s">
        <v>169</v>
      </c>
      <c r="R20" s="44">
        <f>$N6*C17+$N7*C18+$N8*C19+$N9*C20+$N10*C21</f>
        <v>-1.5018418209179252E-2</v>
      </c>
      <c r="S20" s="45">
        <f>$N6*D17+$N7*D18+$N8*D19+$N9*D20+$N10*D21</f>
        <v>1.4463372578742121E-2</v>
      </c>
      <c r="T20" s="45">
        <f>$N6*E17+$N7*E18+$N8*E19+$N9*E20+$N10*E21</f>
        <v>5.3719122412758738E-3</v>
      </c>
      <c r="U20" s="46">
        <f>$N6*F17+$N7*F18+$N8*F19+$N9*F20+$N10*F21</f>
        <v>4.4161916938304643E-3</v>
      </c>
      <c r="Y20">
        <f t="shared" si="2"/>
        <v>2031</v>
      </c>
      <c r="Z20" s="4">
        <f t="shared" si="6"/>
        <v>3.8095570000000002E-2</v>
      </c>
      <c r="AA20" s="4">
        <f t="shared" si="7"/>
        <v>3.2019039999999999E-2</v>
      </c>
      <c r="AB20" s="4">
        <f t="shared" si="8"/>
        <v>2.6789159999999996E-2</v>
      </c>
      <c r="AC20" s="4">
        <f t="shared" si="9"/>
        <v>-2.8999999999999998E-3</v>
      </c>
      <c r="AD20" s="4">
        <f t="shared" si="10"/>
        <v>2.5768549999999994E-2</v>
      </c>
      <c r="AE20" s="4">
        <f t="shared" si="11"/>
        <v>1.9694485157484246E-2</v>
      </c>
      <c r="AF20" s="4">
        <f t="shared" si="12"/>
        <v>1.4463372578742121E-2</v>
      </c>
      <c r="AG20" s="4">
        <f t="shared" si="13"/>
        <v>-1.5225787421257879E-2</v>
      </c>
    </row>
    <row r="21" spans="1:33" ht="17" thickBot="1">
      <c r="A21" s="51" t="s">
        <v>157</v>
      </c>
      <c r="B21" s="4">
        <v>-0.05</v>
      </c>
      <c r="C21" s="47">
        <f t="shared" si="4"/>
        <v>-2.6017908209179253E-2</v>
      </c>
      <c r="D21" s="48">
        <f t="shared" si="4"/>
        <v>-1.5225787421257879E-2</v>
      </c>
      <c r="E21" s="48">
        <f t="shared" si="4"/>
        <v>-1.4972412758724126E-2</v>
      </c>
      <c r="F21" s="49">
        <f t="shared" si="4"/>
        <v>-1.8965938306169536E-2</v>
      </c>
      <c r="K21" s="4"/>
      <c r="Q21" s="3" t="s">
        <v>171</v>
      </c>
      <c r="R21" s="47">
        <f>$O6*C17+$O7*C18+$O8*C19+$O9*C20+$O10*C21</f>
        <v>-2.6017908209179253E-2</v>
      </c>
      <c r="S21" s="48">
        <f>$O6*D17+$O7*D18+$O8*D19+$O9*D20+$O10*D21</f>
        <v>-1.5225787421257879E-2</v>
      </c>
      <c r="T21" s="48">
        <f>$O6*E17+$O7*E18+$O8*E19+$O9*E20+$O10*E21</f>
        <v>-1.4972412758724126E-2</v>
      </c>
      <c r="U21" s="49">
        <f>$O6*F17+$O7*F18+$O8*F19+$O9*F20+$O10*F21</f>
        <v>-1.8965938306169536E-2</v>
      </c>
      <c r="Y21">
        <f t="shared" si="2"/>
        <v>2032</v>
      </c>
      <c r="Z21" s="4">
        <f t="shared" si="6"/>
        <v>3.8095570000000002E-2</v>
      </c>
      <c r="AA21" s="4">
        <f t="shared" si="7"/>
        <v>3.2019039999999999E-2</v>
      </c>
      <c r="AB21" s="4">
        <f t="shared" si="8"/>
        <v>2.6789159999999996E-2</v>
      </c>
      <c r="AC21" s="4">
        <f t="shared" si="9"/>
        <v>-2.8999999999999998E-3</v>
      </c>
      <c r="AD21" s="4">
        <f t="shared" si="10"/>
        <v>2.5768549999999994E-2</v>
      </c>
      <c r="AE21" s="4">
        <f t="shared" si="11"/>
        <v>1.9694485157484246E-2</v>
      </c>
      <c r="AF21" s="4">
        <f t="shared" si="12"/>
        <v>1.4463372578742121E-2</v>
      </c>
      <c r="AG21" s="4">
        <f t="shared" si="13"/>
        <v>-1.5225787421257879E-2</v>
      </c>
    </row>
    <row r="22" spans="1:33">
      <c r="A22" s="51" t="s">
        <v>158</v>
      </c>
      <c r="B22" s="4"/>
      <c r="C22" s="4">
        <v>5.0000000000000001E-3</v>
      </c>
      <c r="D22" s="4">
        <v>5.0000000000000001E-3</v>
      </c>
      <c r="E22" s="4">
        <v>5.0000000000000001E-3</v>
      </c>
      <c r="F22" s="4">
        <v>5.0000000000000001E-3</v>
      </c>
      <c r="K22" s="4"/>
      <c r="Y22">
        <f t="shared" si="2"/>
        <v>2033</v>
      </c>
      <c r="Z22" s="4">
        <f t="shared" si="6"/>
        <v>3.8095570000000002E-2</v>
      </c>
      <c r="AA22" s="4">
        <f t="shared" si="7"/>
        <v>3.2019039999999999E-2</v>
      </c>
      <c r="AB22" s="4">
        <f t="shared" si="8"/>
        <v>2.6789159999999996E-2</v>
      </c>
      <c r="AC22" s="4">
        <f t="shared" si="9"/>
        <v>-2.8999999999999998E-3</v>
      </c>
      <c r="AD22" s="4">
        <f t="shared" si="10"/>
        <v>2.5768549999999994E-2</v>
      </c>
      <c r="AE22" s="4">
        <f t="shared" si="11"/>
        <v>1.9694485157484246E-2</v>
      </c>
      <c r="AF22" s="4">
        <f t="shared" si="12"/>
        <v>1.4463372578742121E-2</v>
      </c>
      <c r="AG22" s="4">
        <f t="shared" si="13"/>
        <v>-1.5225787421257879E-2</v>
      </c>
    </row>
    <row r="23" spans="1:33">
      <c r="A23" s="52" t="s">
        <v>159</v>
      </c>
      <c r="C23" s="4">
        <f>(SUM((B17*C17),(B18*C18),(B19*C19),(B20*C20),(B21*C21)))+C22</f>
        <v>-5.3000000000001735E-3</v>
      </c>
      <c r="D23" s="4">
        <f>(SUM((B17*D17),(B18*D18),(B19*D19),(B20*D20),(B21*D21)))+D22</f>
        <v>2.7999999999999997E-2</v>
      </c>
      <c r="E23" s="4">
        <f>(SUM((B17*E17),(B18*E18),(B19*E19),(B20*E20),(B21*E21)))+E22</f>
        <v>1.7000000000000001E-2</v>
      </c>
      <c r="F23" s="4">
        <f>(SUM((B17*F17),(B18*F18),(B19*F19),(B20*F20),(B21*F21)))+F22</f>
        <v>1.6638865099999848E-2</v>
      </c>
      <c r="K23" s="4"/>
      <c r="Y23">
        <f t="shared" si="2"/>
        <v>2034</v>
      </c>
      <c r="Z23" s="4">
        <f t="shared" si="6"/>
        <v>3.8095570000000002E-2</v>
      </c>
      <c r="AA23" s="4">
        <f t="shared" si="7"/>
        <v>3.2019039999999999E-2</v>
      </c>
      <c r="AB23" s="4">
        <f t="shared" si="8"/>
        <v>2.6789159999999996E-2</v>
      </c>
      <c r="AC23" s="4">
        <f t="shared" si="9"/>
        <v>-2.8999999999999998E-3</v>
      </c>
      <c r="AD23" s="4">
        <f t="shared" si="10"/>
        <v>2.5768549999999994E-2</v>
      </c>
      <c r="AE23" s="4">
        <f t="shared" si="11"/>
        <v>1.9694485157484246E-2</v>
      </c>
      <c r="AF23" s="4">
        <f t="shared" si="12"/>
        <v>1.4463372578742121E-2</v>
      </c>
      <c r="AG23" s="4">
        <f t="shared" si="13"/>
        <v>-1.5225787421257879E-2</v>
      </c>
    </row>
    <row r="24" spans="1:33">
      <c r="K24" s="4"/>
      <c r="Y24">
        <f t="shared" si="2"/>
        <v>2035</v>
      </c>
      <c r="Z24" s="4">
        <f t="shared" si="6"/>
        <v>3.8095570000000002E-2</v>
      </c>
      <c r="AA24" s="4">
        <f t="shared" si="7"/>
        <v>3.2019039999999999E-2</v>
      </c>
      <c r="AB24" s="4">
        <f t="shared" si="8"/>
        <v>2.6789159999999996E-2</v>
      </c>
      <c r="AC24" s="4">
        <f t="shared" si="9"/>
        <v>-2.8999999999999998E-3</v>
      </c>
      <c r="AD24" s="4">
        <f t="shared" si="10"/>
        <v>2.5768549999999994E-2</v>
      </c>
      <c r="AE24" s="4">
        <f t="shared" si="11"/>
        <v>1.9694485157484246E-2</v>
      </c>
      <c r="AF24" s="4">
        <f t="shared" si="12"/>
        <v>1.4463372578742121E-2</v>
      </c>
      <c r="AG24" s="4">
        <f t="shared" si="13"/>
        <v>-1.5225787421257879E-2</v>
      </c>
    </row>
    <row r="25" spans="1:33">
      <c r="A25" s="51" t="s">
        <v>164</v>
      </c>
      <c r="C25" s="4">
        <v>-5.3E-3</v>
      </c>
      <c r="D25" s="4">
        <v>2.8000000000000001E-2</v>
      </c>
      <c r="E25" s="4">
        <v>1.7000000000000001E-2</v>
      </c>
      <c r="F25" s="4">
        <v>1.7000000000000001E-2</v>
      </c>
      <c r="K25" s="4"/>
      <c r="Y25">
        <f t="shared" si="2"/>
        <v>2036</v>
      </c>
      <c r="Z25" s="4">
        <f t="shared" si="6"/>
        <v>3.8095570000000002E-2</v>
      </c>
      <c r="AA25" s="4">
        <f t="shared" si="7"/>
        <v>3.2019039999999999E-2</v>
      </c>
      <c r="AB25" s="4">
        <f t="shared" si="8"/>
        <v>2.6789159999999996E-2</v>
      </c>
      <c r="AC25" s="4">
        <f t="shared" si="9"/>
        <v>-2.8999999999999998E-3</v>
      </c>
      <c r="AD25" s="4">
        <f t="shared" si="10"/>
        <v>2.5768549999999994E-2</v>
      </c>
      <c r="AE25" s="4">
        <f t="shared" si="11"/>
        <v>1.9694485157484246E-2</v>
      </c>
      <c r="AF25" s="4">
        <f t="shared" si="12"/>
        <v>1.4463372578742121E-2</v>
      </c>
      <c r="AG25" s="4">
        <f t="shared" si="13"/>
        <v>-1.5225787421257879E-2</v>
      </c>
    </row>
    <row r="26" spans="1:33">
      <c r="K26" s="4"/>
      <c r="Y26">
        <f t="shared" si="2"/>
        <v>2037</v>
      </c>
      <c r="Z26" s="4">
        <f t="shared" si="6"/>
        <v>3.8095570000000002E-2</v>
      </c>
      <c r="AA26" s="4">
        <f t="shared" si="7"/>
        <v>3.2019039999999999E-2</v>
      </c>
      <c r="AB26" s="4">
        <f t="shared" si="8"/>
        <v>2.6789159999999996E-2</v>
      </c>
      <c r="AC26" s="4">
        <f t="shared" si="9"/>
        <v>-2.8999999999999998E-3</v>
      </c>
      <c r="AD26" s="4">
        <f t="shared" si="10"/>
        <v>2.5768549999999994E-2</v>
      </c>
      <c r="AE26" s="4">
        <f t="shared" si="11"/>
        <v>1.9694485157484246E-2</v>
      </c>
      <c r="AF26" s="4">
        <f t="shared" si="12"/>
        <v>1.4463372578742121E-2</v>
      </c>
      <c r="AG26" s="4">
        <f t="shared" si="13"/>
        <v>-1.5225787421257879E-2</v>
      </c>
    </row>
    <row r="27" spans="1:33">
      <c r="K27" s="4"/>
      <c r="Y27">
        <f t="shared" si="2"/>
        <v>2038</v>
      </c>
      <c r="Z27" s="4">
        <f>T7</f>
        <v>2.6078714999999999E-2</v>
      </c>
      <c r="AA27" s="4">
        <f>T8</f>
        <v>1.9734270000000002E-2</v>
      </c>
      <c r="AB27" s="4">
        <f>T9</f>
        <v>1.3394324999999999E-2</v>
      </c>
      <c r="AC27" s="4">
        <f>T10</f>
        <v>-6.9499999999999996E-3</v>
      </c>
      <c r="AD27" s="4">
        <f>T18</f>
        <v>1.8055500000000002E-2</v>
      </c>
      <c r="AE27" s="4">
        <f>T19</f>
        <v>1.1712659482551745E-2</v>
      </c>
      <c r="AF27" s="4">
        <f>T20</f>
        <v>5.3719122412758738E-3</v>
      </c>
      <c r="AG27" s="4">
        <f>T21</f>
        <v>-1.4972412758724126E-2</v>
      </c>
    </row>
    <row r="28" spans="1:33">
      <c r="B28" t="s">
        <v>162</v>
      </c>
      <c r="Y28">
        <f t="shared" si="2"/>
        <v>2039</v>
      </c>
      <c r="Z28" s="4">
        <f>Z27</f>
        <v>2.6078714999999999E-2</v>
      </c>
      <c r="AA28" s="4">
        <f t="shared" ref="AA28:AG28" si="14">AA27</f>
        <v>1.9734270000000002E-2</v>
      </c>
      <c r="AB28" s="4">
        <f t="shared" si="14"/>
        <v>1.3394324999999999E-2</v>
      </c>
      <c r="AC28" s="4">
        <f t="shared" si="14"/>
        <v>-6.9499999999999996E-3</v>
      </c>
      <c r="AD28" s="4">
        <f t="shared" si="14"/>
        <v>1.8055500000000002E-2</v>
      </c>
      <c r="AE28" s="4">
        <f t="shared" si="14"/>
        <v>1.1712659482551745E-2</v>
      </c>
      <c r="AF28" s="4">
        <f t="shared" si="14"/>
        <v>5.3719122412758738E-3</v>
      </c>
      <c r="AG28" s="4">
        <f t="shared" si="14"/>
        <v>-1.4972412758724126E-2</v>
      </c>
    </row>
    <row r="29" spans="1:33">
      <c r="B29" t="s">
        <v>163</v>
      </c>
      <c r="C29">
        <v>1.5017908209179254E-2</v>
      </c>
      <c r="D29">
        <v>1.2325787421257879E-2</v>
      </c>
      <c r="E29">
        <v>8.0224127587241265E-3</v>
      </c>
      <c r="F29">
        <v>1.3365938306169537E-2</v>
      </c>
      <c r="Y29">
        <f t="shared" si="2"/>
        <v>2040</v>
      </c>
      <c r="Z29" s="4">
        <f t="shared" ref="Z29:Z36" si="15">Z28</f>
        <v>2.6078714999999999E-2</v>
      </c>
      <c r="AA29" s="4">
        <f t="shared" ref="AA29:AA36" si="16">AA28</f>
        <v>1.9734270000000002E-2</v>
      </c>
      <c r="AB29" s="4">
        <f t="shared" ref="AB29:AB36" si="17">AB28</f>
        <v>1.3394324999999999E-2</v>
      </c>
      <c r="AC29" s="4">
        <f t="shared" ref="AC29:AC36" si="18">AC28</f>
        <v>-6.9499999999999996E-3</v>
      </c>
      <c r="AD29" s="4">
        <f t="shared" ref="AD29:AD36" si="19">AD28</f>
        <v>1.8055500000000002E-2</v>
      </c>
      <c r="AE29" s="4">
        <f t="shared" ref="AE29:AE36" si="20">AE28</f>
        <v>1.1712659482551745E-2</v>
      </c>
      <c r="AF29" s="4">
        <f t="shared" ref="AF29:AF36" si="21">AF28</f>
        <v>5.3719122412758738E-3</v>
      </c>
      <c r="AG29" s="4">
        <f t="shared" ref="AG29:AG36" si="22">AG28</f>
        <v>-1.4972412758724126E-2</v>
      </c>
    </row>
    <row r="30" spans="1:33">
      <c r="Y30">
        <f t="shared" si="2"/>
        <v>2041</v>
      </c>
      <c r="Z30" s="4">
        <f t="shared" si="15"/>
        <v>2.6078714999999999E-2</v>
      </c>
      <c r="AA30" s="4">
        <f t="shared" si="16"/>
        <v>1.9734270000000002E-2</v>
      </c>
      <c r="AB30" s="4">
        <f t="shared" si="17"/>
        <v>1.3394324999999999E-2</v>
      </c>
      <c r="AC30" s="4">
        <f t="shared" si="18"/>
        <v>-6.9499999999999996E-3</v>
      </c>
      <c r="AD30" s="4">
        <f t="shared" si="19"/>
        <v>1.8055500000000002E-2</v>
      </c>
      <c r="AE30" s="4">
        <f t="shared" si="20"/>
        <v>1.1712659482551745E-2</v>
      </c>
      <c r="AF30" s="4">
        <f t="shared" si="21"/>
        <v>5.3719122412758738E-3</v>
      </c>
      <c r="AG30" s="4">
        <f t="shared" si="22"/>
        <v>-1.4972412758724126E-2</v>
      </c>
    </row>
    <row r="31" spans="1:33">
      <c r="Y31">
        <f t="shared" si="2"/>
        <v>2042</v>
      </c>
      <c r="Z31" s="4">
        <f t="shared" si="15"/>
        <v>2.6078714999999999E-2</v>
      </c>
      <c r="AA31" s="4">
        <f t="shared" si="16"/>
        <v>1.9734270000000002E-2</v>
      </c>
      <c r="AB31" s="4">
        <f t="shared" si="17"/>
        <v>1.3394324999999999E-2</v>
      </c>
      <c r="AC31" s="4">
        <f t="shared" si="18"/>
        <v>-6.9499999999999996E-3</v>
      </c>
      <c r="AD31" s="4">
        <f t="shared" si="19"/>
        <v>1.8055500000000002E-2</v>
      </c>
      <c r="AE31" s="4">
        <f t="shared" si="20"/>
        <v>1.1712659482551745E-2</v>
      </c>
      <c r="AF31" s="4">
        <f t="shared" si="21"/>
        <v>5.3719122412758738E-3</v>
      </c>
      <c r="AG31" s="4">
        <f t="shared" si="22"/>
        <v>-1.4972412758724126E-2</v>
      </c>
    </row>
    <row r="32" spans="1:33">
      <c r="A32" t="s">
        <v>160</v>
      </c>
      <c r="Y32">
        <f t="shared" si="2"/>
        <v>2043</v>
      </c>
      <c r="Z32" s="4">
        <f t="shared" si="15"/>
        <v>2.6078714999999999E-2</v>
      </c>
      <c r="AA32" s="4">
        <f t="shared" si="16"/>
        <v>1.9734270000000002E-2</v>
      </c>
      <c r="AB32" s="4">
        <f t="shared" si="17"/>
        <v>1.3394324999999999E-2</v>
      </c>
      <c r="AC32" s="4">
        <f t="shared" si="18"/>
        <v>-6.9499999999999996E-3</v>
      </c>
      <c r="AD32" s="4">
        <f t="shared" si="19"/>
        <v>1.8055500000000002E-2</v>
      </c>
      <c r="AE32" s="4">
        <f t="shared" si="20"/>
        <v>1.1712659482551745E-2</v>
      </c>
      <c r="AF32" s="4">
        <f t="shared" si="21"/>
        <v>5.3719122412758738E-3</v>
      </c>
      <c r="AG32" s="4">
        <f t="shared" si="22"/>
        <v>-1.4972412758724126E-2</v>
      </c>
    </row>
    <row r="33" spans="1:33">
      <c r="Y33">
        <f t="shared" si="2"/>
        <v>2044</v>
      </c>
      <c r="Z33" s="4">
        <f t="shared" si="15"/>
        <v>2.6078714999999999E-2</v>
      </c>
      <c r="AA33" s="4">
        <f t="shared" si="16"/>
        <v>1.9734270000000002E-2</v>
      </c>
      <c r="AB33" s="4">
        <f t="shared" si="17"/>
        <v>1.3394324999999999E-2</v>
      </c>
      <c r="AC33" s="4">
        <f t="shared" si="18"/>
        <v>-6.9499999999999996E-3</v>
      </c>
      <c r="AD33" s="4">
        <f t="shared" si="19"/>
        <v>1.8055500000000002E-2</v>
      </c>
      <c r="AE33" s="4">
        <f t="shared" si="20"/>
        <v>1.1712659482551745E-2</v>
      </c>
      <c r="AF33" s="4">
        <f t="shared" si="21"/>
        <v>5.3719122412758738E-3</v>
      </c>
      <c r="AG33" s="4">
        <f t="shared" si="22"/>
        <v>-1.4972412758724126E-2</v>
      </c>
    </row>
    <row r="34" spans="1:33">
      <c r="A34" t="s">
        <v>202</v>
      </c>
      <c r="Y34">
        <f t="shared" si="2"/>
        <v>2045</v>
      </c>
      <c r="Z34" s="4">
        <f t="shared" si="15"/>
        <v>2.6078714999999999E-2</v>
      </c>
      <c r="AA34" s="4">
        <f t="shared" si="16"/>
        <v>1.9734270000000002E-2</v>
      </c>
      <c r="AB34" s="4">
        <f t="shared" si="17"/>
        <v>1.3394324999999999E-2</v>
      </c>
      <c r="AC34" s="4">
        <f t="shared" si="18"/>
        <v>-6.9499999999999996E-3</v>
      </c>
      <c r="AD34" s="4">
        <f t="shared" si="19"/>
        <v>1.8055500000000002E-2</v>
      </c>
      <c r="AE34" s="4">
        <f t="shared" si="20"/>
        <v>1.1712659482551745E-2</v>
      </c>
      <c r="AF34" s="4">
        <f t="shared" si="21"/>
        <v>5.3719122412758738E-3</v>
      </c>
      <c r="AG34" s="4">
        <f t="shared" si="22"/>
        <v>-1.4972412758724126E-2</v>
      </c>
    </row>
    <row r="35" spans="1:33">
      <c r="A35" t="s">
        <v>201</v>
      </c>
      <c r="Y35">
        <f t="shared" si="2"/>
        <v>2046</v>
      </c>
      <c r="Z35" s="4">
        <f t="shared" si="15"/>
        <v>2.6078714999999999E-2</v>
      </c>
      <c r="AA35" s="4">
        <f t="shared" si="16"/>
        <v>1.9734270000000002E-2</v>
      </c>
      <c r="AB35" s="4">
        <f t="shared" si="17"/>
        <v>1.3394324999999999E-2</v>
      </c>
      <c r="AC35" s="4">
        <f t="shared" si="18"/>
        <v>-6.9499999999999996E-3</v>
      </c>
      <c r="AD35" s="4">
        <f t="shared" si="19"/>
        <v>1.8055500000000002E-2</v>
      </c>
      <c r="AE35" s="4">
        <f t="shared" si="20"/>
        <v>1.1712659482551745E-2</v>
      </c>
      <c r="AF35" s="4">
        <f t="shared" si="21"/>
        <v>5.3719122412758738E-3</v>
      </c>
      <c r="AG35" s="4">
        <f t="shared" si="22"/>
        <v>-1.4972412758724126E-2</v>
      </c>
    </row>
    <row r="36" spans="1:33">
      <c r="Y36">
        <f t="shared" si="2"/>
        <v>2047</v>
      </c>
      <c r="Z36" s="4">
        <f t="shared" si="15"/>
        <v>2.6078714999999999E-2</v>
      </c>
      <c r="AA36" s="4">
        <f t="shared" si="16"/>
        <v>1.9734270000000002E-2</v>
      </c>
      <c r="AB36" s="4">
        <f t="shared" si="17"/>
        <v>1.3394324999999999E-2</v>
      </c>
      <c r="AC36" s="4">
        <f t="shared" si="18"/>
        <v>-6.9499999999999996E-3</v>
      </c>
      <c r="AD36" s="4">
        <f t="shared" si="19"/>
        <v>1.8055500000000002E-2</v>
      </c>
      <c r="AE36" s="4">
        <f t="shared" si="20"/>
        <v>1.1712659482551745E-2</v>
      </c>
      <c r="AF36" s="4">
        <f t="shared" si="21"/>
        <v>5.3719122412758738E-3</v>
      </c>
      <c r="AG36" s="4">
        <f t="shared" si="22"/>
        <v>-1.4972412758724126E-2</v>
      </c>
    </row>
    <row r="37" spans="1:33">
      <c r="Y37">
        <f t="shared" si="2"/>
        <v>2048</v>
      </c>
      <c r="Z37" s="4">
        <f>U7</f>
        <v>3.000856E-2</v>
      </c>
      <c r="AA37" s="4">
        <f>U8</f>
        <v>2.3758689999999999E-2</v>
      </c>
      <c r="AB37" s="4">
        <f>U9</f>
        <v>1.7782129999999997E-2</v>
      </c>
      <c r="AC37" s="4">
        <f>U10</f>
        <v>-5.5999999999999999E-3</v>
      </c>
      <c r="AD37" s="4">
        <f>U18</f>
        <v>1.6641285099999851E-2</v>
      </c>
      <c r="AE37" s="4">
        <f>U19</f>
        <v>1.0394088287661083E-2</v>
      </c>
      <c r="AF37" s="4">
        <f>U20</f>
        <v>4.4161916938304643E-3</v>
      </c>
      <c r="AG37" s="4">
        <f>U21</f>
        <v>-1.8965938306169536E-2</v>
      </c>
    </row>
    <row r="38" spans="1:33">
      <c r="Y38">
        <f t="shared" si="2"/>
        <v>2049</v>
      </c>
      <c r="Z38" s="4">
        <f>Z37</f>
        <v>3.000856E-2</v>
      </c>
      <c r="AA38" s="4">
        <f t="shared" ref="AA38:AG38" si="23">AA37</f>
        <v>2.3758689999999999E-2</v>
      </c>
      <c r="AB38" s="4">
        <f t="shared" si="23"/>
        <v>1.7782129999999997E-2</v>
      </c>
      <c r="AC38" s="4">
        <f t="shared" si="23"/>
        <v>-5.5999999999999999E-3</v>
      </c>
      <c r="AD38" s="4">
        <f t="shared" si="23"/>
        <v>1.6641285099999851E-2</v>
      </c>
      <c r="AE38" s="4">
        <f t="shared" si="23"/>
        <v>1.0394088287661083E-2</v>
      </c>
      <c r="AF38" s="4">
        <f t="shared" si="23"/>
        <v>4.4161916938304643E-3</v>
      </c>
      <c r="AG38" s="4">
        <f t="shared" si="23"/>
        <v>-1.8965938306169536E-2</v>
      </c>
    </row>
    <row r="39" spans="1:33">
      <c r="Y39">
        <f t="shared" si="2"/>
        <v>2050</v>
      </c>
      <c r="Z39" s="4">
        <f t="shared" ref="Z39:Z55" si="24">Z38</f>
        <v>3.000856E-2</v>
      </c>
      <c r="AA39" s="4">
        <f t="shared" ref="AA39:AA55" si="25">AA38</f>
        <v>2.3758689999999999E-2</v>
      </c>
      <c r="AB39" s="4">
        <f t="shared" ref="AB39:AB55" si="26">AB38</f>
        <v>1.7782129999999997E-2</v>
      </c>
      <c r="AC39" s="4">
        <f t="shared" ref="AC39:AC55" si="27">AC38</f>
        <v>-5.5999999999999999E-3</v>
      </c>
      <c r="AD39" s="4">
        <f t="shared" ref="AD39:AD55" si="28">AD38</f>
        <v>1.6641285099999851E-2</v>
      </c>
      <c r="AE39" s="4">
        <f t="shared" ref="AE39:AE55" si="29">AE38</f>
        <v>1.0394088287661083E-2</v>
      </c>
      <c r="AF39" s="4">
        <f t="shared" ref="AF39:AF55" si="30">AF38</f>
        <v>4.4161916938304643E-3</v>
      </c>
      <c r="AG39" s="4">
        <f t="shared" ref="AG39:AG55" si="31">AG38</f>
        <v>-1.8965938306169536E-2</v>
      </c>
    </row>
    <row r="40" spans="1:33">
      <c r="Y40">
        <f t="shared" si="2"/>
        <v>2051</v>
      </c>
      <c r="Z40" s="4">
        <f t="shared" si="24"/>
        <v>3.000856E-2</v>
      </c>
      <c r="AA40" s="4">
        <f t="shared" si="25"/>
        <v>2.3758689999999999E-2</v>
      </c>
      <c r="AB40" s="4">
        <f t="shared" si="26"/>
        <v>1.7782129999999997E-2</v>
      </c>
      <c r="AC40" s="4">
        <f t="shared" si="27"/>
        <v>-5.5999999999999999E-3</v>
      </c>
      <c r="AD40" s="4">
        <f t="shared" si="28"/>
        <v>1.6641285099999851E-2</v>
      </c>
      <c r="AE40" s="4">
        <f t="shared" si="29"/>
        <v>1.0394088287661083E-2</v>
      </c>
      <c r="AF40" s="4">
        <f t="shared" si="30"/>
        <v>4.4161916938304643E-3</v>
      </c>
      <c r="AG40" s="4">
        <f t="shared" si="31"/>
        <v>-1.8965938306169536E-2</v>
      </c>
    </row>
    <row r="41" spans="1:33">
      <c r="Y41">
        <f t="shared" si="2"/>
        <v>2052</v>
      </c>
      <c r="Z41" s="4">
        <f t="shared" si="24"/>
        <v>3.000856E-2</v>
      </c>
      <c r="AA41" s="4">
        <f t="shared" si="25"/>
        <v>2.3758689999999999E-2</v>
      </c>
      <c r="AB41" s="4">
        <f t="shared" si="26"/>
        <v>1.7782129999999997E-2</v>
      </c>
      <c r="AC41" s="4">
        <f t="shared" si="27"/>
        <v>-5.5999999999999999E-3</v>
      </c>
      <c r="AD41" s="4">
        <f t="shared" si="28"/>
        <v>1.6641285099999851E-2</v>
      </c>
      <c r="AE41" s="4">
        <f t="shared" si="29"/>
        <v>1.0394088287661083E-2</v>
      </c>
      <c r="AF41" s="4">
        <f t="shared" si="30"/>
        <v>4.4161916938304643E-3</v>
      </c>
      <c r="AG41" s="4">
        <f t="shared" si="31"/>
        <v>-1.8965938306169536E-2</v>
      </c>
    </row>
    <row r="42" spans="1:33">
      <c r="Y42">
        <f t="shared" si="2"/>
        <v>2053</v>
      </c>
      <c r="Z42" s="4">
        <f t="shared" si="24"/>
        <v>3.000856E-2</v>
      </c>
      <c r="AA42" s="4">
        <f t="shared" si="25"/>
        <v>2.3758689999999999E-2</v>
      </c>
      <c r="AB42" s="4">
        <f t="shared" si="26"/>
        <v>1.7782129999999997E-2</v>
      </c>
      <c r="AC42" s="4">
        <f t="shared" si="27"/>
        <v>-5.5999999999999999E-3</v>
      </c>
      <c r="AD42" s="4">
        <f t="shared" si="28"/>
        <v>1.6641285099999851E-2</v>
      </c>
      <c r="AE42" s="4">
        <f t="shared" si="29"/>
        <v>1.0394088287661083E-2</v>
      </c>
      <c r="AF42" s="4">
        <f t="shared" si="30"/>
        <v>4.4161916938304643E-3</v>
      </c>
      <c r="AG42" s="4">
        <f t="shared" si="31"/>
        <v>-1.8965938306169536E-2</v>
      </c>
    </row>
    <row r="43" spans="1:33">
      <c r="Y43">
        <f t="shared" si="2"/>
        <v>2054</v>
      </c>
      <c r="Z43" s="4">
        <f t="shared" si="24"/>
        <v>3.000856E-2</v>
      </c>
      <c r="AA43" s="4">
        <f t="shared" si="25"/>
        <v>2.3758689999999999E-2</v>
      </c>
      <c r="AB43" s="4">
        <f t="shared" si="26"/>
        <v>1.7782129999999997E-2</v>
      </c>
      <c r="AC43" s="4">
        <f t="shared" si="27"/>
        <v>-5.5999999999999999E-3</v>
      </c>
      <c r="AD43" s="4">
        <f t="shared" si="28"/>
        <v>1.6641285099999851E-2</v>
      </c>
      <c r="AE43" s="4">
        <f t="shared" si="29"/>
        <v>1.0394088287661083E-2</v>
      </c>
      <c r="AF43" s="4">
        <f t="shared" si="30"/>
        <v>4.4161916938304643E-3</v>
      </c>
      <c r="AG43" s="4">
        <f t="shared" si="31"/>
        <v>-1.8965938306169536E-2</v>
      </c>
    </row>
    <row r="44" spans="1:33">
      <c r="Y44">
        <f t="shared" si="2"/>
        <v>2055</v>
      </c>
      <c r="Z44" s="4">
        <f t="shared" si="24"/>
        <v>3.000856E-2</v>
      </c>
      <c r="AA44" s="4">
        <f t="shared" si="25"/>
        <v>2.3758689999999999E-2</v>
      </c>
      <c r="AB44" s="4">
        <f t="shared" si="26"/>
        <v>1.7782129999999997E-2</v>
      </c>
      <c r="AC44" s="4">
        <f t="shared" si="27"/>
        <v>-5.5999999999999999E-3</v>
      </c>
      <c r="AD44" s="4">
        <f t="shared" si="28"/>
        <v>1.6641285099999851E-2</v>
      </c>
      <c r="AE44" s="4">
        <f t="shared" si="29"/>
        <v>1.0394088287661083E-2</v>
      </c>
      <c r="AF44" s="4">
        <f t="shared" si="30"/>
        <v>4.4161916938304643E-3</v>
      </c>
      <c r="AG44" s="4">
        <f t="shared" si="31"/>
        <v>-1.8965938306169536E-2</v>
      </c>
    </row>
    <row r="45" spans="1:33">
      <c r="Y45">
        <f t="shared" si="2"/>
        <v>2056</v>
      </c>
      <c r="Z45" s="4">
        <f t="shared" si="24"/>
        <v>3.000856E-2</v>
      </c>
      <c r="AA45" s="4">
        <f t="shared" si="25"/>
        <v>2.3758689999999999E-2</v>
      </c>
      <c r="AB45" s="4">
        <f t="shared" si="26"/>
        <v>1.7782129999999997E-2</v>
      </c>
      <c r="AC45" s="4">
        <f t="shared" si="27"/>
        <v>-5.5999999999999999E-3</v>
      </c>
      <c r="AD45" s="4">
        <f t="shared" si="28"/>
        <v>1.6641285099999851E-2</v>
      </c>
      <c r="AE45" s="4">
        <f t="shared" si="29"/>
        <v>1.0394088287661083E-2</v>
      </c>
      <c r="AF45" s="4">
        <f t="shared" si="30"/>
        <v>4.4161916938304643E-3</v>
      </c>
      <c r="AG45" s="4">
        <f t="shared" si="31"/>
        <v>-1.8965938306169536E-2</v>
      </c>
    </row>
    <row r="46" spans="1:33">
      <c r="Y46">
        <f t="shared" si="2"/>
        <v>2057</v>
      </c>
      <c r="Z46" s="4">
        <f t="shared" si="24"/>
        <v>3.000856E-2</v>
      </c>
      <c r="AA46" s="4">
        <f t="shared" si="25"/>
        <v>2.3758689999999999E-2</v>
      </c>
      <c r="AB46" s="4">
        <f t="shared" si="26"/>
        <v>1.7782129999999997E-2</v>
      </c>
      <c r="AC46" s="4">
        <f t="shared" si="27"/>
        <v>-5.5999999999999999E-3</v>
      </c>
      <c r="AD46" s="4">
        <f t="shared" si="28"/>
        <v>1.6641285099999851E-2</v>
      </c>
      <c r="AE46" s="4">
        <f t="shared" si="29"/>
        <v>1.0394088287661083E-2</v>
      </c>
      <c r="AF46" s="4">
        <f t="shared" si="30"/>
        <v>4.4161916938304643E-3</v>
      </c>
      <c r="AG46" s="4">
        <f t="shared" si="31"/>
        <v>-1.8965938306169536E-2</v>
      </c>
    </row>
    <row r="47" spans="1:33">
      <c r="Y47">
        <f t="shared" si="2"/>
        <v>2058</v>
      </c>
      <c r="Z47" s="4">
        <f t="shared" si="24"/>
        <v>3.000856E-2</v>
      </c>
      <c r="AA47" s="4">
        <f t="shared" si="25"/>
        <v>2.3758689999999999E-2</v>
      </c>
      <c r="AB47" s="4">
        <f t="shared" si="26"/>
        <v>1.7782129999999997E-2</v>
      </c>
      <c r="AC47" s="4">
        <f t="shared" si="27"/>
        <v>-5.5999999999999999E-3</v>
      </c>
      <c r="AD47" s="4">
        <f t="shared" si="28"/>
        <v>1.6641285099999851E-2</v>
      </c>
      <c r="AE47" s="4">
        <f t="shared" si="29"/>
        <v>1.0394088287661083E-2</v>
      </c>
      <c r="AF47" s="4">
        <f t="shared" si="30"/>
        <v>4.4161916938304643E-3</v>
      </c>
      <c r="AG47" s="4">
        <f t="shared" si="31"/>
        <v>-1.8965938306169536E-2</v>
      </c>
    </row>
    <row r="48" spans="1:33">
      <c r="Y48">
        <f t="shared" si="2"/>
        <v>2059</v>
      </c>
      <c r="Z48" s="4">
        <f t="shared" si="24"/>
        <v>3.000856E-2</v>
      </c>
      <c r="AA48" s="4">
        <f t="shared" si="25"/>
        <v>2.3758689999999999E-2</v>
      </c>
      <c r="AB48" s="4">
        <f t="shared" si="26"/>
        <v>1.7782129999999997E-2</v>
      </c>
      <c r="AC48" s="4">
        <f t="shared" si="27"/>
        <v>-5.5999999999999999E-3</v>
      </c>
      <c r="AD48" s="4">
        <f t="shared" si="28"/>
        <v>1.6641285099999851E-2</v>
      </c>
      <c r="AE48" s="4">
        <f t="shared" si="29"/>
        <v>1.0394088287661083E-2</v>
      </c>
      <c r="AF48" s="4">
        <f t="shared" si="30"/>
        <v>4.4161916938304643E-3</v>
      </c>
      <c r="AG48" s="4">
        <f t="shared" si="31"/>
        <v>-1.8965938306169536E-2</v>
      </c>
    </row>
    <row r="49" spans="25:33">
      <c r="Y49">
        <f t="shared" si="2"/>
        <v>2060</v>
      </c>
      <c r="Z49" s="4">
        <f t="shared" si="24"/>
        <v>3.000856E-2</v>
      </c>
      <c r="AA49" s="4">
        <f t="shared" si="25"/>
        <v>2.3758689999999999E-2</v>
      </c>
      <c r="AB49" s="4">
        <f t="shared" si="26"/>
        <v>1.7782129999999997E-2</v>
      </c>
      <c r="AC49" s="4">
        <f t="shared" si="27"/>
        <v>-5.5999999999999999E-3</v>
      </c>
      <c r="AD49" s="4">
        <f t="shared" si="28"/>
        <v>1.6641285099999851E-2</v>
      </c>
      <c r="AE49" s="4">
        <f t="shared" si="29"/>
        <v>1.0394088287661083E-2</v>
      </c>
      <c r="AF49" s="4">
        <f t="shared" si="30"/>
        <v>4.4161916938304643E-3</v>
      </c>
      <c r="AG49" s="4">
        <f t="shared" si="31"/>
        <v>-1.8965938306169536E-2</v>
      </c>
    </row>
    <row r="50" spans="25:33">
      <c r="Y50">
        <f t="shared" si="2"/>
        <v>2061</v>
      </c>
      <c r="Z50" s="4">
        <f t="shared" si="24"/>
        <v>3.000856E-2</v>
      </c>
      <c r="AA50" s="4">
        <f t="shared" si="25"/>
        <v>2.3758689999999999E-2</v>
      </c>
      <c r="AB50" s="4">
        <f t="shared" si="26"/>
        <v>1.7782129999999997E-2</v>
      </c>
      <c r="AC50" s="4">
        <f t="shared" si="27"/>
        <v>-5.5999999999999999E-3</v>
      </c>
      <c r="AD50" s="4">
        <f t="shared" si="28"/>
        <v>1.6641285099999851E-2</v>
      </c>
      <c r="AE50" s="4">
        <f t="shared" si="29"/>
        <v>1.0394088287661083E-2</v>
      </c>
      <c r="AF50" s="4">
        <f t="shared" si="30"/>
        <v>4.4161916938304643E-3</v>
      </c>
      <c r="AG50" s="4">
        <f t="shared" si="31"/>
        <v>-1.8965938306169536E-2</v>
      </c>
    </row>
    <row r="51" spans="25:33">
      <c r="Y51">
        <f t="shared" si="2"/>
        <v>2062</v>
      </c>
      <c r="Z51" s="4">
        <f t="shared" si="24"/>
        <v>3.000856E-2</v>
      </c>
      <c r="AA51" s="4">
        <f t="shared" si="25"/>
        <v>2.3758689999999999E-2</v>
      </c>
      <c r="AB51" s="4">
        <f t="shared" si="26"/>
        <v>1.7782129999999997E-2</v>
      </c>
      <c r="AC51" s="4">
        <f t="shared" si="27"/>
        <v>-5.5999999999999999E-3</v>
      </c>
      <c r="AD51" s="4">
        <f t="shared" si="28"/>
        <v>1.6641285099999851E-2</v>
      </c>
      <c r="AE51" s="4">
        <f t="shared" si="29"/>
        <v>1.0394088287661083E-2</v>
      </c>
      <c r="AF51" s="4">
        <f t="shared" si="30"/>
        <v>4.4161916938304643E-3</v>
      </c>
      <c r="AG51" s="4">
        <f t="shared" si="31"/>
        <v>-1.8965938306169536E-2</v>
      </c>
    </row>
    <row r="52" spans="25:33">
      <c r="Y52">
        <f t="shared" si="2"/>
        <v>2063</v>
      </c>
      <c r="Z52" s="4">
        <f t="shared" si="24"/>
        <v>3.000856E-2</v>
      </c>
      <c r="AA52" s="4">
        <f t="shared" si="25"/>
        <v>2.3758689999999999E-2</v>
      </c>
      <c r="AB52" s="4">
        <f t="shared" si="26"/>
        <v>1.7782129999999997E-2</v>
      </c>
      <c r="AC52" s="4">
        <f t="shared" si="27"/>
        <v>-5.5999999999999999E-3</v>
      </c>
      <c r="AD52" s="4">
        <f t="shared" si="28"/>
        <v>1.6641285099999851E-2</v>
      </c>
      <c r="AE52" s="4">
        <f t="shared" si="29"/>
        <v>1.0394088287661083E-2</v>
      </c>
      <c r="AF52" s="4">
        <f t="shared" si="30"/>
        <v>4.4161916938304643E-3</v>
      </c>
      <c r="AG52" s="4">
        <f t="shared" si="31"/>
        <v>-1.8965938306169536E-2</v>
      </c>
    </row>
    <row r="53" spans="25:33">
      <c r="Y53">
        <f t="shared" si="2"/>
        <v>2064</v>
      </c>
      <c r="Z53" s="4">
        <f t="shared" si="24"/>
        <v>3.000856E-2</v>
      </c>
      <c r="AA53" s="4">
        <f t="shared" si="25"/>
        <v>2.3758689999999999E-2</v>
      </c>
      <c r="AB53" s="4">
        <f t="shared" si="26"/>
        <v>1.7782129999999997E-2</v>
      </c>
      <c r="AC53" s="4">
        <f t="shared" si="27"/>
        <v>-5.5999999999999999E-3</v>
      </c>
      <c r="AD53" s="4">
        <f t="shared" si="28"/>
        <v>1.6641285099999851E-2</v>
      </c>
      <c r="AE53" s="4">
        <f t="shared" si="29"/>
        <v>1.0394088287661083E-2</v>
      </c>
      <c r="AF53" s="4">
        <f t="shared" si="30"/>
        <v>4.4161916938304643E-3</v>
      </c>
      <c r="AG53" s="4">
        <f t="shared" si="31"/>
        <v>-1.8965938306169536E-2</v>
      </c>
    </row>
    <row r="54" spans="25:33">
      <c r="Y54">
        <f t="shared" si="2"/>
        <v>2065</v>
      </c>
      <c r="Z54" s="4">
        <f t="shared" si="24"/>
        <v>3.000856E-2</v>
      </c>
      <c r="AA54" s="4">
        <f t="shared" si="25"/>
        <v>2.3758689999999999E-2</v>
      </c>
      <c r="AB54" s="4">
        <f t="shared" si="26"/>
        <v>1.7782129999999997E-2</v>
      </c>
      <c r="AC54" s="4">
        <f t="shared" si="27"/>
        <v>-5.5999999999999999E-3</v>
      </c>
      <c r="AD54" s="4">
        <f t="shared" si="28"/>
        <v>1.6641285099999851E-2</v>
      </c>
      <c r="AE54" s="4">
        <f t="shared" si="29"/>
        <v>1.0394088287661083E-2</v>
      </c>
      <c r="AF54" s="4">
        <f t="shared" si="30"/>
        <v>4.4161916938304643E-3</v>
      </c>
      <c r="AG54" s="4">
        <f t="shared" si="31"/>
        <v>-1.8965938306169536E-2</v>
      </c>
    </row>
    <row r="55" spans="25:33">
      <c r="Y55">
        <f t="shared" si="2"/>
        <v>2066</v>
      </c>
      <c r="Z55" s="4">
        <f t="shared" si="24"/>
        <v>3.000856E-2</v>
      </c>
      <c r="AA55" s="4">
        <f t="shared" si="25"/>
        <v>2.3758689999999999E-2</v>
      </c>
      <c r="AB55" s="4">
        <f t="shared" si="26"/>
        <v>1.7782129999999997E-2</v>
      </c>
      <c r="AC55" s="4">
        <f t="shared" si="27"/>
        <v>-5.5999999999999999E-3</v>
      </c>
      <c r="AD55" s="4">
        <f t="shared" si="28"/>
        <v>1.6641285099999851E-2</v>
      </c>
      <c r="AE55" s="4">
        <f t="shared" si="29"/>
        <v>1.0394088287661083E-2</v>
      </c>
      <c r="AF55" s="4">
        <f t="shared" si="30"/>
        <v>4.4161916938304643E-3</v>
      </c>
      <c r="AG55" s="4">
        <f t="shared" si="31"/>
        <v>-1.8965938306169536E-2</v>
      </c>
    </row>
  </sheetData>
  <mergeCells count="7">
    <mergeCell ref="R5:U5"/>
    <mergeCell ref="R16:U16"/>
    <mergeCell ref="Z5:AC5"/>
    <mergeCell ref="AD5:AG5"/>
    <mergeCell ref="C4:F4"/>
    <mergeCell ref="C15:F15"/>
    <mergeCell ref="L4:O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Inputs</vt:lpstr>
      <vt:lpstr>Notes</vt:lpstr>
      <vt:lpstr>Difference in benefits</vt:lpstr>
      <vt:lpstr>Difference in benefits TPS</vt:lpstr>
      <vt:lpstr>Annuity rates</vt:lpstr>
      <vt:lpstr>DB pension</vt:lpstr>
      <vt:lpstr>Income</vt:lpstr>
      <vt:lpstr>DC pension</vt:lpstr>
      <vt:lpstr>Investment returns (2)</vt:lpstr>
      <vt:lpstr>State pension age</vt:lpstr>
      <vt:lpstr>Investment returns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NM Davies</dc:creator>
  <cp:lastModifiedBy>Gibran Hemani</cp:lastModifiedBy>
  <dcterms:created xsi:type="dcterms:W3CDTF">2018-01-25T11:21:09Z</dcterms:created>
  <dcterms:modified xsi:type="dcterms:W3CDTF">2018-02-09T17:21:05Z</dcterms:modified>
</cp:coreProperties>
</file>