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/OneDrive/temp/"/>
    </mc:Choice>
  </mc:AlternateContent>
  <xr:revisionPtr revIDLastSave="0" documentId="8_{7045ECBF-3140-514A-BCF1-11607D630732}" xr6:coauthVersionLast="45" xr6:coauthVersionMax="45" xr10:uidLastSave="{00000000-0000-0000-0000-000000000000}"/>
  <bookViews>
    <workbookView xWindow="6300" yWindow="6460" windowWidth="25600" windowHeight="15540" activeTab="2" xr2:uid="{96424A44-B3F4-9547-ADE4-8116FEE34D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3" l="1"/>
  <c r="H39" i="3"/>
  <c r="H38" i="3"/>
  <c r="J37" i="3" s="1"/>
  <c r="M37" i="3" s="1"/>
  <c r="K37" i="3"/>
  <c r="F101" i="1" l="1"/>
  <c r="V16" i="1"/>
  <c r="V15" i="1"/>
  <c r="V14" i="1"/>
  <c r="F100" i="1" l="1"/>
  <c r="B117" i="1"/>
  <c r="B115" i="1"/>
  <c r="B116" i="1"/>
  <c r="B114" i="1"/>
  <c r="B110" i="1"/>
  <c r="B112" i="1"/>
  <c r="B104" i="1"/>
  <c r="B103" i="1"/>
  <c r="F99" i="1"/>
  <c r="B99" i="1"/>
  <c r="B101" i="1"/>
  <c r="I95" i="1"/>
  <c r="B95" i="1"/>
  <c r="B108" i="1" l="1"/>
  <c r="G96" i="1" l="1"/>
  <c r="B97" i="1"/>
  <c r="F102" i="1"/>
  <c r="J96" i="1" s="1"/>
  <c r="B111" i="1"/>
  <c r="B113" i="1" s="1"/>
  <c r="B102" i="1"/>
  <c r="I96" i="1" s="1"/>
  <c r="I97" i="1" s="1"/>
  <c r="L7" i="1" l="1"/>
  <c r="K7" i="1"/>
  <c r="J7" i="1"/>
  <c r="I7" i="1"/>
  <c r="H7" i="1"/>
  <c r="J4" i="1" a="1"/>
  <c r="J4" i="1" l="1"/>
  <c r="B26" i="2"/>
  <c r="C26" i="2"/>
  <c r="D26" i="2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3" i="1"/>
  <c r="T1" i="1"/>
  <c r="S1" i="1"/>
  <c r="R1" i="1"/>
  <c r="M1" i="1"/>
  <c r="M72" i="1" l="1"/>
  <c r="N39" i="3" l="1"/>
  <c r="N40" i="3"/>
  <c r="N41" i="3"/>
  <c r="N42" i="3"/>
  <c r="M42" i="3"/>
  <c r="M41" i="3"/>
  <c r="M40" i="3"/>
  <c r="M39" i="3"/>
  <c r="M38" i="3"/>
  <c r="N38" i="3" s="1"/>
  <c r="K23" i="3"/>
  <c r="K39" i="3" s="1"/>
  <c r="K24" i="3"/>
  <c r="K40" i="3" s="1"/>
  <c r="K25" i="3"/>
  <c r="K41" i="3" s="1"/>
  <c r="K26" i="3"/>
  <c r="K42" i="3" s="1"/>
  <c r="K27" i="3"/>
  <c r="K43" i="3" s="1"/>
  <c r="K28" i="3"/>
  <c r="K44" i="3" s="1"/>
  <c r="K29" i="3"/>
  <c r="K45" i="3" s="1"/>
  <c r="K30" i="3"/>
  <c r="K46" i="3" s="1"/>
  <c r="K31" i="3"/>
  <c r="K47" i="3" s="1"/>
  <c r="K32" i="3"/>
  <c r="K48" i="3" s="1"/>
  <c r="K33" i="3"/>
  <c r="K34" i="3"/>
  <c r="K35" i="3"/>
  <c r="K36" i="3"/>
  <c r="K22" i="3"/>
  <c r="K38" i="3" s="1"/>
  <c r="K12" i="3"/>
  <c r="H36" i="3" l="1"/>
  <c r="J36" i="3" s="1"/>
  <c r="R19" i="1" l="1"/>
  <c r="Q30" i="1" l="1"/>
  <c r="R30" i="1" s="1"/>
  <c r="P31" i="1"/>
  <c r="S32" i="1"/>
  <c r="R32" i="1"/>
  <c r="S29" i="1"/>
  <c r="S28" i="1"/>
  <c r="R29" i="1"/>
  <c r="R28" i="1"/>
  <c r="Q28" i="1"/>
  <c r="Q29" i="1"/>
  <c r="P29" i="1"/>
  <c r="P28" i="1"/>
  <c r="P35" i="1" l="1"/>
  <c r="M36" i="3" l="1"/>
  <c r="O36" i="3" s="1"/>
  <c r="L36" i="3"/>
  <c r="B35" i="3"/>
  <c r="A35" i="3" s="1"/>
  <c r="L35" i="3" s="1"/>
  <c r="B34" i="3"/>
  <c r="A34" i="3" s="1"/>
  <c r="L34" i="3" s="1"/>
  <c r="B33" i="3"/>
  <c r="A33" i="3" s="1"/>
  <c r="L33" i="3" s="1"/>
  <c r="B32" i="3"/>
  <c r="A32" i="3" s="1"/>
  <c r="L32" i="3" s="1"/>
  <c r="B31" i="3"/>
  <c r="A31" i="3" s="1"/>
  <c r="L31" i="3" s="1"/>
  <c r="B30" i="3"/>
  <c r="A30" i="3" s="1"/>
  <c r="L30" i="3" s="1"/>
  <c r="B29" i="3"/>
  <c r="A29" i="3" s="1"/>
  <c r="L29" i="3" s="1"/>
  <c r="B28" i="3"/>
  <c r="A28" i="3" s="1"/>
  <c r="L28" i="3" s="1"/>
  <c r="H35" i="3"/>
  <c r="J35" i="3" s="1"/>
  <c r="H34" i="3"/>
  <c r="J34" i="3" s="1"/>
  <c r="M34" i="3" s="1"/>
  <c r="O34" i="3" s="1"/>
  <c r="H28" i="3"/>
  <c r="J28" i="3" s="1"/>
  <c r="M28" i="3" s="1"/>
  <c r="H29" i="3"/>
  <c r="J29" i="3" s="1"/>
  <c r="M29" i="3" s="1"/>
  <c r="H30" i="3"/>
  <c r="J30" i="3" s="1"/>
  <c r="M30" i="3" s="1"/>
  <c r="O30" i="3" s="1"/>
  <c r="H31" i="3"/>
  <c r="J31" i="3" s="1"/>
  <c r="M31" i="3" s="1"/>
  <c r="H32" i="3"/>
  <c r="J32" i="3" s="1"/>
  <c r="M32" i="3" s="1"/>
  <c r="H33" i="3"/>
  <c r="J33" i="3" s="1"/>
  <c r="M33" i="3" s="1"/>
  <c r="O31" i="3" l="1"/>
  <c r="M35" i="3"/>
  <c r="O35" i="3" s="1"/>
  <c r="N30" i="3"/>
  <c r="N34" i="3"/>
  <c r="N33" i="3"/>
  <c r="O33" i="3"/>
  <c r="O28" i="3"/>
  <c r="N28" i="3"/>
  <c r="N32" i="3"/>
  <c r="O32" i="3"/>
  <c r="O29" i="3"/>
  <c r="N29" i="3"/>
  <c r="N31" i="3"/>
  <c r="N36" i="3"/>
  <c r="J24" i="3"/>
  <c r="M24" i="3" s="1"/>
  <c r="B23" i="3"/>
  <c r="A23" i="3" s="1"/>
  <c r="L23" i="3" s="1"/>
  <c r="B24" i="3"/>
  <c r="A24" i="3" s="1"/>
  <c r="L24" i="3" s="1"/>
  <c r="B25" i="3"/>
  <c r="A25" i="3" s="1"/>
  <c r="L25" i="3" s="1"/>
  <c r="B26" i="3"/>
  <c r="A26" i="3" s="1"/>
  <c r="L26" i="3" s="1"/>
  <c r="B27" i="3"/>
  <c r="A27" i="3" s="1"/>
  <c r="L27" i="3" s="1"/>
  <c r="B22" i="3"/>
  <c r="A22" i="3" s="1"/>
  <c r="H19" i="3"/>
  <c r="H20" i="3"/>
  <c r="H21" i="3"/>
  <c r="H22" i="3"/>
  <c r="J22" i="3" s="1"/>
  <c r="M22" i="3" s="1"/>
  <c r="H23" i="3"/>
  <c r="J23" i="3" s="1"/>
  <c r="M23" i="3" s="1"/>
  <c r="H24" i="3"/>
  <c r="H25" i="3"/>
  <c r="J25" i="3" s="1"/>
  <c r="M25" i="3" s="1"/>
  <c r="H26" i="3"/>
  <c r="J26" i="3" s="1"/>
  <c r="M26" i="3" s="1"/>
  <c r="H27" i="3"/>
  <c r="J27" i="3" s="1"/>
  <c r="M27" i="3" s="1"/>
  <c r="H18" i="3"/>
  <c r="N35" i="3" l="1"/>
  <c r="L22" i="3"/>
  <c r="O24" i="3"/>
  <c r="N24" i="3"/>
  <c r="N26" i="3"/>
  <c r="O26" i="3"/>
  <c r="O27" i="3"/>
  <c r="N27" i="3"/>
  <c r="O25" i="3"/>
  <c r="N25" i="3"/>
  <c r="O23" i="3"/>
  <c r="N23" i="3"/>
  <c r="J20" i="1"/>
  <c r="J30" i="1" s="1"/>
  <c r="M30" i="1" s="1"/>
  <c r="K31" i="1"/>
  <c r="K30" i="1"/>
  <c r="K29" i="1"/>
  <c r="M21" i="1"/>
  <c r="O22" i="3" l="1"/>
  <c r="N22" i="3"/>
  <c r="L30" i="1"/>
  <c r="J31" i="1"/>
  <c r="K20" i="1"/>
  <c r="L23" i="1" s="1"/>
  <c r="J29" i="1"/>
  <c r="K25" i="1"/>
  <c r="M20" i="1"/>
  <c r="L29" i="1" l="1"/>
  <c r="M29" i="1"/>
  <c r="L31" i="1"/>
  <c r="M31" i="1"/>
  <c r="E4" i="3"/>
  <c r="E5" i="3"/>
  <c r="E6" i="3"/>
  <c r="E7" i="3"/>
  <c r="E8" i="3"/>
  <c r="E9" i="3"/>
  <c r="E3" i="3"/>
  <c r="F9" i="3"/>
  <c r="F10" i="3"/>
  <c r="E10" i="3" s="1"/>
  <c r="N24" i="1" l="1"/>
  <c r="R68" i="1" l="1"/>
  <c r="Q68" i="1"/>
  <c r="R69" i="1" l="1"/>
  <c r="R70" i="1" s="1"/>
  <c r="V80" i="1"/>
  <c r="U80" i="1"/>
  <c r="T80" i="1"/>
  <c r="S80" i="1"/>
  <c r="Q141" i="1"/>
  <c r="Q140" i="1" l="1"/>
  <c r="D148" i="1"/>
  <c r="E145" i="1"/>
  <c r="K146" i="1" s="1"/>
  <c r="F144" i="1"/>
  <c r="G144" i="1" s="1"/>
  <c r="H144" i="1" s="1"/>
  <c r="H145" i="1" s="1"/>
  <c r="AC2" i="1"/>
  <c r="AC3" i="1"/>
  <c r="X5" i="1"/>
  <c r="W6" i="1"/>
  <c r="F145" i="1" l="1"/>
  <c r="K147" i="1" s="1"/>
  <c r="M147" i="1"/>
  <c r="L149" i="1"/>
  <c r="M149" i="1"/>
  <c r="K149" i="1"/>
  <c r="G145" i="1"/>
  <c r="L146" i="1" l="1"/>
  <c r="L148" i="1"/>
  <c r="M146" i="1"/>
  <c r="M148" i="1"/>
  <c r="K148" i="1"/>
  <c r="L147" i="1"/>
  <c r="X76" i="1"/>
  <c r="S76" i="1"/>
  <c r="T76" i="1"/>
  <c r="U76" i="1"/>
  <c r="T77" i="1" l="1"/>
  <c r="S77" i="1"/>
  <c r="X75" i="1"/>
  <c r="V81" i="1"/>
  <c r="V82" i="1" s="1"/>
  <c r="U77" i="1"/>
  <c r="U78" i="1" s="1"/>
  <c r="U81" i="1"/>
  <c r="U82" i="1" s="1"/>
  <c r="T81" i="1"/>
  <c r="T82" i="1" s="1"/>
  <c r="S81" i="1"/>
  <c r="S82" i="1" s="1"/>
  <c r="T78" i="1"/>
  <c r="S78" i="1"/>
  <c r="M124" i="1"/>
  <c r="M125" i="1" s="1"/>
  <c r="M126" i="1" l="1"/>
  <c r="L126" i="1"/>
  <c r="N112" i="1" l="1"/>
  <c r="U12" i="1" l="1"/>
  <c r="O12" i="1"/>
  <c r="S13" i="1"/>
  <c r="S11" i="1" l="1"/>
  <c r="N106" i="1"/>
  <c r="N104" i="1"/>
  <c r="O74" i="1"/>
  <c r="K74" i="1"/>
  <c r="G74" i="1"/>
  <c r="H90" i="1"/>
  <c r="H91" i="1"/>
  <c r="H92" i="1"/>
  <c r="H93" i="1"/>
  <c r="H89" i="1"/>
  <c r="P85" i="1"/>
  <c r="P86" i="1"/>
  <c r="P87" i="1"/>
  <c r="P88" i="1"/>
  <c r="P89" i="1"/>
  <c r="P90" i="1"/>
  <c r="P91" i="1"/>
  <c r="P92" i="1"/>
  <c r="P93" i="1"/>
  <c r="P84" i="1"/>
  <c r="L85" i="1"/>
  <c r="L86" i="1"/>
  <c r="L87" i="1"/>
  <c r="L88" i="1"/>
  <c r="L89" i="1"/>
  <c r="L90" i="1"/>
  <c r="L91" i="1"/>
  <c r="L92" i="1"/>
  <c r="L93" i="1"/>
  <c r="L84" i="1"/>
  <c r="N102" i="1"/>
  <c r="O106" i="1" l="1"/>
  <c r="P106" i="1" s="1"/>
  <c r="O104" i="1"/>
  <c r="P104" i="1" s="1"/>
  <c r="N122" i="1"/>
  <c r="N125" i="1" s="1"/>
  <c r="N113" i="1"/>
  <c r="N105" i="1"/>
  <c r="O105" i="1" s="1"/>
  <c r="P105" i="1" s="1"/>
  <c r="C126" i="1"/>
  <c r="D129" i="1" s="1"/>
  <c r="E127" i="1"/>
  <c r="E111" i="1" a="1"/>
  <c r="E111" i="1" s="1"/>
  <c r="E119" i="1"/>
  <c r="E115" i="1" a="1"/>
  <c r="E115" i="1" s="1"/>
  <c r="E108" i="1" a="1"/>
  <c r="E108" i="1" s="1"/>
  <c r="O14" i="1"/>
  <c r="W5" i="1" l="1"/>
  <c r="Y5" i="1" s="1"/>
  <c r="Z5" i="1" s="1"/>
  <c r="T33" i="1"/>
  <c r="N107" i="1"/>
  <c r="O109" i="1" s="1"/>
  <c r="P109" i="1" s="1"/>
  <c r="E130" i="1"/>
  <c r="F130" i="1" s="1"/>
  <c r="F131" i="1" s="1"/>
  <c r="D122" i="1"/>
  <c r="D123" i="1" s="1"/>
  <c r="E122" i="1"/>
  <c r="AA5" i="1" l="1"/>
  <c r="AB5" i="1" s="1"/>
  <c r="AC5" i="1" s="1"/>
  <c r="Z7" i="1"/>
  <c r="E131" i="1"/>
  <c r="E123" i="1"/>
  <c r="E124" i="1" s="1"/>
  <c r="F129" i="1"/>
  <c r="I107" i="1" a="1"/>
  <c r="I107" i="1" s="1"/>
  <c r="I110" i="1" a="1"/>
  <c r="I110" i="1" s="1"/>
  <c r="L111" i="1" a="1"/>
  <c r="L111" i="1" s="1"/>
  <c r="I113" i="1" a="1"/>
  <c r="I113" i="1" s="1"/>
  <c r="I115" i="1"/>
  <c r="L115" i="1" a="1"/>
  <c r="L115" i="1" s="1"/>
  <c r="I116" i="1" a="1"/>
  <c r="I116" i="1" s="1"/>
  <c r="I119" i="1" a="1"/>
  <c r="I119" i="1" s="1"/>
  <c r="M119" i="1"/>
  <c r="I121" i="1"/>
  <c r="I125" i="1"/>
  <c r="J125" i="1" s="1"/>
  <c r="I126" i="1"/>
  <c r="AA7" i="1" l="1"/>
  <c r="AB7" i="1" s="1"/>
  <c r="AC7" i="1" s="1"/>
  <c r="L119" i="1"/>
  <c r="M120" i="1" s="1"/>
  <c r="I122" i="1"/>
  <c r="J123" i="1" s="1"/>
  <c r="K123" i="1" s="1"/>
  <c r="L120" i="1" l="1"/>
  <c r="V24" i="1"/>
  <c r="V25" i="1" s="1"/>
  <c r="V26" i="1" s="1"/>
  <c r="O15" i="1" l="1"/>
  <c r="O16" i="1"/>
  <c r="O17" i="1"/>
  <c r="O18" i="1"/>
  <c r="O19" i="1"/>
  <c r="O20" i="1"/>
  <c r="Y117" i="1"/>
  <c r="Z111" i="1"/>
  <c r="Z112" i="1" s="1"/>
  <c r="U87" i="1"/>
  <c r="S98" i="1"/>
  <c r="S103" i="1"/>
  <c r="Y105" i="1" s="1"/>
  <c r="Y104" i="1"/>
  <c r="Y103" i="1" l="1"/>
  <c r="N23" i="1"/>
  <c r="Q26" i="1"/>
  <c r="R26" i="1" s="1"/>
  <c r="R21" i="1"/>
  <c r="S19" i="1"/>
  <c r="Y106" i="1"/>
  <c r="R20" i="1"/>
  <c r="S20" i="1" s="1"/>
  <c r="S97" i="1"/>
  <c r="S91" i="1"/>
  <c r="J5" i="2"/>
  <c r="J4" i="2"/>
  <c r="K5" i="2"/>
  <c r="K4" i="2"/>
  <c r="I5" i="2"/>
  <c r="I4" i="2"/>
  <c r="H5" i="2"/>
  <c r="H4" i="2"/>
  <c r="E5" i="2"/>
  <c r="E4" i="2"/>
  <c r="D62" i="1"/>
  <c r="D63" i="1"/>
  <c r="D64" i="1"/>
  <c r="D65" i="1"/>
  <c r="D66" i="1"/>
  <c r="D67" i="1"/>
  <c r="D68" i="1"/>
  <c r="D69" i="1"/>
  <c r="D70" i="1"/>
  <c r="D71" i="1"/>
  <c r="P61" i="1"/>
  <c r="T117" i="1" l="1"/>
  <c r="W117" i="1" s="1"/>
  <c r="P11" i="1"/>
  <c r="P10" i="1" l="1"/>
  <c r="S10" i="1"/>
  <c r="AB111" i="1"/>
  <c r="U97" i="1"/>
  <c r="U91" i="1"/>
  <c r="AB112" i="1"/>
  <c r="T120" i="1"/>
  <c r="M46" i="1"/>
  <c r="M45" i="1"/>
  <c r="M44" i="1"/>
  <c r="M43" i="1"/>
  <c r="L43" i="1"/>
  <c r="L44" i="1"/>
  <c r="L45" i="1"/>
  <c r="L46" i="1"/>
  <c r="F36" i="1"/>
  <c r="C11" i="1"/>
  <c r="D11" i="1"/>
  <c r="C10" i="1" l="1"/>
  <c r="O11" i="1"/>
  <c r="Z9" i="1" s="1"/>
  <c r="P9" i="1"/>
  <c r="S9" i="1"/>
  <c r="V121" i="1"/>
  <c r="V120" i="1"/>
  <c r="D10" i="1"/>
  <c r="D61" i="1"/>
  <c r="P8" i="1" l="1"/>
  <c r="S8" i="1"/>
  <c r="AA9" i="1"/>
  <c r="AB9" i="1" s="1"/>
  <c r="AC9" i="1" s="1"/>
  <c r="C9" i="1"/>
  <c r="O10" i="1"/>
  <c r="Z11" i="1" s="1"/>
  <c r="D9" i="1"/>
  <c r="D60" i="1"/>
  <c r="AA11" i="1" l="1"/>
  <c r="AB11" i="1" s="1"/>
  <c r="AC11" i="1" s="1"/>
  <c r="C8" i="1"/>
  <c r="E25" i="1" s="1"/>
  <c r="F25" i="1" s="1"/>
  <c r="G25" i="1" s="1"/>
  <c r="O9" i="1"/>
  <c r="Z13" i="1" s="1"/>
  <c r="P7" i="1"/>
  <c r="S7" i="1"/>
  <c r="D8" i="1"/>
  <c r="D59" i="1"/>
  <c r="P6" i="1" l="1"/>
  <c r="S6" i="1"/>
  <c r="C7" i="1"/>
  <c r="O8" i="1"/>
  <c r="O23" i="1" s="1"/>
  <c r="AA13" i="1"/>
  <c r="AB13" i="1" s="1"/>
  <c r="AC13" i="1" s="1"/>
  <c r="D7" i="1"/>
  <c r="D58" i="1"/>
  <c r="Z15" i="1" l="1"/>
  <c r="AA15" i="1" s="1"/>
  <c r="AB15" i="1" s="1"/>
  <c r="AC15" i="1" s="1"/>
  <c r="C6" i="1"/>
  <c r="O7" i="1"/>
  <c r="S21" i="1" s="1"/>
  <c r="D33" i="1"/>
  <c r="D34" i="1"/>
  <c r="D35" i="1"/>
  <c r="D36" i="1"/>
  <c r="P5" i="1"/>
  <c r="S5" i="1"/>
  <c r="D6" i="1"/>
  <c r="D57" i="1"/>
  <c r="E33" i="1"/>
  <c r="E34" i="1"/>
  <c r="F34" i="1" s="1"/>
  <c r="E35" i="1"/>
  <c r="F35" i="1" s="1"/>
  <c r="P4" i="1" l="1"/>
  <c r="S4" i="1"/>
  <c r="D38" i="1"/>
  <c r="C5" i="1"/>
  <c r="O6" i="1"/>
  <c r="T34" i="1" s="1"/>
  <c r="T36" i="1" s="1"/>
  <c r="E38" i="1"/>
  <c r="F33" i="1"/>
  <c r="F38" i="1" s="1"/>
  <c r="D5" i="1"/>
  <c r="D56" i="1"/>
  <c r="C4" i="1" l="1"/>
  <c r="O5" i="1"/>
  <c r="T38" i="1"/>
  <c r="T39" i="1" s="1"/>
  <c r="U36" i="1"/>
  <c r="U38" i="1" s="1"/>
  <c r="U39" i="1" s="1"/>
  <c r="P3" i="1"/>
  <c r="S3" i="1"/>
  <c r="D4" i="1"/>
  <c r="D55" i="1"/>
  <c r="C3" i="1" l="1"/>
  <c r="O4" i="1"/>
  <c r="D3" i="1"/>
  <c r="D53" i="1" s="1"/>
  <c r="D54" i="1"/>
  <c r="E26" i="1" l="1"/>
  <c r="F26" i="1" s="1"/>
  <c r="G26" i="1" s="1"/>
  <c r="G21" i="1"/>
  <c r="H21" i="1" s="1"/>
  <c r="H22" i="1" s="1"/>
  <c r="O3" i="1"/>
  <c r="K38" i="1"/>
  <c r="K39" i="1" s="1"/>
  <c r="V19" i="1"/>
  <c r="K37" i="1"/>
  <c r="V21" i="1"/>
  <c r="K36" i="1"/>
  <c r="V20" i="1"/>
  <c r="V22" i="1" s="1"/>
  <c r="K40" i="1" l="1"/>
  <c r="L40" i="1" s="1"/>
  <c r="N40" i="1" s="1"/>
  <c r="M4" i="1"/>
  <c r="P48" i="1"/>
  <c r="R48" i="1" s="1"/>
  <c r="AA97" i="1" l="1"/>
  <c r="R51" i="1"/>
  <c r="R54" i="1" s="1"/>
  <c r="R57" i="1"/>
  <c r="W91" i="1"/>
  <c r="W97" i="1"/>
  <c r="AA91" i="1"/>
  <c r="T48" i="1"/>
  <c r="T57" i="1" l="1"/>
  <c r="T51" i="1"/>
  <c r="T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<sst xmlns="http://schemas.openxmlformats.org/spreadsheetml/2006/main" count="297" uniqueCount="253">
  <si>
    <t>get</t>
    <phoneticPr fontId="1" type="noConversion"/>
  </si>
  <si>
    <t>cost</t>
    <phoneticPr fontId="1" type="noConversion"/>
  </si>
  <si>
    <t>加成100%+100%+36%</t>
    <phoneticPr fontId="1" type="noConversion"/>
  </si>
  <si>
    <t>汇总</t>
    <phoneticPr fontId="1" type="noConversion"/>
  </si>
  <si>
    <t>获得荣誉</t>
    <phoneticPr fontId="1" type="noConversion"/>
  </si>
  <si>
    <t>加成后荣誉</t>
    <phoneticPr fontId="1" type="noConversion"/>
  </si>
  <si>
    <t>消耗材料</t>
    <phoneticPr fontId="1" type="noConversion"/>
  </si>
  <si>
    <t>15级到16级</t>
    <phoneticPr fontId="1" type="noConversion"/>
  </si>
  <si>
    <t>9级到16级</t>
    <phoneticPr fontId="1" type="noConversion"/>
  </si>
  <si>
    <t>10级到16级</t>
    <phoneticPr fontId="1" type="noConversion"/>
  </si>
  <si>
    <t>12级到16级</t>
    <phoneticPr fontId="1" type="noConversion"/>
  </si>
  <si>
    <t>get荣誉</t>
    <phoneticPr fontId="1" type="noConversion"/>
  </si>
  <si>
    <t>cost建材</t>
    <phoneticPr fontId="1" type="noConversion"/>
  </si>
  <si>
    <t>堡垒get荣誉</t>
    <phoneticPr fontId="1" type="noConversion"/>
  </si>
  <si>
    <t>堡垒cost建材</t>
    <phoneticPr fontId="1" type="noConversion"/>
  </si>
  <si>
    <t>从9级到20级需要的材料</t>
    <phoneticPr fontId="1" type="noConversion"/>
  </si>
  <si>
    <t>每小时生产量（万/h)</t>
    <phoneticPr fontId="1" type="noConversion"/>
  </si>
  <si>
    <t>需要产出的时间(h)</t>
    <phoneticPr fontId="1" type="noConversion"/>
  </si>
  <si>
    <t>8个建筑从9到20级</t>
    <phoneticPr fontId="1" type="noConversion"/>
  </si>
  <si>
    <t>需要的天数</t>
    <phoneticPr fontId="1" type="noConversion"/>
  </si>
  <si>
    <t>假设是16级土地每小时产量（万/h)</t>
    <phoneticPr fontId="1" type="noConversion"/>
  </si>
  <si>
    <t>节省的7天假设全部是病毒产出,按照12地测算毒</t>
    <phoneticPr fontId="1" type="noConversion"/>
  </si>
  <si>
    <t>假设后期全部16土地生产</t>
    <phoneticPr fontId="1" type="noConversion"/>
  </si>
  <si>
    <t>前期40%绿地，60%油，忽略掉前期的60%油</t>
    <phoneticPr fontId="1" type="noConversion"/>
  </si>
  <si>
    <t>病毒</t>
    <phoneticPr fontId="1" type="noConversion"/>
  </si>
  <si>
    <t>base 1</t>
    <phoneticPr fontId="1" type="noConversion"/>
  </si>
  <si>
    <t>base2</t>
    <phoneticPr fontId="1" type="noConversion"/>
  </si>
  <si>
    <t>base3</t>
    <phoneticPr fontId="1" type="noConversion"/>
  </si>
  <si>
    <t>base4</t>
    <phoneticPr fontId="1" type="noConversion"/>
  </si>
  <si>
    <t>待检查</t>
    <phoneticPr fontId="1" type="noConversion"/>
  </si>
  <si>
    <t>工厂</t>
    <phoneticPr fontId="1" type="noConversion"/>
  </si>
  <si>
    <t>三档</t>
    <phoneticPr fontId="1" type="noConversion"/>
  </si>
  <si>
    <t>9档</t>
    <phoneticPr fontId="1" type="noConversion"/>
  </si>
  <si>
    <t>ac1</t>
    <phoneticPr fontId="1" type="noConversion"/>
  </si>
  <si>
    <t>ac2</t>
    <phoneticPr fontId="1" type="noConversion"/>
  </si>
  <si>
    <t>ac3</t>
    <phoneticPr fontId="1" type="noConversion"/>
  </si>
  <si>
    <t>ac4</t>
    <phoneticPr fontId="1" type="noConversion"/>
  </si>
  <si>
    <t>假设全部都是16级地</t>
    <phoneticPr fontId="1" type="noConversion"/>
  </si>
  <si>
    <t>产出</t>
    <phoneticPr fontId="1" type="noConversion"/>
  </si>
  <si>
    <t>8个建筑从9到20级时间</t>
    <phoneticPr fontId="1" type="noConversion"/>
  </si>
  <si>
    <t>最多51天</t>
    <phoneticPr fontId="1" type="noConversion"/>
  </si>
  <si>
    <t>最少37天</t>
    <phoneticPr fontId="1" type="noConversion"/>
  </si>
  <si>
    <t>平均估计40多天，一边毒抗一边堡垒</t>
    <phoneticPr fontId="1" type="noConversion"/>
  </si>
  <si>
    <t>耗材减少27%后</t>
    <phoneticPr fontId="1" type="noConversion"/>
  </si>
  <si>
    <t>专精减少27%耗材</t>
    <phoneticPr fontId="1" type="noConversion"/>
  </si>
  <si>
    <t>最多31天</t>
    <phoneticPr fontId="1" type="noConversion"/>
  </si>
  <si>
    <t>4800毒抗到16级耗时（天）</t>
    <phoneticPr fontId="1" type="noConversion"/>
  </si>
  <si>
    <t>假设全部都是12级地（80块，加成1.18）</t>
    <phoneticPr fontId="1" type="noConversion"/>
  </si>
  <si>
    <t>最多44天</t>
    <phoneticPr fontId="1" type="noConversion"/>
  </si>
  <si>
    <t>加工能力测算</t>
    <phoneticPr fontId="1" type="noConversion"/>
  </si>
  <si>
    <t>4个20级加工厂每小时基础量</t>
    <phoneticPr fontId="1" type="noConversion"/>
  </si>
  <si>
    <t>专精点数</t>
    <phoneticPr fontId="1" type="noConversion"/>
  </si>
  <si>
    <t>速度加成</t>
    <phoneticPr fontId="1" type="noConversion"/>
  </si>
  <si>
    <t>通道数</t>
    <phoneticPr fontId="1" type="noConversion"/>
  </si>
  <si>
    <t>每小时处理能力</t>
    <phoneticPr fontId="1" type="noConversion"/>
  </si>
  <si>
    <t>因此10专精，双通道就可以满足全部16地，加成1.18 且一共160块地的情况</t>
    <phoneticPr fontId="1" type="noConversion"/>
  </si>
  <si>
    <t>后期土地上200的时候，才需要开3通道</t>
    <phoneticPr fontId="1" type="noConversion"/>
  </si>
  <si>
    <t>200块地</t>
    <phoneticPr fontId="1" type="noConversion"/>
  </si>
  <si>
    <t>全加成产出专精3*3*2+5</t>
    <phoneticPr fontId="1" type="noConversion"/>
  </si>
  <si>
    <t>蓝色加工</t>
    <phoneticPr fontId="1" type="noConversion"/>
  </si>
  <si>
    <t>绿色加成</t>
    <phoneticPr fontId="1" type="noConversion"/>
  </si>
  <si>
    <t>剩余</t>
    <phoneticPr fontId="1" type="noConversion"/>
  </si>
  <si>
    <t>到47专精</t>
    <phoneticPr fontId="1" type="noConversion"/>
  </si>
  <si>
    <t>差4</t>
    <phoneticPr fontId="1" type="noConversion"/>
  </si>
  <si>
    <t>300抗</t>
    <phoneticPr fontId="1" type="noConversion"/>
  </si>
  <si>
    <t>差15</t>
    <phoneticPr fontId="1" type="noConversion"/>
  </si>
  <si>
    <t>到58专精</t>
    <phoneticPr fontId="1" type="noConversion"/>
  </si>
  <si>
    <t>600抗</t>
    <phoneticPr fontId="1" type="noConversion"/>
  </si>
  <si>
    <t>省毒抗</t>
    <phoneticPr fontId="1" type="noConversion"/>
  </si>
  <si>
    <t>尚需</t>
    <phoneticPr fontId="1" type="noConversion"/>
  </si>
  <si>
    <t>所以，前期绿色加成还是需要，干到7200毒抗即可，靠蓝色凑齐</t>
    <phoneticPr fontId="1" type="noConversion"/>
  </si>
  <si>
    <t>按照12级的一半产出</t>
    <phoneticPr fontId="1" type="noConversion"/>
  </si>
  <si>
    <t>4工厂目前的每小时处理能力（蓝色左边序列开满的状态）</t>
    <phoneticPr fontId="1" type="noConversion"/>
  </si>
  <si>
    <t>到周一剩下70小时的加工产出</t>
    <phoneticPr fontId="1" type="noConversion"/>
  </si>
  <si>
    <t>需要</t>
    <phoneticPr fontId="1" type="noConversion"/>
  </si>
  <si>
    <t>工厂1到10级升级付出和收获1.4倍系数，从11级开始付出和收获都是1.2倍系数</t>
    <phoneticPr fontId="1" type="noConversion"/>
  </si>
  <si>
    <t>堡垒1到10级升级付出和收获都是1.4倍系数（基数是工厂的1/10),11级开始，付出还是维持1.4倍系数，但收获却只有1.2倍系数</t>
    <phoneticPr fontId="1" type="noConversion"/>
  </si>
  <si>
    <t>毒抗4800到7400毒抗24级需要的材料数量</t>
    <phoneticPr fontId="1" type="noConversion"/>
  </si>
  <si>
    <t>4工厂20级还需要的材料数量</t>
    <phoneticPr fontId="1" type="noConversion"/>
  </si>
  <si>
    <t>I病毒20级</t>
    <phoneticPr fontId="1" type="noConversion"/>
  </si>
  <si>
    <t>II病毒17级</t>
    <phoneticPr fontId="1" type="noConversion"/>
  </si>
  <si>
    <t>III病毒13级</t>
    <phoneticPr fontId="1" type="noConversion"/>
  </si>
  <si>
    <t>IV病毒11级</t>
    <phoneticPr fontId="1" type="noConversion"/>
  </si>
  <si>
    <t>到14级地需要毒抗</t>
    <phoneticPr fontId="1" type="noConversion"/>
  </si>
  <si>
    <t>加工需要的时间</t>
    <phoneticPr fontId="1" type="noConversion"/>
  </si>
  <si>
    <t>3天16小时</t>
    <phoneticPr fontId="1" type="noConversion"/>
  </si>
  <si>
    <t>13级地需要</t>
    <phoneticPr fontId="1" type="noConversion"/>
  </si>
  <si>
    <t>加工需要时间</t>
    <phoneticPr fontId="1" type="noConversion"/>
  </si>
  <si>
    <t>科技折扣后需要的数量</t>
    <phoneticPr fontId="1" type="noConversion"/>
  </si>
  <si>
    <t>1天17小时</t>
    <phoneticPr fontId="1" type="noConversion"/>
  </si>
  <si>
    <t>到15级需要毒抗</t>
    <phoneticPr fontId="1" type="noConversion"/>
  </si>
  <si>
    <t>到14</t>
    <phoneticPr fontId="1" type="noConversion"/>
  </si>
  <si>
    <t>到15</t>
    <phoneticPr fontId="1" type="noConversion"/>
  </si>
  <si>
    <t>到16</t>
    <phoneticPr fontId="1" type="noConversion"/>
  </si>
  <si>
    <t>该次需要时间</t>
    <phoneticPr fontId="1" type="noConversion"/>
  </si>
  <si>
    <t>天数</t>
    <phoneticPr fontId="1" type="noConversion"/>
  </si>
  <si>
    <t>上述材料合计</t>
    <phoneticPr fontId="1" type="noConversion"/>
  </si>
  <si>
    <t>全力生产所需时间</t>
    <phoneticPr fontId="1" type="noConversion"/>
  </si>
  <si>
    <t>确认</t>
    <phoneticPr fontId="1" type="noConversion"/>
  </si>
  <si>
    <t>差级数</t>
    <phoneticPr fontId="1" type="noConversion"/>
  </si>
  <si>
    <t>专精0</t>
    <phoneticPr fontId="1" type="noConversion"/>
  </si>
  <si>
    <t>需要材料</t>
    <phoneticPr fontId="1" type="noConversion"/>
  </si>
  <si>
    <t>生产时间</t>
    <phoneticPr fontId="1" type="noConversion"/>
  </si>
  <si>
    <t>每小时产量</t>
    <phoneticPr fontId="1" type="noConversion"/>
  </si>
  <si>
    <t>已经有的材料</t>
    <phoneticPr fontId="1" type="noConversion"/>
  </si>
  <si>
    <t>到10级材料</t>
    <phoneticPr fontId="1" type="noConversion"/>
  </si>
  <si>
    <t>折扣后</t>
    <phoneticPr fontId="1" type="noConversion"/>
  </si>
  <si>
    <t>到11级材料</t>
    <phoneticPr fontId="1" type="noConversion"/>
  </si>
  <si>
    <t>到12级材料</t>
    <phoneticPr fontId="1" type="noConversion"/>
  </si>
  <si>
    <t>全力材料的产出</t>
    <phoneticPr fontId="1" type="noConversion"/>
  </si>
  <si>
    <t>全力材料加工</t>
    <phoneticPr fontId="1" type="noConversion"/>
  </si>
  <si>
    <t>耗时</t>
    <phoneticPr fontId="1" type="noConversion"/>
  </si>
  <si>
    <t>到14级材料</t>
    <phoneticPr fontId="1" type="noConversion"/>
  </si>
  <si>
    <t>到13级材料</t>
    <phoneticPr fontId="1" type="noConversion"/>
  </si>
  <si>
    <t>到15级材料</t>
    <phoneticPr fontId="1" type="noConversion"/>
  </si>
  <si>
    <t>1个槽</t>
    <phoneticPr fontId="1" type="noConversion"/>
  </si>
  <si>
    <t>2个槽</t>
    <phoneticPr fontId="1" type="noConversion"/>
  </si>
  <si>
    <t>3个槽</t>
    <phoneticPr fontId="1" type="noConversion"/>
  </si>
  <si>
    <t>4个槽</t>
    <phoneticPr fontId="1" type="noConversion"/>
  </si>
  <si>
    <t>专精</t>
    <phoneticPr fontId="1" type="noConversion"/>
  </si>
  <si>
    <t>序列</t>
    <phoneticPr fontId="1" type="noConversion"/>
  </si>
  <si>
    <t>速度</t>
    <phoneticPr fontId="1" type="noConversion"/>
  </si>
  <si>
    <t>加成</t>
    <phoneticPr fontId="1" type="noConversion"/>
  </si>
  <si>
    <t>12土地</t>
    <phoneticPr fontId="1" type="noConversion"/>
  </si>
  <si>
    <t>开局专精(4个10工厂）</t>
    <phoneticPr fontId="1" type="noConversion"/>
  </si>
  <si>
    <t>12级地4800毒抗，蓝色右边的专精</t>
    <phoneticPr fontId="1" type="noConversion"/>
  </si>
  <si>
    <t>补贴300抗</t>
    <phoneticPr fontId="1" type="noConversion"/>
  </si>
  <si>
    <t>补贴600抗</t>
    <phoneticPr fontId="1" type="noConversion"/>
  </si>
  <si>
    <t>补贴900抗</t>
    <phoneticPr fontId="1" type="noConversion"/>
  </si>
  <si>
    <t>绿色耗材</t>
    <phoneticPr fontId="1" type="noConversion"/>
  </si>
  <si>
    <t>绿色需要升级次数</t>
    <phoneticPr fontId="1" type="noConversion"/>
  </si>
  <si>
    <t>病毒等级</t>
    <phoneticPr fontId="1" type="noConversion"/>
  </si>
  <si>
    <t>17 11 9 8</t>
    <phoneticPr fontId="1" type="noConversion"/>
  </si>
  <si>
    <t xml:space="preserve">16 10 8 8 </t>
    <phoneticPr fontId="1" type="noConversion"/>
  </si>
  <si>
    <t>15 9 8 7</t>
    <phoneticPr fontId="1" type="noConversion"/>
  </si>
  <si>
    <t>1个槽达成(天）</t>
    <phoneticPr fontId="1" type="noConversion"/>
  </si>
  <si>
    <t>2个槽达成(天）</t>
  </si>
  <si>
    <t>3个槽达成(天）</t>
  </si>
  <si>
    <t>4个槽达成(天）</t>
  </si>
  <si>
    <t>土地产出</t>
    <phoneticPr fontId="1" type="noConversion"/>
  </si>
  <si>
    <t>10级</t>
    <phoneticPr fontId="1" type="noConversion"/>
  </si>
  <si>
    <t>9级</t>
    <phoneticPr fontId="1" type="noConversion"/>
  </si>
  <si>
    <t>8级</t>
    <phoneticPr fontId="1" type="noConversion"/>
  </si>
  <si>
    <t>7级</t>
    <phoneticPr fontId="1" type="noConversion"/>
  </si>
  <si>
    <t>6级</t>
    <phoneticPr fontId="1" type="noConversion"/>
  </si>
  <si>
    <t>5级</t>
    <phoneticPr fontId="1" type="noConversion"/>
  </si>
  <si>
    <t>4级</t>
    <phoneticPr fontId="1" type="noConversion"/>
  </si>
  <si>
    <t>抗性</t>
    <phoneticPr fontId="1" type="noConversion"/>
  </si>
  <si>
    <t>11级</t>
    <phoneticPr fontId="1" type="noConversion"/>
  </si>
  <si>
    <t>12级</t>
    <phoneticPr fontId="1" type="noConversion"/>
  </si>
  <si>
    <t>土地产出假设按10级测算（每小时）</t>
    <phoneticPr fontId="1" type="noConversion"/>
  </si>
  <si>
    <t>4工厂10级秒到， 蓝色左边10点，右边36点（或者47点）,第一周结束打满12土地,第二周洗出堡垒，囤一周材料16.5m，第三周4个工厂20级</t>
    <phoneticPr fontId="1" type="noConversion"/>
  </si>
  <si>
    <t>土地12级产出估算（每小时）</t>
    <phoneticPr fontId="1" type="noConversion"/>
  </si>
  <si>
    <t>专精14</t>
    <phoneticPr fontId="1" type="noConversion"/>
  </si>
  <si>
    <t>专精25</t>
    <phoneticPr fontId="1" type="noConversion"/>
  </si>
  <si>
    <t>专精36</t>
    <phoneticPr fontId="1" type="noConversion"/>
  </si>
  <si>
    <t>目标档数</t>
    <phoneticPr fontId="1" type="noConversion"/>
  </si>
  <si>
    <t>勋章起始数量</t>
    <phoneticPr fontId="1" type="noConversion"/>
  </si>
  <si>
    <t>个人军备起始</t>
    <phoneticPr fontId="1" type="noConversion"/>
  </si>
  <si>
    <t>战区起始</t>
    <phoneticPr fontId="1" type="noConversion"/>
  </si>
  <si>
    <t>解锁后</t>
    <phoneticPr fontId="1" type="noConversion"/>
  </si>
  <si>
    <t>一个序列</t>
    <phoneticPr fontId="1" type="noConversion"/>
  </si>
  <si>
    <t>二个序列</t>
    <phoneticPr fontId="1" type="noConversion"/>
  </si>
  <si>
    <t>每小时加工</t>
    <phoneticPr fontId="1" type="noConversion"/>
  </si>
  <si>
    <t>10至15级</t>
    <phoneticPr fontId="1" type="noConversion"/>
  </si>
  <si>
    <t>10至20级</t>
    <phoneticPr fontId="1" type="noConversion"/>
  </si>
  <si>
    <t>单个工厂</t>
    <phoneticPr fontId="1" type="noConversion"/>
  </si>
  <si>
    <t>4个工厂</t>
    <phoneticPr fontId="1" type="noConversion"/>
  </si>
  <si>
    <t>4工厂专精减耗27%</t>
    <phoneticPr fontId="1" type="noConversion"/>
  </si>
  <si>
    <t>初级</t>
    <phoneticPr fontId="1" type="noConversion"/>
  </si>
  <si>
    <t>高级</t>
    <phoneticPr fontId="1" type="noConversion"/>
  </si>
  <si>
    <t>1wHonor</t>
    <phoneticPr fontId="1" type="noConversion"/>
  </si>
  <si>
    <t>potion</t>
    <phoneticPr fontId="1" type="noConversion"/>
  </si>
  <si>
    <t>battery</t>
    <phoneticPr fontId="1" type="noConversion"/>
  </si>
  <si>
    <t xml:space="preserve">plate </t>
    <phoneticPr fontId="1" type="noConversion"/>
  </si>
  <si>
    <t>8 hours</t>
    <phoneticPr fontId="1" type="noConversion"/>
  </si>
  <si>
    <t xml:space="preserve">10w vip </t>
    <phoneticPr fontId="1" type="noConversion"/>
  </si>
  <si>
    <t>rmb</t>
    <phoneticPr fontId="1" type="noConversion"/>
  </si>
  <si>
    <t>diamond</t>
    <phoneticPr fontId="1" type="noConversion"/>
  </si>
  <si>
    <t>废土4个10工厂加工速度</t>
    <phoneticPr fontId="1" type="noConversion"/>
  </si>
  <si>
    <t>工厂加成</t>
    <phoneticPr fontId="1" type="noConversion"/>
  </si>
  <si>
    <t>特权</t>
    <phoneticPr fontId="1" type="noConversion"/>
  </si>
  <si>
    <t>专精单加工量</t>
    <phoneticPr fontId="1" type="noConversion"/>
  </si>
  <si>
    <t>30个9级</t>
    <phoneticPr fontId="1" type="noConversion"/>
  </si>
  <si>
    <t>专精26点时候（26点4通道44%加成)</t>
    <phoneticPr fontId="1" type="noConversion"/>
  </si>
  <si>
    <t>60个12级</t>
    <phoneticPr fontId="1" type="noConversion"/>
  </si>
  <si>
    <t>3个通道</t>
    <phoneticPr fontId="1" type="noConversion"/>
  </si>
  <si>
    <t>专精加速</t>
    <phoneticPr fontId="1" type="noConversion"/>
  </si>
  <si>
    <t>专精单通道量</t>
    <phoneticPr fontId="1" type="noConversion"/>
  </si>
  <si>
    <t>可囤积量</t>
    <phoneticPr fontId="1" type="noConversion"/>
  </si>
  <si>
    <t>加工小时数</t>
    <phoneticPr fontId="1" type="noConversion"/>
  </si>
  <si>
    <t>左边放17点，绿色上面9，蓝色右边47</t>
    <phoneticPr fontId="1" type="noConversion"/>
  </si>
  <si>
    <t>容量</t>
    <phoneticPr fontId="1" type="noConversion"/>
  </si>
  <si>
    <t>每小时</t>
    <phoneticPr fontId="1" type="noConversion"/>
  </si>
  <si>
    <t>now</t>
    <phoneticPr fontId="10" type="noConversion"/>
  </si>
  <si>
    <t>tar</t>
    <phoneticPr fontId="10" type="noConversion"/>
  </si>
  <si>
    <t>cost</t>
    <phoneticPr fontId="10" type="noConversion"/>
  </si>
  <si>
    <t>resistance</t>
    <phoneticPr fontId="1" type="noConversion"/>
  </si>
  <si>
    <t>start</t>
    <phoneticPr fontId="10" type="noConversion"/>
  </si>
  <si>
    <t>need1</t>
    <phoneticPr fontId="1" type="noConversion"/>
  </si>
  <si>
    <t>need2</t>
    <phoneticPr fontId="1" type="noConversion"/>
  </si>
  <si>
    <t>速度5槽</t>
    <phoneticPr fontId="1" type="noConversion"/>
  </si>
  <si>
    <t>速度7槽</t>
    <phoneticPr fontId="1" type="noConversion"/>
  </si>
  <si>
    <t>时间</t>
    <phoneticPr fontId="1" type="noConversion"/>
  </si>
  <si>
    <t>按8小时计算差</t>
    <phoneticPr fontId="1" type="noConversion"/>
  </si>
  <si>
    <t>milestone</t>
    <phoneticPr fontId="1" type="noConversion"/>
  </si>
  <si>
    <t>1点荣誉耗费建材</t>
    <phoneticPr fontId="1" type="noConversion"/>
  </si>
  <si>
    <t>车</t>
    <phoneticPr fontId="1" type="noConversion"/>
  </si>
  <si>
    <t>射</t>
    <phoneticPr fontId="1" type="noConversion"/>
  </si>
  <si>
    <t>勇</t>
    <phoneticPr fontId="1" type="noConversion"/>
  </si>
  <si>
    <t>轮胎</t>
    <phoneticPr fontId="1" type="noConversion"/>
  </si>
  <si>
    <t>悬架</t>
    <phoneticPr fontId="1" type="noConversion"/>
  </si>
  <si>
    <t>装甲</t>
    <phoneticPr fontId="1" type="noConversion"/>
  </si>
  <si>
    <t>武器</t>
    <phoneticPr fontId="1" type="noConversion"/>
  </si>
  <si>
    <t>引擎</t>
    <phoneticPr fontId="1" type="noConversion"/>
  </si>
  <si>
    <t>中控</t>
    <phoneticPr fontId="1" type="noConversion"/>
  </si>
  <si>
    <t>加成系数</t>
    <phoneticPr fontId="1" type="noConversion"/>
  </si>
  <si>
    <t>每小时基础</t>
    <phoneticPr fontId="1" type="noConversion"/>
  </si>
  <si>
    <t>每小时3通道</t>
    <phoneticPr fontId="1" type="noConversion"/>
  </si>
  <si>
    <t>每小时单通道</t>
    <phoneticPr fontId="1" type="noConversion"/>
  </si>
  <si>
    <t>1天3通道</t>
    <phoneticPr fontId="1" type="noConversion"/>
  </si>
  <si>
    <t>绿色产出</t>
    <phoneticPr fontId="1" type="noConversion"/>
  </si>
  <si>
    <t>1200*60*1.18</t>
    <phoneticPr fontId="1" type="noConversion"/>
  </si>
  <si>
    <t>绿色裸抗</t>
    <phoneticPr fontId="1" type="noConversion"/>
  </si>
  <si>
    <t>专精抗</t>
    <phoneticPr fontId="1" type="noConversion"/>
  </si>
  <si>
    <t>共计</t>
    <phoneticPr fontId="1" type="noConversion"/>
  </si>
  <si>
    <t>目标需要材料</t>
    <phoneticPr fontId="1" type="noConversion"/>
  </si>
  <si>
    <t>当前加工基础</t>
    <phoneticPr fontId="1" type="noConversion"/>
  </si>
  <si>
    <t>通道</t>
    <phoneticPr fontId="1" type="noConversion"/>
  </si>
  <si>
    <t>加工加成</t>
    <phoneticPr fontId="1" type="noConversion"/>
  </si>
  <si>
    <t>每小时产出</t>
    <phoneticPr fontId="1" type="noConversion"/>
  </si>
  <si>
    <t>18%+2.5%</t>
    <phoneticPr fontId="1" type="noConversion"/>
  </si>
  <si>
    <t>预计增加数</t>
    <phoneticPr fontId="1" type="noConversion"/>
  </si>
  <si>
    <t>预计每小时</t>
    <phoneticPr fontId="1" type="noConversion"/>
  </si>
  <si>
    <t>假设加工基础</t>
    <phoneticPr fontId="1" type="noConversion"/>
  </si>
  <si>
    <t>假设通道</t>
    <phoneticPr fontId="1" type="noConversion"/>
  </si>
  <si>
    <t>绿色裸抗目标</t>
    <phoneticPr fontId="1" type="noConversion"/>
  </si>
  <si>
    <t>差数</t>
    <phoneticPr fontId="1" type="noConversion"/>
  </si>
  <si>
    <t>需要小时</t>
    <phoneticPr fontId="1" type="noConversion"/>
  </si>
  <si>
    <t>需要天数</t>
    <phoneticPr fontId="1" type="noConversion"/>
  </si>
  <si>
    <t>3*6%+50%</t>
    <phoneticPr fontId="1" type="noConversion"/>
  </si>
  <si>
    <t>一个3/3是6万</t>
    <phoneticPr fontId="1" type="noConversion"/>
  </si>
  <si>
    <t>基础100000+60000</t>
    <phoneticPr fontId="1" type="noConversion"/>
  </si>
  <si>
    <t>假设加成1</t>
    <phoneticPr fontId="1" type="noConversion"/>
  </si>
  <si>
    <t>假设每小时加工1</t>
    <phoneticPr fontId="1" type="noConversion"/>
  </si>
  <si>
    <t>容量1</t>
    <phoneticPr fontId="1" type="noConversion"/>
  </si>
  <si>
    <t>时间1</t>
    <phoneticPr fontId="1" type="noConversion"/>
  </si>
  <si>
    <t>假设每小时加工2</t>
    <phoneticPr fontId="1" type="noConversion"/>
  </si>
  <si>
    <t>容量2</t>
    <phoneticPr fontId="1" type="noConversion"/>
  </si>
  <si>
    <t>时间2</t>
    <phoneticPr fontId="1" type="noConversion"/>
  </si>
  <si>
    <t>假设加成2</t>
    <phoneticPr fontId="1" type="noConversion"/>
  </si>
  <si>
    <t>1-5级需要材料</t>
    <phoneticPr fontId="1" type="noConversion"/>
  </si>
  <si>
    <t>8个共计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</si>
</sst>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0.00_ "/>
    <numFmt numFmtId="177" formatCode="0.0%"/>
    <numFmt numFmtId="178" formatCode="0.00000000000000%"/>
    <numFmt numFmtId="179" formatCode="#,##0.0000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3" fillId="2" borderId="0" xfId="1" applyNumberFormat="1">
      <alignment vertical="center"/>
    </xf>
    <xf numFmtId="3" fontId="2" fillId="5" borderId="0" xfId="4" applyNumberFormat="1">
      <alignment vertical="center"/>
    </xf>
    <xf numFmtId="0" fontId="2" fillId="4" borderId="0" xfId="3">
      <alignment vertical="center"/>
    </xf>
    <xf numFmtId="3" fontId="2" fillId="4" borderId="0" xfId="3" applyNumberFormat="1">
      <alignment vertical="center"/>
    </xf>
    <xf numFmtId="0" fontId="5" fillId="0" borderId="0" xfId="0" applyFont="1">
      <alignment vertical="center"/>
    </xf>
    <xf numFmtId="0" fontId="3" fillId="2" borderId="0" xfId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5" fillId="0" borderId="0" xfId="0" applyNumberFormat="1" applyFont="1">
      <alignment vertical="center"/>
    </xf>
    <xf numFmtId="3" fontId="6" fillId="6" borderId="0" xfId="5" applyNumberFormat="1">
      <alignment vertical="center"/>
    </xf>
    <xf numFmtId="177" fontId="0" fillId="0" borderId="0" xfId="0" applyNumberFormat="1">
      <alignment vertical="center"/>
    </xf>
    <xf numFmtId="3" fontId="7" fillId="12" borderId="0" xfId="0" applyNumberFormat="1" applyFont="1" applyFill="1">
      <alignment vertical="center"/>
    </xf>
    <xf numFmtId="3" fontId="7" fillId="11" borderId="0" xfId="0" applyNumberFormat="1" applyFont="1" applyFill="1">
      <alignment vertical="center"/>
    </xf>
    <xf numFmtId="3" fontId="8" fillId="8" borderId="0" xfId="2" applyNumberFormat="1" applyFont="1" applyFill="1">
      <alignment vertical="center"/>
    </xf>
    <xf numFmtId="3" fontId="8" fillId="9" borderId="1" xfId="6" applyNumberFormat="1" applyFont="1" applyFill="1">
      <alignment vertical="center"/>
    </xf>
    <xf numFmtId="3" fontId="8" fillId="10" borderId="0" xfId="5" applyNumberFormat="1" applyFont="1" applyFill="1">
      <alignment vertical="center"/>
    </xf>
    <xf numFmtId="58" fontId="0" fillId="0" borderId="0" xfId="0" applyNumberFormat="1">
      <alignment vertical="center"/>
    </xf>
    <xf numFmtId="43" fontId="0" fillId="0" borderId="0" xfId="7" applyFont="1">
      <alignment vertical="center"/>
    </xf>
    <xf numFmtId="3" fontId="0" fillId="13" borderId="0" xfId="0" applyNumberFormat="1" applyFill="1">
      <alignment vertical="center"/>
    </xf>
    <xf numFmtId="3" fontId="0" fillId="14" borderId="0" xfId="0" applyNumberFormat="1" applyFill="1">
      <alignment vertical="center"/>
    </xf>
    <xf numFmtId="0" fontId="0" fillId="0" borderId="0" xfId="0" applyAlignment="1">
      <alignment horizontal="left" vertical="center" wrapText="1"/>
    </xf>
    <xf numFmtId="0" fontId="9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1" applyFill="1">
      <alignment vertical="center"/>
    </xf>
    <xf numFmtId="0" fontId="5" fillId="0" borderId="0" xfId="0" applyFont="1" applyFill="1">
      <alignment vertical="center"/>
    </xf>
  </cellXfs>
  <cellStyles count="8">
    <cellStyle name="40% - 着色 3" xfId="3" builtinId="39"/>
    <cellStyle name="60% - 着色 6" xfId="4" builtinId="52"/>
    <cellStyle name="差" xfId="2" builtinId="27"/>
    <cellStyle name="常规" xfId="0" builtinId="0"/>
    <cellStyle name="好" xfId="1" builtinId="26"/>
    <cellStyle name="千位分隔" xfId="7" builtinId="3"/>
    <cellStyle name="适中" xfId="5" builtinId="28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32E6-44D9-894D-83BB-A56E200E50C6}">
  <dimension ref="A1:AC154"/>
  <sheetViews>
    <sheetView topLeftCell="A57" zoomScale="81" workbookViewId="0">
      <selection activeCell="C102" sqref="C102"/>
    </sheetView>
  </sheetViews>
  <sheetFormatPr baseColWidth="10" defaultRowHeight="16"/>
  <cols>
    <col min="1" max="1" width="17.83203125" customWidth="1"/>
    <col min="3" max="3" width="15" bestFit="1" customWidth="1"/>
    <col min="5" max="5" width="14.1640625" bestFit="1" customWidth="1"/>
    <col min="6" max="6" width="13.6640625" customWidth="1"/>
    <col min="9" max="9" width="14.33203125" customWidth="1"/>
    <col min="10" max="10" width="14.6640625" customWidth="1"/>
    <col min="11" max="11" width="16.83203125" customWidth="1"/>
    <col min="13" max="13" width="27.6640625" customWidth="1"/>
    <col min="15" max="15" width="14.1640625" bestFit="1" customWidth="1"/>
    <col min="16" max="16" width="20.1640625" customWidth="1"/>
    <col min="17" max="17" width="16" customWidth="1"/>
    <col min="18" max="18" width="20" bestFit="1" customWidth="1"/>
    <col min="19" max="19" width="16" customWidth="1"/>
    <col min="20" max="21" width="13" bestFit="1" customWidth="1"/>
    <col min="22" max="22" width="15.83203125" customWidth="1"/>
    <col min="26" max="27" width="13.6640625" bestFit="1" customWidth="1"/>
    <col min="28" max="28" width="17.1640625" bestFit="1" customWidth="1"/>
  </cols>
  <sheetData>
    <row r="1" spans="1:29">
      <c r="A1" t="s">
        <v>30</v>
      </c>
      <c r="C1" t="s">
        <v>12</v>
      </c>
      <c r="D1" t="s">
        <v>11</v>
      </c>
      <c r="E1" t="s">
        <v>193</v>
      </c>
      <c r="F1" t="s">
        <v>192</v>
      </c>
      <c r="G1" t="s">
        <v>241</v>
      </c>
      <c r="J1" s="1"/>
      <c r="K1" s="1"/>
      <c r="L1" s="1"/>
      <c r="M1" s="1">
        <f>J7+J1+K1</f>
        <v>27380</v>
      </c>
      <c r="O1" t="s">
        <v>14</v>
      </c>
      <c r="P1" t="s">
        <v>13</v>
      </c>
      <c r="Q1" t="s">
        <v>206</v>
      </c>
      <c r="R1" s="1">
        <f>SUM(O13:O21)</f>
        <v>3126455</v>
      </c>
      <c r="S1" s="1">
        <f>SUM(O8:O21)</f>
        <v>21868645.511999998</v>
      </c>
      <c r="T1" s="1">
        <f>SUM(O3:O21)</f>
        <v>68505213.006819814</v>
      </c>
    </row>
    <row r="2" spans="1:29">
      <c r="B2">
        <v>20</v>
      </c>
      <c r="C2" s="1"/>
      <c r="D2" s="1"/>
      <c r="E2" s="1">
        <v>22500</v>
      </c>
      <c r="F2" s="1">
        <v>180000</v>
      </c>
      <c r="I2" s="1"/>
      <c r="N2">
        <v>20</v>
      </c>
      <c r="O2" s="1"/>
      <c r="AB2" t="s">
        <v>109</v>
      </c>
      <c r="AC2">
        <f>1600*1.12*170</f>
        <v>304640.00000000006</v>
      </c>
    </row>
    <row r="3" spans="1:29">
      <c r="B3">
        <v>19</v>
      </c>
      <c r="C3" s="1">
        <f t="shared" ref="C3:C10" si="0">C4*1.2</f>
        <v>1299526.8001136635</v>
      </c>
      <c r="D3" s="1">
        <f t="shared" ref="D3:D9" si="1">D4*1.2</f>
        <v>1588237.1499294708</v>
      </c>
      <c r="E3" s="1">
        <v>20000</v>
      </c>
      <c r="F3" s="1">
        <v>160000</v>
      </c>
      <c r="I3" s="1"/>
      <c r="J3" s="1"/>
      <c r="N3">
        <v>19</v>
      </c>
      <c r="O3" s="1">
        <f t="shared" ref="O3:O11" si="2">C3*10</f>
        <v>12995268.001136634</v>
      </c>
      <c r="P3" s="2">
        <f t="shared" ref="P3:P10" si="3">P4*1.2</f>
        <v>1588237.1499294708</v>
      </c>
      <c r="Q3" s="28">
        <f>O3/P3</f>
        <v>8.1821962178089827</v>
      </c>
      <c r="S3" s="1">
        <f t="shared" ref="S3:S11" si="4">P4*1.4</f>
        <v>1852943.3415843826</v>
      </c>
      <c r="AB3" t="s">
        <v>110</v>
      </c>
      <c r="AC3">
        <f>22500*4*1.68*2</f>
        <v>302400</v>
      </c>
    </row>
    <row r="4" spans="1:29">
      <c r="B4">
        <v>18</v>
      </c>
      <c r="C4" s="1">
        <f t="shared" si="0"/>
        <v>1082939.0000947197</v>
      </c>
      <c r="D4" s="1">
        <f t="shared" si="1"/>
        <v>1323530.9582745591</v>
      </c>
      <c r="E4" s="1">
        <v>17500</v>
      </c>
      <c r="F4" s="1">
        <v>140000</v>
      </c>
      <c r="H4" t="s">
        <v>221</v>
      </c>
      <c r="I4" s="1" t="s">
        <v>222</v>
      </c>
      <c r="J4" s="1" cm="1">
        <f t="array" ref="J4">answer</f>
        <v>84960</v>
      </c>
      <c r="M4">
        <f>O3/O4</f>
        <v>1.2</v>
      </c>
      <c r="N4">
        <v>18</v>
      </c>
      <c r="O4" s="1">
        <f t="shared" si="2"/>
        <v>10829390.000947196</v>
      </c>
      <c r="P4" s="2">
        <f t="shared" si="3"/>
        <v>1323530.9582745591</v>
      </c>
      <c r="Q4" s="28">
        <f t="shared" ref="Q4:Q21" si="5">O4/P4</f>
        <v>8.1821962178089827</v>
      </c>
      <c r="S4" s="1">
        <f t="shared" si="4"/>
        <v>1544119.451320319</v>
      </c>
      <c r="Z4" t="s">
        <v>105</v>
      </c>
      <c r="AA4" t="s">
        <v>106</v>
      </c>
      <c r="AB4" t="s">
        <v>111</v>
      </c>
      <c r="AC4" t="s">
        <v>95</v>
      </c>
    </row>
    <row r="5" spans="1:29">
      <c r="B5">
        <v>17</v>
      </c>
      <c r="C5" s="1">
        <f t="shared" si="0"/>
        <v>902449.16674559971</v>
      </c>
      <c r="D5" s="1">
        <f t="shared" si="1"/>
        <v>1102942.4652287993</v>
      </c>
      <c r="E5" s="1">
        <v>15000</v>
      </c>
      <c r="F5" s="1">
        <v>120000</v>
      </c>
      <c r="I5" s="1"/>
      <c r="J5" s="1"/>
      <c r="N5">
        <v>17</v>
      </c>
      <c r="O5" s="1">
        <f t="shared" si="2"/>
        <v>9024491.6674559973</v>
      </c>
      <c r="P5" s="2">
        <f t="shared" si="3"/>
        <v>1102942.4652287993</v>
      </c>
      <c r="Q5" s="28">
        <f t="shared" si="5"/>
        <v>8.1821962178089827</v>
      </c>
      <c r="S5" s="1">
        <f t="shared" si="4"/>
        <v>1286766.2094335991</v>
      </c>
      <c r="W5" s="1">
        <f>O14+O14</f>
        <v>1554678</v>
      </c>
      <c r="X5" s="1">
        <f>O13*2</f>
        <v>2798420</v>
      </c>
      <c r="Y5" s="1">
        <f>SUM(W5:X5)</f>
        <v>4353098</v>
      </c>
      <c r="Z5" s="1">
        <f>Y5+W6</f>
        <v>12748358</v>
      </c>
      <c r="AA5">
        <f>Z5*0.73</f>
        <v>9306301.3399999999</v>
      </c>
      <c r="AB5" s="9">
        <f>AA5/AC3</f>
        <v>30.774806018518518</v>
      </c>
      <c r="AC5" s="9">
        <f>AB5/24</f>
        <v>1.2822835841049383</v>
      </c>
    </row>
    <row r="6" spans="1:29">
      <c r="B6">
        <v>16</v>
      </c>
      <c r="C6" s="1">
        <f t="shared" si="0"/>
        <v>752040.97228799982</v>
      </c>
      <c r="D6" s="1">
        <f t="shared" si="1"/>
        <v>919118.7210239995</v>
      </c>
      <c r="E6" s="1">
        <v>13750</v>
      </c>
      <c r="F6" s="1">
        <v>110000</v>
      </c>
      <c r="H6" s="1" t="s">
        <v>217</v>
      </c>
      <c r="I6" s="1" t="s">
        <v>216</v>
      </c>
      <c r="J6" s="1" t="s">
        <v>219</v>
      </c>
      <c r="K6" s="1" t="s">
        <v>218</v>
      </c>
      <c r="L6" s="1" t="s">
        <v>220</v>
      </c>
      <c r="N6">
        <v>16</v>
      </c>
      <c r="O6" s="1">
        <f t="shared" si="2"/>
        <v>7520409.7228799984</v>
      </c>
      <c r="P6" s="2">
        <f t="shared" si="3"/>
        <v>919118.7210239995</v>
      </c>
      <c r="Q6" s="28">
        <f t="shared" si="5"/>
        <v>8.1821962178089827</v>
      </c>
      <c r="S6" s="1">
        <f t="shared" si="4"/>
        <v>1072305.1745279995</v>
      </c>
      <c r="W6" s="1">
        <f>O13*6</f>
        <v>8395260</v>
      </c>
      <c r="Z6" t="s">
        <v>107</v>
      </c>
      <c r="AA6" t="s">
        <v>106</v>
      </c>
      <c r="AB6" s="9"/>
      <c r="AC6" s="9"/>
    </row>
    <row r="7" spans="1:29">
      <c r="B7">
        <v>15</v>
      </c>
      <c r="C7" s="1">
        <f t="shared" si="0"/>
        <v>626700.8102399999</v>
      </c>
      <c r="D7" s="1">
        <f t="shared" si="1"/>
        <v>765932.26751999964</v>
      </c>
      <c r="E7" s="1">
        <v>12500</v>
      </c>
      <c r="F7" s="1">
        <v>100000</v>
      </c>
      <c r="H7" s="1">
        <f>E13+E13+E12+E10</f>
        <v>18500</v>
      </c>
      <c r="I7" s="8">
        <f>1+I8+I9</f>
        <v>1.48</v>
      </c>
      <c r="J7" s="1">
        <f>H7*I7</f>
        <v>27380</v>
      </c>
      <c r="K7">
        <f>J7*3</f>
        <v>82140</v>
      </c>
      <c r="L7" s="1">
        <f>K7*24</f>
        <v>1971360</v>
      </c>
      <c r="N7">
        <v>15</v>
      </c>
      <c r="O7" s="1">
        <f t="shared" si="2"/>
        <v>6267008.1023999993</v>
      </c>
      <c r="P7" s="2">
        <f t="shared" si="3"/>
        <v>765932.26751999964</v>
      </c>
      <c r="Q7" s="28">
        <f t="shared" si="5"/>
        <v>8.1821962178089827</v>
      </c>
      <c r="S7" s="1">
        <f t="shared" si="4"/>
        <v>893587.64543999964</v>
      </c>
      <c r="Z7" s="1">
        <f>Z5+O12*8</f>
        <v>32896918</v>
      </c>
      <c r="AA7" s="1">
        <f>Z7*0.73</f>
        <v>24014750.140000001</v>
      </c>
      <c r="AB7" s="9">
        <f>AA7/AC3</f>
        <v>79.413856283068782</v>
      </c>
      <c r="AC7" s="9">
        <f>AB7/24</f>
        <v>3.3089106784611992</v>
      </c>
    </row>
    <row r="8" spans="1:29">
      <c r="B8">
        <v>14</v>
      </c>
      <c r="C8" s="1">
        <f t="shared" si="0"/>
        <v>522250.67519999994</v>
      </c>
      <c r="D8" s="1">
        <f t="shared" si="1"/>
        <v>638276.88959999976</v>
      </c>
      <c r="E8" s="1">
        <v>11250</v>
      </c>
      <c r="F8" s="1">
        <v>90000</v>
      </c>
      <c r="H8" s="1"/>
      <c r="I8" s="8">
        <v>0.3</v>
      </c>
      <c r="L8" s="1"/>
      <c r="M8" s="1"/>
      <c r="N8">
        <v>14</v>
      </c>
      <c r="O8" s="1">
        <f t="shared" si="2"/>
        <v>5222506.7519999994</v>
      </c>
      <c r="P8" s="2">
        <f t="shared" si="3"/>
        <v>638276.88959999976</v>
      </c>
      <c r="Q8" s="28">
        <f t="shared" si="5"/>
        <v>8.1821962178089827</v>
      </c>
      <c r="R8" s="1"/>
      <c r="S8" s="1">
        <f t="shared" si="4"/>
        <v>744656.3711999997</v>
      </c>
      <c r="Z8" t="s">
        <v>108</v>
      </c>
      <c r="AA8" t="s">
        <v>106</v>
      </c>
      <c r="AB8" s="9"/>
      <c r="AC8" s="9"/>
    </row>
    <row r="9" spans="1:29">
      <c r="B9">
        <v>13</v>
      </c>
      <c r="C9" s="1">
        <f t="shared" si="0"/>
        <v>435208.89599999995</v>
      </c>
      <c r="D9" s="1">
        <f t="shared" si="1"/>
        <v>531897.40799999982</v>
      </c>
      <c r="E9" s="1">
        <v>10000</v>
      </c>
      <c r="F9" s="1">
        <v>80000</v>
      </c>
      <c r="H9" s="1"/>
      <c r="I9" s="8">
        <v>0.18</v>
      </c>
      <c r="M9" s="1"/>
      <c r="N9">
        <v>13</v>
      </c>
      <c r="O9" s="1">
        <f t="shared" si="2"/>
        <v>4352088.959999999</v>
      </c>
      <c r="P9" s="2">
        <f t="shared" si="3"/>
        <v>531897.40799999982</v>
      </c>
      <c r="Q9" s="28">
        <f t="shared" si="5"/>
        <v>8.1821962178089809</v>
      </c>
      <c r="S9" s="1">
        <f t="shared" si="4"/>
        <v>620546.97599999979</v>
      </c>
      <c r="Z9" s="1">
        <f>Z7+O11*8</f>
        <v>57075190</v>
      </c>
      <c r="AA9" s="1">
        <f>Z9*0.73</f>
        <v>41664888.699999996</v>
      </c>
      <c r="AB9" s="9">
        <f>AA9/AC3</f>
        <v>137.78071660052908</v>
      </c>
      <c r="AC9" s="9">
        <f>AB9/24</f>
        <v>5.7408631916887112</v>
      </c>
    </row>
    <row r="10" spans="1:29">
      <c r="B10">
        <v>12</v>
      </c>
      <c r="C10" s="1">
        <f t="shared" si="0"/>
        <v>362674.07999999996</v>
      </c>
      <c r="D10" s="1">
        <f>D11*1.2</f>
        <v>443247.83999999991</v>
      </c>
      <c r="E10" s="1">
        <v>8000</v>
      </c>
      <c r="F10" s="1">
        <v>64000</v>
      </c>
      <c r="H10" s="1"/>
      <c r="N10">
        <v>12</v>
      </c>
      <c r="O10" s="1">
        <f t="shared" si="2"/>
        <v>3626740.8</v>
      </c>
      <c r="P10" s="2">
        <f t="shared" si="3"/>
        <v>443247.83999999991</v>
      </c>
      <c r="Q10" s="28">
        <f t="shared" si="5"/>
        <v>8.1821962178089809</v>
      </c>
      <c r="S10" s="1">
        <f t="shared" si="4"/>
        <v>517122.47999999992</v>
      </c>
      <c r="Z10" t="s">
        <v>113</v>
      </c>
      <c r="AA10" t="s">
        <v>106</v>
      </c>
      <c r="AB10" s="9"/>
      <c r="AC10" s="9"/>
    </row>
    <row r="11" spans="1:29">
      <c r="A11">
        <v>1.2</v>
      </c>
      <c r="B11">
        <v>11</v>
      </c>
      <c r="C11" s="1">
        <f>C12*1.2</f>
        <v>302228.39999999997</v>
      </c>
      <c r="D11" s="1">
        <f>D12*1.4</f>
        <v>369373.19999999995</v>
      </c>
      <c r="E11">
        <v>6000</v>
      </c>
      <c r="F11" s="1">
        <v>48000</v>
      </c>
      <c r="G11">
        <v>1.2</v>
      </c>
      <c r="H11" t="s">
        <v>75</v>
      </c>
      <c r="I11" s="1"/>
      <c r="N11">
        <v>11</v>
      </c>
      <c r="O11" s="1">
        <f t="shared" si="2"/>
        <v>3022283.9999999995</v>
      </c>
      <c r="P11" s="2">
        <f>P12*1.4</f>
        <v>369373.19999999995</v>
      </c>
      <c r="Q11" s="28">
        <f t="shared" si="5"/>
        <v>8.1821962178089791</v>
      </c>
      <c r="S11" s="1">
        <f t="shared" si="4"/>
        <v>369373.19999999995</v>
      </c>
      <c r="Z11" s="1">
        <f>Z9+O10*8</f>
        <v>86089116.400000006</v>
      </c>
      <c r="AA11" s="1">
        <f>Z11*0.73</f>
        <v>62845054.972000003</v>
      </c>
      <c r="AB11" s="9">
        <f>AA11/AC3</f>
        <v>207.82094898148148</v>
      </c>
      <c r="AC11" s="9">
        <f>AB11/24</f>
        <v>8.6592062075617289</v>
      </c>
    </row>
    <row r="12" spans="1:29" ht="16" customHeight="1">
      <c r="A12">
        <v>1.4</v>
      </c>
      <c r="B12">
        <v>10</v>
      </c>
      <c r="C12" s="1">
        <v>251857</v>
      </c>
      <c r="D12" s="1">
        <v>263838</v>
      </c>
      <c r="E12">
        <v>4500</v>
      </c>
      <c r="F12" s="1">
        <v>36000</v>
      </c>
      <c r="G12">
        <v>1.4</v>
      </c>
      <c r="H12" s="22" t="s">
        <v>76</v>
      </c>
      <c r="I12" s="22"/>
      <c r="J12" s="22"/>
      <c r="K12" s="22"/>
      <c r="L12" s="22"/>
      <c r="M12" s="22"/>
      <c r="N12">
        <v>10</v>
      </c>
      <c r="O12" s="1">
        <f>C12*10</f>
        <v>2518570</v>
      </c>
      <c r="P12" s="3">
        <v>263838</v>
      </c>
      <c r="Q12" s="28">
        <f t="shared" si="5"/>
        <v>9.5458955874438107</v>
      </c>
      <c r="R12" s="1">
        <v>2518578</v>
      </c>
      <c r="S12" s="1" t="s">
        <v>98</v>
      </c>
      <c r="T12">
        <v>1838562</v>
      </c>
      <c r="U12">
        <f>T12/R12</f>
        <v>0.7300000238229668</v>
      </c>
      <c r="Z12" t="s">
        <v>112</v>
      </c>
      <c r="AA12" t="s">
        <v>106</v>
      </c>
      <c r="AB12" s="9"/>
      <c r="AC12" s="9"/>
    </row>
    <row r="13" spans="1:29">
      <c r="B13">
        <v>9</v>
      </c>
      <c r="C13" s="1">
        <v>139921</v>
      </c>
      <c r="D13" s="1">
        <v>188456</v>
      </c>
      <c r="E13">
        <v>3000</v>
      </c>
      <c r="F13" s="1">
        <v>24000</v>
      </c>
      <c r="H13" s="22"/>
      <c r="I13" s="22"/>
      <c r="J13" s="22"/>
      <c r="K13" s="22"/>
      <c r="L13" s="22"/>
      <c r="M13" s="22"/>
      <c r="N13">
        <v>9</v>
      </c>
      <c r="O13" s="1">
        <v>1399210</v>
      </c>
      <c r="P13" s="3">
        <v>188456</v>
      </c>
      <c r="Q13" s="28">
        <f t="shared" si="5"/>
        <v>7.424597784098145</v>
      </c>
      <c r="S13" s="1">
        <f>R12/P13</f>
        <v>13.364276011376662</v>
      </c>
      <c r="Z13" s="1">
        <f>Z11+O9*8</f>
        <v>120905828.08</v>
      </c>
      <c r="AA13" s="1">
        <f>Z13*0.73</f>
        <v>88261254.498400003</v>
      </c>
      <c r="AB13" s="9">
        <f>AA13/AC3</f>
        <v>291.86922783862434</v>
      </c>
      <c r="AC13" s="9">
        <f>AB13/24</f>
        <v>12.161217826609347</v>
      </c>
    </row>
    <row r="14" spans="1:29">
      <c r="B14">
        <v>8</v>
      </c>
      <c r="C14" s="4">
        <v>77733</v>
      </c>
      <c r="D14" s="1">
        <v>134611</v>
      </c>
      <c r="G14" s="1"/>
      <c r="H14" s="22"/>
      <c r="I14" s="22"/>
      <c r="J14" s="22"/>
      <c r="K14" s="22"/>
      <c r="L14" s="22"/>
      <c r="M14" s="22"/>
      <c r="N14">
        <v>8</v>
      </c>
      <c r="O14" s="1">
        <f>777339</f>
        <v>777339</v>
      </c>
      <c r="P14" s="3">
        <v>134611</v>
      </c>
      <c r="Q14" s="28">
        <f t="shared" si="5"/>
        <v>5.7747063761505375</v>
      </c>
      <c r="S14" s="1"/>
      <c r="U14" t="s">
        <v>251</v>
      </c>
      <c r="V14" s="1">
        <f>SUM(O18:O21)</f>
        <v>144876</v>
      </c>
      <c r="Z14" t="s">
        <v>114</v>
      </c>
      <c r="AA14" t="s">
        <v>106</v>
      </c>
      <c r="AB14" s="9"/>
      <c r="AC14" s="9"/>
    </row>
    <row r="15" spans="1:29">
      <c r="B15">
        <v>7</v>
      </c>
      <c r="C15" s="5">
        <v>43184</v>
      </c>
      <c r="D15" s="1">
        <v>96151</v>
      </c>
      <c r="F15" s="1"/>
      <c r="N15">
        <v>7</v>
      </c>
      <c r="O15" s="1">
        <f t="shared" ref="O15:O20" si="6">C15*10</f>
        <v>431840</v>
      </c>
      <c r="P15" s="3">
        <v>96151</v>
      </c>
      <c r="Q15" s="28">
        <f t="shared" si="5"/>
        <v>4.4912689415606701</v>
      </c>
      <c r="U15" t="s">
        <v>252</v>
      </c>
      <c r="V15" s="1">
        <f>V14*8</f>
        <v>1159008</v>
      </c>
      <c r="Z15" s="1">
        <f>Z13+O8*8</f>
        <v>162685882.09599999</v>
      </c>
      <c r="AA15" s="1">
        <f>Z15*0.73</f>
        <v>118760693.93007998</v>
      </c>
      <c r="AB15" s="9">
        <f>AA15/AC3</f>
        <v>392.72716246719568</v>
      </c>
      <c r="AC15" s="9">
        <f>AB15/24</f>
        <v>16.363631769466487</v>
      </c>
    </row>
    <row r="16" spans="1:29">
      <c r="B16">
        <v>6</v>
      </c>
      <c r="C16" s="5">
        <v>23991</v>
      </c>
      <c r="D16" s="1">
        <v>68679</v>
      </c>
      <c r="F16" s="1"/>
      <c r="N16">
        <v>6</v>
      </c>
      <c r="O16" s="1">
        <f t="shared" si="6"/>
        <v>239910</v>
      </c>
      <c r="P16" s="3">
        <v>68679</v>
      </c>
      <c r="Q16" s="28">
        <f t="shared" si="5"/>
        <v>3.4932075306862358</v>
      </c>
      <c r="V16">
        <f>V15/10000/24</f>
        <v>4.8292000000000002</v>
      </c>
    </row>
    <row r="17" spans="2:23">
      <c r="B17">
        <v>5</v>
      </c>
      <c r="C17" s="4">
        <v>13328</v>
      </c>
      <c r="D17" s="1">
        <v>49057</v>
      </c>
      <c r="F17" s="1"/>
      <c r="I17" t="s">
        <v>29</v>
      </c>
      <c r="N17">
        <v>5</v>
      </c>
      <c r="O17" s="1">
        <f t="shared" si="6"/>
        <v>133280</v>
      </c>
      <c r="P17" s="3">
        <v>49057</v>
      </c>
      <c r="Q17" s="28">
        <f t="shared" si="5"/>
        <v>2.7168395947571193</v>
      </c>
    </row>
    <row r="18" spans="2:23">
      <c r="B18">
        <v>4</v>
      </c>
      <c r="C18" s="4">
        <v>7404</v>
      </c>
      <c r="D18" s="1">
        <v>35040</v>
      </c>
      <c r="F18" s="1"/>
      <c r="N18">
        <v>4</v>
      </c>
      <c r="O18" s="1">
        <f t="shared" si="6"/>
        <v>74040</v>
      </c>
      <c r="P18" s="3">
        <v>35040</v>
      </c>
      <c r="Q18" s="28">
        <f t="shared" si="5"/>
        <v>2.1130136986301369</v>
      </c>
    </row>
    <row r="19" spans="2:23">
      <c r="B19">
        <v>3</v>
      </c>
      <c r="C19" s="4">
        <v>4113</v>
      </c>
      <c r="D19" s="1">
        <v>25029</v>
      </c>
      <c r="F19" s="1"/>
      <c r="K19" t="s">
        <v>179</v>
      </c>
      <c r="N19">
        <v>3</v>
      </c>
      <c r="O19" s="1">
        <f t="shared" si="6"/>
        <v>41130</v>
      </c>
      <c r="P19" s="3">
        <v>25029</v>
      </c>
      <c r="Q19" s="28">
        <f t="shared" si="5"/>
        <v>1.6432937792161093</v>
      </c>
      <c r="R19" s="1">
        <f>SUM(O17:O21)*8</f>
        <v>2225248</v>
      </c>
      <c r="S19" s="1">
        <f>R19*0.73</f>
        <v>1624431.04</v>
      </c>
      <c r="U19">
        <v>11</v>
      </c>
      <c r="V19" s="1">
        <f>SUM(C3:C11)</f>
        <v>6286018.8006819822</v>
      </c>
    </row>
    <row r="20" spans="2:23">
      <c r="B20">
        <v>2</v>
      </c>
      <c r="C20" s="4">
        <v>2285</v>
      </c>
      <c r="D20" s="1">
        <v>17878</v>
      </c>
      <c r="F20" s="1"/>
      <c r="I20" t="s">
        <v>180</v>
      </c>
      <c r="J20">
        <f>450*4</f>
        <v>1800</v>
      </c>
      <c r="K20" s="1">
        <f>$J$20*(1+$J$21+$J$22)</f>
        <v>3240</v>
      </c>
      <c r="L20" t="s">
        <v>183</v>
      </c>
      <c r="M20">
        <f>900*30</f>
        <v>27000</v>
      </c>
      <c r="N20">
        <v>2</v>
      </c>
      <c r="O20" s="1">
        <f t="shared" si="6"/>
        <v>22850</v>
      </c>
      <c r="P20" s="3">
        <v>17878</v>
      </c>
      <c r="Q20" s="28">
        <f t="shared" si="5"/>
        <v>1.2781071708244771</v>
      </c>
      <c r="R20" s="1">
        <f>SUM(O12:O21)*8</f>
        <v>45160200</v>
      </c>
      <c r="S20" s="1">
        <f t="shared" ref="S20:S21" si="7">R20*0.73</f>
        <v>32966946</v>
      </c>
      <c r="U20">
        <v>12</v>
      </c>
      <c r="V20" s="1">
        <f>SUM(C3:C10)</f>
        <v>5983790.4006819818</v>
      </c>
    </row>
    <row r="21" spans="2:23">
      <c r="B21">
        <v>1</v>
      </c>
      <c r="C21" s="4">
        <v>685</v>
      </c>
      <c r="D21" s="1">
        <v>12770</v>
      </c>
      <c r="F21" s="1"/>
      <c r="G21" s="1">
        <f>SUM(C3:C12)*4</f>
        <v>26151503.202727929</v>
      </c>
      <c r="H21">
        <f>G21*0.73</f>
        <v>19090597.337991387</v>
      </c>
      <c r="I21" t="s">
        <v>181</v>
      </c>
      <c r="J21" s="8">
        <v>0.5</v>
      </c>
      <c r="L21" t="s">
        <v>185</v>
      </c>
      <c r="M21">
        <f>1200*60*1.12</f>
        <v>80640.000000000015</v>
      </c>
      <c r="N21">
        <v>1</v>
      </c>
      <c r="O21" s="1">
        <v>6856</v>
      </c>
      <c r="P21" s="3">
        <v>12770</v>
      </c>
      <c r="Q21" s="28">
        <f t="shared" si="5"/>
        <v>0.53688332028191077</v>
      </c>
      <c r="R21" s="1">
        <f>SUM(O12:O16)*8</f>
        <v>42934952</v>
      </c>
      <c r="S21" s="1">
        <f t="shared" si="7"/>
        <v>31342514.960000001</v>
      </c>
      <c r="U21">
        <v>14</v>
      </c>
      <c r="V21" s="1">
        <f>SUM(C3:C8)</f>
        <v>5185907.424681982</v>
      </c>
    </row>
    <row r="22" spans="2:23">
      <c r="H22">
        <f>H21/88000/24</f>
        <v>9.0391085880641047</v>
      </c>
      <c r="I22" t="s">
        <v>119</v>
      </c>
      <c r="J22" s="8">
        <v>0.3</v>
      </c>
      <c r="P22" s="1"/>
      <c r="Q22" s="1"/>
      <c r="V22" s="1">
        <f>SUM(V19:V21)+V20</f>
        <v>23439507.02672793</v>
      </c>
      <c r="W22" t="s">
        <v>74</v>
      </c>
    </row>
    <row r="23" spans="2:23">
      <c r="G23" s="1"/>
      <c r="H23" s="1"/>
      <c r="I23" t="s">
        <v>182</v>
      </c>
      <c r="J23">
        <v>20000</v>
      </c>
      <c r="K23" t="s">
        <v>186</v>
      </c>
      <c r="L23">
        <f>K20*3</f>
        <v>9720</v>
      </c>
      <c r="N23" s="1">
        <f>SUM(O13:O15)</f>
        <v>2608389</v>
      </c>
      <c r="O23" s="1">
        <f>SUM(O8:O12)</f>
        <v>18742190.511999998</v>
      </c>
    </row>
    <row r="24" spans="2:23">
      <c r="E24" t="s">
        <v>166</v>
      </c>
      <c r="F24" t="s">
        <v>167</v>
      </c>
      <c r="G24" t="s">
        <v>168</v>
      </c>
      <c r="N24">
        <f>13*24*3.75</f>
        <v>1170</v>
      </c>
      <c r="V24">
        <f>E11+E10+E10+E8</f>
        <v>33250</v>
      </c>
    </row>
    <row r="25" spans="2:23">
      <c r="D25" s="18" t="s">
        <v>164</v>
      </c>
      <c r="E25" s="1">
        <f>SUM(C8:C12)</f>
        <v>1874219.0511999996</v>
      </c>
      <c r="F25" s="1">
        <f>E25*4</f>
        <v>7496876.2047999986</v>
      </c>
      <c r="G25" s="1">
        <f>F25*0.73</f>
        <v>5472719.6295039989</v>
      </c>
      <c r="I25" t="s">
        <v>184</v>
      </c>
      <c r="K25" s="1">
        <f>J20*(1+J21+44%)*4</f>
        <v>13968</v>
      </c>
      <c r="V25">
        <f>V24*2.04*5/10000</f>
        <v>33.914999999999999</v>
      </c>
      <c r="W25" t="s">
        <v>72</v>
      </c>
    </row>
    <row r="26" spans="2:23">
      <c r="D26" t="s">
        <v>165</v>
      </c>
      <c r="E26" s="1">
        <f>SUM(C3:C12)</f>
        <v>6537875.8006819822</v>
      </c>
      <c r="F26" s="1">
        <f>E26*4</f>
        <v>26151503.202727929</v>
      </c>
      <c r="G26" s="1">
        <f>F26*0.73</f>
        <v>19090597.337991387</v>
      </c>
      <c r="Q26" s="1">
        <f>SUM(O13:O16)</f>
        <v>2848299</v>
      </c>
      <c r="R26" s="1">
        <f>Q26*4</f>
        <v>11393196</v>
      </c>
      <c r="V26">
        <f>V25*70</f>
        <v>2374.0499999999997</v>
      </c>
      <c r="W26" t="s">
        <v>73</v>
      </c>
    </row>
    <row r="27" spans="2:23">
      <c r="H27" t="s">
        <v>191</v>
      </c>
      <c r="L27" s="1"/>
      <c r="Q27" t="s">
        <v>192</v>
      </c>
      <c r="R27" t="s">
        <v>203</v>
      </c>
      <c r="S27" t="s">
        <v>193</v>
      </c>
    </row>
    <row r="28" spans="2:23">
      <c r="G28" s="1"/>
      <c r="H28" t="s">
        <v>187</v>
      </c>
      <c r="I28" t="s">
        <v>188</v>
      </c>
      <c r="J28" t="s">
        <v>163</v>
      </c>
      <c r="K28" t="s">
        <v>189</v>
      </c>
      <c r="L28" t="s">
        <v>190</v>
      </c>
      <c r="O28" t="s">
        <v>201</v>
      </c>
      <c r="P28">
        <f>6000*1.8*4</f>
        <v>43200</v>
      </c>
      <c r="Q28">
        <f>Q29+120000</f>
        <v>372000</v>
      </c>
      <c r="R28">
        <f>Q28/P28</f>
        <v>8.6111111111111107</v>
      </c>
      <c r="S28">
        <f>P28*4</f>
        <v>172800</v>
      </c>
    </row>
    <row r="29" spans="2:23">
      <c r="H29" s="8">
        <v>0.3</v>
      </c>
      <c r="I29">
        <v>30000</v>
      </c>
      <c r="J29" s="1">
        <f>$J$20*(1+$J$21+$H$29)</f>
        <v>3240</v>
      </c>
      <c r="K29">
        <f>$F$13*4+I$29</f>
        <v>126000</v>
      </c>
      <c r="L29" s="1">
        <f>K29/J29</f>
        <v>38.888888888888886</v>
      </c>
      <c r="M29">
        <f>J29*3</f>
        <v>9720</v>
      </c>
      <c r="O29" t="s">
        <v>202</v>
      </c>
      <c r="P29">
        <f>6000*1.92*4</f>
        <v>46080</v>
      </c>
      <c r="Q29">
        <f>48000*4+60000</f>
        <v>252000</v>
      </c>
      <c r="R29">
        <f>Q29/P29</f>
        <v>5.46875</v>
      </c>
      <c r="S29">
        <f>P29*4</f>
        <v>184320</v>
      </c>
    </row>
    <row r="30" spans="2:23">
      <c r="H30" s="8">
        <v>0.18</v>
      </c>
      <c r="I30">
        <v>150000</v>
      </c>
      <c r="J30" s="1">
        <f>$J$20*(1+$J$21+$H$30)</f>
        <v>3024</v>
      </c>
      <c r="K30">
        <f>$F$13*4+I$30</f>
        <v>246000</v>
      </c>
      <c r="L30" s="1">
        <f t="shared" ref="L30:L31" si="8">K30/J30</f>
        <v>81.349206349206355</v>
      </c>
      <c r="M30">
        <f t="shared" ref="M30:M31" si="9">J30*3</f>
        <v>9072</v>
      </c>
      <c r="Q30">
        <f>48000*4+60000+60000</f>
        <v>312000</v>
      </c>
      <c r="R30">
        <f>Q30/P29</f>
        <v>6.770833333333333</v>
      </c>
    </row>
    <row r="31" spans="2:23">
      <c r="D31" s="1" t="s">
        <v>6</v>
      </c>
      <c r="E31" s="1" t="s">
        <v>4</v>
      </c>
      <c r="F31" t="s">
        <v>5</v>
      </c>
      <c r="H31" s="8">
        <v>0.06</v>
      </c>
      <c r="I31">
        <v>270000</v>
      </c>
      <c r="J31" s="1">
        <f>$J$20*(1+$J$21+$H$31)</f>
        <v>2808</v>
      </c>
      <c r="K31">
        <f>$F$13*4+I$31</f>
        <v>366000</v>
      </c>
      <c r="L31" s="1">
        <f t="shared" si="8"/>
        <v>130.34188034188034</v>
      </c>
      <c r="M31">
        <f t="shared" si="9"/>
        <v>8424</v>
      </c>
      <c r="P31">
        <f>(S29-S28)*24</f>
        <v>276480</v>
      </c>
      <c r="R31" t="s">
        <v>204</v>
      </c>
    </row>
    <row r="32" spans="2:23">
      <c r="D32" s="1" t="s">
        <v>1</v>
      </c>
      <c r="E32" s="1" t="s">
        <v>0</v>
      </c>
      <c r="F32" t="s">
        <v>2</v>
      </c>
      <c r="L32" s="8"/>
      <c r="R32">
        <f>7-R29</f>
        <v>1.53125</v>
      </c>
      <c r="S32">
        <f>R32*S29</f>
        <v>282240</v>
      </c>
    </row>
    <row r="33" spans="3:23">
      <c r="C33" t="s">
        <v>8</v>
      </c>
      <c r="D33" s="1">
        <f>SUM(C7:C11)</f>
        <v>2249062.8614399997</v>
      </c>
      <c r="E33" s="1">
        <f>SUM(D7:D13)</f>
        <v>3201021.6051199995</v>
      </c>
      <c r="F33" s="1">
        <f>E33*3.36</f>
        <v>10755432.593203198</v>
      </c>
      <c r="K33" s="6"/>
      <c r="L33" s="10"/>
      <c r="M33" s="6"/>
      <c r="T33" s="1">
        <f>O14</f>
        <v>777339</v>
      </c>
    </row>
    <row r="34" spans="3:23">
      <c r="C34" t="s">
        <v>9</v>
      </c>
      <c r="D34" s="1">
        <f>SUM(C7:C12)</f>
        <v>2500919.8614399997</v>
      </c>
      <c r="E34" s="1">
        <f>SUM(D7:D12)</f>
        <v>3012565.6051199995</v>
      </c>
      <c r="F34" s="1">
        <f t="shared" ref="F34:F35" si="10">E34*3.36</f>
        <v>10122220.433203198</v>
      </c>
      <c r="K34" s="6"/>
      <c r="L34" s="10"/>
      <c r="M34" s="6"/>
      <c r="T34" s="1">
        <f>SUM(O6:O13)</f>
        <v>33928818.33727999</v>
      </c>
    </row>
    <row r="35" spans="3:23">
      <c r="C35" t="s">
        <v>10</v>
      </c>
      <c r="D35" s="1">
        <f>SUM(C7:C10)</f>
        <v>1946834.4614399998</v>
      </c>
      <c r="E35" s="1">
        <f>SUM(D7:D10)</f>
        <v>2379354.4051199993</v>
      </c>
      <c r="F35" s="1">
        <f t="shared" si="10"/>
        <v>7994630.8012031978</v>
      </c>
      <c r="K35" s="6" t="s">
        <v>78</v>
      </c>
      <c r="L35" s="8"/>
      <c r="M35" s="6"/>
      <c r="O35" t="s">
        <v>203</v>
      </c>
      <c r="P35">
        <f>P33/P28</f>
        <v>0</v>
      </c>
    </row>
    <row r="36" spans="3:23">
      <c r="C36" t="s">
        <v>7</v>
      </c>
      <c r="D36" s="1">
        <f>SUM(C7:C7)</f>
        <v>626700.8102399999</v>
      </c>
      <c r="E36" s="1">
        <v>765932</v>
      </c>
      <c r="F36">
        <f>E36*3.36</f>
        <v>2573531.52</v>
      </c>
      <c r="K36" s="1">
        <f>SUM(C3:C6)</f>
        <v>4036955.939241983</v>
      </c>
      <c r="T36" s="1">
        <f>T34*7+(T34+T33)</f>
        <v>272207885.69823992</v>
      </c>
      <c r="U36">
        <f>T36*0.73</f>
        <v>198711756.55971515</v>
      </c>
    </row>
    <row r="37" spans="3:23">
      <c r="D37" s="1"/>
      <c r="E37" s="1"/>
      <c r="K37" s="1">
        <f>SUM(C3:C5)</f>
        <v>3284914.9669539831</v>
      </c>
    </row>
    <row r="38" spans="3:23">
      <c r="C38" t="s">
        <v>3</v>
      </c>
      <c r="D38" s="1">
        <f>SUM(D33:D36)</f>
        <v>7323517.9945599986</v>
      </c>
      <c r="E38" s="1">
        <f>SUM(E33:E36)</f>
        <v>9358873.6153599992</v>
      </c>
      <c r="F38" s="1">
        <f>SUM(F33:F36)</f>
        <v>31445815.347609594</v>
      </c>
      <c r="K38" s="1">
        <f>SUM(C3:C4)</f>
        <v>2382465.8002083832</v>
      </c>
      <c r="T38">
        <f>T36/1600/1.18/200</f>
        <v>720.88952780254215</v>
      </c>
      <c r="U38">
        <f>U36/1600/1.18/200</f>
        <v>526.24935529585582</v>
      </c>
    </row>
    <row r="39" spans="3:23">
      <c r="D39" s="1"/>
      <c r="E39" s="1"/>
      <c r="K39" s="1">
        <f>K38</f>
        <v>2382465.8002083832</v>
      </c>
      <c r="N39" t="s">
        <v>84</v>
      </c>
      <c r="T39">
        <f>T38/24</f>
        <v>30.037063658439255</v>
      </c>
      <c r="U39">
        <f>U38/24</f>
        <v>21.927056470660659</v>
      </c>
    </row>
    <row r="40" spans="3:23">
      <c r="D40" s="1"/>
      <c r="E40" s="1"/>
      <c r="K40" s="1">
        <f>SUM(K36:K39)</f>
        <v>12086802.506612733</v>
      </c>
      <c r="L40" s="11">
        <f>K40*0.73</f>
        <v>8823365.8298272956</v>
      </c>
      <c r="M40" t="s">
        <v>88</v>
      </c>
      <c r="N40" t="e">
        <f>L40/N30</f>
        <v>#DIV/0!</v>
      </c>
      <c r="O40" t="s">
        <v>89</v>
      </c>
    </row>
    <row r="41" spans="3:23">
      <c r="D41" s="1"/>
      <c r="E41" s="1"/>
    </row>
    <row r="42" spans="3:23">
      <c r="D42" s="1"/>
      <c r="E42" s="1"/>
      <c r="V42">
        <v>15</v>
      </c>
    </row>
    <row r="43" spans="3:23">
      <c r="D43" s="1"/>
      <c r="E43" s="1"/>
      <c r="G43">
        <v>18</v>
      </c>
      <c r="H43">
        <v>3950000</v>
      </c>
      <c r="J43">
        <v>5</v>
      </c>
      <c r="K43">
        <v>70000</v>
      </c>
      <c r="L43">
        <f>K43/K44</f>
        <v>1.3513513513513513</v>
      </c>
      <c r="M43">
        <f>K43-K44</f>
        <v>18200</v>
      </c>
      <c r="V43">
        <v>17</v>
      </c>
      <c r="W43">
        <v>23</v>
      </c>
    </row>
    <row r="44" spans="3:23">
      <c r="D44" s="1"/>
      <c r="E44" s="1"/>
      <c r="J44">
        <v>4</v>
      </c>
      <c r="K44">
        <v>51800</v>
      </c>
      <c r="L44">
        <f>K44/K45</f>
        <v>1.4757834757834758</v>
      </c>
      <c r="M44">
        <f>K44-K45</f>
        <v>16700</v>
      </c>
      <c r="V44">
        <v>21</v>
      </c>
      <c r="W44">
        <v>30</v>
      </c>
    </row>
    <row r="45" spans="3:23">
      <c r="D45" s="1"/>
      <c r="E45" s="1"/>
      <c r="J45">
        <v>3</v>
      </c>
      <c r="K45">
        <v>35100</v>
      </c>
      <c r="L45">
        <f>K45/K46</f>
        <v>1.7205882352941178</v>
      </c>
      <c r="M45">
        <f>K45-K46</f>
        <v>14700</v>
      </c>
      <c r="V45">
        <v>16</v>
      </c>
    </row>
    <row r="46" spans="3:23">
      <c r="D46" s="1"/>
      <c r="E46" s="1"/>
      <c r="J46">
        <v>2</v>
      </c>
      <c r="K46">
        <v>20400</v>
      </c>
      <c r="L46">
        <f>K46/K47</f>
        <v>2.559598494353827</v>
      </c>
      <c r="M46">
        <f>K46-K47</f>
        <v>12430</v>
      </c>
    </row>
    <row r="47" spans="3:23">
      <c r="D47" s="1"/>
      <c r="E47" s="1"/>
      <c r="J47">
        <v>1</v>
      </c>
      <c r="K47">
        <v>7970</v>
      </c>
      <c r="P47" t="s">
        <v>15</v>
      </c>
      <c r="R47" t="s">
        <v>18</v>
      </c>
      <c r="T47" t="s">
        <v>43</v>
      </c>
    </row>
    <row r="48" spans="3:23">
      <c r="D48" s="1"/>
      <c r="E48" s="1"/>
      <c r="P48" s="1">
        <f>SUM(O3:O13)</f>
        <v>66777968.006819822</v>
      </c>
      <c r="R48" s="1">
        <f>P48*8</f>
        <v>534223744.05455858</v>
      </c>
      <c r="T48" s="1">
        <f>R48*73%</f>
        <v>389983333.15982777</v>
      </c>
    </row>
    <row r="49" spans="2:20">
      <c r="C49" t="s">
        <v>24</v>
      </c>
      <c r="D49" s="1"/>
      <c r="E49" s="1"/>
      <c r="T49" s="1"/>
    </row>
    <row r="50" spans="2:20">
      <c r="C50" t="s">
        <v>25</v>
      </c>
      <c r="E50" t="s">
        <v>26</v>
      </c>
      <c r="G50" t="s">
        <v>27</v>
      </c>
      <c r="I50" t="s">
        <v>28</v>
      </c>
      <c r="P50" t="s">
        <v>16</v>
      </c>
      <c r="R50" t="s">
        <v>17</v>
      </c>
      <c r="T50" t="s">
        <v>17</v>
      </c>
    </row>
    <row r="51" spans="2:20">
      <c r="C51" t="s">
        <v>1</v>
      </c>
      <c r="D51" t="s">
        <v>0</v>
      </c>
      <c r="E51" t="s">
        <v>1</v>
      </c>
      <c r="F51" t="s">
        <v>0</v>
      </c>
      <c r="G51" t="s">
        <v>1</v>
      </c>
      <c r="H51" t="s">
        <v>0</v>
      </c>
      <c r="I51" t="s">
        <v>1</v>
      </c>
      <c r="J51" t="s">
        <v>0</v>
      </c>
      <c r="P51">
        <v>20</v>
      </c>
      <c r="R51" s="9">
        <f>R48/10000/20</f>
        <v>2671.1187202727929</v>
      </c>
      <c r="T51" s="9">
        <f>T48/P51</f>
        <v>19499166.657991387</v>
      </c>
    </row>
    <row r="52" spans="2:20">
      <c r="B52">
        <v>20</v>
      </c>
      <c r="C52" s="1"/>
      <c r="D52" s="1"/>
      <c r="E52" s="1"/>
      <c r="F52" s="1"/>
      <c r="G52" s="1"/>
      <c r="H52" s="1"/>
      <c r="I52" s="1"/>
      <c r="J52" s="1"/>
      <c r="T52" s="9"/>
    </row>
    <row r="53" spans="2:20">
      <c r="B53">
        <v>19</v>
      </c>
      <c r="C53" s="1"/>
      <c r="D53" s="1">
        <f>D3/10</f>
        <v>158823.71499294709</v>
      </c>
      <c r="E53" s="1"/>
      <c r="F53" s="1"/>
      <c r="G53" s="1"/>
      <c r="H53" s="1"/>
      <c r="I53" s="1"/>
      <c r="J53" s="1"/>
      <c r="R53" t="s">
        <v>19</v>
      </c>
      <c r="T53" s="9"/>
    </row>
    <row r="54" spans="2:20">
      <c r="B54">
        <v>18</v>
      </c>
      <c r="C54" s="1"/>
      <c r="D54" s="1">
        <f t="shared" ref="D54:D71" si="11">D4/10</f>
        <v>132353.09582745592</v>
      </c>
      <c r="E54" s="1"/>
      <c r="F54" s="1"/>
      <c r="G54" s="1"/>
      <c r="H54" s="1"/>
      <c r="I54" s="1"/>
      <c r="J54" s="1"/>
      <c r="R54" s="9">
        <f>R51/24</f>
        <v>111.29661334469971</v>
      </c>
      <c r="S54" s="9"/>
      <c r="T54" s="9">
        <f>T51/24/10000</f>
        <v>81.246527741630786</v>
      </c>
    </row>
    <row r="55" spans="2:20">
      <c r="B55">
        <v>17</v>
      </c>
      <c r="C55" s="1">
        <v>972500</v>
      </c>
      <c r="D55" s="1">
        <f t="shared" si="11"/>
        <v>110294.24652287993</v>
      </c>
      <c r="E55" s="1"/>
      <c r="F55" s="1"/>
      <c r="G55" s="1"/>
      <c r="H55" s="1"/>
      <c r="I55" s="1"/>
      <c r="J55" s="1"/>
      <c r="T55" s="9"/>
    </row>
    <row r="56" spans="2:20">
      <c r="B56">
        <v>16</v>
      </c>
      <c r="C56" s="1"/>
      <c r="D56" s="1">
        <f t="shared" si="11"/>
        <v>91911.872102399953</v>
      </c>
      <c r="E56" s="1"/>
      <c r="F56" s="1"/>
      <c r="G56" s="1"/>
      <c r="H56" s="1"/>
      <c r="I56" s="1"/>
      <c r="J56" s="1"/>
      <c r="M56" t="s">
        <v>22</v>
      </c>
      <c r="P56" t="s">
        <v>20</v>
      </c>
      <c r="R56" t="s">
        <v>19</v>
      </c>
      <c r="T56" s="9"/>
    </row>
    <row r="57" spans="2:20">
      <c r="B57">
        <v>15</v>
      </c>
      <c r="C57" s="1"/>
      <c r="D57" s="1">
        <f t="shared" si="11"/>
        <v>76593.226751999959</v>
      </c>
      <c r="E57" s="1"/>
      <c r="F57" s="1"/>
      <c r="G57" s="1"/>
      <c r="H57" s="1"/>
      <c r="I57" s="1"/>
      <c r="J57" s="1"/>
      <c r="M57" t="s">
        <v>23</v>
      </c>
      <c r="P57">
        <v>26.67</v>
      </c>
      <c r="R57" s="9">
        <f>R48/P57/24/10000</f>
        <v>83.462027255117889</v>
      </c>
      <c r="T57" s="9">
        <f>T48/P57/10000/24</f>
        <v>60.927279896236058</v>
      </c>
    </row>
    <row r="58" spans="2:20">
      <c r="B58">
        <v>14</v>
      </c>
      <c r="C58" s="1"/>
      <c r="D58" s="1">
        <f t="shared" si="11"/>
        <v>63827.688959999978</v>
      </c>
      <c r="E58" s="1"/>
      <c r="F58" s="1"/>
      <c r="G58" s="1"/>
      <c r="H58" s="1"/>
      <c r="I58" s="1"/>
      <c r="J58" s="1"/>
    </row>
    <row r="59" spans="2:20">
      <c r="B59">
        <v>13</v>
      </c>
      <c r="C59" s="1"/>
      <c r="D59" s="1">
        <f t="shared" si="11"/>
        <v>53189.740799999985</v>
      </c>
      <c r="E59" s="1"/>
      <c r="F59" s="1"/>
      <c r="G59" s="1"/>
      <c r="H59" s="1"/>
      <c r="I59" s="1"/>
      <c r="J59" s="1"/>
    </row>
    <row r="60" spans="2:20">
      <c r="B60">
        <v>12</v>
      </c>
      <c r="C60" s="1"/>
      <c r="D60" s="1">
        <f t="shared" si="11"/>
        <v>44324.783999999992</v>
      </c>
      <c r="E60" s="1">
        <v>1172500</v>
      </c>
      <c r="F60" s="1"/>
      <c r="G60" s="1"/>
      <c r="H60" s="1"/>
      <c r="I60" s="1"/>
      <c r="J60" s="1"/>
      <c r="P60" t="s">
        <v>21</v>
      </c>
    </row>
    <row r="61" spans="2:20">
      <c r="B61">
        <v>11</v>
      </c>
      <c r="C61" s="1"/>
      <c r="D61" s="1">
        <f t="shared" si="11"/>
        <v>36937.319999999992</v>
      </c>
      <c r="E61" s="1"/>
      <c r="F61" s="1"/>
      <c r="G61" s="1"/>
      <c r="H61" s="1"/>
      <c r="I61" s="1"/>
      <c r="J61" s="1"/>
      <c r="P61">
        <f>40%*P51*24*7</f>
        <v>1344</v>
      </c>
    </row>
    <row r="62" spans="2:20">
      <c r="B62">
        <v>10</v>
      </c>
      <c r="C62" s="1"/>
      <c r="D62" s="1">
        <f t="shared" si="11"/>
        <v>26383.8</v>
      </c>
      <c r="E62" s="1"/>
      <c r="F62" s="1"/>
      <c r="G62" s="1">
        <v>1628500</v>
      </c>
      <c r="H62" s="1"/>
      <c r="I62" s="1"/>
      <c r="J62" s="1"/>
    </row>
    <row r="63" spans="2:20">
      <c r="B63">
        <v>9</v>
      </c>
      <c r="C63" s="1"/>
      <c r="D63" s="1">
        <f t="shared" si="11"/>
        <v>18845.599999999999</v>
      </c>
      <c r="E63" s="1"/>
      <c r="F63" s="1"/>
      <c r="G63" s="1"/>
      <c r="H63" s="1"/>
      <c r="I63" s="1">
        <v>1507800</v>
      </c>
      <c r="J63" s="1"/>
    </row>
    <row r="64" spans="2:20">
      <c r="B64">
        <v>8</v>
      </c>
      <c r="C64" s="1"/>
      <c r="D64" s="1">
        <f t="shared" si="11"/>
        <v>13461.1</v>
      </c>
      <c r="E64" s="1"/>
      <c r="F64" s="1"/>
      <c r="G64" s="1"/>
      <c r="H64" s="1"/>
      <c r="I64" s="1"/>
      <c r="J64" s="1"/>
    </row>
    <row r="65" spans="1:26">
      <c r="B65">
        <v>7</v>
      </c>
      <c r="C65" s="1"/>
      <c r="D65" s="1">
        <f t="shared" si="11"/>
        <v>9615.1</v>
      </c>
      <c r="E65" s="1"/>
      <c r="F65" s="1"/>
      <c r="G65" s="1"/>
      <c r="H65" s="1"/>
      <c r="I65" s="1"/>
      <c r="J65" s="1"/>
    </row>
    <row r="66" spans="1:26">
      <c r="B66">
        <v>6</v>
      </c>
      <c r="C66" s="1"/>
      <c r="D66" s="1">
        <f t="shared" si="11"/>
        <v>6867.9</v>
      </c>
      <c r="E66" s="1"/>
      <c r="F66" s="1"/>
      <c r="G66" s="1"/>
      <c r="H66" s="1"/>
      <c r="I66" s="1"/>
      <c r="J66" s="1"/>
    </row>
    <row r="67" spans="1:26">
      <c r="B67">
        <v>5</v>
      </c>
      <c r="C67" s="1"/>
      <c r="D67" s="1">
        <f t="shared" si="11"/>
        <v>4905.7</v>
      </c>
      <c r="E67" s="1"/>
      <c r="F67" s="1"/>
      <c r="G67" s="1"/>
      <c r="H67" s="1"/>
      <c r="I67" s="1"/>
      <c r="J67" s="1"/>
    </row>
    <row r="68" spans="1:26">
      <c r="B68">
        <v>4</v>
      </c>
      <c r="C68" s="1"/>
      <c r="D68" s="1">
        <f t="shared" si="11"/>
        <v>3504</v>
      </c>
      <c r="E68" s="1"/>
      <c r="F68" s="1"/>
      <c r="G68" s="1"/>
      <c r="H68" s="1"/>
      <c r="I68" s="1"/>
      <c r="J68" s="1"/>
      <c r="Q68" s="1">
        <f>G92+K88+K89+O86</f>
        <v>14838300</v>
      </c>
      <c r="R68">
        <f>672+70392+59528+30900</f>
        <v>161492</v>
      </c>
    </row>
    <row r="69" spans="1:26">
      <c r="B69">
        <v>3</v>
      </c>
      <c r="C69" s="1"/>
      <c r="D69" s="1">
        <f t="shared" si="11"/>
        <v>2502.9</v>
      </c>
      <c r="E69" s="1"/>
      <c r="F69" s="1"/>
      <c r="G69" s="1"/>
      <c r="H69" s="1"/>
      <c r="I69" s="1"/>
      <c r="J69" s="1"/>
      <c r="R69">
        <f>Q68/R68</f>
        <v>91.882570034428952</v>
      </c>
    </row>
    <row r="70" spans="1:26">
      <c r="B70">
        <v>2</v>
      </c>
      <c r="C70" s="1"/>
      <c r="D70" s="1">
        <f t="shared" si="11"/>
        <v>1787.8</v>
      </c>
      <c r="E70" s="1"/>
      <c r="F70" s="1"/>
      <c r="G70" s="1"/>
      <c r="H70" s="1"/>
      <c r="I70" s="1"/>
      <c r="J70" s="1"/>
      <c r="R70">
        <f>R69/24</f>
        <v>3.8284404181012062</v>
      </c>
    </row>
    <row r="71" spans="1:26">
      <c r="B71">
        <v>1</v>
      </c>
      <c r="C71" s="1">
        <v>700</v>
      </c>
      <c r="D71" s="1">
        <f t="shared" si="11"/>
        <v>1277</v>
      </c>
      <c r="E71" s="1"/>
      <c r="F71" s="1"/>
      <c r="G71" s="1"/>
      <c r="H71" s="1"/>
      <c r="I71" s="1"/>
      <c r="J71" s="1"/>
      <c r="V71" t="s">
        <v>104</v>
      </c>
      <c r="W71">
        <v>12</v>
      </c>
      <c r="X71">
        <v>13</v>
      </c>
      <c r="Y71">
        <v>14</v>
      </c>
      <c r="Z71">
        <v>15</v>
      </c>
    </row>
    <row r="72" spans="1:26">
      <c r="K72">
        <v>20167609</v>
      </c>
      <c r="L72">
        <v>20200009</v>
      </c>
      <c r="M72">
        <f>L72-K72</f>
        <v>32400</v>
      </c>
      <c r="V72" s="1">
        <v>6734810</v>
      </c>
      <c r="W72">
        <v>1200</v>
      </c>
      <c r="X72">
        <v>1250</v>
      </c>
      <c r="Y72">
        <v>1300</v>
      </c>
      <c r="Z72">
        <v>1350</v>
      </c>
    </row>
    <row r="73" spans="1:26">
      <c r="S73" t="s">
        <v>100</v>
      </c>
      <c r="T73" t="s">
        <v>153</v>
      </c>
      <c r="U73" t="s">
        <v>154</v>
      </c>
      <c r="V73" t="s">
        <v>155</v>
      </c>
    </row>
    <row r="74" spans="1:26">
      <c r="A74" t="s">
        <v>33</v>
      </c>
      <c r="E74" t="s">
        <v>34</v>
      </c>
      <c r="G74">
        <f>G75/C75</f>
        <v>3.1428571428571428</v>
      </c>
      <c r="I74" t="s">
        <v>35</v>
      </c>
      <c r="K74">
        <f>K75/G75</f>
        <v>2</v>
      </c>
      <c r="M74" t="s">
        <v>36</v>
      </c>
      <c r="O74">
        <f>O75/K75</f>
        <v>1.6818181818181819</v>
      </c>
      <c r="S74">
        <v>6800</v>
      </c>
      <c r="T74">
        <v>7100</v>
      </c>
      <c r="U74">
        <v>7400</v>
      </c>
      <c r="V74">
        <v>7700</v>
      </c>
    </row>
    <row r="75" spans="1:26">
      <c r="A75" s="7">
        <v>1</v>
      </c>
      <c r="B75">
        <v>2</v>
      </c>
      <c r="C75" s="1">
        <v>700</v>
      </c>
      <c r="E75" s="7">
        <v>1</v>
      </c>
      <c r="F75" s="6">
        <v>2</v>
      </c>
      <c r="G75" s="1">
        <v>2200</v>
      </c>
      <c r="I75" s="7">
        <v>1</v>
      </c>
      <c r="J75" s="6">
        <v>2</v>
      </c>
      <c r="K75" s="1">
        <v>4400</v>
      </c>
      <c r="M75" s="7">
        <v>1</v>
      </c>
      <c r="N75" s="6">
        <v>2</v>
      </c>
      <c r="O75" s="1">
        <v>7400</v>
      </c>
      <c r="Q75">
        <v>7200</v>
      </c>
      <c r="R75" t="s">
        <v>99</v>
      </c>
      <c r="S75">
        <v>7</v>
      </c>
      <c r="T75">
        <v>4</v>
      </c>
      <c r="U75">
        <v>1</v>
      </c>
      <c r="X75">
        <f>X76/1300*1350</f>
        <v>156745.38461538462</v>
      </c>
    </row>
    <row r="76" spans="1:26">
      <c r="A76" s="7">
        <v>2</v>
      </c>
      <c r="B76">
        <v>3</v>
      </c>
      <c r="C76" s="1">
        <v>2500</v>
      </c>
      <c r="E76" s="7">
        <v>2</v>
      </c>
      <c r="F76" s="6">
        <v>3</v>
      </c>
      <c r="G76" s="1">
        <v>7400</v>
      </c>
      <c r="I76" s="7">
        <v>2</v>
      </c>
      <c r="J76" s="6">
        <v>3</v>
      </c>
      <c r="K76" s="1">
        <v>14800</v>
      </c>
      <c r="M76" s="7">
        <v>2</v>
      </c>
      <c r="N76" s="6">
        <v>3</v>
      </c>
      <c r="O76" s="1">
        <v>24600</v>
      </c>
      <c r="R76" t="s">
        <v>101</v>
      </c>
      <c r="S76" s="1">
        <f>G91+K86+K87+O84+O85+K88+G92</f>
        <v>20925300</v>
      </c>
      <c r="T76" s="1">
        <f>K86+K87+O84+G91</f>
        <v>10790600</v>
      </c>
      <c r="U76" s="1">
        <f>K86</f>
        <v>2345000</v>
      </c>
      <c r="W76" t="s">
        <v>103</v>
      </c>
      <c r="X76">
        <f>SUM(Z76:Z78)</f>
        <v>150940</v>
      </c>
      <c r="Z76">
        <v>66024</v>
      </c>
    </row>
    <row r="77" spans="1:26">
      <c r="A77" s="7">
        <v>3</v>
      </c>
      <c r="B77">
        <v>4</v>
      </c>
      <c r="C77" s="1">
        <v>4400</v>
      </c>
      <c r="E77" s="7">
        <v>3</v>
      </c>
      <c r="F77" s="6">
        <v>4</v>
      </c>
      <c r="G77" s="1">
        <v>13300</v>
      </c>
      <c r="I77" s="7">
        <v>3</v>
      </c>
      <c r="J77" s="6">
        <v>4</v>
      </c>
      <c r="K77" s="1">
        <v>26600</v>
      </c>
      <c r="M77" s="7">
        <v>3</v>
      </c>
      <c r="N77" s="6">
        <v>4</v>
      </c>
      <c r="O77" s="1">
        <v>44300</v>
      </c>
      <c r="R77" t="s">
        <v>102</v>
      </c>
      <c r="S77" s="9">
        <f>(S76-$V$72)/$X$76</f>
        <v>94.01411156751027</v>
      </c>
      <c r="T77" s="9">
        <f t="shared" ref="T77:U77" si="12">(T76-$V$72)/$X$76</f>
        <v>26.87021332979992</v>
      </c>
      <c r="U77" s="9">
        <f t="shared" si="12"/>
        <v>-29.083145620776467</v>
      </c>
      <c r="Z77">
        <v>56616</v>
      </c>
    </row>
    <row r="78" spans="1:26">
      <c r="A78" s="7">
        <v>4</v>
      </c>
      <c r="B78">
        <v>5</v>
      </c>
      <c r="C78" s="1">
        <v>8000</v>
      </c>
      <c r="E78" s="7">
        <v>4</v>
      </c>
      <c r="F78" s="6">
        <v>5</v>
      </c>
      <c r="G78" s="1">
        <v>23900</v>
      </c>
      <c r="I78" s="7">
        <v>4</v>
      </c>
      <c r="J78" s="6">
        <v>5</v>
      </c>
      <c r="K78" s="1">
        <v>47900</v>
      </c>
      <c r="M78" s="7">
        <v>4</v>
      </c>
      <c r="N78" s="6">
        <v>5</v>
      </c>
      <c r="O78" s="1">
        <v>79800</v>
      </c>
      <c r="R78" t="s">
        <v>95</v>
      </c>
      <c r="S78" s="9">
        <f>S77/24</f>
        <v>3.9172546486462614</v>
      </c>
      <c r="T78" s="9">
        <f t="shared" ref="T78:U78" si="13">T77/24</f>
        <v>1.1195922220749968</v>
      </c>
      <c r="U78" s="9">
        <f t="shared" si="13"/>
        <v>-1.2117977341990194</v>
      </c>
      <c r="Z78">
        <v>28300</v>
      </c>
    </row>
    <row r="79" spans="1:26">
      <c r="A79" s="7">
        <v>5</v>
      </c>
      <c r="B79">
        <v>6</v>
      </c>
      <c r="C79" s="1">
        <v>14400</v>
      </c>
      <c r="E79" s="7">
        <v>5</v>
      </c>
      <c r="F79" s="6">
        <v>6</v>
      </c>
      <c r="G79" s="1">
        <v>43100</v>
      </c>
      <c r="I79" s="7">
        <v>5</v>
      </c>
      <c r="J79" s="6">
        <v>6</v>
      </c>
      <c r="K79" s="1">
        <v>86200</v>
      </c>
      <c r="M79" s="7">
        <v>5</v>
      </c>
      <c r="N79" s="6">
        <v>6</v>
      </c>
      <c r="O79" s="1">
        <v>143600</v>
      </c>
      <c r="Q79">
        <v>8000</v>
      </c>
      <c r="R79" t="s">
        <v>99</v>
      </c>
      <c r="S79">
        <v>12</v>
      </c>
      <c r="T79">
        <v>9</v>
      </c>
      <c r="U79">
        <v>6</v>
      </c>
      <c r="V79">
        <v>3</v>
      </c>
    </row>
    <row r="80" spans="1:26">
      <c r="A80" s="7">
        <v>6</v>
      </c>
      <c r="B80">
        <v>7</v>
      </c>
      <c r="C80" s="1">
        <v>25900</v>
      </c>
      <c r="E80" s="7">
        <v>6</v>
      </c>
      <c r="F80" s="6">
        <v>7</v>
      </c>
      <c r="G80" s="1">
        <v>77600</v>
      </c>
      <c r="I80" s="7">
        <v>6</v>
      </c>
      <c r="J80" s="6">
        <v>7</v>
      </c>
      <c r="K80" s="1">
        <v>155100</v>
      </c>
      <c r="M80" s="7">
        <v>6</v>
      </c>
      <c r="N80" s="6">
        <v>7</v>
      </c>
      <c r="O80" s="1">
        <v>258500</v>
      </c>
      <c r="R80" t="s">
        <v>101</v>
      </c>
      <c r="S80" s="1">
        <f>SUM(O85:O89)+SUM(K87:K91)+SUM(G92:G93)</f>
        <v>52879100</v>
      </c>
      <c r="T80" s="1">
        <f>SUM(O85:O87)+SUM(K87:K90)+SUM(G92:G93)</f>
        <v>34662800</v>
      </c>
      <c r="U80" s="1">
        <f>SUM(K87:K89)+SUM(O85:O86)+G92</f>
        <v>20909100</v>
      </c>
      <c r="V80" s="1">
        <f>K87+O85+G92</f>
        <v>9571900</v>
      </c>
    </row>
    <row r="81" spans="1:29">
      <c r="A81" s="7">
        <v>7</v>
      </c>
      <c r="B81">
        <v>8</v>
      </c>
      <c r="C81" s="1">
        <v>46500</v>
      </c>
      <c r="E81" s="7">
        <v>7</v>
      </c>
      <c r="F81" s="6">
        <v>8</v>
      </c>
      <c r="G81" s="1">
        <v>139600</v>
      </c>
      <c r="I81" s="7">
        <v>7</v>
      </c>
      <c r="J81" s="6">
        <v>8</v>
      </c>
      <c r="K81" s="1">
        <v>279200</v>
      </c>
      <c r="M81" s="7">
        <v>7</v>
      </c>
      <c r="N81" s="6">
        <v>8</v>
      </c>
      <c r="O81" s="1">
        <v>465400</v>
      </c>
      <c r="R81" t="s">
        <v>102</v>
      </c>
      <c r="S81" s="9">
        <f>(S80-$V$72)/$X$76</f>
        <v>305.71279978799521</v>
      </c>
      <c r="T81" s="9">
        <f t="shared" ref="T81:U81" si="14">(T80-$V$72)/$X$76</f>
        <v>185.02709685967935</v>
      </c>
      <c r="U81" s="9">
        <f t="shared" si="14"/>
        <v>93.906784152643439</v>
      </c>
      <c r="V81" s="9">
        <f>(V80-V72)/$X$76</f>
        <v>18.796144163243675</v>
      </c>
    </row>
    <row r="82" spans="1:29">
      <c r="A82" s="7">
        <v>8</v>
      </c>
      <c r="B82">
        <v>9</v>
      </c>
      <c r="C82" s="1">
        <v>83800</v>
      </c>
      <c r="E82" s="7">
        <v>8</v>
      </c>
      <c r="F82" s="6">
        <v>9</v>
      </c>
      <c r="G82" s="1">
        <v>251300</v>
      </c>
      <c r="I82" s="7">
        <v>8</v>
      </c>
      <c r="J82" s="6">
        <v>9</v>
      </c>
      <c r="K82" s="1">
        <v>502600</v>
      </c>
      <c r="M82" s="7">
        <v>8</v>
      </c>
      <c r="N82" s="6">
        <v>9</v>
      </c>
      <c r="O82" s="1">
        <v>837700</v>
      </c>
      <c r="R82" t="s">
        <v>95</v>
      </c>
      <c r="S82" s="9">
        <f>S81/24</f>
        <v>12.738033324499801</v>
      </c>
      <c r="T82" s="9">
        <f t="shared" ref="T82" si="15">T81/24</f>
        <v>7.7094623691533064</v>
      </c>
      <c r="U82" s="9">
        <f t="shared" ref="U82" si="16">U81/24</f>
        <v>3.9127826730268098</v>
      </c>
      <c r="V82" s="9">
        <f>V81/24</f>
        <v>0.7831726734684864</v>
      </c>
    </row>
    <row r="83" spans="1:29">
      <c r="A83" s="7">
        <v>9</v>
      </c>
      <c r="B83">
        <v>10</v>
      </c>
      <c r="C83" s="1">
        <v>150800</v>
      </c>
      <c r="E83" s="7">
        <v>9</v>
      </c>
      <c r="F83" s="6">
        <v>10</v>
      </c>
      <c r="G83" s="1">
        <v>452300</v>
      </c>
      <c r="I83" s="7">
        <v>9</v>
      </c>
      <c r="J83" s="6">
        <v>10</v>
      </c>
      <c r="K83" s="1">
        <v>904700</v>
      </c>
      <c r="M83" s="7">
        <v>9</v>
      </c>
      <c r="N83" s="6">
        <v>10</v>
      </c>
      <c r="O83" s="21">
        <v>1507800</v>
      </c>
    </row>
    <row r="84" spans="1:29">
      <c r="A84" s="7">
        <v>10</v>
      </c>
      <c r="B84">
        <v>11</v>
      </c>
      <c r="C84" s="1">
        <v>271400</v>
      </c>
      <c r="E84" s="7">
        <v>10</v>
      </c>
      <c r="F84" s="6">
        <v>11</v>
      </c>
      <c r="G84" s="1">
        <v>814100</v>
      </c>
      <c r="I84" s="7">
        <v>10</v>
      </c>
      <c r="J84" s="6">
        <v>11</v>
      </c>
      <c r="K84" s="21">
        <v>1628500</v>
      </c>
      <c r="L84" s="9">
        <f>K85/K84</f>
        <v>1.2</v>
      </c>
      <c r="M84" s="29">
        <v>10</v>
      </c>
      <c r="N84" s="6">
        <v>11</v>
      </c>
      <c r="O84" s="13">
        <v>2714000</v>
      </c>
      <c r="P84" s="9">
        <f>O85/O84</f>
        <v>1.2</v>
      </c>
    </row>
    <row r="85" spans="1:29">
      <c r="A85" s="7">
        <v>11</v>
      </c>
      <c r="B85">
        <v>12</v>
      </c>
      <c r="C85" s="1">
        <v>325700</v>
      </c>
      <c r="E85" s="7">
        <v>11</v>
      </c>
      <c r="F85" s="6">
        <v>12</v>
      </c>
      <c r="G85" s="20">
        <v>977100</v>
      </c>
      <c r="I85" s="29">
        <v>11</v>
      </c>
      <c r="J85" s="6">
        <v>12</v>
      </c>
      <c r="K85" s="21">
        <v>1954200</v>
      </c>
      <c r="L85" s="9">
        <f t="shared" ref="L85:L93" si="17">K86/K85</f>
        <v>1.1999795312659911</v>
      </c>
      <c r="M85" s="29">
        <v>11</v>
      </c>
      <c r="N85" s="6">
        <v>12</v>
      </c>
      <c r="O85" s="13">
        <v>3256800</v>
      </c>
      <c r="P85" s="9">
        <f t="shared" ref="P85:P93" si="18">O86/O85</f>
        <v>1.200012281994596</v>
      </c>
    </row>
    <row r="86" spans="1:29">
      <c r="A86" s="7">
        <v>12</v>
      </c>
      <c r="B86">
        <v>13</v>
      </c>
      <c r="C86" s="1">
        <v>390800</v>
      </c>
      <c r="E86" s="29">
        <v>12</v>
      </c>
      <c r="F86" s="6">
        <v>13</v>
      </c>
      <c r="G86" s="20">
        <v>1172500</v>
      </c>
      <c r="I86" s="29">
        <v>12</v>
      </c>
      <c r="J86" s="6">
        <v>13</v>
      </c>
      <c r="K86" s="21">
        <v>2345000</v>
      </c>
      <c r="L86" s="9">
        <f t="shared" si="17"/>
        <v>1.2</v>
      </c>
      <c r="M86" s="29">
        <v>12</v>
      </c>
      <c r="N86" s="6">
        <v>13</v>
      </c>
      <c r="O86" s="14">
        <v>3908200</v>
      </c>
      <c r="P86" s="9">
        <f t="shared" si="18"/>
        <v>1.1999897651092575</v>
      </c>
    </row>
    <row r="87" spans="1:29">
      <c r="A87" s="7">
        <v>13</v>
      </c>
      <c r="B87">
        <v>14</v>
      </c>
      <c r="C87" s="1">
        <v>469000</v>
      </c>
      <c r="E87" s="29">
        <v>13</v>
      </c>
      <c r="F87" s="6">
        <v>14</v>
      </c>
      <c r="G87" s="20">
        <v>1407000</v>
      </c>
      <c r="I87" s="29">
        <v>13</v>
      </c>
      <c r="J87" s="6">
        <v>14</v>
      </c>
      <c r="K87" s="13">
        <v>2814000</v>
      </c>
      <c r="L87" s="9">
        <f t="shared" si="17"/>
        <v>1.2</v>
      </c>
      <c r="M87" s="29">
        <v>13</v>
      </c>
      <c r="N87" s="6">
        <v>14</v>
      </c>
      <c r="O87" s="15">
        <v>4689800</v>
      </c>
      <c r="P87" s="9">
        <f t="shared" si="18"/>
        <v>1.2000085291483646</v>
      </c>
      <c r="S87" t="s">
        <v>58</v>
      </c>
      <c r="U87">
        <f>3*3*2+5</f>
        <v>23</v>
      </c>
    </row>
    <row r="88" spans="1:29">
      <c r="A88" s="7">
        <v>14</v>
      </c>
      <c r="B88">
        <v>15</v>
      </c>
      <c r="C88" s="1">
        <v>562800</v>
      </c>
      <c r="E88" s="29">
        <v>14</v>
      </c>
      <c r="F88" s="6">
        <v>15</v>
      </c>
      <c r="G88" s="21">
        <v>1688400</v>
      </c>
      <c r="I88" s="29">
        <v>14</v>
      </c>
      <c r="J88" s="6">
        <v>15</v>
      </c>
      <c r="K88" s="13">
        <v>3376800</v>
      </c>
      <c r="L88" s="9">
        <f t="shared" si="17"/>
        <v>1.2000118455342337</v>
      </c>
      <c r="M88" s="29">
        <v>14</v>
      </c>
      <c r="N88" s="6">
        <v>15</v>
      </c>
      <c r="O88" s="16">
        <v>5627800</v>
      </c>
      <c r="P88" s="9">
        <f t="shared" si="18"/>
        <v>1.2000071075731191</v>
      </c>
    </row>
    <row r="89" spans="1:29">
      <c r="A89" s="7">
        <v>15</v>
      </c>
      <c r="B89">
        <v>16</v>
      </c>
      <c r="C89" s="1">
        <v>675400</v>
      </c>
      <c r="E89" s="29">
        <v>15</v>
      </c>
      <c r="F89" s="6">
        <v>16</v>
      </c>
      <c r="G89" s="21">
        <v>2026100</v>
      </c>
      <c r="H89" s="9">
        <f>G90/G89</f>
        <v>1.1999901288189132</v>
      </c>
      <c r="I89" s="29">
        <v>15</v>
      </c>
      <c r="J89" s="6">
        <v>16</v>
      </c>
      <c r="K89" s="14">
        <v>4052200</v>
      </c>
      <c r="L89" s="9">
        <f t="shared" si="17"/>
        <v>1.1999901288189132</v>
      </c>
      <c r="M89" s="29">
        <v>15</v>
      </c>
      <c r="N89" s="6">
        <v>16</v>
      </c>
      <c r="O89" s="16">
        <v>6753400</v>
      </c>
      <c r="P89" s="9">
        <f t="shared" si="18"/>
        <v>1.2000029614712588</v>
      </c>
      <c r="S89" t="s">
        <v>47</v>
      </c>
    </row>
    <row r="90" spans="1:29">
      <c r="A90" s="7">
        <v>16</v>
      </c>
      <c r="B90">
        <v>17</v>
      </c>
      <c r="C90" s="1">
        <v>810500</v>
      </c>
      <c r="E90" s="29">
        <v>16</v>
      </c>
      <c r="F90" s="6">
        <v>17</v>
      </c>
      <c r="G90" s="21">
        <v>2431300</v>
      </c>
      <c r="H90" s="9">
        <f t="shared" ref="H90:H93" si="19">G91/G90</f>
        <v>1.2000164521038128</v>
      </c>
      <c r="I90" s="29">
        <v>16</v>
      </c>
      <c r="J90" s="6">
        <v>17</v>
      </c>
      <c r="K90" s="15">
        <v>4862600</v>
      </c>
      <c r="L90" s="9">
        <f t="shared" si="17"/>
        <v>1.1999958869740468</v>
      </c>
      <c r="M90" s="29">
        <v>16</v>
      </c>
      <c r="N90" s="6">
        <v>17</v>
      </c>
      <c r="O90" s="17">
        <v>8104100</v>
      </c>
      <c r="P90" s="9">
        <f t="shared" si="18"/>
        <v>1.1999975321133747</v>
      </c>
      <c r="S90" t="s">
        <v>38</v>
      </c>
      <c r="U90" t="s">
        <v>46</v>
      </c>
      <c r="W90" t="s">
        <v>39</v>
      </c>
      <c r="AA90" t="s">
        <v>44</v>
      </c>
    </row>
    <row r="91" spans="1:29">
      <c r="A91" s="7">
        <v>17</v>
      </c>
      <c r="B91">
        <v>18</v>
      </c>
      <c r="C91" s="20">
        <v>972600</v>
      </c>
      <c r="E91" s="29">
        <v>17</v>
      </c>
      <c r="F91" s="6">
        <v>18</v>
      </c>
      <c r="G91" s="13">
        <v>2917600</v>
      </c>
      <c r="H91" s="9">
        <f t="shared" si="19"/>
        <v>1.1999931450507266</v>
      </c>
      <c r="I91" s="29">
        <v>17</v>
      </c>
      <c r="J91" s="6">
        <v>18</v>
      </c>
      <c r="K91" s="16">
        <v>5835100</v>
      </c>
      <c r="L91" s="9">
        <f t="shared" si="17"/>
        <v>1.1999965724666244</v>
      </c>
      <c r="M91" s="29">
        <v>17</v>
      </c>
      <c r="N91" s="6">
        <v>18</v>
      </c>
      <c r="O91" s="17">
        <v>9724900</v>
      </c>
      <c r="P91" s="9">
        <f t="shared" si="18"/>
        <v>1.2000020565764173</v>
      </c>
      <c r="S91" s="1">
        <f>1200*80*1.18*2</f>
        <v>226560</v>
      </c>
      <c r="U91" s="9">
        <f>Q95/S91/24</f>
        <v>0</v>
      </c>
      <c r="W91" s="9">
        <f>R48/S91/24</f>
        <v>98.249129011917105</v>
      </c>
      <c r="X91" s="9"/>
      <c r="Y91" s="9" t="s">
        <v>40</v>
      </c>
      <c r="Z91" s="9"/>
      <c r="AA91" s="9">
        <f>R48/S91/24*0.73</f>
        <v>71.721864178699491</v>
      </c>
      <c r="AC91" t="s">
        <v>48</v>
      </c>
    </row>
    <row r="92" spans="1:29">
      <c r="A92" s="7">
        <v>18</v>
      </c>
      <c r="B92" s="25">
        <v>19</v>
      </c>
      <c r="C92" s="20">
        <v>1167100</v>
      </c>
      <c r="E92" s="29">
        <v>18</v>
      </c>
      <c r="F92" s="6">
        <v>19</v>
      </c>
      <c r="G92" s="14">
        <v>3501100</v>
      </c>
      <c r="H92" s="9">
        <f t="shared" si="19"/>
        <v>1.1999942875096399</v>
      </c>
      <c r="I92" s="29">
        <v>18</v>
      </c>
      <c r="J92" s="6">
        <v>19</v>
      </c>
      <c r="K92" s="17">
        <v>7002100</v>
      </c>
      <c r="L92" s="9">
        <f t="shared" si="17"/>
        <v>1.1999971437140287</v>
      </c>
      <c r="M92" s="30">
        <v>18</v>
      </c>
      <c r="N92" s="6">
        <v>19</v>
      </c>
      <c r="O92" s="17">
        <v>11669900</v>
      </c>
      <c r="P92" s="9">
        <f t="shared" si="18"/>
        <v>1.2000017138107439</v>
      </c>
    </row>
    <row r="93" spans="1:29">
      <c r="A93" s="29">
        <v>19</v>
      </c>
      <c r="B93" s="25">
        <v>20</v>
      </c>
      <c r="C93" s="21">
        <v>1400500</v>
      </c>
      <c r="E93" s="29">
        <v>19</v>
      </c>
      <c r="F93" s="6">
        <v>20</v>
      </c>
      <c r="G93" s="15">
        <v>4201300</v>
      </c>
      <c r="H93" s="9">
        <f t="shared" si="19"/>
        <v>0</v>
      </c>
      <c r="I93" s="29">
        <v>19</v>
      </c>
      <c r="J93" s="6">
        <v>20</v>
      </c>
      <c r="K93" s="17">
        <v>8402500</v>
      </c>
      <c r="L93">
        <f t="shared" si="17"/>
        <v>0</v>
      </c>
      <c r="M93" s="30">
        <v>19</v>
      </c>
      <c r="N93" s="6">
        <v>20</v>
      </c>
      <c r="O93" s="17">
        <v>14003900</v>
      </c>
      <c r="P93" s="9">
        <f t="shared" si="18"/>
        <v>0</v>
      </c>
      <c r="W93" t="s">
        <v>42</v>
      </c>
    </row>
    <row r="95" spans="1:29">
      <c r="A95" t="s">
        <v>223</v>
      </c>
      <c r="B95">
        <f>SUM(A92,E85,I84,M83)</f>
        <v>48</v>
      </c>
      <c r="C95" s="1" t="s">
        <v>226</v>
      </c>
      <c r="D95" s="1"/>
      <c r="F95" t="s">
        <v>236</v>
      </c>
      <c r="G95" s="1">
        <v>56</v>
      </c>
      <c r="H95" t="s">
        <v>101</v>
      </c>
      <c r="I95" s="1">
        <f>G85+C92+G86+O83+C93+G87+K84+G88</f>
        <v>10948900</v>
      </c>
      <c r="K95" s="1"/>
      <c r="O95" s="1"/>
      <c r="Q95" s="1"/>
      <c r="S95" t="s">
        <v>37</v>
      </c>
    </row>
    <row r="96" spans="1:29">
      <c r="A96" t="s">
        <v>224</v>
      </c>
      <c r="B96" s="1">
        <v>6</v>
      </c>
      <c r="D96" s="9"/>
      <c r="E96" s="9"/>
      <c r="F96" s="1" t="s">
        <v>237</v>
      </c>
      <c r="G96" s="1">
        <f>G95-B95</f>
        <v>8</v>
      </c>
      <c r="H96" t="s">
        <v>238</v>
      </c>
      <c r="I96">
        <f>I95/B102</f>
        <v>101.04189737910669</v>
      </c>
      <c r="J96">
        <f>I95/F102/24</f>
        <v>3.6546914262672874</v>
      </c>
      <c r="L96" s="1"/>
      <c r="S96" t="s">
        <v>38</v>
      </c>
      <c r="U96" t="s">
        <v>46</v>
      </c>
      <c r="W96" t="s">
        <v>39</v>
      </c>
      <c r="Y96" t="s">
        <v>41</v>
      </c>
      <c r="AA96" t="s">
        <v>44</v>
      </c>
    </row>
    <row r="97" spans="1:29">
      <c r="A97" t="s">
        <v>225</v>
      </c>
      <c r="B97" s="1">
        <f>B95+B96</f>
        <v>54</v>
      </c>
      <c r="D97" s="9"/>
      <c r="E97" s="9"/>
      <c r="F97" s="1"/>
      <c r="G97" s="1"/>
      <c r="H97" t="s">
        <v>239</v>
      </c>
      <c r="I97">
        <f>I96/24</f>
        <v>4.2100790574627789</v>
      </c>
      <c r="K97" s="1"/>
      <c r="L97" s="1"/>
      <c r="M97" s="1"/>
      <c r="S97" s="1">
        <f>1600*80*1.18*2</f>
        <v>302080</v>
      </c>
      <c r="U97" s="9">
        <f>Q95/S97/24</f>
        <v>0</v>
      </c>
      <c r="W97" s="9">
        <f>R48/S97/24</f>
        <v>73.686846758937833</v>
      </c>
      <c r="X97" s="9"/>
      <c r="Y97" s="9"/>
      <c r="Z97" s="9"/>
      <c r="AA97" s="9">
        <f>R48/S97/24*0.73</f>
        <v>53.791398134024618</v>
      </c>
      <c r="AC97" t="s">
        <v>45</v>
      </c>
    </row>
    <row r="98" spans="1:29">
      <c r="B98" s="1"/>
      <c r="D98" s="9"/>
      <c r="E98" s="9"/>
      <c r="F98" s="9"/>
      <c r="G98" s="1"/>
      <c r="K98" s="1"/>
      <c r="L98" s="1"/>
      <c r="R98" t="s">
        <v>57</v>
      </c>
      <c r="S98">
        <f>1600*100*1.18*2</f>
        <v>377600</v>
      </c>
    </row>
    <row r="99" spans="1:29">
      <c r="A99" t="s">
        <v>227</v>
      </c>
      <c r="B99" s="1">
        <f>E12+E12+E12+E10</f>
        <v>21500</v>
      </c>
      <c r="D99" s="9"/>
      <c r="E99" s="9" t="s">
        <v>230</v>
      </c>
      <c r="F99" s="1">
        <f>1807+44344+56936+50</f>
        <v>103137</v>
      </c>
    </row>
    <row r="100" spans="1:29">
      <c r="A100" t="s">
        <v>228</v>
      </c>
      <c r="B100" s="1">
        <v>3</v>
      </c>
      <c r="D100" s="9"/>
      <c r="E100" s="9" t="s">
        <v>122</v>
      </c>
      <c r="F100" s="24">
        <f>18%+2.5%</f>
        <v>0.20499999999999999</v>
      </c>
      <c r="G100" t="s">
        <v>231</v>
      </c>
      <c r="J100" s="1"/>
      <c r="N100" s="1"/>
    </row>
    <row r="101" spans="1:29">
      <c r="A101" t="s">
        <v>229</v>
      </c>
      <c r="B101" s="24">
        <f>3*6%+50%</f>
        <v>0.67999999999999994</v>
      </c>
      <c r="C101" t="s">
        <v>240</v>
      </c>
      <c r="D101" s="1"/>
      <c r="E101" t="s">
        <v>232</v>
      </c>
      <c r="F101" s="1">
        <f>15*1200*(1+F100)</f>
        <v>21690</v>
      </c>
      <c r="S101" t="s">
        <v>49</v>
      </c>
    </row>
    <row r="102" spans="1:29">
      <c r="A102" t="s">
        <v>163</v>
      </c>
      <c r="B102" s="1">
        <f>B99*(1+B101)*3</f>
        <v>108360</v>
      </c>
      <c r="D102" s="1"/>
      <c r="E102" s="9" t="s">
        <v>233</v>
      </c>
      <c r="F102" s="1">
        <f>F99+F101</f>
        <v>124827</v>
      </c>
      <c r="I102" s="8"/>
      <c r="M102" t="s">
        <v>54</v>
      </c>
      <c r="N102">
        <f>22500*4*1.74*2</f>
        <v>313200</v>
      </c>
      <c r="S102" t="s">
        <v>50</v>
      </c>
      <c r="V102" t="s">
        <v>51</v>
      </c>
      <c r="W102" t="s">
        <v>52</v>
      </c>
      <c r="X102" t="s">
        <v>53</v>
      </c>
      <c r="Y102" t="s">
        <v>54</v>
      </c>
    </row>
    <row r="103" spans="1:29">
      <c r="A103" t="s">
        <v>192</v>
      </c>
      <c r="B103">
        <f>100000+60000+3*F12+F10</f>
        <v>332000</v>
      </c>
      <c r="C103" t="s">
        <v>242</v>
      </c>
      <c r="D103" s="1"/>
      <c r="O103" t="s">
        <v>94</v>
      </c>
      <c r="P103" t="s">
        <v>95</v>
      </c>
      <c r="R103">
        <v>22500</v>
      </c>
      <c r="S103">
        <f>4*R103</f>
        <v>90000</v>
      </c>
      <c r="V103">
        <v>0</v>
      </c>
      <c r="W103" s="8">
        <v>0.5</v>
      </c>
      <c r="X103">
        <v>1</v>
      </c>
      <c r="Y103">
        <f>$S$103*(1+W103)*X103</f>
        <v>135000</v>
      </c>
    </row>
    <row r="104" spans="1:29">
      <c r="A104" t="s">
        <v>203</v>
      </c>
      <c r="B104">
        <f>B103/B102*3</f>
        <v>9.1915836101882622</v>
      </c>
      <c r="D104" s="1"/>
      <c r="M104" t="s">
        <v>91</v>
      </c>
      <c r="N104" s="1">
        <f>G89+K84+K85</f>
        <v>5608800</v>
      </c>
      <c r="O104">
        <f>N104/N102</f>
        <v>17.908045977011493</v>
      </c>
      <c r="P104">
        <f>O104/24</f>
        <v>0.74616858237547889</v>
      </c>
      <c r="V104">
        <v>10</v>
      </c>
      <c r="W104" s="8">
        <v>0.68</v>
      </c>
      <c r="X104">
        <v>2</v>
      </c>
      <c r="Y104">
        <f t="shared" ref="Y104:Y106" si="20">$S$103*(1+W104)*X104</f>
        <v>302400</v>
      </c>
      <c r="Z104" t="s">
        <v>55</v>
      </c>
    </row>
    <row r="105" spans="1:29">
      <c r="M105" t="s">
        <v>92</v>
      </c>
      <c r="N105" s="1">
        <f>N104+K86+G90+K87+O84+G91</f>
        <v>18830700</v>
      </c>
      <c r="O105">
        <f>N105/N102</f>
        <v>60.123563218390807</v>
      </c>
      <c r="P105">
        <f t="shared" ref="P105:P106" si="21">O105/24</f>
        <v>2.5051484674329503</v>
      </c>
      <c r="V105">
        <v>17</v>
      </c>
      <c r="W105" s="8">
        <v>0.8</v>
      </c>
      <c r="X105">
        <v>3</v>
      </c>
      <c r="Y105">
        <f t="shared" si="20"/>
        <v>486000</v>
      </c>
      <c r="Z105" t="s">
        <v>56</v>
      </c>
    </row>
    <row r="106" spans="1:29">
      <c r="E106">
        <v>6400</v>
      </c>
      <c r="I106" s="1"/>
      <c r="M106" t="s">
        <v>93</v>
      </c>
      <c r="N106" s="1">
        <f>G92+G93+K88+K89+K90+O85+O86+O87</f>
        <v>31848800</v>
      </c>
      <c r="O106">
        <f>N106/N102</f>
        <v>101.68837803320562</v>
      </c>
      <c r="P106">
        <f t="shared" si="21"/>
        <v>4.2370157513835673</v>
      </c>
      <c r="V106">
        <v>24</v>
      </c>
      <c r="W106" s="8">
        <v>0.92</v>
      </c>
      <c r="X106">
        <v>4</v>
      </c>
      <c r="Y106">
        <f t="shared" si="20"/>
        <v>691200</v>
      </c>
    </row>
    <row r="107" spans="1:29">
      <c r="I107" s="1" cm="1">
        <f t="array" ref="I107:I109">C91:C93</f>
        <v>972600</v>
      </c>
      <c r="J107">
        <v>1</v>
      </c>
      <c r="M107" t="s">
        <v>96</v>
      </c>
      <c r="N107" s="1">
        <f>SUM(N104:N106)</f>
        <v>56288300</v>
      </c>
    </row>
    <row r="108" spans="1:29">
      <c r="A108" t="s">
        <v>234</v>
      </c>
      <c r="B108" s="1">
        <f>B99</f>
        <v>21500</v>
      </c>
      <c r="C108" s="1"/>
      <c r="D108" s="1"/>
      <c r="E108" s="1" cm="1">
        <f t="array" ref="E108:E110">C91:C93</f>
        <v>972600</v>
      </c>
      <c r="I108" s="1">
        <v>1167100</v>
      </c>
      <c r="J108">
        <v>2</v>
      </c>
      <c r="O108" t="s">
        <v>97</v>
      </c>
      <c r="P108" t="s">
        <v>95</v>
      </c>
    </row>
    <row r="109" spans="1:29">
      <c r="A109" t="s">
        <v>235</v>
      </c>
      <c r="B109" s="1">
        <v>4</v>
      </c>
      <c r="E109">
        <v>1167100</v>
      </c>
      <c r="F109" t="s">
        <v>79</v>
      </c>
      <c r="I109" s="1">
        <v>1400500</v>
      </c>
      <c r="J109">
        <v>3</v>
      </c>
      <c r="O109">
        <f>N107/100/1350</f>
        <v>416.95037037037036</v>
      </c>
      <c r="P109">
        <f>O109/24</f>
        <v>17.372932098765432</v>
      </c>
      <c r="T109" t="s">
        <v>59</v>
      </c>
      <c r="U109">
        <v>10</v>
      </c>
    </row>
    <row r="110" spans="1:29">
      <c r="A110" t="s">
        <v>243</v>
      </c>
      <c r="B110" s="24">
        <f>B101+2*6%</f>
        <v>0.79999999999999993</v>
      </c>
      <c r="E110" s="1">
        <v>1400500</v>
      </c>
      <c r="I110" s="1" cm="1">
        <f t="array" ref="I110:I112">G86:G88</f>
        <v>1172500</v>
      </c>
      <c r="J110">
        <v>4</v>
      </c>
      <c r="T110" t="s">
        <v>60</v>
      </c>
      <c r="U110">
        <v>23</v>
      </c>
    </row>
    <row r="111" spans="1:29">
      <c r="A111" t="s">
        <v>244</v>
      </c>
      <c r="B111" s="1">
        <f>B108*B109*(1+B110)</f>
        <v>154799.99999999997</v>
      </c>
      <c r="E111" s="1" cm="1">
        <f t="array" ref="E111:E114">G86:G89</f>
        <v>1172500</v>
      </c>
      <c r="I111" s="1">
        <v>1407000</v>
      </c>
      <c r="J111">
        <v>5</v>
      </c>
      <c r="L111" s="1" cm="1">
        <f t="array" ref="L111:L114">K88:K91</f>
        <v>3376800</v>
      </c>
      <c r="T111" t="s">
        <v>61</v>
      </c>
      <c r="U111">
        <v>10</v>
      </c>
      <c r="V111" t="s">
        <v>63</v>
      </c>
      <c r="W111" t="s">
        <v>62</v>
      </c>
      <c r="X111" t="s">
        <v>64</v>
      </c>
      <c r="Y111" t="s">
        <v>68</v>
      </c>
      <c r="Z111" s="1">
        <f>O93+O92+O91</f>
        <v>35398700</v>
      </c>
      <c r="AA111" t="s">
        <v>69</v>
      </c>
      <c r="AB111" s="1">
        <f>Q95-Z111</f>
        <v>-35398700</v>
      </c>
    </row>
    <row r="112" spans="1:29">
      <c r="A112" t="s">
        <v>245</v>
      </c>
      <c r="B112" s="1">
        <f>100000+60000+F12*3+F10</f>
        <v>332000</v>
      </c>
      <c r="E112">
        <v>1407000</v>
      </c>
      <c r="I112" s="1">
        <v>1688400</v>
      </c>
      <c r="J112">
        <v>6</v>
      </c>
      <c r="L112">
        <v>4052200</v>
      </c>
      <c r="N112" s="1">
        <f>K86+G90+K87+O84+G91-3000000</f>
        <v>10221900</v>
      </c>
      <c r="V112" t="s">
        <v>65</v>
      </c>
      <c r="W112" t="s">
        <v>66</v>
      </c>
      <c r="X112" t="s">
        <v>67</v>
      </c>
      <c r="Y112" t="s">
        <v>68</v>
      </c>
      <c r="Z112" s="1">
        <f>Z111+K93+O90+K92</f>
        <v>58907400</v>
      </c>
      <c r="AA112" t="s">
        <v>69</v>
      </c>
      <c r="AB112" s="1">
        <f>Q95-Z112</f>
        <v>-58907400</v>
      </c>
    </row>
    <row r="113" spans="1:25">
      <c r="A113" t="s">
        <v>246</v>
      </c>
      <c r="B113">
        <f>B112/B111*3</f>
        <v>6.4341085271317837</v>
      </c>
      <c r="E113">
        <v>1688400</v>
      </c>
      <c r="F113" t="s">
        <v>80</v>
      </c>
      <c r="I113" s="1" cm="1">
        <f t="array" ref="I113:I114">K84:K85</f>
        <v>1628500</v>
      </c>
      <c r="J113">
        <v>7</v>
      </c>
      <c r="L113">
        <v>4862600</v>
      </c>
      <c r="N113" s="1">
        <f>N112/N102</f>
        <v>32.63697318007663</v>
      </c>
      <c r="Y113" t="s">
        <v>70</v>
      </c>
    </row>
    <row r="114" spans="1:25">
      <c r="A114" t="s">
        <v>250</v>
      </c>
      <c r="B114" s="24">
        <f>B110-2*6%</f>
        <v>0.67999999999999994</v>
      </c>
      <c r="E114">
        <v>2026100</v>
      </c>
      <c r="I114" s="1">
        <v>1954200</v>
      </c>
      <c r="J114">
        <v>8</v>
      </c>
      <c r="L114">
        <v>5835100</v>
      </c>
    </row>
    <row r="115" spans="1:25">
      <c r="A115" t="s">
        <v>247</v>
      </c>
      <c r="B115">
        <f>B108*(1+B114)*B109</f>
        <v>144480</v>
      </c>
      <c r="E115" s="1" cm="1">
        <f t="array" ref="E115:E116">K84:K85</f>
        <v>1628500</v>
      </c>
      <c r="I115" s="1">
        <f>O83</f>
        <v>1507800</v>
      </c>
      <c r="J115">
        <v>9</v>
      </c>
      <c r="L115" s="1" cm="1">
        <f t="array" ref="L115:L118">O86:O89</f>
        <v>3908200</v>
      </c>
    </row>
    <row r="116" spans="1:25">
      <c r="A116" t="s">
        <v>248</v>
      </c>
      <c r="B116">
        <f>B112+60000*2</f>
        <v>452000</v>
      </c>
      <c r="E116">
        <v>1954200</v>
      </c>
      <c r="I116" s="1" cm="1">
        <f t="array" ref="I116:I118">G89:G91</f>
        <v>2026100</v>
      </c>
      <c r="J116">
        <v>10</v>
      </c>
      <c r="L116">
        <v>4689800</v>
      </c>
      <c r="T116" t="s">
        <v>77</v>
      </c>
      <c r="W116" t="s">
        <v>71</v>
      </c>
    </row>
    <row r="117" spans="1:25">
      <c r="A117" t="s">
        <v>249</v>
      </c>
      <c r="B117">
        <f>B116/B115*4</f>
        <v>12.513842746400886</v>
      </c>
      <c r="E117" s="1"/>
      <c r="F117" t="s">
        <v>81</v>
      </c>
      <c r="I117" s="1">
        <v>2431300</v>
      </c>
      <c r="J117">
        <v>11</v>
      </c>
      <c r="L117">
        <v>5627800</v>
      </c>
      <c r="T117" s="1">
        <f>Q95-O93-O92-O91-K93-O90-K92</f>
        <v>-58907400</v>
      </c>
      <c r="W117">
        <f>T117/S91*2/24</f>
        <v>-21.667328742937855</v>
      </c>
      <c r="Y117">
        <f>58/137</f>
        <v>0.42335766423357662</v>
      </c>
    </row>
    <row r="118" spans="1:25">
      <c r="B118" s="1"/>
      <c r="E118" s="1"/>
      <c r="I118" s="1">
        <v>2917600</v>
      </c>
      <c r="J118">
        <v>12</v>
      </c>
      <c r="L118">
        <v>6753400</v>
      </c>
    </row>
    <row r="119" spans="1:25">
      <c r="E119" s="1">
        <f>O83</f>
        <v>1507800</v>
      </c>
      <c r="I119" s="1" cm="1">
        <f t="array" ref="I119:I120">K86:K87</f>
        <v>2345000</v>
      </c>
      <c r="J119">
        <v>13</v>
      </c>
      <c r="L119" s="1">
        <f>SUM(L111:L118)</f>
        <v>39105900</v>
      </c>
      <c r="M119" s="1">
        <f>1500*120*1.14*24</f>
        <v>4924799.9999999991</v>
      </c>
    </row>
    <row r="120" spans="1:25">
      <c r="F120" t="s">
        <v>82</v>
      </c>
      <c r="I120" s="1">
        <v>2814000</v>
      </c>
      <c r="J120">
        <v>14</v>
      </c>
      <c r="L120">
        <f>L119/200000/24</f>
        <v>8.1470625000000005</v>
      </c>
      <c r="M120">
        <f>L119/M119</f>
        <v>7.9406067251462007</v>
      </c>
      <c r="T120" s="1">
        <f>Q95-T117</f>
        <v>58907400</v>
      </c>
      <c r="V120">
        <f>T120/S98/24</f>
        <v>6.5001986228813564</v>
      </c>
    </row>
    <row r="121" spans="1:25">
      <c r="I121" s="1">
        <f>O84</f>
        <v>2714000</v>
      </c>
      <c r="J121">
        <v>15</v>
      </c>
      <c r="M121" s="1">
        <v>5150000</v>
      </c>
      <c r="V121">
        <f>T120/S91/24</f>
        <v>10.833664371468927</v>
      </c>
    </row>
    <row r="122" spans="1:25">
      <c r="C122" t="s">
        <v>86</v>
      </c>
      <c r="D122" s="1" t="e">
        <f>SUM(_xlfn.ANCHORARRAY(D108))</f>
        <v>#REF!</v>
      </c>
      <c r="E122" s="1">
        <f>SUM(E108:E120)</f>
        <v>14924700</v>
      </c>
      <c r="F122" t="s">
        <v>83</v>
      </c>
      <c r="I122" s="1">
        <f>SUM(I107:I121)</f>
        <v>28146600</v>
      </c>
      <c r="N122">
        <f>M121/N102</f>
        <v>16.443167305236269</v>
      </c>
    </row>
    <row r="123" spans="1:25">
      <c r="C123" t="s">
        <v>87</v>
      </c>
      <c r="D123" t="e">
        <f>D122/C126</f>
        <v>#REF!</v>
      </c>
      <c r="E123">
        <f>E122/C126</f>
        <v>47.652298850574709</v>
      </c>
      <c r="F123" t="s">
        <v>84</v>
      </c>
      <c r="J123" t="e">
        <f>I122/J102</f>
        <v>#DIV/0!</v>
      </c>
      <c r="K123" t="e">
        <f>J123/24</f>
        <v>#DIV/0!</v>
      </c>
    </row>
    <row r="124" spans="1:25">
      <c r="E124">
        <f>E123/24</f>
        <v>1.9855124521072796</v>
      </c>
      <c r="F124" t="s">
        <v>85</v>
      </c>
      <c r="M124" s="1">
        <f>G90+K86+O84+K87</f>
        <v>10304300</v>
      </c>
    </row>
    <row r="125" spans="1:25">
      <c r="I125" s="1">
        <f>18000000</f>
        <v>18000000</v>
      </c>
      <c r="J125">
        <f>I125/100000/24</f>
        <v>7.5</v>
      </c>
      <c r="M125" s="1">
        <f>M124-M121</f>
        <v>5154300</v>
      </c>
      <c r="N125">
        <f>M125/N122</f>
        <v>313461.50679611653</v>
      </c>
    </row>
    <row r="126" spans="1:25">
      <c r="C126">
        <f>22500*4*1.74*2</f>
        <v>313200</v>
      </c>
      <c r="I126">
        <f>4000000/80000</f>
        <v>50</v>
      </c>
      <c r="L126" s="1">
        <f>7000000/100/1200*1300/24</f>
        <v>3159.7222222222226</v>
      </c>
      <c r="M126">
        <f>M125/100000</f>
        <v>51.542999999999999</v>
      </c>
    </row>
    <row r="127" spans="1:25">
      <c r="E127">
        <f>3000000/1200/1.12</f>
        <v>2232.1428571428569</v>
      </c>
      <c r="L127" s="1"/>
    </row>
    <row r="128" spans="1:25">
      <c r="L128" s="1"/>
    </row>
    <row r="129" spans="4:18">
      <c r="D129">
        <f>C126/1200/1.12</f>
        <v>233.03571428571428</v>
      </c>
      <c r="F129">
        <f>(E122-11200000)/C126</f>
        <v>11.892401021711366</v>
      </c>
    </row>
    <row r="130" spans="4:18">
      <c r="E130">
        <f>11200000/C126</f>
        <v>35.759897828863345</v>
      </c>
      <c r="F130">
        <f>80000*E130</f>
        <v>2860791.8263090677</v>
      </c>
      <c r="L130" s="1"/>
    </row>
    <row r="131" spans="4:18">
      <c r="E131">
        <f>(E122-11200000)/1200/1.12/35.76</f>
        <v>77.498718307233389</v>
      </c>
      <c r="F131">
        <f>F130+11200000</f>
        <v>14060791.826309068</v>
      </c>
    </row>
    <row r="134" spans="4:18">
      <c r="E134" t="s">
        <v>90</v>
      </c>
      <c r="Q134" t="s">
        <v>139</v>
      </c>
    </row>
    <row r="140" spans="4:18">
      <c r="D140" t="s">
        <v>124</v>
      </c>
      <c r="J140" t="s">
        <v>125</v>
      </c>
      <c r="O140" t="s">
        <v>150</v>
      </c>
      <c r="Q140">
        <f>950*50</f>
        <v>47500</v>
      </c>
    </row>
    <row r="141" spans="4:18">
      <c r="E141" t="s">
        <v>115</v>
      </c>
      <c r="F141" t="s">
        <v>116</v>
      </c>
      <c r="G141" t="s">
        <v>117</v>
      </c>
      <c r="H141" t="s">
        <v>118</v>
      </c>
      <c r="K141" t="s">
        <v>126</v>
      </c>
      <c r="L141" t="s">
        <v>127</v>
      </c>
      <c r="M141" t="s">
        <v>128</v>
      </c>
      <c r="O141" t="s">
        <v>152</v>
      </c>
      <c r="Q141">
        <f>R152*50</f>
        <v>60000</v>
      </c>
    </row>
    <row r="142" spans="4:18">
      <c r="D142" t="s">
        <v>119</v>
      </c>
      <c r="E142">
        <v>10</v>
      </c>
      <c r="F142">
        <v>17</v>
      </c>
      <c r="G142">
        <v>24</v>
      </c>
      <c r="H142">
        <v>31</v>
      </c>
      <c r="J142" t="s">
        <v>119</v>
      </c>
      <c r="K142">
        <v>14</v>
      </c>
      <c r="L142">
        <v>25</v>
      </c>
      <c r="M142">
        <v>36</v>
      </c>
    </row>
    <row r="143" spans="4:18">
      <c r="D143" t="s">
        <v>120</v>
      </c>
      <c r="E143">
        <v>2</v>
      </c>
      <c r="F143">
        <v>3</v>
      </c>
      <c r="G143">
        <v>4</v>
      </c>
      <c r="H143">
        <v>5</v>
      </c>
      <c r="J143" t="s">
        <v>130</v>
      </c>
      <c r="K143">
        <v>45</v>
      </c>
      <c r="L143">
        <v>42</v>
      </c>
      <c r="M143">
        <v>39</v>
      </c>
      <c r="P143" t="s">
        <v>147</v>
      </c>
    </row>
    <row r="144" spans="4:18">
      <c r="D144" t="s">
        <v>122</v>
      </c>
      <c r="E144" s="8">
        <v>0.18</v>
      </c>
      <c r="F144" s="12">
        <f>E144+12%</f>
        <v>0.3</v>
      </c>
      <c r="G144" s="12">
        <f t="shared" ref="G144:H144" si="22">F144+12%</f>
        <v>0.42</v>
      </c>
      <c r="H144" s="12">
        <f t="shared" si="22"/>
        <v>0.54</v>
      </c>
      <c r="J144" t="s">
        <v>131</v>
      </c>
      <c r="K144" t="s">
        <v>132</v>
      </c>
      <c r="L144" t="s">
        <v>133</v>
      </c>
      <c r="M144" t="s">
        <v>134</v>
      </c>
      <c r="P144">
        <v>200</v>
      </c>
      <c r="Q144" t="s">
        <v>146</v>
      </c>
      <c r="R144">
        <v>450</v>
      </c>
    </row>
    <row r="145" spans="4:18">
      <c r="D145" t="s">
        <v>121</v>
      </c>
      <c r="E145" s="1">
        <f>4500*4*(1+50%+E144)*E143</f>
        <v>60480</v>
      </c>
      <c r="F145" s="1">
        <f t="shared" ref="F145:H145" si="23">4500*4*(1+50%+F144)*F143</f>
        <v>97200</v>
      </c>
      <c r="G145" s="1">
        <f t="shared" si="23"/>
        <v>138240</v>
      </c>
      <c r="H145" s="1">
        <f t="shared" si="23"/>
        <v>183600</v>
      </c>
      <c r="J145" t="s">
        <v>129</v>
      </c>
      <c r="K145" s="1">
        <v>11499900</v>
      </c>
      <c r="L145" s="1">
        <v>8645500</v>
      </c>
      <c r="M145" s="1">
        <v>6183200</v>
      </c>
      <c r="N145" s="1"/>
      <c r="P145" s="1">
        <v>600</v>
      </c>
      <c r="Q145" t="s">
        <v>145</v>
      </c>
      <c r="R145">
        <v>600</v>
      </c>
    </row>
    <row r="146" spans="4:18">
      <c r="J146" t="s">
        <v>135</v>
      </c>
      <c r="K146" s="9">
        <f>K145/$E$145/24</f>
        <v>7.9226603835978837</v>
      </c>
      <c r="L146" s="9">
        <f t="shared" ref="L146:M146" si="24">L145/F145/24</f>
        <v>3.7060613854595332</v>
      </c>
      <c r="M146" s="9">
        <f t="shared" si="24"/>
        <v>1.8636670524691359</v>
      </c>
      <c r="P146">
        <v>1000</v>
      </c>
      <c r="Q146" t="s">
        <v>144</v>
      </c>
      <c r="R146">
        <v>650</v>
      </c>
    </row>
    <row r="147" spans="4:18">
      <c r="D147" t="s">
        <v>123</v>
      </c>
      <c r="J147" t="s">
        <v>136</v>
      </c>
      <c r="K147" s="9">
        <f>K145/F145/24</f>
        <v>4.9296553497942392</v>
      </c>
      <c r="L147" s="9">
        <f t="shared" ref="L147:M147" si="25">L145/G145/24</f>
        <v>2.6058244116512346</v>
      </c>
      <c r="M147" s="9">
        <f t="shared" si="25"/>
        <v>1.4032316630355846</v>
      </c>
      <c r="P147">
        <v>1400</v>
      </c>
      <c r="Q147" t="s">
        <v>143</v>
      </c>
      <c r="R147">
        <v>700</v>
      </c>
    </row>
    <row r="148" spans="4:18">
      <c r="D148">
        <f>1200*1.12*120</f>
        <v>161280.00000000003</v>
      </c>
      <c r="J148" t="s">
        <v>137</v>
      </c>
      <c r="K148" s="9">
        <f>K145/$G$145/24</f>
        <v>3.466163917824074</v>
      </c>
      <c r="L148" s="9">
        <f t="shared" ref="L148:M148" si="26">L145/$G$145/24</f>
        <v>2.6058244116512346</v>
      </c>
      <c r="M148" s="9">
        <f t="shared" si="26"/>
        <v>1.8636670524691359</v>
      </c>
      <c r="P148">
        <v>2100</v>
      </c>
      <c r="Q148" t="s">
        <v>142</v>
      </c>
      <c r="R148">
        <v>750</v>
      </c>
    </row>
    <row r="149" spans="4:18">
      <c r="J149" t="s">
        <v>138</v>
      </c>
      <c r="K149" s="9">
        <f>K145/$H$145/24</f>
        <v>2.6098175381263617</v>
      </c>
      <c r="L149" s="9">
        <f t="shared" ref="L149:M149" si="27">L145/$H$145/24</f>
        <v>1.962032498184459</v>
      </c>
      <c r="M149" s="9">
        <f t="shared" si="27"/>
        <v>1.4032316630355846</v>
      </c>
      <c r="P149">
        <v>2700</v>
      </c>
      <c r="Q149" t="s">
        <v>141</v>
      </c>
      <c r="R149">
        <v>900</v>
      </c>
    </row>
    <row r="150" spans="4:18">
      <c r="P150">
        <v>3300</v>
      </c>
      <c r="Q150" t="s">
        <v>140</v>
      </c>
      <c r="R150">
        <v>950</v>
      </c>
    </row>
    <row r="151" spans="4:18">
      <c r="P151">
        <v>3900</v>
      </c>
      <c r="Q151" t="s">
        <v>148</v>
      </c>
      <c r="R151">
        <v>1000</v>
      </c>
    </row>
    <row r="152" spans="4:18">
      <c r="P152">
        <v>4800</v>
      </c>
      <c r="Q152" t="s">
        <v>149</v>
      </c>
      <c r="R152">
        <v>1200</v>
      </c>
    </row>
    <row r="154" spans="4:18">
      <c r="I154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A3-77E8-A44C-8276-324004C34FED}">
  <dimension ref="A2:K26"/>
  <sheetViews>
    <sheetView workbookViewId="0">
      <selection activeCell="K25" sqref="K25"/>
    </sheetView>
  </sheetViews>
  <sheetFormatPr baseColWidth="10" defaultRowHeight="16"/>
  <cols>
    <col min="1" max="1" width="10" bestFit="1" customWidth="1"/>
    <col min="2" max="2" width="14.1640625" bestFit="1" customWidth="1"/>
    <col min="4" max="4" width="14.1640625" bestFit="1" customWidth="1"/>
    <col min="5" max="5" width="8" bestFit="1" customWidth="1"/>
    <col min="6" max="6" width="8" customWidth="1"/>
    <col min="7" max="7" width="10" bestFit="1" customWidth="1"/>
  </cols>
  <sheetData>
    <row r="2" spans="1:11">
      <c r="E2" t="s">
        <v>1</v>
      </c>
      <c r="H2" t="s">
        <v>31</v>
      </c>
      <c r="I2" t="s">
        <v>32</v>
      </c>
      <c r="J2">
        <v>3</v>
      </c>
      <c r="K2">
        <v>9</v>
      </c>
    </row>
    <row r="3" spans="1:11">
      <c r="B3">
        <v>1868</v>
      </c>
      <c r="C3">
        <v>2.0779999999999998</v>
      </c>
      <c r="D3">
        <v>107.1</v>
      </c>
    </row>
    <row r="4" spans="1:11">
      <c r="A4">
        <v>6</v>
      </c>
      <c r="B4">
        <v>1785</v>
      </c>
      <c r="C4">
        <v>2.9359999999999999</v>
      </c>
      <c r="D4">
        <v>112.25</v>
      </c>
      <c r="E4">
        <f>B3-B4</f>
        <v>83</v>
      </c>
      <c r="H4">
        <f>C4-C3</f>
        <v>0.8580000000000001</v>
      </c>
      <c r="I4">
        <f>D4-D3</f>
        <v>5.1500000000000057</v>
      </c>
      <c r="J4">
        <f>H4/E4*1000000</f>
        <v>10337.349397590362</v>
      </c>
      <c r="K4">
        <f>I4/E4</f>
        <v>6.2048192771084407E-2</v>
      </c>
    </row>
    <row r="5" spans="1:11">
      <c r="A5">
        <v>10</v>
      </c>
      <c r="B5">
        <v>1440</v>
      </c>
      <c r="C5">
        <v>6.4340000000000002</v>
      </c>
      <c r="D5">
        <v>133.24</v>
      </c>
      <c r="E5">
        <f>B4-B5</f>
        <v>345</v>
      </c>
      <c r="H5">
        <f>C5-C4</f>
        <v>3.4980000000000002</v>
      </c>
      <c r="I5">
        <f>D5-D4</f>
        <v>20.990000000000009</v>
      </c>
      <c r="J5">
        <f>H5/E5*100000</f>
        <v>1013.9130434782609</v>
      </c>
      <c r="K5">
        <f>I5/E5</f>
        <v>6.0840579710144956E-2</v>
      </c>
    </row>
    <row r="12" spans="1:11">
      <c r="A12" t="s">
        <v>156</v>
      </c>
      <c r="B12" t="s">
        <v>157</v>
      </c>
      <c r="D12" t="s">
        <v>158</v>
      </c>
      <c r="E12" t="s">
        <v>160</v>
      </c>
      <c r="F12" t="s">
        <v>161</v>
      </c>
      <c r="G12" t="s">
        <v>162</v>
      </c>
      <c r="H12" t="s">
        <v>159</v>
      </c>
      <c r="I12" t="s">
        <v>160</v>
      </c>
      <c r="J12" t="s">
        <v>161</v>
      </c>
      <c r="K12" t="s">
        <v>162</v>
      </c>
    </row>
    <row r="13" spans="1:11">
      <c r="A13">
        <v>7</v>
      </c>
      <c r="B13">
        <v>1849</v>
      </c>
      <c r="D13">
        <v>3.222</v>
      </c>
      <c r="E13">
        <v>3.3820000000000001</v>
      </c>
      <c r="F13">
        <v>3.7320000000000002</v>
      </c>
      <c r="G13">
        <v>4.0819999999999999</v>
      </c>
      <c r="H13">
        <v>146.4</v>
      </c>
      <c r="I13">
        <v>147.36000000000001</v>
      </c>
      <c r="J13">
        <v>149.46</v>
      </c>
      <c r="K13">
        <v>151.56</v>
      </c>
    </row>
    <row r="19" spans="1:9">
      <c r="B19" t="s">
        <v>209</v>
      </c>
      <c r="C19" t="s">
        <v>208</v>
      </c>
      <c r="D19" t="s">
        <v>207</v>
      </c>
    </row>
    <row r="20" spans="1:9">
      <c r="A20" t="s">
        <v>211</v>
      </c>
      <c r="B20">
        <v>2</v>
      </c>
      <c r="C20">
        <v>2</v>
      </c>
      <c r="D20">
        <v>1</v>
      </c>
      <c r="G20">
        <v>2</v>
      </c>
      <c r="H20">
        <v>2</v>
      </c>
      <c r="I20">
        <v>1</v>
      </c>
    </row>
    <row r="21" spans="1:9">
      <c r="A21" t="s">
        <v>210</v>
      </c>
      <c r="B21">
        <v>1</v>
      </c>
      <c r="C21">
        <v>2</v>
      </c>
      <c r="D21">
        <v>2</v>
      </c>
      <c r="G21">
        <v>1</v>
      </c>
      <c r="H21">
        <v>1</v>
      </c>
      <c r="I21">
        <v>2</v>
      </c>
    </row>
    <row r="22" spans="1:9">
      <c r="A22" t="s">
        <v>212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</row>
    <row r="23" spans="1:9">
      <c r="A23" t="s">
        <v>213</v>
      </c>
      <c r="B23">
        <v>1</v>
      </c>
      <c r="C23">
        <v>1</v>
      </c>
      <c r="D23">
        <v>1</v>
      </c>
    </row>
    <row r="24" spans="1:9">
      <c r="A24" t="s">
        <v>214</v>
      </c>
      <c r="B24">
        <v>2</v>
      </c>
      <c r="C24">
        <v>1</v>
      </c>
      <c r="D24">
        <v>1</v>
      </c>
    </row>
    <row r="25" spans="1:9">
      <c r="A25" t="s">
        <v>215</v>
      </c>
      <c r="B25">
        <v>1</v>
      </c>
      <c r="C25">
        <v>1</v>
      </c>
      <c r="D25">
        <v>2</v>
      </c>
    </row>
    <row r="26" spans="1:9">
      <c r="B26">
        <f>SUM(B20:B25)</f>
        <v>8</v>
      </c>
      <c r="C26">
        <f>SUM(C20:C25)</f>
        <v>8</v>
      </c>
      <c r="D26">
        <f>SUM(D20:D25)</f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E6DC-6184-8143-B29E-9FBBD3AB53FF}">
  <dimension ref="A2:O48"/>
  <sheetViews>
    <sheetView tabSelected="1" topLeftCell="A33" workbookViewId="0">
      <selection activeCell="Q42" sqref="Q42"/>
    </sheetView>
  </sheetViews>
  <sheetFormatPr baseColWidth="10" defaultRowHeight="16"/>
  <cols>
    <col min="3" max="3" width="11.33203125" bestFit="1" customWidth="1"/>
    <col min="11" max="11" width="8.5" bestFit="1" customWidth="1"/>
    <col min="12" max="12" width="10" customWidth="1"/>
  </cols>
  <sheetData>
    <row r="2" spans="2:11">
      <c r="F2" t="s">
        <v>177</v>
      </c>
      <c r="G2" t="s">
        <v>178</v>
      </c>
    </row>
    <row r="3" spans="2:11">
      <c r="B3" t="s">
        <v>169</v>
      </c>
      <c r="C3" s="19">
        <v>10000</v>
      </c>
      <c r="E3" s="19">
        <f>F3/C3*10000</f>
        <v>68</v>
      </c>
      <c r="F3" s="19">
        <v>68</v>
      </c>
      <c r="G3" s="19"/>
    </row>
    <row r="4" spans="2:11">
      <c r="B4" t="s">
        <v>170</v>
      </c>
      <c r="C4" s="19">
        <v>50000</v>
      </c>
      <c r="E4" s="19">
        <f t="shared" ref="E4:E10" si="0">F4/C4*10000</f>
        <v>65.599999999999994</v>
      </c>
      <c r="F4" s="19">
        <v>328</v>
      </c>
      <c r="G4" s="19"/>
    </row>
    <row r="5" spans="2:11">
      <c r="B5" t="s">
        <v>171</v>
      </c>
      <c r="C5" s="19">
        <v>100</v>
      </c>
      <c r="E5" s="19">
        <f t="shared" si="0"/>
        <v>0</v>
      </c>
      <c r="F5" s="19"/>
      <c r="G5" s="19"/>
    </row>
    <row r="6" spans="2:11">
      <c r="B6" t="s">
        <v>172</v>
      </c>
      <c r="C6" s="19">
        <v>3000</v>
      </c>
      <c r="E6" s="19">
        <f t="shared" si="0"/>
        <v>2.16</v>
      </c>
      <c r="F6" s="19">
        <v>0.64800000000000002</v>
      </c>
      <c r="G6" s="19"/>
    </row>
    <row r="7" spans="2:11">
      <c r="B7" t="s">
        <v>173</v>
      </c>
      <c r="C7" s="19">
        <v>100</v>
      </c>
      <c r="D7" s="19"/>
      <c r="E7" s="19">
        <f t="shared" si="0"/>
        <v>0</v>
      </c>
      <c r="F7" s="19"/>
      <c r="G7" s="19"/>
    </row>
    <row r="8" spans="2:11">
      <c r="B8" t="s">
        <v>174</v>
      </c>
      <c r="C8" s="19">
        <v>500</v>
      </c>
      <c r="D8" s="19"/>
      <c r="E8" s="19">
        <f t="shared" si="0"/>
        <v>0</v>
      </c>
      <c r="F8" s="19"/>
      <c r="G8" s="19"/>
    </row>
    <row r="9" spans="2:11">
      <c r="B9" t="s">
        <v>175</v>
      </c>
      <c r="C9" s="19">
        <v>3000</v>
      </c>
      <c r="D9" s="19"/>
      <c r="E9" s="19">
        <f t="shared" si="0"/>
        <v>102.6</v>
      </c>
      <c r="F9" s="19">
        <f>G9/20000*648</f>
        <v>30.78</v>
      </c>
      <c r="G9" s="19">
        <v>950</v>
      </c>
    </row>
    <row r="10" spans="2:11">
      <c r="B10" t="s">
        <v>176</v>
      </c>
      <c r="C10" s="19">
        <v>3000</v>
      </c>
      <c r="D10" s="19"/>
      <c r="E10" s="19">
        <f t="shared" si="0"/>
        <v>7.5304540420819492</v>
      </c>
      <c r="F10" s="19">
        <f>68/301*10</f>
        <v>2.2591362126245849</v>
      </c>
    </row>
    <row r="11" spans="2:11">
      <c r="C11" s="19"/>
      <c r="D11" s="19"/>
      <c r="E11" s="19"/>
      <c r="F11" s="19"/>
      <c r="G11" s="19"/>
    </row>
    <row r="12" spans="2:11">
      <c r="C12" s="19"/>
      <c r="D12" s="19"/>
      <c r="E12" s="19"/>
      <c r="F12" s="19"/>
      <c r="G12" s="19"/>
      <c r="K12">
        <f>1/2</f>
        <v>0.5</v>
      </c>
    </row>
    <row r="13" spans="2:11">
      <c r="C13" s="19"/>
      <c r="D13" s="19"/>
      <c r="E13" s="19"/>
      <c r="F13" s="19"/>
      <c r="G13" s="19"/>
    </row>
    <row r="14" spans="2:11">
      <c r="B14" t="s">
        <v>197</v>
      </c>
      <c r="C14" s="19"/>
      <c r="D14" s="19"/>
      <c r="E14" s="19"/>
      <c r="F14" s="19"/>
      <c r="G14" s="19"/>
    </row>
    <row r="15" spans="2:11">
      <c r="C15" s="19"/>
      <c r="D15" s="19"/>
      <c r="E15" s="19"/>
      <c r="F15" s="19"/>
      <c r="G15" s="19"/>
    </row>
    <row r="16" spans="2:11">
      <c r="C16" s="19"/>
      <c r="D16" s="19"/>
      <c r="E16" s="19"/>
      <c r="F16" s="19"/>
      <c r="G16" s="19"/>
    </row>
    <row r="17" spans="1:15">
      <c r="B17" t="s">
        <v>199</v>
      </c>
      <c r="C17" s="23" t="s">
        <v>198</v>
      </c>
      <c r="D17" t="s">
        <v>205</v>
      </c>
      <c r="E17" s="23" t="s">
        <v>194</v>
      </c>
      <c r="F17" s="23" t="s">
        <v>195</v>
      </c>
      <c r="G17" s="23" t="s">
        <v>196</v>
      </c>
      <c r="H17" s="23" t="s">
        <v>200</v>
      </c>
    </row>
    <row r="18" spans="1:15">
      <c r="C18">
        <v>4</v>
      </c>
      <c r="E18">
        <v>1</v>
      </c>
      <c r="F18">
        <v>200</v>
      </c>
      <c r="G18" s="24">
        <v>0.26819999999999999</v>
      </c>
      <c r="H18">
        <f>F18-E18</f>
        <v>199</v>
      </c>
      <c r="L18">
        <v>1</v>
      </c>
      <c r="M18">
        <v>2</v>
      </c>
    </row>
    <row r="19" spans="1:15">
      <c r="C19">
        <v>5</v>
      </c>
      <c r="E19">
        <v>1</v>
      </c>
      <c r="F19">
        <v>600</v>
      </c>
      <c r="G19" s="24">
        <v>0.23569999999999999</v>
      </c>
      <c r="H19">
        <f>F19-E19</f>
        <v>599</v>
      </c>
    </row>
    <row r="20" spans="1:15">
      <c r="C20">
        <v>6</v>
      </c>
      <c r="E20">
        <v>1</v>
      </c>
      <c r="F20">
        <v>1000</v>
      </c>
      <c r="G20" s="24">
        <v>0.4662</v>
      </c>
      <c r="H20">
        <f>F20-E20</f>
        <v>999</v>
      </c>
    </row>
    <row r="21" spans="1:15" s="25" customFormat="1">
      <c r="C21" s="25">
        <v>7</v>
      </c>
      <c r="E21" s="25">
        <v>1</v>
      </c>
      <c r="F21" s="25">
        <v>1400</v>
      </c>
      <c r="G21" s="26">
        <v>0.78029999999999999</v>
      </c>
      <c r="H21" s="25">
        <f>F21-E21</f>
        <v>1399</v>
      </c>
    </row>
    <row r="22" spans="1:15">
      <c r="A22" s="24">
        <f t="shared" ref="A22:A24" si="1">B22/C22</f>
        <v>6.2708333333333338E-2</v>
      </c>
      <c r="B22">
        <f t="shared" ref="B22:B35" si="2">E22-C22</f>
        <v>301</v>
      </c>
      <c r="C22" s="25">
        <v>4800</v>
      </c>
      <c r="D22">
        <v>4800</v>
      </c>
      <c r="E22">
        <v>5101</v>
      </c>
      <c r="F22">
        <v>5600</v>
      </c>
      <c r="G22" s="24">
        <v>0.1447</v>
      </c>
      <c r="H22">
        <f>F22-E22</f>
        <v>499</v>
      </c>
      <c r="J22" s="24">
        <f>H22/F22</f>
        <v>8.9107142857142857E-2</v>
      </c>
      <c r="K22" s="24">
        <f>F22/E22</f>
        <v>1.0978239560870418</v>
      </c>
      <c r="L22" s="24">
        <f t="shared" ref="L22:L35" si="3">A22*$L$18</f>
        <v>6.2708333333333338E-2</v>
      </c>
      <c r="M22" s="24">
        <f>J22*$M$18</f>
        <v>0.17821428571428571</v>
      </c>
      <c r="N22" s="24">
        <f>M22-L22</f>
        <v>0.11550595238095238</v>
      </c>
      <c r="O22" s="24">
        <f>M22+L22</f>
        <v>0.24092261904761905</v>
      </c>
    </row>
    <row r="23" spans="1:15">
      <c r="A23" s="24">
        <f t="shared" si="1"/>
        <v>6.2708333333333338E-2</v>
      </c>
      <c r="B23">
        <f t="shared" si="2"/>
        <v>301</v>
      </c>
      <c r="C23" s="25">
        <v>4800</v>
      </c>
      <c r="D23">
        <v>4800</v>
      </c>
      <c r="E23">
        <v>5101</v>
      </c>
      <c r="F23">
        <v>6400</v>
      </c>
      <c r="G23" s="24">
        <v>0.38150000000000001</v>
      </c>
      <c r="H23">
        <f>F23-E24</f>
        <v>279</v>
      </c>
      <c r="J23" s="24">
        <f t="shared" ref="J23:J36" si="4">H23/F23</f>
        <v>4.3593750000000001E-2</v>
      </c>
      <c r="K23" s="24">
        <f t="shared" ref="K23:K36" si="5">F23/E23</f>
        <v>1.2546559498137619</v>
      </c>
      <c r="L23" s="24">
        <f t="shared" si="3"/>
        <v>6.2708333333333338E-2</v>
      </c>
      <c r="M23" s="24">
        <f t="shared" ref="M23:M37" si="6">J23*$M$18</f>
        <v>8.7187500000000001E-2</v>
      </c>
      <c r="N23" s="24">
        <f t="shared" ref="N23:N36" si="7">M23-L23</f>
        <v>2.4479166666666663E-2</v>
      </c>
      <c r="O23" s="24">
        <f t="shared" ref="O23:O36" si="8">M23+L23</f>
        <v>0.14989583333333334</v>
      </c>
    </row>
    <row r="24" spans="1:15">
      <c r="A24" s="24">
        <f t="shared" si="1"/>
        <v>9.3035714285714291E-2</v>
      </c>
      <c r="B24">
        <f t="shared" si="2"/>
        <v>521</v>
      </c>
      <c r="C24" s="25">
        <v>5600</v>
      </c>
      <c r="D24">
        <v>4800</v>
      </c>
      <c r="E24">
        <v>6121</v>
      </c>
      <c r="F24">
        <v>6400</v>
      </c>
      <c r="G24" s="24">
        <v>6.1899999999999997E-2</v>
      </c>
      <c r="H24">
        <f>F24-E23</f>
        <v>1299</v>
      </c>
      <c r="J24" s="24">
        <f t="shared" si="4"/>
        <v>0.20296875</v>
      </c>
      <c r="K24" s="24">
        <f t="shared" si="5"/>
        <v>1.0455807874530305</v>
      </c>
      <c r="L24" s="24">
        <f t="shared" si="3"/>
        <v>9.3035714285714291E-2</v>
      </c>
      <c r="M24" s="24">
        <f t="shared" si="6"/>
        <v>0.40593750000000001</v>
      </c>
      <c r="N24" s="24">
        <f t="shared" si="7"/>
        <v>0.31290178571428573</v>
      </c>
      <c r="O24" s="24">
        <f t="shared" si="8"/>
        <v>0.49897321428571428</v>
      </c>
    </row>
    <row r="25" spans="1:15" s="25" customFormat="1">
      <c r="A25" s="24">
        <f>B25/C25</f>
        <v>6.2708333333333338E-2</v>
      </c>
      <c r="B25">
        <f t="shared" si="2"/>
        <v>301</v>
      </c>
      <c r="C25" s="25">
        <v>4800</v>
      </c>
      <c r="E25" s="25">
        <v>5101</v>
      </c>
      <c r="F25" s="25">
        <v>7200</v>
      </c>
      <c r="G25" s="26">
        <v>0.78059999999999996</v>
      </c>
      <c r="H25" s="25">
        <f>F25-E25</f>
        <v>2099</v>
      </c>
      <c r="J25" s="24">
        <f t="shared" si="4"/>
        <v>0.29152777777777777</v>
      </c>
      <c r="K25" s="24">
        <f t="shared" si="5"/>
        <v>1.4114879435404823</v>
      </c>
      <c r="L25" s="24">
        <f t="shared" si="3"/>
        <v>6.2708333333333338E-2</v>
      </c>
      <c r="M25" s="24">
        <f t="shared" si="6"/>
        <v>0.58305555555555555</v>
      </c>
      <c r="N25" s="24">
        <f t="shared" si="7"/>
        <v>0.52034722222222218</v>
      </c>
      <c r="O25" s="24">
        <f t="shared" si="8"/>
        <v>0.64576388888888892</v>
      </c>
    </row>
    <row r="26" spans="1:15">
      <c r="A26" s="24">
        <f t="shared" ref="A26:A35" si="9">B26/C26</f>
        <v>9.3035714285714291E-2</v>
      </c>
      <c r="B26">
        <f t="shared" si="2"/>
        <v>521</v>
      </c>
      <c r="C26" s="25">
        <v>5600</v>
      </c>
      <c r="E26">
        <v>6121</v>
      </c>
      <c r="F26">
        <v>7200</v>
      </c>
      <c r="G26" s="24">
        <v>0.29770000000000002</v>
      </c>
      <c r="H26">
        <f>F26-E26</f>
        <v>1079</v>
      </c>
      <c r="J26" s="24">
        <f t="shared" si="4"/>
        <v>0.14986111111111111</v>
      </c>
      <c r="K26" s="24">
        <f t="shared" si="5"/>
        <v>1.1762783858846593</v>
      </c>
      <c r="L26" s="24">
        <f t="shared" si="3"/>
        <v>9.3035714285714291E-2</v>
      </c>
      <c r="M26" s="24">
        <f t="shared" si="6"/>
        <v>0.29972222222222222</v>
      </c>
      <c r="N26" s="24">
        <f t="shared" si="7"/>
        <v>0.20668650793650795</v>
      </c>
      <c r="O26" s="24">
        <f t="shared" si="8"/>
        <v>0.3927579365079365</v>
      </c>
    </row>
    <row r="27" spans="1:15">
      <c r="A27" s="24">
        <f t="shared" si="9"/>
        <v>9.3035714285714291E-2</v>
      </c>
      <c r="B27">
        <f t="shared" si="2"/>
        <v>521</v>
      </c>
      <c r="C27" s="25">
        <v>5600</v>
      </c>
      <c r="E27">
        <v>6121</v>
      </c>
      <c r="F27">
        <v>8000</v>
      </c>
      <c r="G27" s="24">
        <v>0.65400000000000003</v>
      </c>
      <c r="H27">
        <f>F27-E27</f>
        <v>1879</v>
      </c>
      <c r="J27" s="24">
        <f t="shared" si="4"/>
        <v>0.234875</v>
      </c>
      <c r="K27" s="24">
        <f t="shared" si="5"/>
        <v>1.3069759843162883</v>
      </c>
      <c r="L27" s="24">
        <f t="shared" si="3"/>
        <v>9.3035714285714291E-2</v>
      </c>
      <c r="M27" s="24">
        <f t="shared" si="6"/>
        <v>0.46975</v>
      </c>
      <c r="N27" s="24">
        <f t="shared" si="7"/>
        <v>0.37671428571428572</v>
      </c>
      <c r="O27" s="24">
        <f t="shared" si="8"/>
        <v>0.56278571428571433</v>
      </c>
    </row>
    <row r="28" spans="1:15">
      <c r="A28" s="24">
        <f t="shared" si="9"/>
        <v>0.11089285714285714</v>
      </c>
      <c r="B28">
        <f t="shared" si="2"/>
        <v>621</v>
      </c>
      <c r="C28" s="25">
        <v>5600</v>
      </c>
      <c r="E28">
        <v>6221</v>
      </c>
      <c r="F28">
        <v>6400</v>
      </c>
      <c r="G28" s="24">
        <v>3.8699999999999998E-2</v>
      </c>
      <c r="H28">
        <f t="shared" ref="H28:H37" si="10">F28-E28</f>
        <v>179</v>
      </c>
      <c r="J28" s="24">
        <f t="shared" si="4"/>
        <v>2.7968750000000001E-2</v>
      </c>
      <c r="K28" s="24">
        <f t="shared" si="5"/>
        <v>1.028773509082141</v>
      </c>
      <c r="L28" s="24">
        <f t="shared" si="3"/>
        <v>0.11089285714285714</v>
      </c>
      <c r="M28" s="24">
        <f t="shared" si="6"/>
        <v>5.5937500000000001E-2</v>
      </c>
      <c r="N28" s="24">
        <f t="shared" si="7"/>
        <v>-5.4955357142857139E-2</v>
      </c>
      <c r="O28" s="24">
        <f t="shared" si="8"/>
        <v>0.16683035714285716</v>
      </c>
    </row>
    <row r="29" spans="1:15">
      <c r="A29" s="24">
        <f t="shared" si="9"/>
        <v>0.11089285714285714</v>
      </c>
      <c r="B29">
        <f t="shared" si="2"/>
        <v>621</v>
      </c>
      <c r="C29" s="25">
        <v>5600</v>
      </c>
      <c r="E29">
        <v>6221</v>
      </c>
      <c r="F29">
        <v>7200</v>
      </c>
      <c r="G29" s="24">
        <v>0.26269999999999999</v>
      </c>
      <c r="H29">
        <f t="shared" si="10"/>
        <v>979</v>
      </c>
      <c r="J29" s="24">
        <f t="shared" si="4"/>
        <v>0.13597222222222222</v>
      </c>
      <c r="K29" s="24">
        <f t="shared" si="5"/>
        <v>1.1573701977174087</v>
      </c>
      <c r="L29" s="24">
        <f t="shared" si="3"/>
        <v>0.11089285714285714</v>
      </c>
      <c r="M29" s="24">
        <f t="shared" si="6"/>
        <v>0.27194444444444443</v>
      </c>
      <c r="N29" s="24">
        <f t="shared" si="7"/>
        <v>0.16105158730158731</v>
      </c>
      <c r="O29" s="24">
        <f t="shared" si="8"/>
        <v>0.38283730158730156</v>
      </c>
    </row>
    <row r="30" spans="1:15">
      <c r="A30" s="24">
        <f t="shared" si="9"/>
        <v>0.11089285714285714</v>
      </c>
      <c r="B30">
        <f t="shared" si="2"/>
        <v>621</v>
      </c>
      <c r="C30" s="25">
        <v>5600</v>
      </c>
      <c r="E30">
        <v>6221</v>
      </c>
      <c r="F30">
        <v>8000</v>
      </c>
      <c r="G30" s="24">
        <v>0.60099999999999998</v>
      </c>
      <c r="H30">
        <f t="shared" si="10"/>
        <v>1779</v>
      </c>
      <c r="J30" s="24">
        <f t="shared" si="4"/>
        <v>0.22237499999999999</v>
      </c>
      <c r="K30" s="24">
        <f t="shared" si="5"/>
        <v>1.2859668863526763</v>
      </c>
      <c r="L30" s="24">
        <f t="shared" si="3"/>
        <v>0.11089285714285714</v>
      </c>
      <c r="M30" s="24">
        <f t="shared" si="6"/>
        <v>0.44474999999999998</v>
      </c>
      <c r="N30" s="24">
        <f t="shared" si="7"/>
        <v>0.33385714285714285</v>
      </c>
      <c r="O30" s="24">
        <f t="shared" si="8"/>
        <v>0.55564285714285711</v>
      </c>
    </row>
    <row r="31" spans="1:15">
      <c r="A31" s="24">
        <f t="shared" si="9"/>
        <v>0.12875</v>
      </c>
      <c r="B31">
        <f t="shared" si="2"/>
        <v>721</v>
      </c>
      <c r="C31" s="25">
        <v>5600</v>
      </c>
      <c r="E31">
        <v>6321</v>
      </c>
      <c r="F31">
        <v>7200</v>
      </c>
      <c r="G31" s="24">
        <v>0.22939999999999999</v>
      </c>
      <c r="H31">
        <f t="shared" si="10"/>
        <v>879</v>
      </c>
      <c r="J31" s="24">
        <f t="shared" si="4"/>
        <v>0.12208333333333334</v>
      </c>
      <c r="K31" s="24">
        <f t="shared" si="5"/>
        <v>1.1390602752728998</v>
      </c>
      <c r="L31" s="24">
        <f t="shared" si="3"/>
        <v>0.12875</v>
      </c>
      <c r="M31" s="24">
        <f t="shared" si="6"/>
        <v>0.24416666666666667</v>
      </c>
      <c r="N31" s="24">
        <f t="shared" si="7"/>
        <v>0.11541666666666667</v>
      </c>
      <c r="O31" s="24">
        <f t="shared" si="8"/>
        <v>0.37291666666666667</v>
      </c>
    </row>
    <row r="32" spans="1:15">
      <c r="A32" s="24">
        <f t="shared" si="9"/>
        <v>0.12875</v>
      </c>
      <c r="B32">
        <f t="shared" si="2"/>
        <v>721</v>
      </c>
      <c r="C32" s="25">
        <v>5600</v>
      </c>
      <c r="E32">
        <v>6321</v>
      </c>
      <c r="F32">
        <v>6400</v>
      </c>
      <c r="G32" s="24">
        <v>1.66E-2</v>
      </c>
      <c r="H32">
        <f t="shared" si="10"/>
        <v>79</v>
      </c>
      <c r="J32" s="24">
        <f t="shared" si="4"/>
        <v>1.2343750000000001E-2</v>
      </c>
      <c r="K32" s="24">
        <f t="shared" si="5"/>
        <v>1.0124980224647999</v>
      </c>
      <c r="L32" s="24">
        <f t="shared" si="3"/>
        <v>0.12875</v>
      </c>
      <c r="M32" s="24">
        <f t="shared" si="6"/>
        <v>2.4687500000000001E-2</v>
      </c>
      <c r="N32" s="24">
        <f t="shared" si="7"/>
        <v>-0.1040625</v>
      </c>
      <c r="O32" s="24">
        <f t="shared" si="8"/>
        <v>0.1534375</v>
      </c>
    </row>
    <row r="33" spans="1:15">
      <c r="A33" s="24">
        <f t="shared" si="9"/>
        <v>0.12875</v>
      </c>
      <c r="B33">
        <f t="shared" si="2"/>
        <v>721</v>
      </c>
      <c r="C33" s="25">
        <v>5600</v>
      </c>
      <c r="E33">
        <v>6321</v>
      </c>
      <c r="F33">
        <v>8000</v>
      </c>
      <c r="G33" s="24">
        <v>0.55069999999999997</v>
      </c>
      <c r="H33">
        <f t="shared" si="10"/>
        <v>1679</v>
      </c>
      <c r="J33" s="24">
        <f t="shared" si="4"/>
        <v>0.20987500000000001</v>
      </c>
      <c r="K33" s="24">
        <f t="shared" si="5"/>
        <v>1.2656225280809998</v>
      </c>
      <c r="L33" s="24">
        <f t="shared" si="3"/>
        <v>0.12875</v>
      </c>
      <c r="M33" s="24">
        <f t="shared" si="6"/>
        <v>0.41975000000000001</v>
      </c>
      <c r="N33" s="24">
        <f t="shared" si="7"/>
        <v>0.29100000000000004</v>
      </c>
      <c r="O33" s="24">
        <f t="shared" si="8"/>
        <v>0.54849999999999999</v>
      </c>
    </row>
    <row r="34" spans="1:15">
      <c r="A34" s="24">
        <f t="shared" si="9"/>
        <v>3.2812499999999999E-3</v>
      </c>
      <c r="B34">
        <f t="shared" si="2"/>
        <v>21</v>
      </c>
      <c r="C34" s="25">
        <v>6400</v>
      </c>
      <c r="E34">
        <v>6421</v>
      </c>
      <c r="F34">
        <v>7200</v>
      </c>
      <c r="G34" s="24">
        <v>0.19769999999999999</v>
      </c>
      <c r="H34">
        <f t="shared" si="10"/>
        <v>779</v>
      </c>
      <c r="J34" s="24">
        <f t="shared" si="4"/>
        <v>0.10819444444444444</v>
      </c>
      <c r="K34" s="24">
        <f t="shared" si="5"/>
        <v>1.1213206665628406</v>
      </c>
      <c r="L34" s="24">
        <f t="shared" si="3"/>
        <v>3.2812499999999999E-3</v>
      </c>
      <c r="M34" s="24">
        <f t="shared" si="6"/>
        <v>0.21638888888888888</v>
      </c>
      <c r="N34" s="24">
        <f t="shared" si="7"/>
        <v>0.21310763888888887</v>
      </c>
      <c r="O34" s="24">
        <f t="shared" si="8"/>
        <v>0.21967013888888889</v>
      </c>
    </row>
    <row r="35" spans="1:15">
      <c r="A35" s="24">
        <f t="shared" si="9"/>
        <v>-0.10819444444444444</v>
      </c>
      <c r="B35">
        <f t="shared" si="2"/>
        <v>-779</v>
      </c>
      <c r="C35" s="25">
        <v>7200</v>
      </c>
      <c r="E35">
        <v>6421</v>
      </c>
      <c r="F35">
        <v>8000</v>
      </c>
      <c r="G35" s="24">
        <v>0.50290000000000001</v>
      </c>
      <c r="H35">
        <f t="shared" si="10"/>
        <v>1579</v>
      </c>
      <c r="J35" s="24">
        <f t="shared" si="4"/>
        <v>0.19737499999999999</v>
      </c>
      <c r="K35" s="24">
        <f t="shared" si="5"/>
        <v>1.2459118517364896</v>
      </c>
      <c r="L35" s="24">
        <f t="shared" si="3"/>
        <v>-0.10819444444444444</v>
      </c>
      <c r="M35" s="24">
        <f t="shared" si="6"/>
        <v>0.39474999999999999</v>
      </c>
      <c r="N35" s="24">
        <f t="shared" si="7"/>
        <v>0.50294444444444442</v>
      </c>
      <c r="O35" s="24">
        <f t="shared" si="8"/>
        <v>0.28655555555555556</v>
      </c>
    </row>
    <row r="36" spans="1:15">
      <c r="E36">
        <v>7201</v>
      </c>
      <c r="F36">
        <v>8000</v>
      </c>
      <c r="G36" s="24">
        <v>0.2039</v>
      </c>
      <c r="H36">
        <f t="shared" si="10"/>
        <v>799</v>
      </c>
      <c r="J36" s="24">
        <f t="shared" si="4"/>
        <v>9.9875000000000005E-2</v>
      </c>
      <c r="K36" s="24">
        <f t="shared" si="5"/>
        <v>1.1109568115539508</v>
      </c>
      <c r="L36" s="24">
        <f t="shared" ref="L36" si="11">B36*$L$18</f>
        <v>0</v>
      </c>
      <c r="M36" s="24">
        <f t="shared" si="6"/>
        <v>0.19975000000000001</v>
      </c>
      <c r="N36" s="24">
        <f t="shared" si="7"/>
        <v>0.19975000000000001</v>
      </c>
      <c r="O36" s="24">
        <f t="shared" si="8"/>
        <v>0.19975000000000001</v>
      </c>
    </row>
    <row r="37" spans="1:15">
      <c r="E37">
        <v>5901</v>
      </c>
      <c r="F37">
        <v>8000</v>
      </c>
      <c r="G37" s="24">
        <v>0.78059999999999996</v>
      </c>
      <c r="H37">
        <f t="shared" si="10"/>
        <v>2099</v>
      </c>
      <c r="J37" s="24">
        <f>H38/F38</f>
        <v>0.18041666666666667</v>
      </c>
      <c r="K37" s="27">
        <f>F38/E38</f>
        <v>1.2201321809862735</v>
      </c>
      <c r="M37" s="24">
        <f t="shared" si="6"/>
        <v>0.36083333333333334</v>
      </c>
    </row>
    <row r="38" spans="1:15">
      <c r="E38">
        <v>5901</v>
      </c>
      <c r="F38">
        <v>7200</v>
      </c>
      <c r="G38" s="24">
        <v>0.38150000000000001</v>
      </c>
      <c r="H38">
        <f>F38-E38</f>
        <v>1299</v>
      </c>
      <c r="I38">
        <v>5101</v>
      </c>
      <c r="J38">
        <v>5600</v>
      </c>
      <c r="K38" s="24">
        <f>LOG(K22,1.906)</f>
        <v>0.14469614590615526</v>
      </c>
      <c r="L38">
        <v>1.9059999999999999</v>
      </c>
      <c r="M38" s="24">
        <f>1/L38</f>
        <v>0.52465897166841557</v>
      </c>
      <c r="N38" s="24">
        <f>1-M38</f>
        <v>0.47534102833158443</v>
      </c>
    </row>
    <row r="39" spans="1:15">
      <c r="E39">
        <v>5901</v>
      </c>
      <c r="F39">
        <v>6400</v>
      </c>
      <c r="G39" s="24">
        <v>0.1174</v>
      </c>
      <c r="H39">
        <f>F39-E39</f>
        <v>499</v>
      </c>
      <c r="I39">
        <v>5101</v>
      </c>
      <c r="J39">
        <v>6400</v>
      </c>
      <c r="K39" s="24">
        <f>LOG(K23,1.8125)</f>
        <v>0.38146742904149894</v>
      </c>
      <c r="L39">
        <v>1.8125</v>
      </c>
      <c r="M39" s="24">
        <f>1/L39</f>
        <v>0.55172413793103448</v>
      </c>
      <c r="N39" s="24">
        <f t="shared" ref="N39:N42" si="12">1-M39</f>
        <v>0.44827586206896552</v>
      </c>
    </row>
    <row r="40" spans="1:15">
      <c r="I40">
        <v>6121</v>
      </c>
      <c r="J40">
        <v>6400</v>
      </c>
      <c r="K40" s="24">
        <f>LOG(K24,2.055)</f>
        <v>6.188255322410726E-2</v>
      </c>
      <c r="L40">
        <v>2.0550000000000002</v>
      </c>
      <c r="M40" s="24">
        <f>1/L40</f>
        <v>0.48661800486618001</v>
      </c>
      <c r="N40" s="24">
        <f t="shared" si="12"/>
        <v>0.51338199513381999</v>
      </c>
    </row>
    <row r="41" spans="1:15">
      <c r="I41" s="25">
        <v>5101</v>
      </c>
      <c r="J41" s="25">
        <v>7200</v>
      </c>
      <c r="K41" s="24">
        <f>LOG(K25,1.5551)</f>
        <v>0.78055112200804089</v>
      </c>
      <c r="L41">
        <v>1.5550999999999999</v>
      </c>
      <c r="M41" s="24">
        <f>1/L41</f>
        <v>0.64304546331425638</v>
      </c>
      <c r="N41" s="24">
        <f t="shared" si="12"/>
        <v>0.35695453668574362</v>
      </c>
    </row>
    <row r="42" spans="1:15">
      <c r="I42">
        <v>6121</v>
      </c>
      <c r="J42">
        <v>7200</v>
      </c>
      <c r="K42" s="24">
        <f>LOG(K26,1.7253)</f>
        <v>0.29768108146433425</v>
      </c>
      <c r="L42">
        <v>1.7253000000000001</v>
      </c>
      <c r="M42" s="24">
        <f>1/L42</f>
        <v>0.57960934330261404</v>
      </c>
      <c r="N42" s="24">
        <f t="shared" si="12"/>
        <v>0.42039065669738596</v>
      </c>
    </row>
    <row r="43" spans="1:15">
      <c r="I43">
        <v>6121</v>
      </c>
      <c r="J43">
        <v>8000</v>
      </c>
      <c r="K43" s="24">
        <f>LOG(K27,1.9)</f>
        <v>0.4170981364736922</v>
      </c>
    </row>
    <row r="44" spans="1:15">
      <c r="J44" s="24"/>
      <c r="K44" s="24">
        <f t="shared" ref="K44:K48" si="13">LOG(K28,1.906)</f>
        <v>4.3979884557248314E-2</v>
      </c>
    </row>
    <row r="45" spans="1:15">
      <c r="J45" s="24"/>
      <c r="K45" s="24">
        <f t="shared" si="13"/>
        <v>0.22658731551918468</v>
      </c>
    </row>
    <row r="46" spans="1:15">
      <c r="J46" s="24"/>
      <c r="K46" s="24">
        <f t="shared" si="13"/>
        <v>0.38993522875543007</v>
      </c>
    </row>
    <row r="47" spans="1:15">
      <c r="K47" s="24">
        <f t="shared" si="13"/>
        <v>0.2018639206217574</v>
      </c>
    </row>
    <row r="48" spans="1:15">
      <c r="K48" s="24">
        <f t="shared" si="13"/>
        <v>1.9256489659821244E-2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张宁</dc:creator>
  <cp:lastModifiedBy>张宁</cp:lastModifiedBy>
  <dcterms:created xsi:type="dcterms:W3CDTF">2019-12-25T09:31:55Z</dcterms:created>
  <dcterms:modified xsi:type="dcterms:W3CDTF">2020-10-07T07:20:39Z</dcterms:modified>
</cp:coreProperties>
</file>