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teste\"/>
    </mc:Choice>
  </mc:AlternateContent>
  <bookViews>
    <workbookView xWindow="0" yWindow="0" windowWidth="28800" windowHeight="12210"/>
  </bookViews>
  <sheets>
    <sheet name="Custos" sheetId="1" r:id="rId1"/>
    <sheet name="1a tentativa" sheetId="2" r:id="rId2"/>
    <sheet name="Extrato" sheetId="3" r:id="rId3"/>
  </sheets>
  <calcPr calcId="171027"/>
</workbook>
</file>

<file path=xl/calcChain.xml><?xml version="1.0" encoding="utf-8"?>
<calcChain xmlns="http://schemas.openxmlformats.org/spreadsheetml/2006/main">
  <c r="F16" i="1" l="1"/>
  <c r="F15" i="1"/>
  <c r="F14" i="1"/>
  <c r="F13" i="1"/>
  <c r="C9" i="1"/>
  <c r="H8" i="2"/>
  <c r="F18" i="1"/>
  <c r="E31" i="3" l="1"/>
  <c r="D20" i="3"/>
  <c r="I20" i="3"/>
  <c r="I22" i="3"/>
  <c r="I24" i="3"/>
  <c r="I26" i="3"/>
  <c r="D24" i="3"/>
  <c r="D22" i="3"/>
  <c r="D14" i="2"/>
  <c r="H16" i="2"/>
  <c r="C7" i="1"/>
  <c r="C8" i="1"/>
  <c r="F10" i="1"/>
  <c r="H10" i="2"/>
  <c r="H12" i="2"/>
  <c r="H13" i="2"/>
  <c r="H14" i="2"/>
  <c r="H11" i="2"/>
  <c r="C25" i="1"/>
  <c r="C26" i="1"/>
  <c r="C24" i="1"/>
  <c r="C15" i="1"/>
  <c r="C14" i="1"/>
  <c r="C27" i="1"/>
  <c r="C16" i="1"/>
  <c r="C17" i="1"/>
  <c r="C28" i="1"/>
  <c r="C18" i="1"/>
  <c r="F28" i="1"/>
</calcChain>
</file>

<file path=xl/sharedStrings.xml><?xml version="1.0" encoding="utf-8"?>
<sst xmlns="http://schemas.openxmlformats.org/spreadsheetml/2006/main" count="90" uniqueCount="72">
  <si>
    <t>RISCO AMBIENTAL DO TRABALHO AJUSTADO</t>
  </si>
  <si>
    <t>Real - 2017</t>
  </si>
  <si>
    <t>FOLHA DE PAGAMENTO</t>
  </si>
  <si>
    <t>DETALHAMENTO</t>
  </si>
  <si>
    <t>RAT</t>
  </si>
  <si>
    <t>Número de CATs com óbito</t>
  </si>
  <si>
    <t>FAP</t>
  </si>
  <si>
    <t>B.91</t>
  </si>
  <si>
    <t>RAT ajustado</t>
  </si>
  <si>
    <t>B.92</t>
  </si>
  <si>
    <t>Valor RAT Ajustado mensal</t>
  </si>
  <si>
    <t>B.93</t>
  </si>
  <si>
    <t>B.94</t>
  </si>
  <si>
    <t>RAT sem malus ou bônus</t>
  </si>
  <si>
    <t>Total de benefícios</t>
  </si>
  <si>
    <t>CUSTO</t>
  </si>
  <si>
    <t>Frequência (Evento)</t>
  </si>
  <si>
    <t>Gravidade média do Evento</t>
  </si>
  <si>
    <t>RAT ajustado mensal</t>
  </si>
  <si>
    <t>Custo médio do Evento</t>
  </si>
  <si>
    <t xml:space="preserve">Afastamento </t>
  </si>
  <si>
    <t>Economia possível mensal</t>
  </si>
  <si>
    <t>Economia possível anual</t>
  </si>
  <si>
    <t>Afastamentos a reduzir:</t>
  </si>
  <si>
    <t>ZERO Acidente</t>
  </si>
  <si>
    <t>INPUTS</t>
  </si>
  <si>
    <t>OUTPUTS</t>
  </si>
  <si>
    <t>RESULTADO FINAL</t>
  </si>
  <si>
    <t xml:space="preserve">   Eventos:</t>
  </si>
  <si>
    <t>Frequência (35%)</t>
  </si>
  <si>
    <t>CATs c/ óbitos:</t>
  </si>
  <si>
    <t>B91:</t>
  </si>
  <si>
    <t>Gravidade (50%)</t>
  </si>
  <si>
    <t>B92:</t>
  </si>
  <si>
    <t>B91</t>
  </si>
  <si>
    <t>B93:</t>
  </si>
  <si>
    <t>B92</t>
  </si>
  <si>
    <t>B94:</t>
  </si>
  <si>
    <t>B93</t>
  </si>
  <si>
    <t xml:space="preserve">   Total de Benefícios:</t>
  </si>
  <si>
    <t>B94</t>
  </si>
  <si>
    <t xml:space="preserve">   Dados da empresa:</t>
  </si>
  <si>
    <t>Custo (15%)</t>
  </si>
  <si>
    <t>Nº médio de vínculos:</t>
  </si>
  <si>
    <t>INSS</t>
  </si>
  <si>
    <t>Massa Salarial:</t>
  </si>
  <si>
    <t>TOTAL</t>
  </si>
  <si>
    <t>Dados do cálculo</t>
  </si>
  <si>
    <t>CATs com Óbito:</t>
  </si>
  <si>
    <t>Auxílio-doença por acidente de trabalho - B91:</t>
  </si>
  <si>
    <t>Nexo Técnico Previdenciário sem CAT vinculada:</t>
  </si>
  <si>
    <t>Aposentadoria por invalidez por acidente de trabalho - B92:</t>
  </si>
  <si>
    <t>Pensão por morte por acidente de trabalho - B93:</t>
  </si>
  <si>
    <t>Nº Médio de Vínculos:</t>
  </si>
  <si>
    <t>Auxílio-acidente por acidente de trabalho - B94:</t>
  </si>
  <si>
    <t>Total Estabelecimentos na subclasse CNAE:</t>
  </si>
  <si>
    <t>Valor Total de Benefícios Pagos:</t>
  </si>
  <si>
    <t>Total Estabelecimentos na subclass CNAE com todos os insumos necessários ao cálculo do FAP:</t>
  </si>
  <si>
    <t>Indicadores do Estabelecimento</t>
  </si>
  <si>
    <t>Índice de Frequência:</t>
  </si>
  <si>
    <t>Nordem de Frequência:</t>
  </si>
  <si>
    <t>Percentil de Ordem de Frequência:</t>
  </si>
  <si>
    <t>Índice de Gravidade:</t>
  </si>
  <si>
    <t>Nordem de Gravidade:</t>
  </si>
  <si>
    <t>Percentil de Ordem de Gravidade:</t>
  </si>
  <si>
    <t>Índice de Custo:</t>
  </si>
  <si>
    <t>Nordem de Custo:</t>
  </si>
  <si>
    <t>Percentil de Ordem de Custo:</t>
  </si>
  <si>
    <t>Taxa Média de Rotatividade:</t>
  </si>
  <si>
    <t>Índice Composto:</t>
  </si>
  <si>
    <t>FAP do estabelecimento</t>
  </si>
  <si>
    <t>FAP Original: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</si>
</sst>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%"/>
    <numFmt numFmtId="166" formatCode="0.0000%"/>
    <numFmt numFmtId="167" formatCode="_-* #,##0.0000_-;\-* #,##0.0000_-;_-* &quot;-&quot;??_-;_-@_-"/>
    <numFmt numFmtId="168" formatCode="_-* #,##0_-;\-* #,##0_-;_-* &quot;-&quot;??_-;_-@_-"/>
    <numFmt numFmtId="169" formatCode="_-* #,##0.0000_-;\-* #,##0.0000_-;_-* &quot;-&quot;??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0CEC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Protection="1">
      <protection locked="0"/>
    </xf>
    <xf numFmtId="0" fontId="3" fillId="0" borderId="1" xfId="0" applyFont="1" applyBorder="1" applyProtection="1">
      <protection locked="0"/>
    </xf>
    <xf numFmtId="44" fontId="0" fillId="0" borderId="1" xfId="1" applyFont="1" applyBorder="1" applyProtection="1">
      <protection locked="0"/>
    </xf>
    <xf numFmtId="9" fontId="0" fillId="0" borderId="1" xfId="2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right"/>
      <protection locked="0"/>
    </xf>
    <xf numFmtId="44" fontId="0" fillId="0" borderId="0" xfId="0" applyNumberFormat="1" applyProtection="1">
      <protection locked="0"/>
    </xf>
    <xf numFmtId="44" fontId="2" fillId="0" borderId="0" xfId="1" applyFont="1" applyProtection="1">
      <protection hidden="1"/>
    </xf>
    <xf numFmtId="44" fontId="4" fillId="0" borderId="0" xfId="0" applyNumberFormat="1" applyFont="1" applyProtection="1">
      <protection hidden="1"/>
    </xf>
    <xf numFmtId="165" fontId="0" fillId="0" borderId="1" xfId="2" applyNumberFormat="1" applyFont="1" applyBorder="1" applyProtection="1">
      <protection hidden="1"/>
    </xf>
    <xf numFmtId="44" fontId="0" fillId="0" borderId="0" xfId="0" applyNumberFormat="1" applyProtection="1"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44" fontId="8" fillId="0" borderId="1" xfId="1" applyFont="1" applyBorder="1" applyProtection="1">
      <protection hidden="1"/>
    </xf>
    <xf numFmtId="44" fontId="8" fillId="0" borderId="1" xfId="0" applyNumberFormat="1" applyFont="1" applyBorder="1" applyProtection="1">
      <protection hidden="1"/>
    </xf>
    <xf numFmtId="0" fontId="0" fillId="0" borderId="0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44" fontId="0" fillId="0" borderId="6" xfId="0" applyNumberFormat="1" applyBorder="1" applyProtection="1">
      <protection hidden="1"/>
    </xf>
    <xf numFmtId="1" fontId="0" fillId="0" borderId="0" xfId="0" applyNumberFormat="1" applyProtection="1">
      <protection locked="0"/>
    </xf>
    <xf numFmtId="166" fontId="0" fillId="0" borderId="1" xfId="2" applyNumberFormat="1" applyFont="1" applyBorder="1" applyProtection="1">
      <protection hidden="1"/>
    </xf>
    <xf numFmtId="44" fontId="3" fillId="0" borderId="0" xfId="0" applyNumberFormat="1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44" fontId="8" fillId="0" borderId="0" xfId="0" applyNumberFormat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44" fontId="8" fillId="0" borderId="0" xfId="1" applyFont="1" applyFill="1" applyBorder="1" applyProtection="1">
      <protection locked="0"/>
    </xf>
    <xf numFmtId="0" fontId="0" fillId="0" borderId="0" xfId="0" applyAlignment="1">
      <alignment horizontal="center"/>
    </xf>
    <xf numFmtId="0" fontId="0" fillId="11" borderId="9" xfId="0" applyFill="1" applyBorder="1"/>
    <xf numFmtId="0" fontId="0" fillId="11" borderId="10" xfId="0" applyFill="1" applyBorder="1"/>
    <xf numFmtId="0" fontId="0" fillId="11" borderId="10" xfId="0" applyFill="1" applyBorder="1" applyAlignment="1">
      <alignment horizontal="center"/>
    </xf>
    <xf numFmtId="0" fontId="0" fillId="11" borderId="11" xfId="0" applyFill="1" applyBorder="1"/>
    <xf numFmtId="0" fontId="0" fillId="11" borderId="12" xfId="0" applyFill="1" applyBorder="1"/>
    <xf numFmtId="44" fontId="0" fillId="13" borderId="1" xfId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3" applyNumberFormat="1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9" fontId="10" fillId="8" borderId="9" xfId="2" applyFont="1" applyFill="1" applyBorder="1" applyAlignment="1">
      <alignment horizontal="right"/>
    </xf>
    <xf numFmtId="9" fontId="10" fillId="8" borderId="0" xfId="2" applyFont="1" applyFill="1" applyBorder="1" applyAlignment="1">
      <alignment horizontal="left"/>
    </xf>
    <xf numFmtId="0" fontId="3" fillId="11" borderId="9" xfId="0" applyFont="1" applyFill="1" applyBorder="1" applyAlignment="1">
      <alignment horizontal="center"/>
    </xf>
    <xf numFmtId="0" fontId="0" fillId="11" borderId="0" xfId="0" applyFill="1" applyBorder="1"/>
    <xf numFmtId="0" fontId="3" fillId="11" borderId="9" xfId="0" quotePrefix="1" applyFont="1" applyFill="1" applyBorder="1"/>
    <xf numFmtId="0" fontId="0" fillId="11" borderId="9" xfId="0" applyFont="1" applyFill="1" applyBorder="1" applyAlignment="1">
      <alignment horizontal="right"/>
    </xf>
    <xf numFmtId="0" fontId="3" fillId="11" borderId="10" xfId="0" applyFont="1" applyFill="1" applyBorder="1" applyAlignment="1">
      <alignment horizontal="center"/>
    </xf>
    <xf numFmtId="0" fontId="0" fillId="11" borderId="9" xfId="0" applyFont="1" applyFill="1" applyBorder="1"/>
    <xf numFmtId="9" fontId="10" fillId="9" borderId="0" xfId="2" applyFont="1" applyFill="1" applyBorder="1" applyAlignment="1">
      <alignment horizontal="center"/>
    </xf>
    <xf numFmtId="9" fontId="10" fillId="9" borderId="4" xfId="2" applyFont="1" applyFill="1" applyBorder="1" applyAlignment="1">
      <alignment horizontal="center"/>
    </xf>
    <xf numFmtId="44" fontId="10" fillId="9" borderId="10" xfId="1" applyFont="1" applyFill="1" applyBorder="1" applyAlignment="1">
      <alignment horizontal="center"/>
    </xf>
    <xf numFmtId="44" fontId="10" fillId="9" borderId="12" xfId="1" applyFon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5" fillId="11" borderId="10" xfId="0" applyNumberFormat="1" applyFont="1" applyFill="1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0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43" fontId="0" fillId="0" borderId="0" xfId="3" applyFont="1" applyBorder="1" applyAlignment="1">
      <alignment vertical="top"/>
    </xf>
    <xf numFmtId="168" fontId="0" fillId="0" borderId="0" xfId="3" applyNumberFormat="1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12" xfId="0" applyFont="1" applyBorder="1" applyAlignment="1">
      <alignment vertical="top"/>
    </xf>
    <xf numFmtId="0" fontId="0" fillId="0" borderId="13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9" fillId="0" borderId="13" xfId="0" applyFont="1" applyBorder="1" applyAlignment="1">
      <alignment vertical="top"/>
    </xf>
    <xf numFmtId="167" fontId="0" fillId="0" borderId="0" xfId="0" applyNumberFormat="1" applyFont="1" applyBorder="1" applyAlignment="1">
      <alignment vertical="top" wrapText="1"/>
    </xf>
    <xf numFmtId="0" fontId="9" fillId="0" borderId="0" xfId="0" applyFont="1" applyBorder="1" applyAlignment="1">
      <alignment vertical="top"/>
    </xf>
    <xf numFmtId="43" fontId="0" fillId="0" borderId="0" xfId="0" applyNumberFormat="1" applyFont="1" applyAlignment="1">
      <alignment vertical="top"/>
    </xf>
    <xf numFmtId="0" fontId="0" fillId="14" borderId="0" xfId="0" applyFont="1" applyFill="1" applyBorder="1" applyAlignment="1">
      <alignment horizontal="right" vertical="top" wrapText="1"/>
    </xf>
    <xf numFmtId="167" fontId="0" fillId="14" borderId="0" xfId="0" applyNumberFormat="1" applyFont="1" applyFill="1" applyBorder="1" applyAlignment="1">
      <alignment vertical="top" wrapText="1"/>
    </xf>
    <xf numFmtId="169" fontId="0" fillId="15" borderId="0" xfId="0" applyNumberFormat="1" applyFont="1" applyFill="1" applyBorder="1" applyAlignment="1">
      <alignment vertical="top" wrapText="1"/>
    </xf>
    <xf numFmtId="166" fontId="0" fillId="14" borderId="0" xfId="0" applyNumberFormat="1" applyFont="1" applyFill="1" applyBorder="1" applyAlignment="1">
      <alignment vertical="top"/>
    </xf>
    <xf numFmtId="43" fontId="0" fillId="15" borderId="0" xfId="0" applyNumberFormat="1" applyFont="1" applyFill="1" applyBorder="1" applyAlignment="1">
      <alignment vertical="top"/>
    </xf>
    <xf numFmtId="167" fontId="0" fillId="15" borderId="0" xfId="0" applyNumberFormat="1" applyFont="1" applyFill="1" applyBorder="1" applyAlignment="1">
      <alignment vertical="top"/>
    </xf>
    <xf numFmtId="164" fontId="0" fillId="15" borderId="0" xfId="0" applyNumberFormat="1" applyFont="1" applyFill="1" applyBorder="1" applyAlignment="1">
      <alignment vertical="top"/>
    </xf>
    <xf numFmtId="0" fontId="0" fillId="16" borderId="0" xfId="0" applyFont="1" applyFill="1" applyBorder="1" applyAlignment="1">
      <alignment horizontal="right" vertical="top" wrapText="1"/>
    </xf>
    <xf numFmtId="0" fontId="0" fillId="16" borderId="0" xfId="0" applyFont="1" applyFill="1" applyBorder="1" applyAlignment="1">
      <alignment vertical="top"/>
    </xf>
    <xf numFmtId="0" fontId="0" fillId="0" borderId="0" xfId="0" applyFont="1" applyBorder="1" applyAlignment="1">
      <alignment horizontal="right" vertical="top" wrapText="1"/>
    </xf>
    <xf numFmtId="0" fontId="6" fillId="3" borderId="2" xfId="0" applyFont="1" applyFill="1" applyBorder="1" applyAlignment="1" applyProtection="1">
      <alignment horizontal="center"/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44" fontId="3" fillId="4" borderId="1" xfId="0" applyNumberFormat="1" applyFont="1" applyFill="1" applyBorder="1" applyAlignment="1" applyProtection="1">
      <alignment horizontal="center"/>
      <protection locked="0"/>
    </xf>
    <xf numFmtId="9" fontId="11" fillId="9" borderId="9" xfId="2" applyFont="1" applyFill="1" applyBorder="1" applyAlignment="1">
      <alignment horizontal="center" vertical="center" textRotation="255"/>
    </xf>
    <xf numFmtId="9" fontId="11" fillId="9" borderId="11" xfId="2" applyFont="1" applyFill="1" applyBorder="1" applyAlignment="1">
      <alignment horizontal="center" vertical="center" textRotation="255"/>
    </xf>
    <xf numFmtId="0" fontId="2" fillId="12" borderId="7" xfId="0" applyFont="1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0" fillId="7" borderId="9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164" fontId="3" fillId="0" borderId="0" xfId="0" quotePrefix="1" applyNumberFormat="1" applyFont="1" applyBorder="1" applyAlignment="1">
      <alignment horizontal="left" vertical="top"/>
    </xf>
    <xf numFmtId="164" fontId="3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right" vertical="top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1010797</xdr:colOff>
      <xdr:row>0</xdr:row>
      <xdr:rowOff>183173</xdr:rowOff>
    </xdr:from>
    <xdr:ext cx="1085850" cy="403540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8732" y="183173"/>
          <a:ext cx="1085850" cy="403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57979</xdr:colOff>
      <xdr:row>17</xdr:row>
      <xdr:rowOff>41414</xdr:rowOff>
    </xdr:from>
    <xdr:to>
      <xdr:col>3</xdr:col>
      <xdr:colOff>248479</xdr:colOff>
      <xdr:row>17</xdr:row>
      <xdr:rowOff>165653</xdr:rowOff>
    </xdr:to>
    <xdr:sp macro="" textlink="">
      <xdr:nvSpPr>
        <xdr:cNvPr id="3" name="Seta para a Direi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67740" y="3636066"/>
          <a:ext cx="190500" cy="1242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41415</xdr:colOff>
      <xdr:row>27</xdr:row>
      <xdr:rowOff>33131</xdr:rowOff>
    </xdr:from>
    <xdr:to>
      <xdr:col>3</xdr:col>
      <xdr:colOff>256761</xdr:colOff>
      <xdr:row>27</xdr:row>
      <xdr:rowOff>157370</xdr:rowOff>
    </xdr:to>
    <xdr:sp macro="" textlink="">
      <xdr:nvSpPr>
        <xdr:cNvPr id="4" name="Seta para a Direi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51176" y="5698435"/>
          <a:ext cx="215346" cy="1242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zoomScale="115" zoomScaleNormal="115" workbookViewId="0">
      <selection activeCell="F17" sqref="F17"/>
    </sheetView>
  </sheetViews>
  <sheetFormatPr defaultRowHeight="15" x14ac:dyDescent="0.25"/>
  <cols>
    <col min="1" max="1" width="6.85546875" style="1" customWidth="1"/>
    <col min="2" max="2" width="46.5703125" style="1" customWidth="1"/>
    <col min="3" max="3" width="24.7109375" style="1" customWidth="1"/>
    <col min="4" max="4" width="4.42578125" style="1" customWidth="1"/>
    <col min="5" max="5" width="31.5703125" style="1" bestFit="1" customWidth="1"/>
    <col min="6" max="6" width="17.85546875" style="1" bestFit="1" customWidth="1"/>
    <col min="7" max="7" width="9.85546875" style="1" bestFit="1" customWidth="1"/>
    <col min="8" max="8" width="18.28515625" style="1" bestFit="1" customWidth="1"/>
    <col min="9" max="10" width="17.85546875" style="1" bestFit="1" customWidth="1"/>
    <col min="11" max="16384" width="9.140625" style="1"/>
  </cols>
  <sheetData>
    <row r="2" spans="2:10" ht="18.75" x14ac:dyDescent="0.3">
      <c r="B2" s="90" t="s">
        <v>0</v>
      </c>
      <c r="C2" s="90"/>
    </row>
    <row r="3" spans="2:10" x14ac:dyDescent="0.25">
      <c r="B3" s="88" t="s">
        <v>1</v>
      </c>
      <c r="C3" s="89"/>
    </row>
    <row r="4" spans="2:10" x14ac:dyDescent="0.25">
      <c r="B4" s="2" t="s">
        <v>2</v>
      </c>
      <c r="C4" s="3">
        <v>100000000</v>
      </c>
      <c r="E4" s="91" t="s">
        <v>3</v>
      </c>
      <c r="F4" s="91"/>
    </row>
    <row r="5" spans="2:10" x14ac:dyDescent="0.25">
      <c r="B5" s="2" t="s">
        <v>4</v>
      </c>
      <c r="C5" s="4">
        <v>0.03</v>
      </c>
      <c r="E5" s="5" t="s">
        <v>5</v>
      </c>
      <c r="F5" s="6">
        <v>0</v>
      </c>
      <c r="J5" s="11"/>
    </row>
    <row r="6" spans="2:10" x14ac:dyDescent="0.25">
      <c r="B6" s="2" t="s">
        <v>6</v>
      </c>
      <c r="C6" s="7">
        <v>1.1399999999999999</v>
      </c>
      <c r="E6" s="5" t="s">
        <v>7</v>
      </c>
      <c r="F6" s="8">
        <v>42</v>
      </c>
      <c r="I6" s="11"/>
      <c r="J6" s="11"/>
    </row>
    <row r="7" spans="2:10" ht="18.75" x14ac:dyDescent="0.3">
      <c r="B7" s="9" t="s">
        <v>8</v>
      </c>
      <c r="C7" s="24">
        <f>C5*C6</f>
        <v>3.4199999999999994E-2</v>
      </c>
      <c r="E7" s="5" t="s">
        <v>9</v>
      </c>
      <c r="F7" s="8">
        <v>1</v>
      </c>
      <c r="I7" s="11"/>
      <c r="J7" s="11"/>
    </row>
    <row r="8" spans="2:10" ht="18.75" x14ac:dyDescent="0.3">
      <c r="B8" s="10" t="s">
        <v>10</v>
      </c>
      <c r="C8" s="12">
        <f>C4*C7</f>
        <v>3419999.9999999995</v>
      </c>
      <c r="E8" s="5" t="s">
        <v>11</v>
      </c>
      <c r="F8" s="8">
        <v>0</v>
      </c>
      <c r="I8" s="11"/>
      <c r="J8" s="11"/>
    </row>
    <row r="9" spans="2:10" ht="18.75" x14ac:dyDescent="0.3">
      <c r="C9" s="13">
        <f>C8*13</f>
        <v>44459999.999999993</v>
      </c>
      <c r="E9" s="5" t="s">
        <v>12</v>
      </c>
      <c r="F9" s="8">
        <v>3</v>
      </c>
      <c r="I9" s="11"/>
      <c r="J9" s="11"/>
    </row>
    <row r="10" spans="2:10" x14ac:dyDescent="0.25">
      <c r="B10" s="92" t="s">
        <v>13</v>
      </c>
      <c r="C10" s="93"/>
      <c r="E10" s="5" t="s">
        <v>14</v>
      </c>
      <c r="F10" s="16">
        <f>SUM(F6:F9)</f>
        <v>46</v>
      </c>
      <c r="I10" s="11"/>
    </row>
    <row r="11" spans="2:10" x14ac:dyDescent="0.25">
      <c r="B11" s="2" t="s">
        <v>2</v>
      </c>
      <c r="C11" s="3">
        <v>100000000</v>
      </c>
    </row>
    <row r="12" spans="2:10" x14ac:dyDescent="0.25">
      <c r="B12" s="2" t="s">
        <v>4</v>
      </c>
      <c r="C12" s="4">
        <v>0.03</v>
      </c>
      <c r="E12" s="96" t="s">
        <v>15</v>
      </c>
      <c r="F12" s="96"/>
      <c r="G12" s="25"/>
      <c r="H12" s="25"/>
      <c r="I12" s="26"/>
    </row>
    <row r="13" spans="2:10" x14ac:dyDescent="0.25">
      <c r="B13" s="2" t="s">
        <v>6</v>
      </c>
      <c r="C13" s="7">
        <v>1</v>
      </c>
      <c r="E13" s="5" t="s">
        <v>16</v>
      </c>
      <c r="F13" s="17">
        <f>(C9*0.35)/F10</f>
        <v>338282.6086956521</v>
      </c>
      <c r="G13" s="26"/>
      <c r="H13" s="27"/>
      <c r="I13" s="28"/>
    </row>
    <row r="14" spans="2:10" ht="18.75" x14ac:dyDescent="0.3">
      <c r="B14" s="9" t="s">
        <v>8</v>
      </c>
      <c r="C14" s="24">
        <f>C12*C13</f>
        <v>0.03</v>
      </c>
      <c r="E14" s="5" t="s">
        <v>17</v>
      </c>
      <c r="F14" s="18">
        <f>((C9*0.5)/F10)</f>
        <v>483260.86956521729</v>
      </c>
      <c r="G14" s="26"/>
      <c r="H14" s="27"/>
      <c r="I14" s="28"/>
    </row>
    <row r="15" spans="2:10" ht="18.75" x14ac:dyDescent="0.3">
      <c r="B15" s="10" t="s">
        <v>18</v>
      </c>
      <c r="C15" s="12">
        <f>C11*(C12*C13)</f>
        <v>3000000</v>
      </c>
      <c r="E15" s="5" t="s">
        <v>19</v>
      </c>
      <c r="F15" s="18">
        <f>((C9*0.15)/F10)</f>
        <v>144978.26086956519</v>
      </c>
      <c r="G15" s="26"/>
      <c r="H15" s="27"/>
      <c r="I15" s="26"/>
    </row>
    <row r="16" spans="2:10" ht="18.75" x14ac:dyDescent="0.3">
      <c r="C16" s="13">
        <f>C15*13</f>
        <v>39000000</v>
      </c>
      <c r="E16" s="5" t="s">
        <v>20</v>
      </c>
      <c r="F16" s="18">
        <f>((C9*0.65)/F10)+F13</f>
        <v>966521.73913043458</v>
      </c>
      <c r="G16" s="26"/>
      <c r="H16" s="29"/>
      <c r="I16" s="28"/>
    </row>
    <row r="17" spans="1:6" ht="15.75" thickBot="1" x14ac:dyDescent="0.3">
      <c r="B17" s="1" t="s">
        <v>21</v>
      </c>
      <c r="C17" s="15">
        <f>C8-C15</f>
        <v>419999.99999999953</v>
      </c>
      <c r="F17" s="11"/>
    </row>
    <row r="18" spans="1:6" ht="15.75" thickBot="1" x14ac:dyDescent="0.3">
      <c r="A18" s="19"/>
      <c r="B18" s="21" t="s">
        <v>22</v>
      </c>
      <c r="C18" s="22">
        <f>C9-C16</f>
        <v>5459999.9999999925</v>
      </c>
      <c r="E18" s="1" t="s">
        <v>23</v>
      </c>
      <c r="F18" s="23">
        <f>C18/F16</f>
        <v>5.6491228070175374</v>
      </c>
    </row>
    <row r="19" spans="1:6" x14ac:dyDescent="0.25">
      <c r="C19" s="20"/>
    </row>
    <row r="20" spans="1:6" x14ac:dyDescent="0.25">
      <c r="B20" s="94" t="s">
        <v>24</v>
      </c>
      <c r="C20" s="95"/>
    </row>
    <row r="21" spans="1:6" x14ac:dyDescent="0.25">
      <c r="B21" s="2" t="s">
        <v>2</v>
      </c>
      <c r="C21" s="3">
        <v>100000000</v>
      </c>
    </row>
    <row r="22" spans="1:6" x14ac:dyDescent="0.25">
      <c r="B22" s="2" t="s">
        <v>4</v>
      </c>
      <c r="C22" s="4">
        <v>0.03</v>
      </c>
    </row>
    <row r="23" spans="1:6" x14ac:dyDescent="0.25">
      <c r="B23" s="2" t="s">
        <v>6</v>
      </c>
      <c r="C23" s="7">
        <v>0.5</v>
      </c>
    </row>
    <row r="24" spans="1:6" ht="18.75" x14ac:dyDescent="0.3">
      <c r="B24" s="9" t="s">
        <v>8</v>
      </c>
      <c r="C24" s="14">
        <f>C22*C23</f>
        <v>1.4999999999999999E-2</v>
      </c>
    </row>
    <row r="25" spans="1:6" ht="18.75" x14ac:dyDescent="0.3">
      <c r="B25" s="10" t="s">
        <v>18</v>
      </c>
      <c r="C25" s="12">
        <f>C21*(C22*C23)</f>
        <v>1500000</v>
      </c>
    </row>
    <row r="26" spans="1:6" ht="18.75" x14ac:dyDescent="0.3">
      <c r="C26" s="13">
        <f>C25*13</f>
        <v>19500000</v>
      </c>
    </row>
    <row r="27" spans="1:6" ht="15.75" thickBot="1" x14ac:dyDescent="0.3">
      <c r="B27" s="1" t="s">
        <v>21</v>
      </c>
      <c r="C27" s="15">
        <f>C8-C25</f>
        <v>1919999.9999999995</v>
      </c>
    </row>
    <row r="28" spans="1:6" ht="15.75" thickBot="1" x14ac:dyDescent="0.3">
      <c r="B28" s="21" t="s">
        <v>22</v>
      </c>
      <c r="C28" s="22">
        <f>C9-C26</f>
        <v>24959999.999999993</v>
      </c>
      <c r="E28" s="1" t="s">
        <v>23</v>
      </c>
      <c r="F28" s="23">
        <f>C28/F16</f>
        <v>25.82456140350877</v>
      </c>
    </row>
  </sheetData>
  <mergeCells count="6">
    <mergeCell ref="B3:C3"/>
    <mergeCell ref="B2:C2"/>
    <mergeCell ref="E4:F4"/>
    <mergeCell ref="B10:C10"/>
    <mergeCell ref="B20:C20"/>
    <mergeCell ref="E12:F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21"/>
  <sheetViews>
    <sheetView showGridLines="0" workbookViewId="0">
      <selection activeCell="K8" sqref="K8"/>
    </sheetView>
  </sheetViews>
  <sheetFormatPr defaultRowHeight="15" x14ac:dyDescent="0.25"/>
  <cols>
    <col min="3" max="3" width="24.28515625" customWidth="1"/>
    <col min="4" max="4" width="18" bestFit="1" customWidth="1"/>
    <col min="6" max="6" width="5.5703125" customWidth="1"/>
    <col min="7" max="7" width="10.42578125" customWidth="1"/>
    <col min="8" max="8" width="14.140625" style="30" bestFit="1" customWidth="1"/>
    <col min="10" max="10" width="13.140625" customWidth="1"/>
    <col min="11" max="11" width="10.5703125" bestFit="1" customWidth="1"/>
  </cols>
  <sheetData>
    <row r="6" spans="3:11" ht="18.75" x14ac:dyDescent="0.3">
      <c r="C6" s="99" t="s">
        <v>25</v>
      </c>
      <c r="D6" s="100"/>
      <c r="F6" s="99" t="s">
        <v>26</v>
      </c>
      <c r="G6" s="101"/>
      <c r="H6" s="100"/>
      <c r="J6" s="99" t="s">
        <v>27</v>
      </c>
      <c r="K6" s="100"/>
    </row>
    <row r="7" spans="3:11" x14ac:dyDescent="0.25">
      <c r="C7" s="31"/>
      <c r="D7" s="32"/>
      <c r="F7" s="31"/>
      <c r="G7" s="43"/>
      <c r="H7" s="33"/>
      <c r="J7" s="31"/>
      <c r="K7" s="32"/>
    </row>
    <row r="8" spans="3:11" x14ac:dyDescent="0.25">
      <c r="C8" s="44" t="s">
        <v>28</v>
      </c>
      <c r="D8" s="32"/>
      <c r="F8" s="104" t="s">
        <v>29</v>
      </c>
      <c r="G8" s="105"/>
      <c r="H8" s="54">
        <f>(D9+D14)*1000/D17</f>
        <v>13.608013608013607</v>
      </c>
      <c r="J8" s="42" t="s">
        <v>6</v>
      </c>
      <c r="K8" s="55"/>
    </row>
    <row r="9" spans="3:11" x14ac:dyDescent="0.25">
      <c r="C9" s="45" t="s">
        <v>30</v>
      </c>
      <c r="D9" s="37">
        <v>0</v>
      </c>
      <c r="F9" s="31"/>
      <c r="G9" s="43"/>
      <c r="H9" s="33"/>
      <c r="J9" s="34"/>
      <c r="K9" s="35"/>
    </row>
    <row r="10" spans="3:11" x14ac:dyDescent="0.25">
      <c r="C10" s="45" t="s">
        <v>31</v>
      </c>
      <c r="D10" s="37">
        <v>27</v>
      </c>
      <c r="F10" s="102" t="s">
        <v>32</v>
      </c>
      <c r="G10" s="103"/>
      <c r="H10" s="53">
        <f>SUMPRODUCT(D10:D13,G11:G14)*1000/D17</f>
        <v>1.3608013608013607</v>
      </c>
    </row>
    <row r="11" spans="3:11" x14ac:dyDescent="0.25">
      <c r="C11" s="45" t="s">
        <v>33</v>
      </c>
      <c r="D11" s="37">
        <v>0</v>
      </c>
      <c r="F11" s="40" t="s">
        <v>34</v>
      </c>
      <c r="G11" s="41">
        <v>0.1</v>
      </c>
      <c r="H11" s="39">
        <f>G11*D10</f>
        <v>2.7</v>
      </c>
    </row>
    <row r="12" spans="3:11" x14ac:dyDescent="0.25">
      <c r="C12" s="45" t="s">
        <v>35</v>
      </c>
      <c r="D12" s="37">
        <v>0</v>
      </c>
      <c r="F12" s="40" t="s">
        <v>36</v>
      </c>
      <c r="G12" s="41">
        <v>0.3</v>
      </c>
      <c r="H12" s="39">
        <f>G12*D11</f>
        <v>0</v>
      </c>
    </row>
    <row r="13" spans="3:11" x14ac:dyDescent="0.25">
      <c r="C13" s="45" t="s">
        <v>37</v>
      </c>
      <c r="D13" s="37">
        <v>0</v>
      </c>
      <c r="F13" s="40" t="s">
        <v>38</v>
      </c>
      <c r="G13" s="41">
        <v>0.5</v>
      </c>
      <c r="H13" s="39">
        <f>G13*D12</f>
        <v>0</v>
      </c>
    </row>
    <row r="14" spans="3:11" x14ac:dyDescent="0.25">
      <c r="C14" s="44" t="s">
        <v>39</v>
      </c>
      <c r="D14" s="46">
        <f>SUM(D10:D13)</f>
        <v>27</v>
      </c>
      <c r="F14" s="40" t="s">
        <v>40</v>
      </c>
      <c r="G14" s="41">
        <v>0.1</v>
      </c>
      <c r="H14" s="39">
        <f>G14*D13</f>
        <v>0</v>
      </c>
    </row>
    <row r="15" spans="3:11" x14ac:dyDescent="0.25">
      <c r="C15" s="47"/>
      <c r="D15" s="32"/>
      <c r="F15" s="31"/>
      <c r="G15" s="43"/>
      <c r="H15" s="33"/>
    </row>
    <row r="16" spans="3:11" x14ac:dyDescent="0.25">
      <c r="C16" s="44" t="s">
        <v>41</v>
      </c>
      <c r="D16" s="32"/>
      <c r="F16" s="106" t="s">
        <v>42</v>
      </c>
      <c r="G16" s="107"/>
      <c r="H16" s="52">
        <f>H21/D18*1000</f>
        <v>1.3700395297200552</v>
      </c>
    </row>
    <row r="17" spans="3:8" ht="15" customHeight="1" x14ac:dyDescent="0.25">
      <c r="C17" s="45" t="s">
        <v>43</v>
      </c>
      <c r="D17" s="38">
        <v>1984.125</v>
      </c>
      <c r="F17" s="97" t="s">
        <v>44</v>
      </c>
      <c r="G17" s="48" t="s">
        <v>34</v>
      </c>
      <c r="H17" s="50">
        <v>0</v>
      </c>
    </row>
    <row r="18" spans="3:8" x14ac:dyDescent="0.25">
      <c r="C18" s="45" t="s">
        <v>45</v>
      </c>
      <c r="D18" s="36">
        <v>89753271.590000004</v>
      </c>
      <c r="F18" s="97"/>
      <c r="G18" s="48" t="s">
        <v>36</v>
      </c>
      <c r="H18" s="50">
        <v>0</v>
      </c>
    </row>
    <row r="19" spans="3:8" x14ac:dyDescent="0.25">
      <c r="C19" s="34"/>
      <c r="D19" s="35"/>
      <c r="F19" s="97"/>
      <c r="G19" s="48" t="s">
        <v>38</v>
      </c>
      <c r="H19" s="50">
        <v>0</v>
      </c>
    </row>
    <row r="20" spans="3:8" x14ac:dyDescent="0.25">
      <c r="F20" s="97"/>
      <c r="G20" s="49" t="s">
        <v>40</v>
      </c>
      <c r="H20" s="51">
        <v>0</v>
      </c>
    </row>
    <row r="21" spans="3:8" x14ac:dyDescent="0.25">
      <c r="F21" s="98"/>
      <c r="G21" s="49" t="s">
        <v>46</v>
      </c>
      <c r="H21" s="51">
        <v>122965.53</v>
      </c>
    </row>
  </sheetData>
  <mergeCells count="7">
    <mergeCell ref="F17:F21"/>
    <mergeCell ref="C6:D6"/>
    <mergeCell ref="F6:H6"/>
    <mergeCell ref="J6:K6"/>
    <mergeCell ref="F10:G10"/>
    <mergeCell ref="F8:G8"/>
    <mergeCell ref="F16:G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2"/>
  <sheetViews>
    <sheetView showGridLines="0" zoomScale="85" zoomScaleNormal="85" workbookViewId="0">
      <selection activeCell="H23" sqref="H23"/>
    </sheetView>
  </sheetViews>
  <sheetFormatPr defaultRowHeight="15" x14ac:dyDescent="0.25"/>
  <cols>
    <col min="1" max="1" width="15" style="56" customWidth="1"/>
    <col min="2" max="2" width="2.5703125" style="56" customWidth="1"/>
    <col min="3" max="3" width="34.42578125" style="56" customWidth="1"/>
    <col min="4" max="4" width="14.28515625" style="56" bestFit="1" customWidth="1"/>
    <col min="5" max="5" width="5" style="56" customWidth="1"/>
    <col min="6" max="6" width="17.7109375" style="56" customWidth="1"/>
    <col min="7" max="7" width="8.7109375" style="56" bestFit="1" customWidth="1"/>
    <col min="8" max="8" width="39.28515625" style="73" customWidth="1"/>
    <col min="9" max="9" width="11.5703125" style="73" bestFit="1" customWidth="1"/>
    <col min="10" max="10" width="3.5703125" style="56" customWidth="1"/>
    <col min="11" max="16384" width="9.140625" style="56"/>
  </cols>
  <sheetData>
    <row r="3" spans="2:10" ht="15.75" x14ac:dyDescent="0.25">
      <c r="B3" s="58"/>
      <c r="C3" s="74" t="s">
        <v>47</v>
      </c>
      <c r="D3" s="59"/>
      <c r="E3" s="59"/>
      <c r="F3" s="59"/>
      <c r="G3" s="59"/>
      <c r="H3" s="70"/>
      <c r="I3" s="70"/>
      <c r="J3" s="60"/>
    </row>
    <row r="4" spans="2:10" x14ac:dyDescent="0.25">
      <c r="B4" s="61"/>
      <c r="C4" s="62"/>
      <c r="D4" s="62"/>
      <c r="E4" s="62"/>
      <c r="F4" s="62"/>
      <c r="G4" s="62"/>
      <c r="H4" s="71"/>
      <c r="I4" s="71"/>
      <c r="J4" s="63"/>
    </row>
    <row r="5" spans="2:10" x14ac:dyDescent="0.25">
      <c r="B5" s="61"/>
      <c r="C5" s="87" t="s">
        <v>48</v>
      </c>
      <c r="D5" s="62">
        <v>50</v>
      </c>
      <c r="E5" s="62"/>
      <c r="F5" s="62"/>
      <c r="G5" s="110" t="s">
        <v>49</v>
      </c>
      <c r="H5" s="110"/>
      <c r="I5" s="62">
        <v>2</v>
      </c>
      <c r="J5" s="63"/>
    </row>
    <row r="6" spans="2:10" x14ac:dyDescent="0.25">
      <c r="B6" s="61"/>
      <c r="C6" s="87"/>
      <c r="D6" s="62"/>
      <c r="E6" s="62"/>
      <c r="F6" s="62"/>
      <c r="G6" s="87"/>
      <c r="H6" s="57"/>
      <c r="I6" s="62"/>
      <c r="J6" s="63"/>
    </row>
    <row r="7" spans="2:10" ht="30" x14ac:dyDescent="0.25">
      <c r="B7" s="61"/>
      <c r="C7" s="85" t="s">
        <v>50</v>
      </c>
      <c r="D7" s="86"/>
      <c r="E7" s="62"/>
      <c r="F7" s="62"/>
      <c r="G7" s="110" t="s">
        <v>51</v>
      </c>
      <c r="H7" s="110"/>
      <c r="I7" s="62">
        <v>0</v>
      </c>
      <c r="J7" s="63"/>
    </row>
    <row r="8" spans="2:10" x14ac:dyDescent="0.25">
      <c r="B8" s="61"/>
      <c r="C8" s="87"/>
      <c r="D8" s="62"/>
      <c r="E8" s="62"/>
      <c r="F8" s="62"/>
      <c r="G8" s="87"/>
      <c r="H8" s="57"/>
      <c r="I8" s="62"/>
      <c r="J8" s="63"/>
    </row>
    <row r="9" spans="2:10" x14ac:dyDescent="0.25">
      <c r="B9" s="61"/>
      <c r="C9" s="87" t="s">
        <v>45</v>
      </c>
      <c r="D9" s="65">
        <v>8350207.9699999997</v>
      </c>
      <c r="E9" s="62"/>
      <c r="F9" s="62"/>
      <c r="G9" s="110" t="s">
        <v>52</v>
      </c>
      <c r="H9" s="110"/>
      <c r="I9" s="62"/>
      <c r="J9" s="63"/>
    </row>
    <row r="10" spans="2:10" x14ac:dyDescent="0.25">
      <c r="B10" s="61"/>
      <c r="C10" s="87"/>
      <c r="D10" s="62"/>
      <c r="E10" s="62"/>
      <c r="F10" s="62"/>
      <c r="G10" s="87"/>
      <c r="H10" s="57"/>
      <c r="I10" s="62"/>
      <c r="J10" s="63"/>
    </row>
    <row r="11" spans="2:10" x14ac:dyDescent="0.25">
      <c r="B11" s="61"/>
      <c r="C11" s="87" t="s">
        <v>53</v>
      </c>
      <c r="D11" s="65">
        <v>93.375</v>
      </c>
      <c r="E11" s="62"/>
      <c r="F11" s="62"/>
      <c r="G11" s="110" t="s">
        <v>54</v>
      </c>
      <c r="H11" s="110"/>
      <c r="I11" s="62">
        <v>0</v>
      </c>
      <c r="J11" s="63"/>
    </row>
    <row r="12" spans="2:10" x14ac:dyDescent="0.25">
      <c r="B12" s="61"/>
      <c r="C12" s="87"/>
      <c r="D12" s="62"/>
      <c r="E12" s="62"/>
      <c r="F12" s="62"/>
      <c r="G12" s="87"/>
      <c r="H12" s="57"/>
      <c r="I12" s="62"/>
      <c r="J12" s="63"/>
    </row>
    <row r="13" spans="2:10" ht="30" x14ac:dyDescent="0.25">
      <c r="B13" s="61"/>
      <c r="C13" s="87" t="s">
        <v>55</v>
      </c>
      <c r="D13" s="66">
        <v>497</v>
      </c>
      <c r="E13" s="62"/>
      <c r="F13" s="62"/>
      <c r="G13" s="110" t="s">
        <v>56</v>
      </c>
      <c r="H13" s="110"/>
      <c r="I13" s="65">
        <v>4084.64</v>
      </c>
      <c r="J13" s="63"/>
    </row>
    <row r="14" spans="2:10" x14ac:dyDescent="0.25">
      <c r="B14" s="61"/>
      <c r="C14" s="87"/>
      <c r="D14" s="62"/>
      <c r="E14" s="62"/>
      <c r="F14" s="62"/>
      <c r="G14" s="62"/>
      <c r="H14" s="71"/>
      <c r="I14" s="71"/>
      <c r="J14" s="63"/>
    </row>
    <row r="15" spans="2:10" ht="45" x14ac:dyDescent="0.25">
      <c r="B15" s="61"/>
      <c r="C15" s="87" t="s">
        <v>57</v>
      </c>
      <c r="D15" s="66">
        <v>389</v>
      </c>
      <c r="E15" s="62"/>
      <c r="F15" s="62"/>
      <c r="G15" s="62"/>
      <c r="H15" s="71"/>
      <c r="I15" s="71"/>
      <c r="J15" s="63"/>
    </row>
    <row r="16" spans="2:10" x14ac:dyDescent="0.25">
      <c r="B16" s="67"/>
      <c r="C16" s="68"/>
      <c r="D16" s="68"/>
      <c r="E16" s="68"/>
      <c r="F16" s="68"/>
      <c r="G16" s="68"/>
      <c r="H16" s="72"/>
      <c r="I16" s="72"/>
      <c r="J16" s="69"/>
    </row>
    <row r="18" spans="2:14" ht="15.75" x14ac:dyDescent="0.25">
      <c r="B18" s="58"/>
      <c r="C18" s="74" t="s">
        <v>58</v>
      </c>
      <c r="D18" s="59"/>
      <c r="E18" s="59"/>
      <c r="F18" s="59"/>
      <c r="G18" s="59"/>
      <c r="H18" s="70"/>
      <c r="I18" s="70"/>
      <c r="J18" s="60"/>
    </row>
    <row r="19" spans="2:14" x14ac:dyDescent="0.25">
      <c r="B19" s="61"/>
      <c r="C19" s="62"/>
      <c r="D19" s="62"/>
      <c r="E19" s="62"/>
      <c r="F19" s="62"/>
      <c r="G19" s="62"/>
      <c r="H19" s="71"/>
      <c r="I19" s="71"/>
      <c r="J19" s="63"/>
    </row>
    <row r="20" spans="2:14" ht="35.25" customHeight="1" x14ac:dyDescent="0.25">
      <c r="B20" s="61"/>
      <c r="C20" s="64" t="s">
        <v>59</v>
      </c>
      <c r="D20" s="82">
        <f>D5+SUM(I5:I11)*1000/D11</f>
        <v>71.419009370816596</v>
      </c>
      <c r="F20" s="87" t="s">
        <v>60</v>
      </c>
      <c r="G20" s="78">
        <v>235.6087</v>
      </c>
      <c r="H20" s="87" t="s">
        <v>61</v>
      </c>
      <c r="I20" s="79">
        <f>100*(G20-1)/($D$15-1)</f>
        <v>60.466159793814427</v>
      </c>
      <c r="J20" s="63"/>
      <c r="N20" s="77"/>
    </row>
    <row r="21" spans="2:14" x14ac:dyDescent="0.25">
      <c r="B21" s="61"/>
      <c r="C21" s="64"/>
      <c r="D21" s="62"/>
      <c r="E21" s="87"/>
      <c r="F21" s="87"/>
      <c r="G21" s="87"/>
      <c r="H21" s="87"/>
      <c r="I21" s="75"/>
      <c r="J21" s="63"/>
    </row>
    <row r="22" spans="2:14" ht="30" x14ac:dyDescent="0.25">
      <c r="B22" s="61"/>
      <c r="C22" s="64" t="s">
        <v>62</v>
      </c>
      <c r="D22" s="83">
        <f>(I5*0.1+I7*0.3+I9*0.5+I11*0.1)*1000/D11</f>
        <v>2.14190093708166</v>
      </c>
      <c r="F22" s="87" t="s">
        <v>63</v>
      </c>
      <c r="G22" s="78">
        <v>231.2261</v>
      </c>
      <c r="H22" s="87" t="s">
        <v>64</v>
      </c>
      <c r="I22" s="79">
        <f t="shared" ref="I22:I24" si="0">100*(G22-1)/($D$15-1)</f>
        <v>59.336623711340209</v>
      </c>
      <c r="J22" s="63"/>
    </row>
    <row r="23" spans="2:14" x14ac:dyDescent="0.25">
      <c r="B23" s="61"/>
      <c r="C23" s="64"/>
      <c r="D23" s="62"/>
      <c r="E23" s="87"/>
      <c r="F23" s="87"/>
      <c r="G23" s="87"/>
      <c r="H23" s="87"/>
      <c r="I23" s="75"/>
      <c r="J23" s="63"/>
    </row>
    <row r="24" spans="2:14" x14ac:dyDescent="0.25">
      <c r="B24" s="61"/>
      <c r="C24" s="64" t="s">
        <v>65</v>
      </c>
      <c r="D24" s="84">
        <f>I13/D9*1000</f>
        <v>0.4891662596518539</v>
      </c>
      <c r="F24" s="87" t="s">
        <v>66</v>
      </c>
      <c r="G24" s="78">
        <v>171.3186</v>
      </c>
      <c r="H24" s="87" t="s">
        <v>67</v>
      </c>
      <c r="I24" s="79">
        <f t="shared" si="0"/>
        <v>43.89654639175258</v>
      </c>
      <c r="J24" s="63"/>
    </row>
    <row r="25" spans="2:14" x14ac:dyDescent="0.25">
      <c r="B25" s="61"/>
      <c r="C25" s="64"/>
      <c r="D25" s="62"/>
      <c r="E25" s="62"/>
      <c r="F25" s="62"/>
      <c r="G25" s="62"/>
      <c r="H25" s="87"/>
      <c r="I25" s="71"/>
      <c r="J25" s="63"/>
    </row>
    <row r="26" spans="2:14" x14ac:dyDescent="0.25">
      <c r="B26" s="61"/>
      <c r="C26" s="64" t="s">
        <v>68</v>
      </c>
      <c r="D26" s="81">
        <v>0.25680999999999998</v>
      </c>
      <c r="E26" s="62"/>
      <c r="F26" s="62"/>
      <c r="G26" s="62"/>
      <c r="H26" s="87" t="s">
        <v>69</v>
      </c>
      <c r="I26" s="80">
        <f>(I20*0.35+I22*0.5+I24*0.15)*0.02</f>
        <v>1.1483189948453609</v>
      </c>
      <c r="J26" s="63"/>
    </row>
    <row r="27" spans="2:14" x14ac:dyDescent="0.25">
      <c r="B27" s="67"/>
      <c r="C27" s="68"/>
      <c r="D27" s="68"/>
      <c r="E27" s="68"/>
      <c r="F27" s="68"/>
      <c r="G27" s="68"/>
      <c r="H27" s="72"/>
      <c r="I27" s="72"/>
      <c r="J27" s="69"/>
    </row>
    <row r="29" spans="2:14" ht="15.75" x14ac:dyDescent="0.25">
      <c r="B29" s="58"/>
      <c r="C29" s="74" t="s">
        <v>70</v>
      </c>
      <c r="D29" s="59"/>
      <c r="E29" s="59"/>
      <c r="F29" s="59"/>
      <c r="G29" s="59"/>
      <c r="H29" s="70"/>
      <c r="I29" s="70"/>
      <c r="J29" s="60"/>
    </row>
    <row r="30" spans="2:14" ht="15.75" x14ac:dyDescent="0.25">
      <c r="B30" s="61"/>
      <c r="C30" s="76"/>
      <c r="D30" s="62"/>
      <c r="E30" s="62"/>
      <c r="F30" s="62"/>
      <c r="G30" s="62"/>
      <c r="H30" s="71"/>
      <c r="I30" s="71"/>
      <c r="J30" s="63"/>
    </row>
    <row r="31" spans="2:14" x14ac:dyDescent="0.25">
      <c r="B31" s="61"/>
      <c r="C31" s="62"/>
      <c r="D31" s="64" t="s">
        <v>71</v>
      </c>
      <c r="E31" s="108">
        <f>I26-(I26-1)*0.15</f>
        <v>1.1260711456185568</v>
      </c>
      <c r="F31" s="109"/>
      <c r="G31" s="62"/>
      <c r="H31" s="71"/>
      <c r="I31" s="71"/>
      <c r="J31" s="63"/>
    </row>
    <row r="32" spans="2:14" x14ac:dyDescent="0.25">
      <c r="B32" s="67"/>
      <c r="C32" s="68"/>
      <c r="D32" s="68"/>
      <c r="E32" s="68"/>
      <c r="F32" s="68"/>
      <c r="G32" s="68"/>
      <c r="H32" s="72"/>
      <c r="I32" s="72"/>
      <c r="J32" s="69"/>
    </row>
  </sheetData>
  <mergeCells count="6">
    <mergeCell ref="E31:F31"/>
    <mergeCell ref="G5:H5"/>
    <mergeCell ref="G7:H7"/>
    <mergeCell ref="G9:H9"/>
    <mergeCell ref="G11:H11"/>
    <mergeCell ref="G13:H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Custos</vt:lpstr>
      <vt:lpstr>1a tentativa</vt:lpstr>
      <vt:lpstr>Extrato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Edson Francisco Lourenço</dc:creator>
  <cp:keywords/>
  <dc:description/>
  <cp:lastModifiedBy>vladimir lemos</cp:lastModifiedBy>
  <cp:revision/>
  <dcterms:created xsi:type="dcterms:W3CDTF">2015-12-15T11:36:07Z</dcterms:created>
  <dcterms:modified xsi:type="dcterms:W3CDTF">2018-04-03T23:25:01Z</dcterms:modified>
  <cp:category/>
  <cp:contentStatus/>
</cp:coreProperties>
</file>