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charts/chartEx6.xml" ContentType="application/vnd.ms-office.chartex+xml"/>
  <Override PartName="/xl/charts/style24.xml" ContentType="application/vnd.ms-office.chartstyle+xml"/>
  <Override PartName="/xl/charts/colors24.xml" ContentType="application/vnd.ms-office.chartcolorstyle+xml"/>
  <Override PartName="/xl/charts/chartEx7.xml" ContentType="application/vnd.ms-office.chartex+xml"/>
  <Override PartName="/xl/charts/style25.xml" ContentType="application/vnd.ms-office.chartstyle+xml"/>
  <Override PartName="/xl/charts/colors25.xml" ContentType="application/vnd.ms-office.chartcolorstyle+xml"/>
  <Override PartName="/xl/charts/chartEx8.xml" ContentType="application/vnd.ms-office.chartex+xml"/>
  <Override PartName="/xl/charts/style26.xml" ContentType="application/vnd.ms-office.chartstyle+xml"/>
  <Override PartName="/xl/charts/colors26.xml" ContentType="application/vnd.ms-office.chartcolorstyle+xml"/>
  <Override PartName="/xl/charts/chart20.xml" ContentType="application/vnd.openxmlformats-officedocument.drawingml.chart+xml"/>
  <Override PartName="/xl/charts/style27.xml" ContentType="application/vnd.ms-office.chartstyle+xml"/>
  <Override PartName="/xl/charts/colors27.xml" ContentType="application/vnd.ms-office.chartcolorstyle+xml"/>
  <Override PartName="/xl/charts/chart21.xml" ContentType="application/vnd.openxmlformats-officedocument.drawingml.chart+xml"/>
  <Override PartName="/xl/charts/style28.xml" ContentType="application/vnd.ms-office.chartstyle+xml"/>
  <Override PartName="/xl/charts/colors28.xml" ContentType="application/vnd.ms-office.chartcolorstyle+xml"/>
  <Override PartName="/xl/charts/chartEx9.xml" ContentType="application/vnd.ms-office.chartex+xml"/>
  <Override PartName="/xl/charts/style29.xml" ContentType="application/vnd.ms-office.chartstyle+xml"/>
  <Override PartName="/xl/charts/colors29.xml" ContentType="application/vnd.ms-office.chartcolorstyle+xml"/>
  <Override PartName="/xl/charts/chart22.xml" ContentType="application/vnd.openxmlformats-officedocument.drawingml.chart+xml"/>
  <Override PartName="/xl/charts/style30.xml" ContentType="application/vnd.ms-office.chartstyle+xml"/>
  <Override PartName="/xl/charts/colors30.xml" ContentType="application/vnd.ms-office.chartcolorstyle+xml"/>
  <Override PartName="/xl/charts/chart23.xml" ContentType="application/vnd.openxmlformats-officedocument.drawingml.chart+xml"/>
  <Override PartName="/xl/charts/style31.xml" ContentType="application/vnd.ms-office.chartstyle+xml"/>
  <Override PartName="/xl/charts/colors31.xml" ContentType="application/vnd.ms-office.chartcolorstyle+xml"/>
  <Override PartName="/xl/charts/chart24.xml" ContentType="application/vnd.openxmlformats-officedocument.drawingml.chart+xml"/>
  <Override PartName="/xl/charts/style32.xml" ContentType="application/vnd.ms-office.chartstyle+xml"/>
  <Override PartName="/xl/charts/colors32.xml" ContentType="application/vnd.ms-office.chartcolorstyle+xml"/>
  <Override PartName="/xl/charts/chart25.xml" ContentType="application/vnd.openxmlformats-officedocument.drawingml.chart+xml"/>
  <Override PartName="/xl/charts/style33.xml" ContentType="application/vnd.ms-office.chartstyle+xml"/>
  <Override PartName="/xl/charts/colors33.xml" ContentType="application/vnd.ms-office.chartcolorstyle+xml"/>
  <Override PartName="/xl/charts/chart26.xml" ContentType="application/vnd.openxmlformats-officedocument.drawingml.chart+xml"/>
  <Override PartName="/xl/charts/style34.xml" ContentType="application/vnd.ms-office.chartstyle+xml"/>
  <Override PartName="/xl/charts/colors34.xml" ContentType="application/vnd.ms-office.chartcolorstyle+xml"/>
  <Override PartName="/xl/charts/chart27.xml" ContentType="application/vnd.openxmlformats-officedocument.drawingml.chart+xml"/>
  <Override PartName="/xl/charts/style35.xml" ContentType="application/vnd.ms-office.chartstyle+xml"/>
  <Override PartName="/xl/charts/colors35.xml" ContentType="application/vnd.ms-office.chartcolorstyle+xml"/>
  <Override PartName="/xl/charts/chart28.xml" ContentType="application/vnd.openxmlformats-officedocument.drawingml.chart+xml"/>
  <Override PartName="/xl/charts/style36.xml" ContentType="application/vnd.ms-office.chartstyle+xml"/>
  <Override PartName="/xl/charts/colors36.xml" ContentType="application/vnd.ms-office.chartcolorstyle+xml"/>
  <Override PartName="/xl/charts/chart29.xml" ContentType="application/vnd.openxmlformats-officedocument.drawingml.chart+xml"/>
  <Override PartName="/xl/charts/style37.xml" ContentType="application/vnd.ms-office.chartstyle+xml"/>
  <Override PartName="/xl/charts/colors37.xml" ContentType="application/vnd.ms-office.chartcolorstyle+xml"/>
  <Override PartName="/xl/charts/chart30.xml" ContentType="application/vnd.openxmlformats-officedocument.drawingml.chart+xml"/>
  <Override PartName="/xl/charts/style38.xml" ContentType="application/vnd.ms-office.chartstyle+xml"/>
  <Override PartName="/xl/charts/colors38.xml" ContentType="application/vnd.ms-office.chartcolorstyle+xml"/>
  <Override PartName="/xl/charts/chart31.xml" ContentType="application/vnd.openxmlformats-officedocument.drawingml.chart+xml"/>
  <Override PartName="/xl/charts/style39.xml" ContentType="application/vnd.ms-office.chartstyle+xml"/>
  <Override PartName="/xl/charts/colors39.xml" ContentType="application/vnd.ms-office.chartcolorstyle+xml"/>
  <Override PartName="/xl/persons/person.xml" ContentType="application/vnd.ms-excel.person+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C:\Users\FlorentinRack\Downloads\"/>
    </mc:Choice>
  </mc:AlternateContent>
  <xr:revisionPtr revIDLastSave="0" documentId="13_ncr:1_{AA53090D-C7A0-4491-A081-03DFD66A868C}" xr6:coauthVersionLast="47" xr6:coauthVersionMax="47" xr10:uidLastSave="{00000000-0000-0000-0000-000000000000}"/>
  <bookViews>
    <workbookView xWindow="28455" yWindow="-21915" windowWidth="38640" windowHeight="21120" xr2:uid="{F62F97BF-6AEE-4BFD-A772-763EA5BC6973}"/>
  </bookViews>
  <sheets>
    <sheet name="START" sheetId="10" r:id="rId1"/>
    <sheet name="1. Functions" sheetId="8" r:id="rId2"/>
    <sheet name="2. Basic functions" sheetId="9" r:id="rId3"/>
    <sheet name="3. Basic calculation features" sheetId="12" r:id="rId4"/>
    <sheet name="4. Formatting" sheetId="13" r:id="rId5"/>
    <sheet name="5. Object features" sheetId="14" r:id="rId6"/>
    <sheet name="6. Charts" sheetId="3" r:id="rId7"/>
    <sheet name="END" sheetId="11" r:id="rId8"/>
    <sheet name="NormalHidden (can be unhidden)" sheetId="5" state="hidden" r:id="rId9"/>
    <sheet name="VeryHidden (shouldn't show up)" sheetId="6" state="veryHidden" r:id="rId10"/>
  </sheets>
  <definedNames>
    <definedName name="_xlnm._FilterDatabase" localSheetId="2" hidden="1">'2. Basic functions'!$B$5:$D$10</definedName>
    <definedName name="_xlchart.v1.10" hidden="1">'6. Charts'!$D$6:$D$18</definedName>
    <definedName name="_xlchart.v1.15" hidden="1">'6. Charts'!$A$52:$B$57</definedName>
    <definedName name="_xlchart.v1.16" hidden="1">'6. Charts'!$C$52:$C$57</definedName>
    <definedName name="_xlchart.v1.17" hidden="1">'6. Charts'!$A$52:$B$57</definedName>
    <definedName name="_xlchart.v1.18" hidden="1">'6. Charts'!$C$51</definedName>
    <definedName name="_xlchart.v1.19" hidden="1">'6. Charts'!$C$52:$C$57</definedName>
    <definedName name="_xlchart.v1.22" hidden="1">'6. Charts'!$B$5</definedName>
    <definedName name="_xlchart.v1.23" hidden="1">'6. Charts'!$B$6:$B$48</definedName>
    <definedName name="_xlchart.v1.24" hidden="1">'6. Charts'!$C$5</definedName>
    <definedName name="_xlchart.v1.25" hidden="1">'6. Charts'!$C$6:$C$48</definedName>
    <definedName name="_xlchart.v1.26" hidden="1">'6. Charts'!$D$5</definedName>
    <definedName name="_xlchart.v1.27" hidden="1">'6. Charts'!$D$6:$D$48</definedName>
    <definedName name="_xlchart.v1.28" hidden="1">'6. Charts'!$E$5</definedName>
    <definedName name="_xlchart.v1.29" hidden="1">'6. Charts'!$E$6:$E$48</definedName>
    <definedName name="_xlchart.v1.30" hidden="1">'6. Charts'!$D$5</definedName>
    <definedName name="_xlchart.v1.31" hidden="1">'6. Charts'!$D$6:$D$49</definedName>
    <definedName name="_xlchart.v1.8" hidden="1">'6. Charts'!$B$6:$B$18</definedName>
    <definedName name="_xlchart.v1.9" hidden="1">'6. Charts'!$C$6:$C$18</definedName>
    <definedName name="_xlchart.v2.20" hidden="1">'6. Charts'!$D$5</definedName>
    <definedName name="_xlchart.v2.21" hidden="1">'6. Charts'!$D$6:$D$49</definedName>
    <definedName name="_xlchart.v5.0" hidden="1">'6. Charts'!$A$223</definedName>
    <definedName name="_xlchart.v5.1" hidden="1">'6. Charts'!$A$224:$A$227</definedName>
    <definedName name="_xlchart.v5.11" hidden="1">'6. Charts'!$A$218</definedName>
    <definedName name="_xlchart.v5.12" hidden="1">'6. Charts'!$A$219:$A$221</definedName>
    <definedName name="_xlchart.v5.13" hidden="1">'6. Charts'!$B$218</definedName>
    <definedName name="_xlchart.v5.14" hidden="1">'6. Charts'!$B$219:$B$221</definedName>
    <definedName name="_xlchart.v5.2" hidden="1">'6. Charts'!$B$223</definedName>
    <definedName name="_xlchart.v5.3" hidden="1">'6. Charts'!$B$224:$B$227</definedName>
    <definedName name="_xlchart.v5.4" hidden="1">'6. Charts'!$A$229</definedName>
    <definedName name="_xlchart.v5.5" hidden="1">'6. Charts'!$A$230:$A$233</definedName>
    <definedName name="_xlchart.v5.6" hidden="1">'6. Charts'!$B$229</definedName>
    <definedName name="_xlchart.v5.7" hidden="1">'6. Charts'!$B$230:$B$233</definedName>
    <definedName name="fivetimesfive">'2. Basic functions'!$B$166</definedName>
    <definedName name="_xlnm.Print_Area" localSheetId="2">'2. Basic functions'!$B$97:$E$106</definedName>
    <definedName name="xrange">OFFSET('6. Charts'!$A$404,'6. Charts'!$S$406,0,'6. Charts'!$S$408)</definedName>
    <definedName name="yrange">OFFSET('6. Charts'!$B$404,'6. Charts'!$S$406,0,'6. Charts'!$S$408)</definedName>
  </definedNames>
  <calcPr calcId="191029" iterateDelta="9.9999999999999995E-7"/>
  <pivotCaches>
    <pivotCache cacheId="15"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8" i="13" l="1"/>
  <c r="C432" i="8"/>
  <c r="D432" i="8" s="1"/>
  <c r="E432" i="8" s="1"/>
  <c r="C431" i="8"/>
  <c r="D431" i="8" s="1"/>
  <c r="E431" i="8" s="1"/>
  <c r="C286" i="8" a="1"/>
  <c r="C286" i="8" s="1"/>
  <c r="D286" i="8" s="1"/>
  <c r="E286" i="8" s="1"/>
  <c r="C201" i="8"/>
  <c r="D201" i="8" s="1"/>
  <c r="E201" i="8" s="1"/>
  <c r="C38" i="8"/>
  <c r="D38" i="8" s="1"/>
  <c r="E38" i="8" s="1"/>
  <c r="C19" i="8"/>
  <c r="D19" i="8" s="1"/>
  <c r="E19" i="8" s="1"/>
  <c r="D408" i="8"/>
  <c r="E408" i="8" s="1"/>
  <c r="D37" i="12"/>
  <c r="D19" i="12"/>
  <c r="F5" i="12"/>
  <c r="C9" i="12" s="1"/>
  <c r="B198" i="9"/>
  <c r="B166" i="9"/>
  <c r="B167" i="9" s="1"/>
  <c r="C160" i="9"/>
  <c r="C161" i="9"/>
  <c r="F4" i="8"/>
  <c r="C537" i="8"/>
  <c r="D537" i="8" s="1"/>
  <c r="E537" i="8" s="1"/>
  <c r="C536" i="8"/>
  <c r="D536" i="8" s="1"/>
  <c r="E536" i="8" s="1"/>
  <c r="C535" i="8"/>
  <c r="D535" i="8" s="1"/>
  <c r="E535" i="8" s="1"/>
  <c r="C534" i="8"/>
  <c r="D534" i="8" s="1"/>
  <c r="E534" i="8" s="1"/>
  <c r="C533" i="8"/>
  <c r="D533" i="8" s="1"/>
  <c r="E533" i="8" s="1"/>
  <c r="C532" i="8"/>
  <c r="D532" i="8" s="1"/>
  <c r="E532" i="8" s="1"/>
  <c r="C531" i="8"/>
  <c r="D531" i="8" s="1"/>
  <c r="E531" i="8" s="1"/>
  <c r="C530" i="8"/>
  <c r="D530" i="8" s="1"/>
  <c r="E530" i="8" s="1"/>
  <c r="C529" i="8"/>
  <c r="D529" i="8" s="1"/>
  <c r="E529" i="8" s="1"/>
  <c r="C528" i="8"/>
  <c r="D528" i="8" s="1"/>
  <c r="E528" i="8" s="1"/>
  <c r="C527" i="8" a="1"/>
  <c r="C527" i="8" s="1"/>
  <c r="D527" i="8" s="1"/>
  <c r="E527" i="8" s="1"/>
  <c r="C526" i="8"/>
  <c r="D526" i="8" s="1"/>
  <c r="E526" i="8" s="1"/>
  <c r="C525" i="8"/>
  <c r="D525" i="8" s="1"/>
  <c r="E525" i="8" s="1"/>
  <c r="C524" i="8"/>
  <c r="D524" i="8" s="1"/>
  <c r="E524" i="8" s="1"/>
  <c r="C523" i="8"/>
  <c r="D523" i="8" s="1"/>
  <c r="E523" i="8" s="1"/>
  <c r="C522" i="8"/>
  <c r="D522" i="8" s="1"/>
  <c r="E522" i="8" s="1"/>
  <c r="C521" i="8"/>
  <c r="D521" i="8" s="1"/>
  <c r="E521" i="8" s="1"/>
  <c r="C520" i="8"/>
  <c r="D520" i="8" s="1"/>
  <c r="E520" i="8" s="1"/>
  <c r="C519" i="8"/>
  <c r="D519" i="8" s="1"/>
  <c r="E519" i="8" s="1"/>
  <c r="C518" i="8"/>
  <c r="D518" i="8" s="1"/>
  <c r="E518" i="8" s="1"/>
  <c r="C517" i="8"/>
  <c r="D517" i="8" s="1"/>
  <c r="E517" i="8" s="1"/>
  <c r="C516" i="8" a="1"/>
  <c r="C516" i="8" s="1"/>
  <c r="D516" i="8" s="1"/>
  <c r="E516" i="8" s="1"/>
  <c r="C515" i="8"/>
  <c r="D515" i="8" s="1"/>
  <c r="E515" i="8" s="1"/>
  <c r="C514" i="8"/>
  <c r="D514" i="8" s="1"/>
  <c r="E514" i="8" s="1"/>
  <c r="C513" i="8"/>
  <c r="D513" i="8" s="1"/>
  <c r="E513" i="8" s="1"/>
  <c r="C512" i="8"/>
  <c r="D512" i="8" s="1"/>
  <c r="E512" i="8" s="1"/>
  <c r="C511" i="8"/>
  <c r="D511" i="8" s="1"/>
  <c r="E511" i="8" s="1"/>
  <c r="C510" i="8"/>
  <c r="D510" i="8" s="1"/>
  <c r="E510" i="8" s="1"/>
  <c r="C509" i="8"/>
  <c r="D509" i="8" s="1"/>
  <c r="E509" i="8" s="1"/>
  <c r="C508" i="8"/>
  <c r="D508" i="8" s="1"/>
  <c r="E508" i="8" s="1"/>
  <c r="C507" i="8"/>
  <c r="D507" i="8" s="1"/>
  <c r="E507" i="8" s="1"/>
  <c r="C506" i="8"/>
  <c r="D506" i="8" s="1"/>
  <c r="E506" i="8" s="1"/>
  <c r="C505" i="8"/>
  <c r="D505" i="8" s="1"/>
  <c r="E505" i="8" s="1"/>
  <c r="C504" i="8" a="1"/>
  <c r="C504" i="8" s="1"/>
  <c r="D504" i="8" s="1"/>
  <c r="E504" i="8" s="1"/>
  <c r="C503" i="8"/>
  <c r="D503" i="8" s="1"/>
  <c r="E503" i="8" s="1"/>
  <c r="C502" i="8"/>
  <c r="D502" i="8" s="1"/>
  <c r="E502" i="8" s="1"/>
  <c r="C501" i="8"/>
  <c r="D501" i="8" s="1"/>
  <c r="E501" i="8" s="1"/>
  <c r="C500" i="8"/>
  <c r="D500" i="8" s="1"/>
  <c r="E500" i="8" s="1"/>
  <c r="C499" i="8"/>
  <c r="D499" i="8" s="1"/>
  <c r="E499" i="8" s="1"/>
  <c r="C498" i="8"/>
  <c r="D498" i="8" s="1"/>
  <c r="E498" i="8" s="1"/>
  <c r="C497" i="8" a="1"/>
  <c r="C497" i="8" s="1"/>
  <c r="D497" i="8" s="1"/>
  <c r="E497" i="8" s="1"/>
  <c r="C496" i="8"/>
  <c r="D496" i="8" s="1"/>
  <c r="E496" i="8" s="1"/>
  <c r="C495" i="8"/>
  <c r="D495" i="8" s="1"/>
  <c r="E495" i="8" s="1"/>
  <c r="C494" i="8" a="1"/>
  <c r="C494" i="8" s="1"/>
  <c r="D494" i="8" s="1"/>
  <c r="E494" i="8" s="1"/>
  <c r="C493" i="8" a="1"/>
  <c r="C493" i="8" s="1"/>
  <c r="D493" i="8" s="1"/>
  <c r="E493" i="8" s="1"/>
  <c r="C492" i="8"/>
  <c r="D492" i="8" s="1"/>
  <c r="E492" i="8" s="1"/>
  <c r="C491" i="8" a="1"/>
  <c r="C491" i="8" s="1"/>
  <c r="D491" i="8" s="1"/>
  <c r="E491" i="8" s="1"/>
  <c r="C490" i="8"/>
  <c r="D490" i="8" s="1"/>
  <c r="E490" i="8" s="1"/>
  <c r="C489" i="8" a="1"/>
  <c r="C489" i="8" s="1"/>
  <c r="D489" i="8" s="1"/>
  <c r="E489" i="8" s="1"/>
  <c r="C488" i="8"/>
  <c r="D488" i="8" s="1"/>
  <c r="E488" i="8" s="1"/>
  <c r="C487" i="8"/>
  <c r="D487" i="8" s="1"/>
  <c r="E487" i="8" s="1"/>
  <c r="C486" i="8"/>
  <c r="D486" i="8" s="1"/>
  <c r="E486" i="8" s="1"/>
  <c r="C485" i="8"/>
  <c r="D485" i="8" s="1"/>
  <c r="E485" i="8" s="1"/>
  <c r="C484" i="8"/>
  <c r="D484" i="8" s="1"/>
  <c r="E484" i="8" s="1"/>
  <c r="C483" i="8"/>
  <c r="D483" i="8" s="1"/>
  <c r="E483" i="8" s="1"/>
  <c r="C482" i="8"/>
  <c r="D482" i="8" s="1"/>
  <c r="E482" i="8" s="1"/>
  <c r="C481" i="8"/>
  <c r="D481" i="8" s="1"/>
  <c r="E481" i="8" s="1"/>
  <c r="C480" i="8"/>
  <c r="D480" i="8" s="1"/>
  <c r="E480" i="8" s="1"/>
  <c r="C479" i="8"/>
  <c r="D479" i="8" s="1"/>
  <c r="E479" i="8" s="1"/>
  <c r="C478" i="8"/>
  <c r="D478" i="8" s="1"/>
  <c r="E478" i="8" s="1"/>
  <c r="C477" i="8"/>
  <c r="D477" i="8" s="1"/>
  <c r="E477" i="8" s="1"/>
  <c r="C476" i="8"/>
  <c r="D476" i="8" s="1"/>
  <c r="E476" i="8" s="1"/>
  <c r="C475" i="8"/>
  <c r="D475" i="8" s="1"/>
  <c r="E475" i="8" s="1"/>
  <c r="C474" i="8" a="1"/>
  <c r="C474" i="8" s="1"/>
  <c r="D474" i="8" s="1"/>
  <c r="E474" i="8" s="1"/>
  <c r="D473" i="8"/>
  <c r="E473" i="8" s="1"/>
  <c r="C472" i="8"/>
  <c r="D472" i="8" s="1"/>
  <c r="E472" i="8" s="1"/>
  <c r="C471" i="8"/>
  <c r="D471" i="8" s="1"/>
  <c r="E471" i="8" s="1"/>
  <c r="C470" i="8"/>
  <c r="D470" i="8" s="1"/>
  <c r="E470" i="8" s="1"/>
  <c r="C469" i="8"/>
  <c r="D469" i="8" s="1"/>
  <c r="E469" i="8" s="1"/>
  <c r="C468" i="8"/>
  <c r="D468" i="8" s="1"/>
  <c r="E468" i="8" s="1"/>
  <c r="C467" i="8"/>
  <c r="D467" i="8" s="1"/>
  <c r="E467" i="8" s="1"/>
  <c r="C466" i="8"/>
  <c r="D466" i="8" s="1"/>
  <c r="E466" i="8" s="1"/>
  <c r="C465" i="8"/>
  <c r="D465" i="8" s="1"/>
  <c r="E465" i="8" s="1"/>
  <c r="C464" i="8" a="1"/>
  <c r="C464" i="8" s="1"/>
  <c r="D464" i="8" s="1"/>
  <c r="E464" i="8" s="1"/>
  <c r="C463" i="8"/>
  <c r="D463" i="8" s="1"/>
  <c r="E463" i="8" s="1"/>
  <c r="C462" i="8"/>
  <c r="D462" i="8" s="1"/>
  <c r="E462" i="8" s="1"/>
  <c r="C461" i="8"/>
  <c r="D461" i="8" s="1"/>
  <c r="E461" i="8" s="1"/>
  <c r="C460" i="8"/>
  <c r="D460" i="8" s="1"/>
  <c r="E460" i="8" s="1"/>
  <c r="C459" i="8"/>
  <c r="D459" i="8" s="1"/>
  <c r="E459" i="8" s="1"/>
  <c r="C456" i="8"/>
  <c r="D456" i="8" s="1"/>
  <c r="E456" i="8" s="1"/>
  <c r="C455" i="8"/>
  <c r="D455" i="8" s="1"/>
  <c r="E455" i="8" s="1"/>
  <c r="C454" i="8"/>
  <c r="D454" i="8" s="1"/>
  <c r="E454" i="8" s="1"/>
  <c r="C453" i="8" a="1"/>
  <c r="C453" i="8" s="1"/>
  <c r="D453" i="8" s="1"/>
  <c r="E453" i="8" s="1"/>
  <c r="C452" i="8"/>
  <c r="D452" i="8" s="1"/>
  <c r="E452" i="8" s="1"/>
  <c r="C451" i="8"/>
  <c r="D451" i="8" s="1"/>
  <c r="E451" i="8" s="1"/>
  <c r="C450" i="8"/>
  <c r="D450" i="8" s="1"/>
  <c r="E450" i="8" s="1"/>
  <c r="C449" i="8"/>
  <c r="D449" i="8" s="1"/>
  <c r="E449" i="8" s="1"/>
  <c r="C448" i="8"/>
  <c r="D448" i="8" s="1"/>
  <c r="E448" i="8" s="1"/>
  <c r="C447" i="8"/>
  <c r="D447" i="8" s="1"/>
  <c r="E447" i="8" s="1"/>
  <c r="C446" i="8"/>
  <c r="D446" i="8" s="1"/>
  <c r="E446" i="8" s="1"/>
  <c r="C445" i="8"/>
  <c r="D445" i="8" s="1"/>
  <c r="E445" i="8" s="1"/>
  <c r="C444" i="8"/>
  <c r="D444" i="8" s="1"/>
  <c r="E444" i="8" s="1"/>
  <c r="C443" i="8"/>
  <c r="D443" i="8" s="1"/>
  <c r="E443" i="8" s="1"/>
  <c r="C442" i="8" a="1"/>
  <c r="C442" i="8" s="1"/>
  <c r="D442" i="8" s="1"/>
  <c r="E442" i="8" s="1"/>
  <c r="C441" i="8" a="1"/>
  <c r="C441" i="8" s="1"/>
  <c r="D441" i="8" s="1"/>
  <c r="E441" i="8" s="1"/>
  <c r="C440" i="8"/>
  <c r="D440" i="8" s="1"/>
  <c r="E440" i="8" s="1"/>
  <c r="C439" i="8"/>
  <c r="D439" i="8" s="1"/>
  <c r="E439" i="8" s="1"/>
  <c r="C438" i="8"/>
  <c r="D438" i="8" s="1"/>
  <c r="E438" i="8" s="1"/>
  <c r="C437" i="8"/>
  <c r="D437" i="8" s="1"/>
  <c r="E437" i="8" s="1"/>
  <c r="C436" i="8"/>
  <c r="D436" i="8" s="1"/>
  <c r="E436" i="8" s="1"/>
  <c r="C435" i="8"/>
  <c r="D435" i="8" s="1"/>
  <c r="E435" i="8" s="1"/>
  <c r="C434" i="8"/>
  <c r="D434" i="8" s="1"/>
  <c r="E434" i="8" s="1"/>
  <c r="C433" i="8"/>
  <c r="D433" i="8" s="1"/>
  <c r="E433" i="8" s="1"/>
  <c r="C430" i="8"/>
  <c r="D430" i="8" s="1"/>
  <c r="E430" i="8" s="1"/>
  <c r="C429" i="8" a="1"/>
  <c r="C429" i="8" s="1"/>
  <c r="D429" i="8" s="1"/>
  <c r="E429" i="8" s="1"/>
  <c r="C428" i="8"/>
  <c r="D428" i="8" s="1"/>
  <c r="E428" i="8" s="1"/>
  <c r="C427" i="8"/>
  <c r="D427" i="8" s="1"/>
  <c r="E427" i="8" s="1"/>
  <c r="C426" i="8"/>
  <c r="D426" i="8" s="1"/>
  <c r="E426" i="8" s="1"/>
  <c r="C425" i="8"/>
  <c r="D425" i="8" s="1"/>
  <c r="E425" i="8" s="1"/>
  <c r="C424" i="8"/>
  <c r="D424" i="8" s="1"/>
  <c r="E424" i="8" s="1"/>
  <c r="C423" i="8" a="1"/>
  <c r="C423" i="8" s="1"/>
  <c r="D423" i="8" s="1"/>
  <c r="E423" i="8" s="1"/>
  <c r="C422" i="8"/>
  <c r="D422" i="8" s="1"/>
  <c r="E422" i="8" s="1"/>
  <c r="C421" i="8"/>
  <c r="D421" i="8" s="1"/>
  <c r="E421" i="8" s="1"/>
  <c r="C420" i="8"/>
  <c r="D420" i="8" s="1"/>
  <c r="E420" i="8" s="1"/>
  <c r="C419" i="8"/>
  <c r="D419" i="8" s="1"/>
  <c r="E419" i="8" s="1"/>
  <c r="C418" i="8"/>
  <c r="D418" i="8" s="1"/>
  <c r="E418" i="8" s="1"/>
  <c r="C417" i="8"/>
  <c r="D417" i="8" s="1"/>
  <c r="E417" i="8" s="1"/>
  <c r="C416" i="8"/>
  <c r="D416" i="8" s="1"/>
  <c r="E416" i="8" s="1"/>
  <c r="C415" i="8"/>
  <c r="D415" i="8" s="1"/>
  <c r="E415" i="8" s="1"/>
  <c r="C414" i="8"/>
  <c r="D414" i="8" s="1"/>
  <c r="E414" i="8" s="1"/>
  <c r="C413" i="8"/>
  <c r="D413" i="8" s="1"/>
  <c r="E413" i="8" s="1"/>
  <c r="C412" i="8"/>
  <c r="D412" i="8" s="1"/>
  <c r="E412" i="8" s="1"/>
  <c r="C411" i="8"/>
  <c r="D411" i="8" s="1"/>
  <c r="E411" i="8" s="1"/>
  <c r="C410" i="8"/>
  <c r="D410" i="8" s="1"/>
  <c r="E410" i="8" s="1"/>
  <c r="C409" i="8"/>
  <c r="D409" i="8" s="1"/>
  <c r="E409" i="8" s="1"/>
  <c r="C407" i="8"/>
  <c r="D407" i="8" s="1"/>
  <c r="E407" i="8" s="1"/>
  <c r="C406" i="8"/>
  <c r="D406" i="8" s="1"/>
  <c r="E406" i="8" s="1"/>
  <c r="C405" i="8" a="1"/>
  <c r="C405" i="8" s="1"/>
  <c r="D405" i="8" s="1"/>
  <c r="E405" i="8" s="1"/>
  <c r="C404" i="8" a="1"/>
  <c r="C404" i="8" s="1"/>
  <c r="D404" i="8" s="1"/>
  <c r="E404" i="8" s="1"/>
  <c r="C403" i="8"/>
  <c r="D403" i="8" s="1"/>
  <c r="E403" i="8" s="1"/>
  <c r="C402" i="8"/>
  <c r="D402" i="8" s="1"/>
  <c r="E402" i="8" s="1"/>
  <c r="C398" i="8"/>
  <c r="D398" i="8" s="1"/>
  <c r="E398" i="8" s="1"/>
  <c r="C397" i="8" a="1"/>
  <c r="C397" i="8" s="1"/>
  <c r="D397" i="8" s="1"/>
  <c r="E397" i="8" s="1"/>
  <c r="C396" i="8"/>
  <c r="D396" i="8" s="1"/>
  <c r="E396" i="8" s="1"/>
  <c r="C395" i="8"/>
  <c r="D395" i="8" s="1"/>
  <c r="E395" i="8" s="1"/>
  <c r="C394" i="8"/>
  <c r="D394" i="8" s="1"/>
  <c r="E394" i="8" s="1"/>
  <c r="C393" i="8"/>
  <c r="D393" i="8" s="1"/>
  <c r="E393" i="8" s="1"/>
  <c r="C392" i="8"/>
  <c r="D392" i="8" s="1"/>
  <c r="E392" i="8" s="1"/>
  <c r="C391" i="8"/>
  <c r="D391" i="8" s="1"/>
  <c r="E391" i="8" s="1"/>
  <c r="C390" i="8" a="1"/>
  <c r="C390" i="8" s="1"/>
  <c r="D390" i="8" s="1"/>
  <c r="E390" i="8" s="1"/>
  <c r="C389" i="8"/>
  <c r="D389" i="8" s="1"/>
  <c r="E389" i="8" s="1"/>
  <c r="C388" i="8"/>
  <c r="D388" i="8" s="1"/>
  <c r="E388" i="8" s="1"/>
  <c r="C387" i="8"/>
  <c r="D387" i="8" s="1"/>
  <c r="E387" i="8" s="1"/>
  <c r="C386" i="8"/>
  <c r="D386" i="8" s="1"/>
  <c r="E386" i="8" s="1"/>
  <c r="C385" i="8"/>
  <c r="D385" i="8" s="1"/>
  <c r="E385" i="8" s="1"/>
  <c r="C384" i="8"/>
  <c r="D384" i="8" s="1"/>
  <c r="E384" i="8" s="1"/>
  <c r="C383" i="8"/>
  <c r="D383" i="8" s="1"/>
  <c r="E383" i="8" s="1"/>
  <c r="C382" i="8"/>
  <c r="D382" i="8" s="1"/>
  <c r="E382" i="8" s="1"/>
  <c r="C381" i="8"/>
  <c r="D381" i="8" s="1"/>
  <c r="E381" i="8" s="1"/>
  <c r="C380" i="8"/>
  <c r="D380" i="8" s="1"/>
  <c r="E380" i="8" s="1"/>
  <c r="C379" i="8"/>
  <c r="D379" i="8" s="1"/>
  <c r="E379" i="8" s="1"/>
  <c r="C378" i="8"/>
  <c r="D378" i="8" s="1"/>
  <c r="E378" i="8" s="1"/>
  <c r="C377" i="8"/>
  <c r="D377" i="8" s="1"/>
  <c r="E377" i="8" s="1"/>
  <c r="C376" i="8"/>
  <c r="D376" i="8" s="1"/>
  <c r="E376" i="8" s="1"/>
  <c r="C375" i="8"/>
  <c r="D375" i="8" s="1"/>
  <c r="E375" i="8" s="1"/>
  <c r="C374" i="8"/>
  <c r="D374" i="8" s="1"/>
  <c r="E374" i="8" s="1"/>
  <c r="C373" i="8"/>
  <c r="D373" i="8" s="1"/>
  <c r="E373" i="8" s="1"/>
  <c r="C372" i="8"/>
  <c r="D372" i="8" s="1"/>
  <c r="E372" i="8" s="1"/>
  <c r="C371" i="8"/>
  <c r="D371" i="8" s="1"/>
  <c r="E371" i="8" s="1"/>
  <c r="C370" i="8"/>
  <c r="D370" i="8" s="1"/>
  <c r="E370" i="8" s="1"/>
  <c r="C369" i="8"/>
  <c r="D369" i="8" s="1"/>
  <c r="E369" i="8" s="1"/>
  <c r="C368" i="8"/>
  <c r="D368" i="8" s="1"/>
  <c r="E368" i="8" s="1"/>
  <c r="C367" i="8"/>
  <c r="D367" i="8" s="1"/>
  <c r="E367" i="8" s="1"/>
  <c r="C366" i="8"/>
  <c r="D366" i="8" s="1"/>
  <c r="E366" i="8" s="1"/>
  <c r="C365" i="8"/>
  <c r="D365" i="8" s="1"/>
  <c r="E365" i="8" s="1"/>
  <c r="C364" i="8"/>
  <c r="D364" i="8" s="1"/>
  <c r="E364" i="8" s="1"/>
  <c r="C363" i="8"/>
  <c r="D363" i="8" s="1"/>
  <c r="E363" i="8" s="1"/>
  <c r="C362" i="8"/>
  <c r="D362" i="8" s="1"/>
  <c r="E362" i="8" s="1"/>
  <c r="C361" i="8"/>
  <c r="D361" i="8" s="1"/>
  <c r="E361" i="8" s="1"/>
  <c r="C360" i="8"/>
  <c r="D360" i="8" s="1"/>
  <c r="E360" i="8" s="1"/>
  <c r="C359" i="8"/>
  <c r="D359" i="8" s="1"/>
  <c r="E359" i="8" s="1"/>
  <c r="C358" i="8"/>
  <c r="D358" i="8" s="1"/>
  <c r="E358" i="8" s="1"/>
  <c r="C357" i="8"/>
  <c r="D357" i="8" s="1"/>
  <c r="E357" i="8" s="1"/>
  <c r="C356" i="8"/>
  <c r="D356" i="8" s="1"/>
  <c r="E356" i="8" s="1"/>
  <c r="C355" i="8"/>
  <c r="D355" i="8" s="1"/>
  <c r="E355" i="8" s="1"/>
  <c r="C354" i="8"/>
  <c r="D354" i="8" s="1"/>
  <c r="E354" i="8" s="1"/>
  <c r="C353" i="8"/>
  <c r="D353" i="8" s="1"/>
  <c r="E353" i="8" s="1"/>
  <c r="C352" i="8"/>
  <c r="D352" i="8" s="1"/>
  <c r="E352" i="8" s="1"/>
  <c r="C351" i="8"/>
  <c r="D351" i="8" s="1"/>
  <c r="E351" i="8" s="1"/>
  <c r="C350" i="8"/>
  <c r="D350" i="8" s="1"/>
  <c r="E350" i="8" s="1"/>
  <c r="C349" i="8"/>
  <c r="D349" i="8" s="1"/>
  <c r="E349" i="8" s="1"/>
  <c r="C348" i="8"/>
  <c r="D348" i="8" s="1"/>
  <c r="E348" i="8" s="1"/>
  <c r="C347" i="8"/>
  <c r="D347" i="8" s="1"/>
  <c r="E347" i="8" s="1"/>
  <c r="C346" i="8"/>
  <c r="D346" i="8" s="1"/>
  <c r="E346" i="8" s="1"/>
  <c r="C345" i="8"/>
  <c r="D345" i="8" s="1"/>
  <c r="E345" i="8" s="1"/>
  <c r="C344" i="8"/>
  <c r="D344" i="8" s="1"/>
  <c r="E344" i="8" s="1"/>
  <c r="C343" i="8"/>
  <c r="D343" i="8" s="1"/>
  <c r="E343" i="8" s="1"/>
  <c r="C342" i="8"/>
  <c r="D342" i="8" s="1"/>
  <c r="E342" i="8" s="1"/>
  <c r="C341" i="8"/>
  <c r="D341" i="8" s="1"/>
  <c r="E341" i="8" s="1"/>
  <c r="C340" i="8"/>
  <c r="D340" i="8" s="1"/>
  <c r="E340" i="8" s="1"/>
  <c r="C339" i="8"/>
  <c r="D339" i="8" s="1"/>
  <c r="E339" i="8" s="1"/>
  <c r="C338" i="8"/>
  <c r="D338" i="8" s="1"/>
  <c r="E338" i="8" s="1"/>
  <c r="C337" i="8"/>
  <c r="D337" i="8" s="1"/>
  <c r="E337" i="8" s="1"/>
  <c r="C336" i="8"/>
  <c r="D336" i="8" s="1"/>
  <c r="E336" i="8" s="1"/>
  <c r="C335" i="8"/>
  <c r="D335" i="8" s="1"/>
  <c r="E335" i="8" s="1"/>
  <c r="C334" i="8"/>
  <c r="D334" i="8" s="1"/>
  <c r="E334" i="8" s="1"/>
  <c r="C333" i="8"/>
  <c r="D333" i="8" s="1"/>
  <c r="E333" i="8" s="1"/>
  <c r="C332" i="8" a="1"/>
  <c r="C332" i="8" s="1"/>
  <c r="D332" i="8" s="1"/>
  <c r="E332" i="8" s="1"/>
  <c r="C331" i="8"/>
  <c r="D331" i="8" s="1"/>
  <c r="E331" i="8" s="1"/>
  <c r="C330" i="8"/>
  <c r="D330" i="8" s="1"/>
  <c r="E330" i="8" s="1"/>
  <c r="C329" i="8"/>
  <c r="D329" i="8" s="1"/>
  <c r="E329" i="8" s="1"/>
  <c r="C328" i="8"/>
  <c r="D328" i="8" s="1"/>
  <c r="E328" i="8" s="1"/>
  <c r="C327" i="8" a="1"/>
  <c r="C327" i="8" s="1"/>
  <c r="D327" i="8" s="1"/>
  <c r="E327" i="8" s="1"/>
  <c r="C326" i="8"/>
  <c r="D326" i="8" s="1"/>
  <c r="E326" i="8" s="1"/>
  <c r="C325" i="8"/>
  <c r="D325" i="8" s="1"/>
  <c r="E325" i="8" s="1"/>
  <c r="C324" i="8" a="1"/>
  <c r="C324" i="8" s="1"/>
  <c r="D324" i="8" s="1"/>
  <c r="E324" i="8" s="1"/>
  <c r="C323" i="8"/>
  <c r="D323" i="8" s="1"/>
  <c r="E323" i="8" s="1"/>
  <c r="C322" i="8" a="1"/>
  <c r="C322" i="8" s="1"/>
  <c r="D322" i="8" s="1"/>
  <c r="E322" i="8" s="1"/>
  <c r="C321" i="8"/>
  <c r="D321" i="8" s="1"/>
  <c r="E321" i="8" s="1"/>
  <c r="C319" i="8"/>
  <c r="D319" i="8" s="1"/>
  <c r="E319" i="8" s="1"/>
  <c r="C318" i="8"/>
  <c r="D318" i="8" s="1"/>
  <c r="E318" i="8" s="1"/>
  <c r="C317" i="8"/>
  <c r="D317" i="8" s="1"/>
  <c r="E317" i="8" s="1"/>
  <c r="C316" i="8"/>
  <c r="D316" i="8" s="1"/>
  <c r="E316" i="8" s="1"/>
  <c r="C315" i="8"/>
  <c r="D315" i="8" s="1"/>
  <c r="E315" i="8" s="1"/>
  <c r="C314" i="8"/>
  <c r="D314" i="8" s="1"/>
  <c r="E314" i="8" s="1"/>
  <c r="C313" i="8"/>
  <c r="D313" i="8" s="1"/>
  <c r="E313" i="8" s="1"/>
  <c r="C311" i="8"/>
  <c r="D311" i="8" s="1"/>
  <c r="E311" i="8" s="1"/>
  <c r="C310" i="8"/>
  <c r="D310" i="8" s="1"/>
  <c r="E310" i="8" s="1"/>
  <c r="C309" i="8"/>
  <c r="D309" i="8" s="1"/>
  <c r="E309" i="8" s="1"/>
  <c r="C308" i="8" a="1"/>
  <c r="C308" i="8" s="1"/>
  <c r="D308" i="8" s="1"/>
  <c r="E308" i="8" s="1"/>
  <c r="C307" i="8" a="1"/>
  <c r="C307" i="8" s="1"/>
  <c r="D307" i="8" s="1"/>
  <c r="E307" i="8" s="1"/>
  <c r="C306" i="8"/>
  <c r="D306" i="8" s="1"/>
  <c r="E306" i="8" s="1"/>
  <c r="C305" i="8"/>
  <c r="D305" i="8" s="1"/>
  <c r="E305" i="8" s="1"/>
  <c r="C304" i="8"/>
  <c r="D304" i="8" s="1"/>
  <c r="E304" i="8" s="1"/>
  <c r="C303" i="8"/>
  <c r="D303" i="8" s="1"/>
  <c r="E303" i="8" s="1"/>
  <c r="C302" i="8"/>
  <c r="D302" i="8" s="1"/>
  <c r="E302" i="8" s="1"/>
  <c r="C301" i="8"/>
  <c r="D301" i="8" s="1"/>
  <c r="E301" i="8" s="1"/>
  <c r="C300" i="8"/>
  <c r="D300" i="8" s="1"/>
  <c r="E300" i="8" s="1"/>
  <c r="C299" i="8"/>
  <c r="D299" i="8" s="1"/>
  <c r="E299" i="8" s="1"/>
  <c r="C298" i="8"/>
  <c r="D298" i="8" s="1"/>
  <c r="E298" i="8" s="1"/>
  <c r="C297" i="8"/>
  <c r="D297" i="8" s="1"/>
  <c r="E297" i="8" s="1"/>
  <c r="C296" i="8"/>
  <c r="D296" i="8" s="1"/>
  <c r="E296" i="8" s="1"/>
  <c r="C295" i="8"/>
  <c r="D295" i="8" s="1"/>
  <c r="E295" i="8" s="1"/>
  <c r="C294" i="8"/>
  <c r="D294" i="8" s="1"/>
  <c r="E294" i="8" s="1"/>
  <c r="C293" i="8"/>
  <c r="D293" i="8" s="1"/>
  <c r="E293" i="8" s="1"/>
  <c r="C292" i="8"/>
  <c r="D292" i="8" s="1"/>
  <c r="E292" i="8" s="1"/>
  <c r="C291" i="8"/>
  <c r="D291" i="8" s="1"/>
  <c r="E291" i="8" s="1"/>
  <c r="C290" i="8"/>
  <c r="D290" i="8" s="1"/>
  <c r="E290" i="8" s="1"/>
  <c r="C289" i="8"/>
  <c r="D289" i="8" s="1"/>
  <c r="E289" i="8" s="1"/>
  <c r="C288" i="8" a="1"/>
  <c r="C288" i="8" s="1"/>
  <c r="D288" i="8" s="1"/>
  <c r="E288" i="8" s="1"/>
  <c r="C287" i="8"/>
  <c r="D287" i="8" s="1"/>
  <c r="E287" i="8" s="1"/>
  <c r="C285" i="8"/>
  <c r="D285" i="8" s="1"/>
  <c r="E285" i="8" s="1"/>
  <c r="C284" i="8"/>
  <c r="D284" i="8" s="1"/>
  <c r="E284" i="8" s="1"/>
  <c r="C283" i="8"/>
  <c r="D283" i="8" s="1"/>
  <c r="E283" i="8" s="1"/>
  <c r="C282" i="8"/>
  <c r="D282" i="8" s="1"/>
  <c r="E282" i="8" s="1"/>
  <c r="C281" i="8"/>
  <c r="D281" i="8" s="1"/>
  <c r="E281" i="8" s="1"/>
  <c r="C280" i="8"/>
  <c r="D280" i="8" s="1"/>
  <c r="E280" i="8" s="1"/>
  <c r="C279" i="8"/>
  <c r="D279" i="8" s="1"/>
  <c r="E279" i="8" s="1"/>
  <c r="C278" i="8"/>
  <c r="D278" i="8" s="1"/>
  <c r="E278" i="8" s="1"/>
  <c r="C277" i="8"/>
  <c r="D277" i="8" s="1"/>
  <c r="E277" i="8" s="1"/>
  <c r="C276" i="8"/>
  <c r="D276" i="8" s="1"/>
  <c r="E276" i="8" s="1"/>
  <c r="C275" i="8"/>
  <c r="D275" i="8" s="1"/>
  <c r="E275" i="8" s="1"/>
  <c r="C274" i="8"/>
  <c r="D274" i="8" s="1"/>
  <c r="E274" i="8" s="1"/>
  <c r="C273" i="8"/>
  <c r="D273" i="8" s="1"/>
  <c r="E273" i="8" s="1"/>
  <c r="C272" i="8"/>
  <c r="D272" i="8" s="1"/>
  <c r="E272" i="8" s="1"/>
  <c r="C271" i="8"/>
  <c r="D271" i="8" s="1"/>
  <c r="E271" i="8" s="1"/>
  <c r="C270" i="8"/>
  <c r="D270" i="8" s="1"/>
  <c r="E270" i="8" s="1"/>
  <c r="C269" i="8"/>
  <c r="D269" i="8" s="1"/>
  <c r="E269" i="8" s="1"/>
  <c r="C268" i="8"/>
  <c r="D268" i="8" s="1"/>
  <c r="E268" i="8" s="1"/>
  <c r="C267" i="8"/>
  <c r="D267" i="8" s="1"/>
  <c r="E267" i="8" s="1"/>
  <c r="C266" i="8"/>
  <c r="D266" i="8" s="1"/>
  <c r="E266" i="8" s="1"/>
  <c r="C265" i="8"/>
  <c r="D265" i="8" s="1"/>
  <c r="E265" i="8" s="1"/>
  <c r="C264" i="8"/>
  <c r="D264" i="8" s="1"/>
  <c r="E264" i="8" s="1"/>
  <c r="C263" i="8" a="1"/>
  <c r="C263" i="8" s="1"/>
  <c r="D263" i="8" s="1"/>
  <c r="E263" i="8" s="1"/>
  <c r="C262" i="8" a="1"/>
  <c r="C262" i="8" s="1"/>
  <c r="D262" i="8" s="1"/>
  <c r="E262" i="8" s="1"/>
  <c r="C261" i="8"/>
  <c r="D261" i="8" s="1"/>
  <c r="E261" i="8" s="1"/>
  <c r="C260" i="8"/>
  <c r="D260" i="8" s="1"/>
  <c r="E260" i="8" s="1"/>
  <c r="C259" i="8"/>
  <c r="D259" i="8" s="1"/>
  <c r="E259" i="8" s="1"/>
  <c r="C258" i="8"/>
  <c r="D258" i="8" s="1"/>
  <c r="E258" i="8" s="1"/>
  <c r="C257" i="8"/>
  <c r="D257" i="8" s="1"/>
  <c r="E257" i="8" s="1"/>
  <c r="C256" i="8"/>
  <c r="D256" i="8" s="1"/>
  <c r="E256" i="8" s="1"/>
  <c r="C255" i="8"/>
  <c r="D255" i="8" s="1"/>
  <c r="E255" i="8" s="1"/>
  <c r="C254" i="8"/>
  <c r="D254" i="8" s="1"/>
  <c r="E254" i="8" s="1"/>
  <c r="C253" i="8"/>
  <c r="D253" i="8" s="1"/>
  <c r="E253" i="8" s="1"/>
  <c r="C252" i="8"/>
  <c r="D252" i="8" s="1"/>
  <c r="E252" i="8" s="1"/>
  <c r="C251" i="8"/>
  <c r="D251" i="8" s="1"/>
  <c r="E251" i="8" s="1"/>
  <c r="C250" i="8" a="1"/>
  <c r="C250" i="8" s="1"/>
  <c r="D250" i="8" s="1"/>
  <c r="E250" i="8" s="1"/>
  <c r="C249" i="8" a="1"/>
  <c r="C249" i="8" s="1"/>
  <c r="D249" i="8" s="1"/>
  <c r="E249" i="8" s="1"/>
  <c r="C248" i="8"/>
  <c r="D248" i="8" s="1"/>
  <c r="E248" i="8" s="1"/>
  <c r="C247" i="8"/>
  <c r="D247" i="8" s="1"/>
  <c r="E247" i="8" s="1"/>
  <c r="C246" i="8"/>
  <c r="D246" i="8" s="1"/>
  <c r="E246" i="8" s="1"/>
  <c r="C245" i="8"/>
  <c r="D245" i="8" s="1"/>
  <c r="E245" i="8" s="1"/>
  <c r="C244" i="8"/>
  <c r="D244" i="8" s="1"/>
  <c r="E244" i="8" s="1"/>
  <c r="C243" i="8"/>
  <c r="D243" i="8" s="1"/>
  <c r="E243" i="8" s="1"/>
  <c r="C242" i="8"/>
  <c r="D242" i="8" s="1"/>
  <c r="E242" i="8" s="1"/>
  <c r="C241" i="8"/>
  <c r="D241" i="8" s="1"/>
  <c r="E241" i="8" s="1"/>
  <c r="C240" i="8"/>
  <c r="D240" i="8" s="1"/>
  <c r="E240" i="8" s="1"/>
  <c r="C239" i="8"/>
  <c r="D239" i="8" s="1"/>
  <c r="E239" i="8" s="1"/>
  <c r="C238" i="8"/>
  <c r="D238" i="8" s="1"/>
  <c r="E238" i="8" s="1"/>
  <c r="C237" i="8"/>
  <c r="D237" i="8" s="1"/>
  <c r="E237" i="8" s="1"/>
  <c r="C236" i="8"/>
  <c r="D236" i="8" s="1"/>
  <c r="E236" i="8" s="1"/>
  <c r="C235" i="8"/>
  <c r="D235" i="8" s="1"/>
  <c r="E235" i="8" s="1"/>
  <c r="C234" i="8"/>
  <c r="D234" i="8" s="1"/>
  <c r="E234" i="8" s="1"/>
  <c r="C233" i="8" a="1"/>
  <c r="C233" i="8" s="1"/>
  <c r="D233" i="8" s="1"/>
  <c r="E233" i="8" s="1"/>
  <c r="C232" i="8"/>
  <c r="D232" i="8" s="1"/>
  <c r="E232" i="8" s="1"/>
  <c r="C231" i="8"/>
  <c r="D231" i="8" s="1"/>
  <c r="E231" i="8" s="1"/>
  <c r="C230" i="8"/>
  <c r="D230" i="8" s="1"/>
  <c r="E230" i="8" s="1"/>
  <c r="C229" i="8"/>
  <c r="D229" i="8" s="1"/>
  <c r="E229" i="8" s="1"/>
  <c r="C228" i="8"/>
  <c r="D228" i="8" s="1"/>
  <c r="E228" i="8" s="1"/>
  <c r="C227" i="8"/>
  <c r="D227" i="8" s="1"/>
  <c r="E227" i="8" s="1"/>
  <c r="C226" i="8" a="1"/>
  <c r="C226" i="8" s="1"/>
  <c r="D226" i="8" s="1"/>
  <c r="E226" i="8" s="1"/>
  <c r="C225" i="8"/>
  <c r="D225" i="8" s="1"/>
  <c r="E225" i="8" s="1"/>
  <c r="C224" i="8"/>
  <c r="D224" i="8" s="1"/>
  <c r="E224" i="8" s="1"/>
  <c r="C223" i="8"/>
  <c r="D223" i="8" s="1"/>
  <c r="E223" i="8" s="1"/>
  <c r="C222" i="8"/>
  <c r="D222" i="8" s="1"/>
  <c r="E222" i="8" s="1"/>
  <c r="C221" i="8"/>
  <c r="D221" i="8" s="1"/>
  <c r="E221" i="8" s="1"/>
  <c r="C220" i="8"/>
  <c r="D220" i="8" s="1"/>
  <c r="E220" i="8" s="1"/>
  <c r="C219" i="8" a="1"/>
  <c r="C219" i="8" s="1"/>
  <c r="D219" i="8" s="1"/>
  <c r="E219" i="8" s="1"/>
  <c r="C218" i="8"/>
  <c r="D218" i="8" s="1"/>
  <c r="E218" i="8" s="1"/>
  <c r="C217" i="8"/>
  <c r="D217" i="8" s="1"/>
  <c r="E217" i="8" s="1"/>
  <c r="C216" i="8"/>
  <c r="D216" i="8" s="1"/>
  <c r="E216" i="8" s="1"/>
  <c r="C215" i="8"/>
  <c r="D215" i="8" s="1"/>
  <c r="E215" i="8" s="1"/>
  <c r="C214" i="8"/>
  <c r="D214" i="8" s="1"/>
  <c r="E214" i="8" s="1"/>
  <c r="C213" i="8"/>
  <c r="D213" i="8" s="1"/>
  <c r="E213" i="8" s="1"/>
  <c r="C212" i="8"/>
  <c r="D212" i="8" s="1"/>
  <c r="E212" i="8" s="1"/>
  <c r="C211" i="8"/>
  <c r="D211" i="8" s="1"/>
  <c r="E211" i="8" s="1"/>
  <c r="C210" i="8"/>
  <c r="D210" i="8" s="1"/>
  <c r="E210" i="8" s="1"/>
  <c r="C209" i="8"/>
  <c r="D209" i="8" s="1"/>
  <c r="E209" i="8" s="1"/>
  <c r="C208" i="8"/>
  <c r="D208" i="8" s="1"/>
  <c r="E208" i="8" s="1"/>
  <c r="C207" i="8"/>
  <c r="D207" i="8" s="1"/>
  <c r="E207" i="8" s="1"/>
  <c r="C206" i="8"/>
  <c r="D206" i="8" s="1"/>
  <c r="E206" i="8" s="1"/>
  <c r="C205" i="8"/>
  <c r="D205" i="8" s="1"/>
  <c r="E205" i="8" s="1"/>
  <c r="C204" i="8"/>
  <c r="D204" i="8" s="1"/>
  <c r="E204" i="8" s="1"/>
  <c r="C203" i="8"/>
  <c r="D203" i="8" s="1"/>
  <c r="E203" i="8" s="1"/>
  <c r="C202" i="8" a="1"/>
  <c r="C202" i="8" s="1"/>
  <c r="D202" i="8" s="1"/>
  <c r="E202" i="8" s="1"/>
  <c r="C200" i="8"/>
  <c r="D200" i="8" s="1"/>
  <c r="E200" i="8" s="1"/>
  <c r="C199" i="8"/>
  <c r="D199" i="8" s="1"/>
  <c r="E199" i="8" s="1"/>
  <c r="C198" i="8"/>
  <c r="D198" i="8" s="1"/>
  <c r="E198" i="8" s="1"/>
  <c r="C197" i="8"/>
  <c r="D197" i="8" s="1"/>
  <c r="E197" i="8" s="1"/>
  <c r="C196" i="8"/>
  <c r="D196" i="8" s="1"/>
  <c r="E196" i="8" s="1"/>
  <c r="C195" i="8"/>
  <c r="D195" i="8" s="1"/>
  <c r="E195" i="8" s="1"/>
  <c r="C194" i="8"/>
  <c r="D194" i="8" s="1"/>
  <c r="E194" i="8" s="1"/>
  <c r="C193" i="8"/>
  <c r="D193" i="8" s="1"/>
  <c r="E193" i="8" s="1"/>
  <c r="C192" i="8"/>
  <c r="D192" i="8" s="1"/>
  <c r="E192" i="8" s="1"/>
  <c r="C191" i="8"/>
  <c r="D191" i="8" s="1"/>
  <c r="E191" i="8" s="1"/>
  <c r="C190" i="8"/>
  <c r="D190" i="8" s="1"/>
  <c r="E190" i="8" s="1"/>
  <c r="C189" i="8"/>
  <c r="D189" i="8" s="1"/>
  <c r="E189" i="8" s="1"/>
  <c r="C188" i="8"/>
  <c r="D188" i="8" s="1"/>
  <c r="E188" i="8" s="1"/>
  <c r="C187" i="8"/>
  <c r="D187" i="8" s="1"/>
  <c r="E187" i="8" s="1"/>
  <c r="C186" i="8"/>
  <c r="D186" i="8" s="1"/>
  <c r="E186" i="8" s="1"/>
  <c r="C185" i="8" a="1"/>
  <c r="C185" i="8" s="1"/>
  <c r="D185" i="8" s="1"/>
  <c r="E185" i="8" s="1"/>
  <c r="C184" i="8" a="1"/>
  <c r="C184" i="8" s="1"/>
  <c r="D184" i="8" s="1"/>
  <c r="E184" i="8" s="1"/>
  <c r="C183" i="8" a="1"/>
  <c r="C183" i="8" s="1"/>
  <c r="D183" i="8" s="1"/>
  <c r="E183" i="8" s="1"/>
  <c r="C182" i="8"/>
  <c r="D182" i="8" s="1"/>
  <c r="E182" i="8" s="1"/>
  <c r="C181" i="8"/>
  <c r="D181" i="8" s="1"/>
  <c r="E181" i="8" s="1"/>
  <c r="C180" i="8"/>
  <c r="D180" i="8" s="1"/>
  <c r="E180" i="8" s="1"/>
  <c r="C179" i="8"/>
  <c r="D179" i="8" s="1"/>
  <c r="E179" i="8" s="1"/>
  <c r="C178" i="8"/>
  <c r="D178" i="8" s="1"/>
  <c r="E178" i="8" s="1"/>
  <c r="C177" i="8"/>
  <c r="D177" i="8" s="1"/>
  <c r="E177" i="8" s="1"/>
  <c r="C176" i="8"/>
  <c r="D176" i="8" s="1"/>
  <c r="E176" i="8" s="1"/>
  <c r="C175" i="8"/>
  <c r="D175" i="8" s="1"/>
  <c r="E175" i="8" s="1"/>
  <c r="C174" i="8"/>
  <c r="D174" i="8" s="1"/>
  <c r="E174" i="8" s="1"/>
  <c r="C173" i="8"/>
  <c r="D173" i="8" s="1"/>
  <c r="E173" i="8" s="1"/>
  <c r="C172" i="8"/>
  <c r="D172" i="8" s="1"/>
  <c r="E172" i="8" s="1"/>
  <c r="C171" i="8" a="1"/>
  <c r="C171" i="8" s="1"/>
  <c r="D171" i="8" s="1"/>
  <c r="E171" i="8" s="1"/>
  <c r="C170" i="8"/>
  <c r="D170" i="8" s="1"/>
  <c r="E170" i="8" s="1"/>
  <c r="C169" i="8"/>
  <c r="D169" i="8" s="1"/>
  <c r="E169" i="8" s="1"/>
  <c r="C168" i="8"/>
  <c r="D168" i="8" s="1"/>
  <c r="E168" i="8" s="1"/>
  <c r="C167" i="8" a="1"/>
  <c r="C167" i="8" s="1"/>
  <c r="D167" i="8" s="1"/>
  <c r="E167" i="8" s="1"/>
  <c r="C166" i="8"/>
  <c r="D166" i="8" s="1"/>
  <c r="E166" i="8" s="1"/>
  <c r="C165" i="8"/>
  <c r="D165" i="8" s="1"/>
  <c r="E165" i="8" s="1"/>
  <c r="C164" i="8"/>
  <c r="D164" i="8" s="1"/>
  <c r="E164" i="8" s="1"/>
  <c r="C163" i="8"/>
  <c r="D163" i="8" s="1"/>
  <c r="E163" i="8" s="1"/>
  <c r="C162" i="8"/>
  <c r="D162" i="8" s="1"/>
  <c r="E162" i="8" s="1"/>
  <c r="C161" i="8"/>
  <c r="D161" i="8" s="1"/>
  <c r="E161" i="8" s="1"/>
  <c r="C160" i="8"/>
  <c r="D160" i="8" s="1"/>
  <c r="E160" i="8" s="1"/>
  <c r="C159" i="8"/>
  <c r="D159" i="8" s="1"/>
  <c r="E159" i="8" s="1"/>
  <c r="C158" i="8"/>
  <c r="D158" i="8" s="1"/>
  <c r="E158" i="8" s="1"/>
  <c r="C157" i="8"/>
  <c r="D157" i="8" s="1"/>
  <c r="E157" i="8" s="1"/>
  <c r="C156" i="8"/>
  <c r="D156" i="8" s="1"/>
  <c r="E156" i="8" s="1"/>
  <c r="C155" i="8"/>
  <c r="D155" i="8" s="1"/>
  <c r="E155" i="8" s="1"/>
  <c r="C154" i="8"/>
  <c r="D154" i="8" s="1"/>
  <c r="E154" i="8" s="1"/>
  <c r="C153" i="8"/>
  <c r="D153" i="8" s="1"/>
  <c r="E153" i="8" s="1"/>
  <c r="C152" i="8"/>
  <c r="D152" i="8" s="1"/>
  <c r="E152" i="8" s="1"/>
  <c r="C151" i="8"/>
  <c r="D151" i="8" s="1"/>
  <c r="E151" i="8" s="1"/>
  <c r="C150" i="8" a="1"/>
  <c r="C150" i="8" s="1"/>
  <c r="D150" i="8" s="1"/>
  <c r="E150" i="8" s="1"/>
  <c r="C149" i="8"/>
  <c r="D149" i="8" s="1"/>
  <c r="E149" i="8" s="1"/>
  <c r="C148" i="8"/>
  <c r="D148" i="8" s="1"/>
  <c r="E148" i="8" s="1"/>
  <c r="C147" i="8"/>
  <c r="D147" i="8" s="1"/>
  <c r="E147" i="8" s="1"/>
  <c r="C146" i="8"/>
  <c r="D146" i="8" s="1"/>
  <c r="E146" i="8" s="1"/>
  <c r="C145" i="8"/>
  <c r="D145" i="8" s="1"/>
  <c r="E145" i="8" s="1"/>
  <c r="C144" i="8"/>
  <c r="D144" i="8" s="1"/>
  <c r="E144" i="8" s="1"/>
  <c r="C143" i="8"/>
  <c r="D143" i="8" s="1"/>
  <c r="E143" i="8" s="1"/>
  <c r="C142" i="8"/>
  <c r="D142" i="8" s="1"/>
  <c r="E142" i="8" s="1"/>
  <c r="C141" i="8"/>
  <c r="D141" i="8" s="1"/>
  <c r="E141" i="8" s="1"/>
  <c r="C140" i="8"/>
  <c r="D140" i="8" s="1"/>
  <c r="E140" i="8" s="1"/>
  <c r="C139" i="8"/>
  <c r="D139" i="8" s="1"/>
  <c r="E139" i="8" s="1"/>
  <c r="C138" i="8"/>
  <c r="D138" i="8" s="1"/>
  <c r="E138" i="8" s="1"/>
  <c r="C137" i="8"/>
  <c r="D137" i="8" s="1"/>
  <c r="E137" i="8" s="1"/>
  <c r="C136" i="8"/>
  <c r="D136" i="8" s="1"/>
  <c r="E136" i="8" s="1"/>
  <c r="C135" i="8"/>
  <c r="D135" i="8" s="1"/>
  <c r="E135" i="8" s="1"/>
  <c r="C134" i="8"/>
  <c r="D134" i="8" s="1"/>
  <c r="E134" i="8" s="1"/>
  <c r="C133" i="8"/>
  <c r="D133" i="8" s="1"/>
  <c r="E133" i="8" s="1"/>
  <c r="C132" i="8"/>
  <c r="D132" i="8" s="1"/>
  <c r="E132" i="8" s="1"/>
  <c r="C131" i="8"/>
  <c r="D131" i="8" s="1"/>
  <c r="E131" i="8" s="1"/>
  <c r="C130" i="8"/>
  <c r="D130" i="8" s="1"/>
  <c r="E130" i="8" s="1"/>
  <c r="C129" i="8"/>
  <c r="D129" i="8" s="1"/>
  <c r="E129" i="8" s="1"/>
  <c r="C128" i="8"/>
  <c r="D128" i="8" s="1"/>
  <c r="E128" i="8" s="1"/>
  <c r="C127" i="8"/>
  <c r="D127" i="8" s="1"/>
  <c r="E127" i="8" s="1"/>
  <c r="C126" i="8"/>
  <c r="D126" i="8" s="1"/>
  <c r="E126" i="8" s="1"/>
  <c r="C125" i="8"/>
  <c r="D125" i="8" s="1"/>
  <c r="E125" i="8" s="1"/>
  <c r="C124" i="8"/>
  <c r="D124" i="8" s="1"/>
  <c r="E124" i="8" s="1"/>
  <c r="C123" i="8"/>
  <c r="D123" i="8" s="1"/>
  <c r="E123" i="8" s="1"/>
  <c r="C122" i="8"/>
  <c r="D122" i="8" s="1"/>
  <c r="E122" i="8" s="1"/>
  <c r="C121" i="8"/>
  <c r="D121" i="8" s="1"/>
  <c r="E121" i="8" s="1"/>
  <c r="C120" i="8"/>
  <c r="D120" i="8" s="1"/>
  <c r="E120" i="8" s="1"/>
  <c r="D119" i="8"/>
  <c r="E119" i="8" s="1"/>
  <c r="D118" i="8"/>
  <c r="E118" i="8" s="1"/>
  <c r="D117" i="8"/>
  <c r="E117" i="8" s="1"/>
  <c r="D116" i="8"/>
  <c r="E116" i="8" s="1"/>
  <c r="D115" i="8"/>
  <c r="E115" i="8" s="1"/>
  <c r="D114" i="8"/>
  <c r="E114" i="8" s="1"/>
  <c r="D113" i="8"/>
  <c r="E113" i="8" s="1"/>
  <c r="C112" i="8"/>
  <c r="D112" i="8" s="1"/>
  <c r="E112" i="8" s="1"/>
  <c r="C111" i="8"/>
  <c r="D111" i="8" s="1"/>
  <c r="E111" i="8" s="1"/>
  <c r="C110" i="8"/>
  <c r="D110" i="8" s="1"/>
  <c r="E110" i="8" s="1"/>
  <c r="C109" i="8"/>
  <c r="D109" i="8" s="1"/>
  <c r="E109" i="8" s="1"/>
  <c r="C108" i="8"/>
  <c r="D108" i="8" s="1"/>
  <c r="E108" i="8" s="1"/>
  <c r="C107" i="8"/>
  <c r="D107" i="8" s="1"/>
  <c r="E107" i="8" s="1"/>
  <c r="C106" i="8"/>
  <c r="D106" i="8" s="1"/>
  <c r="E106" i="8" s="1"/>
  <c r="C105" i="8"/>
  <c r="D105" i="8" s="1"/>
  <c r="E105" i="8" s="1"/>
  <c r="C104" i="8"/>
  <c r="D104" i="8" s="1"/>
  <c r="E104" i="8" s="1"/>
  <c r="C103" i="8"/>
  <c r="D103" i="8" s="1"/>
  <c r="E103" i="8" s="1"/>
  <c r="C102" i="8"/>
  <c r="D102" i="8" s="1"/>
  <c r="E102" i="8" s="1"/>
  <c r="C101" i="8"/>
  <c r="D101" i="8" s="1"/>
  <c r="E101" i="8" s="1"/>
  <c r="C100" i="8"/>
  <c r="D100" i="8" s="1"/>
  <c r="E100" i="8" s="1"/>
  <c r="C99" i="8"/>
  <c r="D99" i="8" s="1"/>
  <c r="E99" i="8" s="1"/>
  <c r="C98" i="8"/>
  <c r="D98" i="8" s="1"/>
  <c r="E98" i="8" s="1"/>
  <c r="C97" i="8"/>
  <c r="D97" i="8" s="1"/>
  <c r="E97" i="8" s="1"/>
  <c r="C96" i="8"/>
  <c r="D96" i="8" s="1"/>
  <c r="E96" i="8" s="1"/>
  <c r="C95" i="8"/>
  <c r="D95" i="8" s="1"/>
  <c r="E95" i="8" s="1"/>
  <c r="C94" i="8"/>
  <c r="D94" i="8" s="1"/>
  <c r="E94" i="8" s="1"/>
  <c r="C93" i="8"/>
  <c r="D93" i="8" s="1"/>
  <c r="E93" i="8" s="1"/>
  <c r="C92" i="8"/>
  <c r="D92" i="8" s="1"/>
  <c r="E92" i="8" s="1"/>
  <c r="C91" i="8"/>
  <c r="D91" i="8" s="1"/>
  <c r="E91" i="8" s="1"/>
  <c r="C90" i="8" a="1"/>
  <c r="C90" i="8" s="1"/>
  <c r="D90" i="8" s="1"/>
  <c r="E90" i="8" s="1"/>
  <c r="C89" i="8"/>
  <c r="D89" i="8" s="1"/>
  <c r="E89" i="8" s="1"/>
  <c r="C88" i="8"/>
  <c r="D88" i="8" s="1"/>
  <c r="E88" i="8" s="1"/>
  <c r="C87" i="8"/>
  <c r="D87" i="8" s="1"/>
  <c r="E87" i="8" s="1"/>
  <c r="C86" i="8"/>
  <c r="D86" i="8" s="1"/>
  <c r="E86" i="8" s="1"/>
  <c r="C85" i="8"/>
  <c r="D85" i="8" s="1"/>
  <c r="E85" i="8" s="1"/>
  <c r="C84" i="8"/>
  <c r="D84" i="8" s="1"/>
  <c r="E84" i="8" s="1"/>
  <c r="C83" i="8"/>
  <c r="D83" i="8" s="1"/>
  <c r="E83" i="8" s="1"/>
  <c r="C82" i="8"/>
  <c r="D82" i="8" s="1"/>
  <c r="E82" i="8" s="1"/>
  <c r="C81" i="8"/>
  <c r="D81" i="8" s="1"/>
  <c r="E81" i="8" s="1"/>
  <c r="C80" i="8"/>
  <c r="D80" i="8" s="1"/>
  <c r="E80" i="8" s="1"/>
  <c r="C79" i="8"/>
  <c r="D79" i="8" s="1"/>
  <c r="E79" i="8" s="1"/>
  <c r="C78" i="8"/>
  <c r="D78" i="8" s="1"/>
  <c r="E78" i="8" s="1"/>
  <c r="C77" i="8" a="1"/>
  <c r="C77" i="8" s="1"/>
  <c r="D77" i="8" s="1"/>
  <c r="E77" i="8" s="1"/>
  <c r="C76" i="8" a="1"/>
  <c r="C76" i="8" s="1"/>
  <c r="D76" i="8" s="1"/>
  <c r="E76" i="8" s="1"/>
  <c r="C75" i="8"/>
  <c r="D75" i="8" s="1"/>
  <c r="E75" i="8" s="1"/>
  <c r="C74" i="8"/>
  <c r="D74" i="8" s="1"/>
  <c r="E74" i="8" s="1"/>
  <c r="C73" i="8"/>
  <c r="D73" i="8" s="1"/>
  <c r="E73" i="8" s="1"/>
  <c r="C72" i="8"/>
  <c r="D72" i="8" s="1"/>
  <c r="E72" i="8" s="1"/>
  <c r="C71" i="8"/>
  <c r="D71" i="8" s="1"/>
  <c r="E71" i="8" s="1"/>
  <c r="C70" i="8"/>
  <c r="D70" i="8" s="1"/>
  <c r="E70" i="8" s="1"/>
  <c r="C69" i="8"/>
  <c r="D69" i="8" s="1"/>
  <c r="E69" i="8" s="1"/>
  <c r="C68" i="8"/>
  <c r="D68" i="8" s="1"/>
  <c r="E68" i="8" s="1"/>
  <c r="C67" i="8"/>
  <c r="D67" i="8" s="1"/>
  <c r="E67" i="8" s="1"/>
  <c r="C66" i="8"/>
  <c r="D66" i="8" s="1"/>
  <c r="E66" i="8" s="1"/>
  <c r="C65" i="8" a="1"/>
  <c r="C65" i="8" s="1"/>
  <c r="D65" i="8" s="1"/>
  <c r="E65" i="8" s="1"/>
  <c r="C64" i="8"/>
  <c r="D64" i="8" s="1"/>
  <c r="E64" i="8" s="1"/>
  <c r="C63" i="8"/>
  <c r="D63" i="8" s="1"/>
  <c r="E63" i="8" s="1"/>
  <c r="C62" i="8"/>
  <c r="D62" i="8" s="1"/>
  <c r="E62" i="8" s="1"/>
  <c r="D61" i="8"/>
  <c r="E61" i="8" s="1"/>
  <c r="C60" i="8"/>
  <c r="D60" i="8" s="1"/>
  <c r="E60" i="8" s="1"/>
  <c r="C59" i="8"/>
  <c r="D59" i="8" s="1"/>
  <c r="E59" i="8" s="1"/>
  <c r="C58" i="8"/>
  <c r="D58" i="8" s="1"/>
  <c r="E58" i="8" s="1"/>
  <c r="C57" i="8"/>
  <c r="D57" i="8" s="1"/>
  <c r="E57" i="8" s="1"/>
  <c r="C56" i="8"/>
  <c r="D56" i="8" s="1"/>
  <c r="E56" i="8" s="1"/>
  <c r="C55" i="8"/>
  <c r="D55" i="8" s="1"/>
  <c r="E55" i="8" s="1"/>
  <c r="C54" i="8"/>
  <c r="D54" i="8" s="1"/>
  <c r="E54" i="8" s="1"/>
  <c r="C53" i="8"/>
  <c r="D53" i="8" s="1"/>
  <c r="E53" i="8" s="1"/>
  <c r="C52" i="8"/>
  <c r="D52" i="8" s="1"/>
  <c r="E52" i="8" s="1"/>
  <c r="C51" i="8"/>
  <c r="D51" i="8" s="1"/>
  <c r="E51" i="8" s="1"/>
  <c r="C50" i="8"/>
  <c r="D50" i="8" s="1"/>
  <c r="E50" i="8" s="1"/>
  <c r="C49" i="8"/>
  <c r="D49" i="8" s="1"/>
  <c r="E49" i="8" s="1"/>
  <c r="C48" i="8"/>
  <c r="D48" i="8" s="1"/>
  <c r="E48" i="8" s="1"/>
  <c r="C47" i="8"/>
  <c r="D47" i="8" s="1"/>
  <c r="E47" i="8" s="1"/>
  <c r="C46" i="8"/>
  <c r="D46" i="8" s="1"/>
  <c r="E46" i="8" s="1"/>
  <c r="C45" i="8"/>
  <c r="D45" i="8" s="1"/>
  <c r="E45" i="8" s="1"/>
  <c r="C44" i="8"/>
  <c r="D44" i="8" s="1"/>
  <c r="E44" i="8" s="1"/>
  <c r="C43" i="8"/>
  <c r="D43" i="8" s="1"/>
  <c r="E43" i="8" s="1"/>
  <c r="C42" i="8"/>
  <c r="D42" i="8" s="1"/>
  <c r="E42" i="8" s="1"/>
  <c r="C41" i="8"/>
  <c r="D41" i="8" s="1"/>
  <c r="E41" i="8" s="1"/>
  <c r="C40" i="8"/>
  <c r="D40" i="8" s="1"/>
  <c r="E40" i="8" s="1"/>
  <c r="C39" i="8"/>
  <c r="D39" i="8" s="1"/>
  <c r="E39" i="8" s="1"/>
  <c r="C37" i="8"/>
  <c r="D37" i="8" s="1"/>
  <c r="E37" i="8" s="1"/>
  <c r="C35" i="8"/>
  <c r="D35" i="8" s="1"/>
  <c r="E35" i="8" s="1"/>
  <c r="C34" i="8"/>
  <c r="D34" i="8" s="1"/>
  <c r="E34" i="8" s="1"/>
  <c r="C33" i="8"/>
  <c r="D33" i="8" s="1"/>
  <c r="E33" i="8" s="1"/>
  <c r="C32" i="8"/>
  <c r="D32" i="8" s="1"/>
  <c r="E32" i="8" s="1"/>
  <c r="C31" i="8"/>
  <c r="D31" i="8" s="1"/>
  <c r="E31" i="8" s="1"/>
  <c r="C30" i="8"/>
  <c r="D30" i="8" s="1"/>
  <c r="E30" i="8" s="1"/>
  <c r="C29" i="8"/>
  <c r="D29" i="8" s="1"/>
  <c r="E29" i="8" s="1"/>
  <c r="C28" i="8"/>
  <c r="D28" i="8" s="1"/>
  <c r="E28" i="8" s="1"/>
  <c r="C27" i="8"/>
  <c r="D27" i="8" s="1"/>
  <c r="E27" i="8" s="1"/>
  <c r="C26" i="8"/>
  <c r="D26" i="8" s="1"/>
  <c r="E26" i="8" s="1"/>
  <c r="C25" i="8"/>
  <c r="D25" i="8" s="1"/>
  <c r="E25" i="8" s="1"/>
  <c r="C24" i="8"/>
  <c r="D24" i="8" s="1"/>
  <c r="E24" i="8" s="1"/>
  <c r="C23" i="8"/>
  <c r="D23" i="8" s="1"/>
  <c r="E23" i="8" s="1"/>
  <c r="C22" i="8"/>
  <c r="D22" i="8" s="1"/>
  <c r="E22" i="8" s="1"/>
  <c r="C21" i="8"/>
  <c r="D21" i="8" s="1"/>
  <c r="E21" i="8" s="1"/>
  <c r="C20" i="8"/>
  <c r="D20" i="8" s="1"/>
  <c r="E20" i="8" s="1"/>
  <c r="C18" i="8"/>
  <c r="D18" i="8" s="1"/>
  <c r="E18" i="8" s="1"/>
  <c r="C17" i="8"/>
  <c r="D17" i="8" s="1"/>
  <c r="E17" i="8" s="1"/>
  <c r="C16" i="8"/>
  <c r="D16" i="8" s="1"/>
  <c r="E16" i="8" s="1"/>
  <c r="C15" i="8"/>
  <c r="D15" i="8" s="1"/>
  <c r="E15" i="8" s="1"/>
  <c r="C14" i="8"/>
  <c r="D14" i="8" s="1"/>
  <c r="E14" i="8" s="1"/>
  <c r="C13" i="8"/>
  <c r="D13" i="8" s="1"/>
  <c r="E13" i="8" s="1"/>
  <c r="C12" i="8"/>
  <c r="D12" i="8" s="1"/>
  <c r="E12" i="8" s="1"/>
  <c r="C11" i="8"/>
  <c r="L477" i="3"/>
  <c r="J477" i="3" s="1"/>
  <c r="L478" i="3"/>
  <c r="J478" i="3" s="1"/>
  <c r="L479" i="3"/>
  <c r="J479" i="3" s="1"/>
  <c r="L480" i="3"/>
  <c r="J480" i="3" s="1"/>
  <c r="L481" i="3"/>
  <c r="J481" i="3" s="1"/>
  <c r="L482" i="3"/>
  <c r="J482" i="3" s="1"/>
  <c r="L483" i="3"/>
  <c r="J483" i="3" s="1"/>
  <c r="L484" i="3"/>
  <c r="J484" i="3" s="1"/>
  <c r="L485" i="3"/>
  <c r="J485" i="3" s="1"/>
  <c r="L486" i="3"/>
  <c r="J486" i="3" s="1"/>
  <c r="L487" i="3"/>
  <c r="J487" i="3" s="1"/>
  <c r="L488" i="3"/>
  <c r="J488" i="3" s="1"/>
  <c r="L489" i="3"/>
  <c r="J489" i="3" s="1"/>
  <c r="L490" i="3"/>
  <c r="J490" i="3" s="1"/>
  <c r="L491" i="3"/>
  <c r="J491" i="3" s="1"/>
  <c r="L492" i="3"/>
  <c r="J492" i="3" s="1"/>
  <c r="L493" i="3"/>
  <c r="J493" i="3" s="1"/>
  <c r="L494" i="3"/>
  <c r="J494" i="3" s="1"/>
  <c r="L476" i="3"/>
  <c r="J476" i="3" s="1"/>
  <c r="C406" i="3"/>
  <c r="C407" i="3"/>
  <c r="C408" i="3"/>
  <c r="C409" i="3"/>
  <c r="C410" i="3"/>
  <c r="C411" i="3"/>
  <c r="C412" i="3"/>
  <c r="C413" i="3"/>
  <c r="C414" i="3"/>
  <c r="C415" i="3"/>
  <c r="C416" i="3"/>
  <c r="C417" i="3"/>
  <c r="C418" i="3"/>
  <c r="C419" i="3"/>
  <c r="C405" i="3"/>
  <c r="A405" i="3"/>
  <c r="A406" i="3" s="1"/>
  <c r="A407" i="3" s="1"/>
  <c r="A408" i="3" s="1"/>
  <c r="A409" i="3" s="1"/>
  <c r="A410" i="3" s="1"/>
  <c r="A411" i="3" s="1"/>
  <c r="A412" i="3" s="1"/>
  <c r="A413" i="3" s="1"/>
  <c r="A414" i="3" s="1"/>
  <c r="A415" i="3" s="1"/>
  <c r="A416" i="3" s="1"/>
  <c r="A417" i="3" s="1"/>
  <c r="A418" i="3" s="1"/>
  <c r="A419" i="3" s="1"/>
  <c r="H496" i="3"/>
  <c r="G496" i="3"/>
  <c r="H495" i="3"/>
  <c r="G495" i="3"/>
  <c r="H494" i="3"/>
  <c r="G494" i="3"/>
  <c r="H493" i="3"/>
  <c r="G493" i="3"/>
  <c r="H492" i="3"/>
  <c r="G492" i="3"/>
  <c r="G477" i="3"/>
  <c r="G478" i="3" s="1"/>
  <c r="G479" i="3" s="1"/>
  <c r="G480" i="3" s="1"/>
  <c r="G481" i="3" s="1"/>
  <c r="G482" i="3" s="1"/>
  <c r="G483" i="3" s="1"/>
  <c r="G484" i="3" s="1"/>
  <c r="G485" i="3" s="1"/>
  <c r="G486" i="3" s="1"/>
  <c r="G487" i="3" s="1"/>
  <c r="G488" i="3" s="1"/>
  <c r="G489" i="3" s="1"/>
  <c r="G490" i="3" s="1"/>
  <c r="G491" i="3" s="1"/>
  <c r="D477" i="3"/>
  <c r="D478" i="3" s="1"/>
  <c r="D479" i="3" s="1"/>
  <c r="D480" i="3" s="1"/>
  <c r="D481" i="3" s="1"/>
  <c r="D482" i="3" s="1"/>
  <c r="D483" i="3" s="1"/>
  <c r="D484" i="3" s="1"/>
  <c r="D485" i="3" s="1"/>
  <c r="D486" i="3" s="1"/>
  <c r="D487" i="3" s="1"/>
  <c r="D488" i="3" s="1"/>
  <c r="D489" i="3" s="1"/>
  <c r="D490" i="3" s="1"/>
  <c r="D491" i="3" s="1"/>
  <c r="D492" i="3" s="1"/>
  <c r="D493" i="3" s="1"/>
  <c r="D494" i="3" s="1"/>
  <c r="D495" i="3" s="1"/>
  <c r="D496" i="3" s="1"/>
  <c r="B65" i="3"/>
  <c r="C457" i="8" l="1"/>
  <c r="D457" i="8" s="1"/>
  <c r="E457" i="8" s="1"/>
  <c r="C458" i="8"/>
  <c r="D458" i="8" s="1"/>
  <c r="E458" i="8" s="1"/>
  <c r="C320" i="8"/>
  <c r="D320" i="8" s="1"/>
  <c r="E320" i="8" s="1"/>
  <c r="C401" i="8"/>
  <c r="D401" i="8" s="1"/>
  <c r="E401" i="8" s="1"/>
  <c r="C312" i="8"/>
  <c r="D312" i="8" s="1"/>
  <c r="E312" i="8" s="1"/>
  <c r="C399" i="8"/>
  <c r="D399" i="8" s="1"/>
  <c r="E399" i="8" s="1"/>
  <c r="C400" i="8"/>
  <c r="D400" i="8" s="1"/>
  <c r="E400" i="8" s="1"/>
  <c r="D11" i="8"/>
  <c r="E11" i="8" s="1"/>
  <c r="C36" i="8"/>
  <c r="D36" i="8" s="1"/>
  <c r="E36" i="8" s="1"/>
  <c r="S407" i="3"/>
  <c r="S406" i="3"/>
  <c r="H4" i="8" l="1" a="1"/>
  <c r="H4" i="8" s="1"/>
  <c r="F7" i="8"/>
  <c r="F5" i="8"/>
  <c r="F6" i="8"/>
  <c r="S408" i="3"/>
  <c r="C3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tc={E8D86244-F944-49F0-8416-C13652F2FA8F}</author>
    <author>user</author>
  </authors>
  <commentList>
    <comment ref="B147" authorId="0" shapeId="0" xr:uid="{E8D86244-F944-49F0-8416-C13652F2FA8F}">
      <text>
        <t>[Threaded comment]
Your version of Excel allows you to read this threaded comment; however, any edits to it will get removed if the file is opened in a newer version of Excel. Learn more: https://go.microsoft.com/fwlink/?linkid=870924
Comment:
    This is a new comment
Reply:
    You can comment on the comment</t>
      </text>
    </comment>
    <comment ref="B148" authorId="1" shapeId="0" xr:uid="{15DDF017-E9B0-41A5-87B5-11339D1F22E5}">
      <text>
        <r>
          <rPr>
            <b/>
            <sz val="9"/>
            <color indexed="81"/>
            <rFont val="Tahoma"/>
            <family val="2"/>
          </rPr>
          <t>user:</t>
        </r>
        <r>
          <rPr>
            <sz val="9"/>
            <color indexed="81"/>
            <rFont val="Tahoma"/>
            <family val="2"/>
          </rPr>
          <t xml:space="preserve">
this is an old style comment, now called note.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cellMetadata count="1">
    <bk>
      <rc t="1" v="0"/>
    </bk>
  </cellMetadata>
  <valueMetadata count="4">
    <bk>
      <rc t="2" v="0"/>
    </bk>
    <bk>
      <rc t="2" v="1"/>
    </bk>
    <bk>
      <rc t="2" v="2"/>
    </bk>
    <bk>
      <rc t="2" v="3"/>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 'Hello' + ' ' + 'World' ", 0)</code>
    </pythonScript>
  </pythonScripts>
</python>
</file>

<file path=xl/sharedStrings.xml><?xml version="1.0" encoding="utf-8"?>
<sst xmlns="http://schemas.openxmlformats.org/spreadsheetml/2006/main" count="1373" uniqueCount="811">
  <si>
    <t>Number formats</t>
  </si>
  <si>
    <t>#,##0_);[red](#,##0);-_)</t>
  </si>
  <si>
    <t xml:space="preserve">[=1]"Yes";"No" </t>
  </si>
  <si>
    <t>red if false</t>
  </si>
  <si>
    <t>red if text contains X</t>
  </si>
  <si>
    <t>frog</t>
  </si>
  <si>
    <t>fox</t>
  </si>
  <si>
    <t>red if duplicate</t>
  </si>
  <si>
    <t>red if &lt;0</t>
  </si>
  <si>
    <t>colour scale</t>
  </si>
  <si>
    <t>data bars</t>
  </si>
  <si>
    <r>
      <t>p</t>
    </r>
    <r>
      <rPr>
        <u/>
        <sz val="11"/>
        <color theme="1"/>
        <rFont val="Aptos Narrow"/>
        <family val="2"/>
      </rPr>
      <t>art</t>
    </r>
    <r>
      <rPr>
        <sz val="11"/>
        <color theme="1"/>
        <rFont val="Aptos Narrow"/>
        <family val="2"/>
        <scheme val="minor"/>
      </rPr>
      <t>ial</t>
    </r>
  </si>
  <si>
    <r>
      <t>par</t>
    </r>
    <r>
      <rPr>
        <b/>
        <sz val="11"/>
        <color theme="1"/>
        <rFont val="Aptos Narrow"/>
        <family val="2"/>
      </rPr>
      <t>tia</t>
    </r>
    <r>
      <rPr>
        <sz val="11"/>
        <color theme="1"/>
        <rFont val="Aptos Narrow"/>
        <family val="2"/>
        <scheme val="minor"/>
      </rPr>
      <t>l</t>
    </r>
  </si>
  <si>
    <r>
      <t>pa</t>
    </r>
    <r>
      <rPr>
        <i/>
        <sz val="11"/>
        <color theme="1"/>
        <rFont val="Aptos Narrow"/>
        <family val="2"/>
      </rPr>
      <t>rtia</t>
    </r>
    <r>
      <rPr>
        <sz val="11"/>
        <color theme="1"/>
        <rFont val="Aptos Narrow"/>
        <family val="2"/>
        <scheme val="minor"/>
      </rPr>
      <t>l</t>
    </r>
  </si>
  <si>
    <r>
      <t>super</t>
    </r>
    <r>
      <rPr>
        <vertAlign val="superscript"/>
        <sz val="11"/>
        <color theme="1"/>
        <rFont val="Aptos Narrow"/>
        <family val="2"/>
      </rPr>
      <t>script</t>
    </r>
  </si>
  <si>
    <r>
      <t>sub</t>
    </r>
    <r>
      <rPr>
        <vertAlign val="subscript"/>
        <sz val="11"/>
        <color theme="1"/>
        <rFont val="Aptos Narrow"/>
        <family val="2"/>
      </rPr>
      <t>script</t>
    </r>
  </si>
  <si>
    <r>
      <t>str</t>
    </r>
    <r>
      <rPr>
        <strike/>
        <sz val="11"/>
        <color theme="1"/>
        <rFont val="Aptos Narrow"/>
        <family val="2"/>
      </rPr>
      <t>ike</t>
    </r>
  </si>
  <si>
    <t>center across selection</t>
  </si>
  <si>
    <t>accounting underline</t>
  </si>
  <si>
    <t>wrap a long text</t>
  </si>
  <si>
    <t>vertical</t>
  </si>
  <si>
    <t>and rotated</t>
  </si>
  <si>
    <t>indent</t>
  </si>
  <si>
    <t>Date</t>
  </si>
  <si>
    <t>Val1</t>
  </si>
  <si>
    <t>Val2</t>
  </si>
  <si>
    <t>Input 1</t>
  </si>
  <si>
    <t>Input 2</t>
  </si>
  <si>
    <t>Output</t>
  </si>
  <si>
    <t>Print area</t>
  </si>
  <si>
    <t>Data 1</t>
  </si>
  <si>
    <t>Data 2</t>
  </si>
  <si>
    <t>Data 3</t>
  </si>
  <si>
    <t>Data 4</t>
  </si>
  <si>
    <t>Observation</t>
  </si>
  <si>
    <t>Jan</t>
  </si>
  <si>
    <t>Feb</t>
  </si>
  <si>
    <t>Week 1</t>
  </si>
  <si>
    <t>Week 2</t>
  </si>
  <si>
    <t>Week 3</t>
  </si>
  <si>
    <t>Week 4</t>
  </si>
  <si>
    <t>Mar</t>
  </si>
  <si>
    <t>Sales</t>
  </si>
  <si>
    <t>Month</t>
  </si>
  <si>
    <t>Week</t>
  </si>
  <si>
    <t>Red</t>
  </si>
  <si>
    <t>Blue</t>
  </si>
  <si>
    <t>Yellow</t>
  </si>
  <si>
    <t>Green</t>
  </si>
  <si>
    <t>Purple</t>
  </si>
  <si>
    <t>Orange</t>
  </si>
  <si>
    <t>Data</t>
  </si>
  <si>
    <t>Change (%)</t>
  </si>
  <si>
    <t>Label</t>
  </si>
  <si>
    <t>Only show dates:</t>
  </si>
  <si>
    <t>after:</t>
  </si>
  <si>
    <t>before:</t>
  </si>
  <si>
    <t>yrange</t>
  </si>
  <si>
    <t>xrange</t>
  </si>
  <si>
    <t>length</t>
  </si>
  <si>
    <t>=OFFSET($A$178,$D$197,0,$D$199)</t>
  </si>
  <si>
    <t>=OFFSET($B$178,$D$197,0,$D$199)</t>
  </si>
  <si>
    <t>cut-off no</t>
  </si>
  <si>
    <t>Define the following in name manager:</t>
  </si>
  <si>
    <t>Then in chart -&gt; Select Data:</t>
  </si>
  <si>
    <t>legend entries (series) = Chart!yrange, horizontal axis labels = Chart!xrange</t>
  </si>
  <si>
    <t>Germany</t>
  </si>
  <si>
    <t>France</t>
  </si>
  <si>
    <t>Italy</t>
  </si>
  <si>
    <t>Sparklines</t>
  </si>
  <si>
    <t>Line</t>
  </si>
  <si>
    <t>Column</t>
  </si>
  <si>
    <t>Win/loss</t>
  </si>
  <si>
    <t>Berkshire</t>
  </si>
  <si>
    <t>Oxfordshire</t>
  </si>
  <si>
    <t>Buckinghamshire</t>
  </si>
  <si>
    <t>Cornwall</t>
  </si>
  <si>
    <t>Russia</t>
  </si>
  <si>
    <t>USA</t>
  </si>
  <si>
    <t>China</t>
  </si>
  <si>
    <t>Brazil</t>
  </si>
  <si>
    <t>gradient colours</t>
  </si>
  <si>
    <t>transparency</t>
  </si>
  <si>
    <t>width</t>
  </si>
  <si>
    <t>compound style</t>
  </si>
  <si>
    <t>dash type</t>
  </si>
  <si>
    <t>arrow type and size</t>
  </si>
  <si>
    <t>sketched lines</t>
  </si>
  <si>
    <t>Fill formatting</t>
  </si>
  <si>
    <t>gradient fill</t>
  </si>
  <si>
    <t>texture fill</t>
  </si>
  <si>
    <t>pattern fill</t>
  </si>
  <si>
    <t>Shadow</t>
  </si>
  <si>
    <t>Reflection</t>
  </si>
  <si>
    <t>Glow</t>
  </si>
  <si>
    <t>Soft edges</t>
  </si>
  <si>
    <t>3D Format</t>
  </si>
  <si>
    <t>3D Rotation</t>
  </si>
  <si>
    <t>Image effects</t>
  </si>
  <si>
    <t>Brightness, contrast etc.</t>
  </si>
  <si>
    <t>Transparency</t>
  </si>
  <si>
    <t>Colour</t>
  </si>
  <si>
    <t>Set transparent colour</t>
  </si>
  <si>
    <t>Picture styles</t>
  </si>
  <si>
    <t>= Input 1 * Input 2</t>
  </si>
  <si>
    <t>Whole number between 0-100</t>
  </si>
  <si>
    <t>Number above zero</t>
  </si>
  <si>
    <t>Date from 1970-1999 only</t>
  </si>
  <si>
    <t>List:</t>
  </si>
  <si>
    <t>Alpha</t>
  </si>
  <si>
    <t>Beta</t>
  </si>
  <si>
    <t>Gamma</t>
  </si>
  <si>
    <t>Pick from list</t>
  </si>
  <si>
    <t>Pick from embedded list</t>
  </si>
  <si>
    <t>Omega</t>
  </si>
  <si>
    <t>switch to print preview to check</t>
  </si>
  <si>
    <t>hidden rows:</t>
  </si>
  <si>
    <t>grouped rows:</t>
  </si>
  <si>
    <t>b</t>
  </si>
  <si>
    <t>Select all and then Picture Format -&gt; Align. Can you distribute them horizontally or align all to the top?</t>
  </si>
  <si>
    <t>Iterative calculation</t>
  </si>
  <si>
    <t>Input</t>
  </si>
  <si>
    <t>Timestamp</t>
  </si>
  <si>
    <t>1. Enable iterative calculation in Excel Options -&gt; Formulas</t>
  </si>
  <si>
    <t>2. Enter anything in the input field, timestamp cells should then be populated</t>
  </si>
  <si>
    <t>example.com</t>
  </si>
  <si>
    <t>100</t>
  </si>
  <si>
    <t>is number?</t>
  </si>
  <si>
    <t>Sum of Observation</t>
  </si>
  <si>
    <t>Column Labels</t>
  </si>
  <si>
    <t>Grand Total</t>
  </si>
  <si>
    <t>Row Labels</t>
  </si>
  <si>
    <t>Function</t>
  </si>
  <si>
    <t>Dummy formula</t>
  </si>
  <si>
    <t>Function exists?</t>
  </si>
  <si>
    <t>Missing in current program?</t>
  </si>
  <si>
    <t>Comment</t>
  </si>
  <si>
    <t>Source:</t>
  </si>
  <si>
    <t>ABS</t>
  </si>
  <si>
    <t>https://bettersolutions.com/excel/functions/complete-list.htm</t>
  </si>
  <si>
    <t>ACCRINT</t>
  </si>
  <si>
    <t>https://bettersolutions.com/excel/functions/updates.htm</t>
  </si>
  <si>
    <t>ACCRINTM</t>
  </si>
  <si>
    <t>ACOS</t>
  </si>
  <si>
    <t>ACOSH</t>
  </si>
  <si>
    <t>ACOT</t>
  </si>
  <si>
    <t>ACOTH</t>
  </si>
  <si>
    <t>ADDRESS</t>
  </si>
  <si>
    <t>AMORDEGRC</t>
  </si>
  <si>
    <t>AMORLINC</t>
  </si>
  <si>
    <t>AND</t>
  </si>
  <si>
    <t>ARABIC</t>
  </si>
  <si>
    <t>AREAS</t>
  </si>
  <si>
    <t>ARRAYTOTEXT</t>
  </si>
  <si>
    <t>ASC</t>
  </si>
  <si>
    <t>ASIN</t>
  </si>
  <si>
    <t>ASINH</t>
  </si>
  <si>
    <t>ATAN</t>
  </si>
  <si>
    <t>ATAN2</t>
  </si>
  <si>
    <t>ATANH</t>
  </si>
  <si>
    <t>AVEDEV</t>
  </si>
  <si>
    <t>AVERAGE</t>
  </si>
  <si>
    <t>AVERAGEA</t>
  </si>
  <si>
    <t>AVERAGEIF</t>
  </si>
  <si>
    <t>AVERAGEIFS</t>
  </si>
  <si>
    <t>BAHTTEXT</t>
  </si>
  <si>
    <t>BESSELI</t>
  </si>
  <si>
    <t>BESSELJ</t>
  </si>
  <si>
    <t>BESSELK</t>
  </si>
  <si>
    <t>BESSELY</t>
  </si>
  <si>
    <t>BETA.DIST</t>
  </si>
  <si>
    <t>BETA.INV</t>
  </si>
  <si>
    <t>BETADIST</t>
  </si>
  <si>
    <t>BETAINV</t>
  </si>
  <si>
    <t>BIN2DEC</t>
  </si>
  <si>
    <t>BIN2HEX</t>
  </si>
  <si>
    <t>BIN2OCT</t>
  </si>
  <si>
    <t>BINOM.DIST</t>
  </si>
  <si>
    <t>BINOM.DIST.RANGE</t>
  </si>
  <si>
    <t>BINOM.INV</t>
  </si>
  <si>
    <t>BINOMDIST</t>
  </si>
  <si>
    <t>BITAND</t>
  </si>
  <si>
    <t>BITLSHIFT</t>
  </si>
  <si>
    <t>BITOR</t>
  </si>
  <si>
    <t>BITRSHIFT</t>
  </si>
  <si>
    <t>BITXOR</t>
  </si>
  <si>
    <t>BYCOL</t>
  </si>
  <si>
    <t>BYROW</t>
  </si>
  <si>
    <t>CALL</t>
  </si>
  <si>
    <t>=CALL(1)</t>
  </si>
  <si>
    <t>CALL is only available on an Excel 4.0 macro sheet and requires a registered DLL/code resource; it cannot be entered as a normal worksheet formula.</t>
  </si>
  <si>
    <t>CEILING</t>
  </si>
  <si>
    <t>CEILING.MATH</t>
  </si>
  <si>
    <t>CEILING.PRECISE</t>
  </si>
  <si>
    <t>CELL</t>
  </si>
  <si>
    <t>CHAR</t>
  </si>
  <si>
    <t>CHIDIST</t>
  </si>
  <si>
    <t>CHIINV</t>
  </si>
  <si>
    <t>CHISQ.DIST</t>
  </si>
  <si>
    <t>CHISQ.DIST.RT</t>
  </si>
  <si>
    <t>CHISQ.INV</t>
  </si>
  <si>
    <t>CHISQ.INV.RT</t>
  </si>
  <si>
    <t>CHISQ.TEST</t>
  </si>
  <si>
    <t>CHITEST</t>
  </si>
  <si>
    <t>CHOOSE</t>
  </si>
  <si>
    <t>CHOOSECOLS</t>
  </si>
  <si>
    <t>CHOOSEROWS</t>
  </si>
  <si>
    <t>CLEAN</t>
  </si>
  <si>
    <t>CODE</t>
  </si>
  <si>
    <t>COLUMN</t>
  </si>
  <si>
    <t>COLUMNS</t>
  </si>
  <si>
    <t>COMBIN</t>
  </si>
  <si>
    <t>COMPLEX</t>
  </si>
  <si>
    <t>CONCAT</t>
  </si>
  <si>
    <t>CONCATENATE</t>
  </si>
  <si>
    <t>CONFIDENCE</t>
  </si>
  <si>
    <t>CONFIDENCE.NORM</t>
  </si>
  <si>
    <t>CONFIDENCE.T</t>
  </si>
  <si>
    <t>CONVERT</t>
  </si>
  <si>
    <t>COPILOT</t>
  </si>
  <si>
    <t>Starting September 14, 2026, the COPILOT function is no longer available in Microsoft Excel</t>
  </si>
  <si>
    <t>CORREL</t>
  </si>
  <si>
    <t>COS</t>
  </si>
  <si>
    <t>COSH</t>
  </si>
  <si>
    <t>COT</t>
  </si>
  <si>
    <t>COTH</t>
  </si>
  <si>
    <t>COUNT</t>
  </si>
  <si>
    <t>COUNTA</t>
  </si>
  <si>
    <t>COUNTBLANK</t>
  </si>
  <si>
    <t>COUNTIF</t>
  </si>
  <si>
    <t>COUNTIFS</t>
  </si>
  <si>
    <t>COUPDAYBS</t>
  </si>
  <si>
    <t>COUPDAYS</t>
  </si>
  <si>
    <t>COUPDAYSNC</t>
  </si>
  <si>
    <t>COUPNCD</t>
  </si>
  <si>
    <t>COUPNUM</t>
  </si>
  <si>
    <t>COUPPCD</t>
  </si>
  <si>
    <t>COVAR</t>
  </si>
  <si>
    <t>COVARIANCE.P</t>
  </si>
  <si>
    <t>COVARIANCE.S</t>
  </si>
  <si>
    <t>CRITBINOM</t>
  </si>
  <si>
    <t>CSC</t>
  </si>
  <si>
    <t>CSCH</t>
  </si>
  <si>
    <t>CUBEKPIMEMBER</t>
  </si>
  <si>
    <t>=CUBEKPIMEMBER(1)</t>
  </si>
  <si>
    <t>Requires a valid workbook Data Model or OLAP cube connection. An invalid or missing connection itself returns #NAME?, so that result cannot distinguish an unknown function from a missing connection.</t>
  </si>
  <si>
    <t>CUBEMEMBER</t>
  </si>
  <si>
    <t>=CUBEMEMBER(1)</t>
  </si>
  <si>
    <t>CUBEMEMBERPROPERTY</t>
  </si>
  <si>
    <t>=CUBEMEMBERPROPERTY(1)</t>
  </si>
  <si>
    <t>CUBERANKEDMEMBER</t>
  </si>
  <si>
    <t>=CUBERANKEDMEMBER(1)</t>
  </si>
  <si>
    <t>CUBESET</t>
  </si>
  <si>
    <t>=CUBESET(1)</t>
  </si>
  <si>
    <t>CUBESETCOUNT</t>
  </si>
  <si>
    <t>=CUBESETCOUNT(1)</t>
  </si>
  <si>
    <t>CUBEVALUE</t>
  </si>
  <si>
    <t>=CUBEVALUE(1)</t>
  </si>
  <si>
    <t>CUMIPMT</t>
  </si>
  <si>
    <t>CUMPRINC</t>
  </si>
  <si>
    <t>DATE</t>
  </si>
  <si>
    <t>DATEDIF</t>
  </si>
  <si>
    <t>DATEVALUE</t>
  </si>
  <si>
    <t>DAVERAGE</t>
  </si>
  <si>
    <t>DAY</t>
  </si>
  <si>
    <t>DAYS</t>
  </si>
  <si>
    <t>DAYS360</t>
  </si>
  <si>
    <t>DB</t>
  </si>
  <si>
    <t>DBCS</t>
  </si>
  <si>
    <t>DCOUNT</t>
  </si>
  <si>
    <t>DCOUNTA</t>
  </si>
  <si>
    <t>DDB</t>
  </si>
  <si>
    <t>DEC2BIN</t>
  </si>
  <si>
    <t>DEC2HEX</t>
  </si>
  <si>
    <t>DEC2OCT</t>
  </si>
  <si>
    <t>DECIMAL</t>
  </si>
  <si>
    <t>DEGREES</t>
  </si>
  <si>
    <t>DELTA</t>
  </si>
  <si>
    <t>DETECTLANGUAGE</t>
  </si>
  <si>
    <t>DEVSQ</t>
  </si>
  <si>
    <t>DGET</t>
  </si>
  <si>
    <t>DISC</t>
  </si>
  <si>
    <t>DMAX</t>
  </si>
  <si>
    <t>DMIN</t>
  </si>
  <si>
    <t>DOLLAR</t>
  </si>
  <si>
    <t>DOLLARDE</t>
  </si>
  <si>
    <t>DOLLARFR</t>
  </si>
  <si>
    <t>DPRODUCT</t>
  </si>
  <si>
    <t>DROP</t>
  </si>
  <si>
    <t>DSTDEV</t>
  </si>
  <si>
    <t>DSTDEVP</t>
  </si>
  <si>
    <t>DSUM</t>
  </si>
  <si>
    <t>DURATION</t>
  </si>
  <si>
    <t>DVAR</t>
  </si>
  <si>
    <t>DVARP</t>
  </si>
  <si>
    <t>ECMA.CEILING</t>
  </si>
  <si>
    <t>EDATE</t>
  </si>
  <si>
    <t>EFFECT</t>
  </si>
  <si>
    <t>ENCODEURL</t>
  </si>
  <si>
    <t>EOMONTH</t>
  </si>
  <si>
    <t>ERF</t>
  </si>
  <si>
    <t>ERF.PRECISE</t>
  </si>
  <si>
    <t>ERFC</t>
  </si>
  <si>
    <t>ERFC.PRECISE</t>
  </si>
  <si>
    <t>ERROR.TYPE</t>
  </si>
  <si>
    <t>EUROCONVERT</t>
  </si>
  <si>
    <t>In order to use the EUROCONVERT function, you first need to activate the Euro Currency Tools add-in.</t>
  </si>
  <si>
    <t>EVEN</t>
  </si>
  <si>
    <t>EXACT</t>
  </si>
  <si>
    <t>EXP</t>
  </si>
  <si>
    <t>EXPAND</t>
  </si>
  <si>
    <t>EXPON.DIST</t>
  </si>
  <si>
    <t>EXPONDIST</t>
  </si>
  <si>
    <t>F.DIST</t>
  </si>
  <si>
    <t>F.DIST.RT</t>
  </si>
  <si>
    <t>F.INV</t>
  </si>
  <si>
    <t>F.INV.RT</t>
  </si>
  <si>
    <t>F.TEST</t>
  </si>
  <si>
    <t>FACT</t>
  </si>
  <si>
    <t>FACTDOUBLE</t>
  </si>
  <si>
    <t>FALSE</t>
  </si>
  <si>
    <t>FDIST</t>
  </si>
  <si>
    <t>FIELDVALUE</t>
  </si>
  <si>
    <t>FILTER</t>
  </si>
  <si>
    <t>FILTERXML</t>
  </si>
  <si>
    <t>FIND</t>
  </si>
  <si>
    <t>FINDB</t>
  </si>
  <si>
    <t>FINV</t>
  </si>
  <si>
    <t>FISHER</t>
  </si>
  <si>
    <t>FISHERINV</t>
  </si>
  <si>
    <t>FIXED</t>
  </si>
  <si>
    <t>FLOOR</t>
  </si>
  <si>
    <t>FLOOR.MATH</t>
  </si>
  <si>
    <t>FLOOR.PRECISE</t>
  </si>
  <si>
    <t>FORECAST</t>
  </si>
  <si>
    <t>FORECAST.ETS</t>
  </si>
  <si>
    <t>FORECAST.ETS.CONFINT</t>
  </si>
  <si>
    <t>FORECAST.ETS.SEASONALITY</t>
  </si>
  <si>
    <t>FORECAST.ETS.STAT</t>
  </si>
  <si>
    <t>FORECAST.LINEAR</t>
  </si>
  <si>
    <t>FREQUENCY</t>
  </si>
  <si>
    <t>FTEST</t>
  </si>
  <si>
    <t>FV</t>
  </si>
  <si>
    <t>FVSCHEDULE</t>
  </si>
  <si>
    <t>GAMMA</t>
  </si>
  <si>
    <t>GAMMA.DIST</t>
  </si>
  <si>
    <t>GAMMA.INV</t>
  </si>
  <si>
    <t>GAMMADIST</t>
  </si>
  <si>
    <t>GAMMAINV</t>
  </si>
  <si>
    <t>GAMMALN</t>
  </si>
  <si>
    <t>GAMMALN.PRECISE</t>
  </si>
  <si>
    <t>GAUSS</t>
  </si>
  <si>
    <t>GCD</t>
  </si>
  <si>
    <t>GEOMEAN</t>
  </si>
  <si>
    <t>GESTEP</t>
  </si>
  <si>
    <t>GETPIVOTDATA</t>
  </si>
  <si>
    <t>GETPIVOTDATA requires its second argument to reference a cell inside an existing PivotTable; no PivotTable is present in this workbook, so #REF! is expected.</t>
  </si>
  <si>
    <t>GROUPBY</t>
  </si>
  <si>
    <t>GROWTH</t>
  </si>
  <si>
    <t>HARMEAN</t>
  </si>
  <si>
    <t>HEX2BIN</t>
  </si>
  <si>
    <t>HEX2DEC</t>
  </si>
  <si>
    <t>HEX2OCT</t>
  </si>
  <si>
    <t>HLOOKUP</t>
  </si>
  <si>
    <t>HOUR</t>
  </si>
  <si>
    <t>HSTACK</t>
  </si>
  <si>
    <t>HYPERLINK</t>
  </si>
  <si>
    <t>HYPGEOM.DIST</t>
  </si>
  <si>
    <t>HYPGEOMDIST</t>
  </si>
  <si>
    <t>IF</t>
  </si>
  <si>
    <t>IFERROR</t>
  </si>
  <si>
    <t>IFNA</t>
  </si>
  <si>
    <t>IFS</t>
  </si>
  <si>
    <t>IMABS</t>
  </si>
  <si>
    <t>IMAGE</t>
  </si>
  <si>
    <t>IMAGINARY</t>
  </si>
  <si>
    <t>IMARGUMENT</t>
  </si>
  <si>
    <t>IMCONJUGATE</t>
  </si>
  <si>
    <t>IMCOS</t>
  </si>
  <si>
    <t>IMCOSH</t>
  </si>
  <si>
    <t>IMCOT</t>
  </si>
  <si>
    <t>IMCSC</t>
  </si>
  <si>
    <t>IMCSCH</t>
  </si>
  <si>
    <t>IMDIV</t>
  </si>
  <si>
    <t>IMEXP</t>
  </si>
  <si>
    <t>IMLN</t>
  </si>
  <si>
    <t>IMLOG10</t>
  </si>
  <si>
    <t>IMLOG2</t>
  </si>
  <si>
    <t>IMPORTCSV</t>
  </si>
  <si>
    <t>As of October 2026, this feature is currently generally available to Microsoft 365 subscribers enrolled to the Insiders Beta channel, running Version 2502 (Build 18604.20002) or later in Excel for Windows.</t>
  </si>
  <si>
    <t>IMPORTTEXT</t>
  </si>
  <si>
    <t>IMPOWER</t>
  </si>
  <si>
    <t>IMPRODUCT</t>
  </si>
  <si>
    <t>IMREAL</t>
  </si>
  <si>
    <t>IMSEC</t>
  </si>
  <si>
    <t>IMSECH</t>
  </si>
  <si>
    <t>IMSIN</t>
  </si>
  <si>
    <t>IMSINH</t>
  </si>
  <si>
    <t>IMSQRT</t>
  </si>
  <si>
    <t>IMSUB</t>
  </si>
  <si>
    <t>IMSUM</t>
  </si>
  <si>
    <t>IMTAN</t>
  </si>
  <si>
    <t>INDEX</t>
  </si>
  <si>
    <t>INDIRECT</t>
  </si>
  <si>
    <t>INFO</t>
  </si>
  <si>
    <t>INT</t>
  </si>
  <si>
    <t>INTERCEPT</t>
  </si>
  <si>
    <t>INTRATE</t>
  </si>
  <si>
    <t>IPMT</t>
  </si>
  <si>
    <t>IRR</t>
  </si>
  <si>
    <t>ISBLANK</t>
  </si>
  <si>
    <t>ISERR</t>
  </si>
  <si>
    <t>ISERROR</t>
  </si>
  <si>
    <t>ISEVEN</t>
  </si>
  <si>
    <t>ISFORMULA</t>
  </si>
  <si>
    <t>ISLOGICAL</t>
  </si>
  <si>
    <t>ISNA</t>
  </si>
  <si>
    <t>ISNONTEXT</t>
  </si>
  <si>
    <t>ISNUMBER</t>
  </si>
  <si>
    <t>ISO.CEILING</t>
  </si>
  <si>
    <t>ISODD</t>
  </si>
  <si>
    <t>ISOMITTED</t>
  </si>
  <si>
    <t>ISOWEEKNUM</t>
  </si>
  <si>
    <t>ISPMT</t>
  </si>
  <si>
    <t>ISREF</t>
  </si>
  <si>
    <t>ISTEXT</t>
  </si>
  <si>
    <t>KURT</t>
  </si>
  <si>
    <t>LAMBDA</t>
  </si>
  <si>
    <t>LARGE</t>
  </si>
  <si>
    <t>LCM</t>
  </si>
  <si>
    <t>LEFT</t>
  </si>
  <si>
    <t>LEFTB</t>
  </si>
  <si>
    <t>LEN</t>
  </si>
  <si>
    <t>LENB</t>
  </si>
  <si>
    <t>LET</t>
  </si>
  <si>
    <t>LINEST</t>
  </si>
  <si>
    <t>LN</t>
  </si>
  <si>
    <t>LOG</t>
  </si>
  <si>
    <t>LOG10</t>
  </si>
  <si>
    <t>LOGEST</t>
  </si>
  <si>
    <t>LOGINV</t>
  </si>
  <si>
    <t>LOGNORM.DIST</t>
  </si>
  <si>
    <t>LOGNORM.INV</t>
  </si>
  <si>
    <t>LOGNORMDIST</t>
  </si>
  <si>
    <t>LOOKUP</t>
  </si>
  <si>
    <t>LOWER</t>
  </si>
  <si>
    <t>MAKEARRAY</t>
  </si>
  <si>
    <t>MAP</t>
  </si>
  <si>
    <t>MATCH</t>
  </si>
  <si>
    <t>MAX</t>
  </si>
  <si>
    <t>MAXA</t>
  </si>
  <si>
    <t>MAXIFS</t>
  </si>
  <si>
    <t>MDETERM</t>
  </si>
  <si>
    <t>MDURATION</t>
  </si>
  <si>
    <t>MEDIAN</t>
  </si>
  <si>
    <t>MID</t>
  </si>
  <si>
    <t>MIDB</t>
  </si>
  <si>
    <t>MIN</t>
  </si>
  <si>
    <t>MINA</t>
  </si>
  <si>
    <t>MINIFS</t>
  </si>
  <si>
    <t>MINUTE</t>
  </si>
  <si>
    <t>MINVERSE</t>
  </si>
  <si>
    <t>MIRR</t>
  </si>
  <si>
    <t>MMULT</t>
  </si>
  <si>
    <t>MOD</t>
  </si>
  <si>
    <t>MODE</t>
  </si>
  <si>
    <t>MODE.MULT</t>
  </si>
  <si>
    <t>MODE.SNGL</t>
  </si>
  <si>
    <t>MONTH</t>
  </si>
  <si>
    <t>MROUND</t>
  </si>
  <si>
    <t>MULTINOMIAL</t>
  </si>
  <si>
    <t>MUNIT</t>
  </si>
  <si>
    <t>N</t>
  </si>
  <si>
    <t>NA</t>
  </si>
  <si>
    <t>NEGBINOM.DIST</t>
  </si>
  <si>
    <t>NEGBINOMDIST</t>
  </si>
  <si>
    <t>NETWORKDAYS</t>
  </si>
  <si>
    <t>NETWORKDAYS.INTL</t>
  </si>
  <si>
    <t>NOMINAL</t>
  </si>
  <si>
    <t>NORM.DIST</t>
  </si>
  <si>
    <t>NORM.INV</t>
  </si>
  <si>
    <t>NORM.S.DIST</t>
  </si>
  <si>
    <t>NORM.S.INV</t>
  </si>
  <si>
    <t>NORMDIST</t>
  </si>
  <si>
    <t>NORMINV</t>
  </si>
  <si>
    <t>NORMSDIST</t>
  </si>
  <si>
    <t>NORMSINV</t>
  </si>
  <si>
    <t>NOT</t>
  </si>
  <si>
    <t>NOW</t>
  </si>
  <si>
    <t>NPER</t>
  </si>
  <si>
    <t>NPV</t>
  </si>
  <si>
    <t>NUMBERVALUE</t>
  </si>
  <si>
    <t>OCT2BIN</t>
  </si>
  <si>
    <t>OCT2DEC</t>
  </si>
  <si>
    <t>OCT2HEX</t>
  </si>
  <si>
    <t>ODD</t>
  </si>
  <si>
    <t>ODDFPRICE</t>
  </si>
  <si>
    <t>ODDFYIELD</t>
  </si>
  <si>
    <t>ODDLPRICE</t>
  </si>
  <si>
    <t>ODDLYIELD</t>
  </si>
  <si>
    <t>OFFSET</t>
  </si>
  <si>
    <t>OR</t>
  </si>
  <si>
    <t>PDURATION</t>
  </si>
  <si>
    <t>PEARSON</t>
  </si>
  <si>
    <t>PERCENTILE</t>
  </si>
  <si>
    <t>PERCENTILE.EXC</t>
  </si>
  <si>
    <t>PERCENTILE.INC</t>
  </si>
  <si>
    <t>PERCENTOF</t>
  </si>
  <si>
    <t>PERCENTRANK</t>
  </si>
  <si>
    <t>PERCENTRANK.EXC</t>
  </si>
  <si>
    <t>PERCENTRANK.INC</t>
  </si>
  <si>
    <t>PERMUT</t>
  </si>
  <si>
    <t>PERMUTATIONA</t>
  </si>
  <si>
    <t>PHI</t>
  </si>
  <si>
    <t>PHONETIC</t>
  </si>
  <si>
    <t>PI</t>
  </si>
  <si>
    <t>PIVOTBY</t>
  </si>
  <si>
    <t>PMT</t>
  </si>
  <si>
    <t>POISSON</t>
  </si>
  <si>
    <t>POISSON.DIST</t>
  </si>
  <si>
    <t>POWER</t>
  </si>
  <si>
    <t>PPMT</t>
  </si>
  <si>
    <t>PRICE</t>
  </si>
  <si>
    <t>PRICEDISC</t>
  </si>
  <si>
    <t>PRICEMAT</t>
  </si>
  <si>
    <t>PROB</t>
  </si>
  <si>
    <t>PRODUCT</t>
  </si>
  <si>
    <t>PROPER</t>
  </si>
  <si>
    <t>PV</t>
  </si>
  <si>
    <t>PY</t>
  </si>
  <si>
    <t>QUARTILE</t>
  </si>
  <si>
    <t>QUARTILE.EXC</t>
  </si>
  <si>
    <t>QUARTILE.INC</t>
  </si>
  <si>
    <t>QUOTIENT</t>
  </si>
  <si>
    <t>RADIANS</t>
  </si>
  <si>
    <t>RAND</t>
  </si>
  <si>
    <t>RANDARRAY</t>
  </si>
  <si>
    <t>RANDBETWEEN</t>
  </si>
  <si>
    <t>RANK</t>
  </si>
  <si>
    <t>RANK.AVG</t>
  </si>
  <si>
    <t>RANK.EQ</t>
  </si>
  <si>
    <t>RATE</t>
  </si>
  <si>
    <t>RECEIVED</t>
  </si>
  <si>
    <t>REDUCE</t>
  </si>
  <si>
    <t>REGEXEXTRACT</t>
  </si>
  <si>
    <t>REGEXREPLACE</t>
  </si>
  <si>
    <t>REGEXTEST</t>
  </si>
  <si>
    <t>REPLACE</t>
  </si>
  <si>
    <t>REPLACEB</t>
  </si>
  <si>
    <t>REPT</t>
  </si>
  <si>
    <t>RIGHT</t>
  </si>
  <si>
    <t>RIGHTB</t>
  </si>
  <si>
    <t>ROMAN</t>
  </si>
  <si>
    <t>ROUND</t>
  </si>
  <si>
    <t>ROUNDDOWN</t>
  </si>
  <si>
    <t>ROUNDUP</t>
  </si>
  <si>
    <t>ROW</t>
  </si>
  <si>
    <t>ROWS</t>
  </si>
  <si>
    <t>RRI</t>
  </si>
  <si>
    <t>RSQ</t>
  </si>
  <si>
    <t>RTD</t>
  </si>
  <si>
    <t>SCAN</t>
  </si>
  <si>
    <t>SEARCH</t>
  </si>
  <si>
    <t>SEARCHB</t>
  </si>
  <si>
    <t>SEC</t>
  </si>
  <si>
    <t>SECH</t>
  </si>
  <si>
    <t>SECOND</t>
  </si>
  <si>
    <t>SEQUENCE</t>
  </si>
  <si>
    <t>SERIESSUM</t>
  </si>
  <si>
    <t>SIGN</t>
  </si>
  <si>
    <t>SIN</t>
  </si>
  <si>
    <t>SINH</t>
  </si>
  <si>
    <t>SKEW</t>
  </si>
  <si>
    <t>SKEW.P</t>
  </si>
  <si>
    <t>SLN</t>
  </si>
  <si>
    <t>SLOPE</t>
  </si>
  <si>
    <t>SMALL</t>
  </si>
  <si>
    <t>SORT</t>
  </si>
  <si>
    <t>SORTBY</t>
  </si>
  <si>
    <t>SQRT</t>
  </si>
  <si>
    <t>SQRTPI</t>
  </si>
  <si>
    <t>STANDARDIZE</t>
  </si>
  <si>
    <t>STDEV</t>
  </si>
  <si>
    <t>STDEV.P</t>
  </si>
  <si>
    <t>STDEV.S</t>
  </si>
  <si>
    <t>STDEVA</t>
  </si>
  <si>
    <t>STDEVP</t>
  </si>
  <si>
    <t>STDEVPA</t>
  </si>
  <si>
    <t>STEYX</t>
  </si>
  <si>
    <t>STOCKHISTORY</t>
  </si>
  <si>
    <t>SUBSTITUTE</t>
  </si>
  <si>
    <t>SUBTOTAL</t>
  </si>
  <si>
    <t>SUM</t>
  </si>
  <si>
    <t>SUMIF</t>
  </si>
  <si>
    <t>SUMIFS</t>
  </si>
  <si>
    <t>SUMPRODUCT</t>
  </si>
  <si>
    <t>SUMSQ</t>
  </si>
  <si>
    <t>SUMX2MY2</t>
  </si>
  <si>
    <t>SUMX2PY2</t>
  </si>
  <si>
    <t>SUMXMY2</t>
  </si>
  <si>
    <t>SWITCH</t>
  </si>
  <si>
    <t>SYD</t>
  </si>
  <si>
    <t>T</t>
  </si>
  <si>
    <t>T.DIST</t>
  </si>
  <si>
    <t>T.DIST.2T</t>
  </si>
  <si>
    <t>T.DIST.RT</t>
  </si>
  <si>
    <t>T.INV</t>
  </si>
  <si>
    <t>T.INV.2T</t>
  </si>
  <si>
    <t>T.TEST</t>
  </si>
  <si>
    <t>TABLE</t>
  </si>
  <si>
    <t>=TABLE(1)</t>
  </si>
  <si>
    <t>TABLE is not a callable worksheet function. It is an internal array formula generated by Data &gt; What-If Analysis &gt; Data Table, so =TABLE(...) cannot be entered directly for this test.</t>
  </si>
  <si>
    <t>TAKE</t>
  </si>
  <si>
    <t>TAN</t>
  </si>
  <si>
    <t>TANH</t>
  </si>
  <si>
    <t>TBILLEQ</t>
  </si>
  <si>
    <t>TBILLPRICE</t>
  </si>
  <si>
    <t>TBILLYIELD</t>
  </si>
  <si>
    <t>TDIST</t>
  </si>
  <si>
    <t>TEXT</t>
  </si>
  <si>
    <t>TEXTAFTER</t>
  </si>
  <si>
    <t>TEXTBEFORE</t>
  </si>
  <si>
    <t>TEXTJOIN</t>
  </si>
  <si>
    <t>TEXTSPLIT</t>
  </si>
  <si>
    <t>TIME</t>
  </si>
  <si>
    <t>TIMEVALUE</t>
  </si>
  <si>
    <t>TINV</t>
  </si>
  <si>
    <t>TOCOL</t>
  </si>
  <si>
    <t>TODAY</t>
  </si>
  <si>
    <t>TOROW</t>
  </si>
  <si>
    <t>TRANSLATE</t>
  </si>
  <si>
    <t>TRANSPOSE</t>
  </si>
  <si>
    <t>TREND</t>
  </si>
  <si>
    <t>TRIM</t>
  </si>
  <si>
    <t>TRIMMEAN</t>
  </si>
  <si>
    <t>TRIMRANGE</t>
  </si>
  <si>
    <t>TRUE</t>
  </si>
  <si>
    <t>TRUNC</t>
  </si>
  <si>
    <t>TTEST</t>
  </si>
  <si>
    <t>TYPE</t>
  </si>
  <si>
    <t>UNICHAR</t>
  </si>
  <si>
    <t>UNICODE</t>
  </si>
  <si>
    <t>UNIQUE</t>
  </si>
  <si>
    <t>UPPER</t>
  </si>
  <si>
    <t>VALUE</t>
  </si>
  <si>
    <t>VALUETOTEXT</t>
  </si>
  <si>
    <t>VAR</t>
  </si>
  <si>
    <t>VAR.P</t>
  </si>
  <si>
    <t>VAR.S</t>
  </si>
  <si>
    <t>VARA</t>
  </si>
  <si>
    <t>VARP</t>
  </si>
  <si>
    <t>VARPA</t>
  </si>
  <si>
    <t>VDB</t>
  </si>
  <si>
    <t>VLOOKUP</t>
  </si>
  <si>
    <t>VSTACK</t>
  </si>
  <si>
    <t>WEBSERVICE</t>
  </si>
  <si>
    <t>WEEKDAY</t>
  </si>
  <si>
    <t>WEEKNUM</t>
  </si>
  <si>
    <t>WEIBULL</t>
  </si>
  <si>
    <t>WEIBULL.DIST</t>
  </si>
  <si>
    <t>WORKDAY</t>
  </si>
  <si>
    <t>WORKDAY.INTL</t>
  </si>
  <si>
    <t>WRAPCOLS</t>
  </si>
  <si>
    <t>WRAPROWS</t>
  </si>
  <si>
    <t>XIRR</t>
  </si>
  <si>
    <t>XLOOKUP</t>
  </si>
  <si>
    <t>XMATCH</t>
  </si>
  <si>
    <t>XNPV</t>
  </si>
  <si>
    <t>XOR</t>
  </si>
  <si>
    <t>YEAR</t>
  </si>
  <si>
    <t>YEARFRAC</t>
  </si>
  <si>
    <t>YIELD</t>
  </si>
  <si>
    <t>YIELDDISC</t>
  </si>
  <si>
    <t>YIELDMAT</t>
  </si>
  <si>
    <t>Z.TEST</t>
  </si>
  <si>
    <t>ZTEST</t>
  </si>
  <si>
    <t>Function check</t>
  </si>
  <si>
    <t># of existing functions:</t>
  </si>
  <si>
    <t># of total functions:</t>
  </si>
  <si>
    <t># of untested functions:</t>
  </si>
  <si>
    <t># of missing functions:</t>
  </si>
  <si>
    <t>Filter and sort data in columns</t>
  </si>
  <si>
    <t>Normal range with filter - can you sort and filter these columns?</t>
  </si>
  <si>
    <t>"Table" - can you sort and filter these columns?</t>
  </si>
  <si>
    <t>Create "tables"</t>
  </si>
  <si>
    <t>Pivot tables</t>
  </si>
  <si>
    <t>change the yellow cells and test if invalid inputs return an error</t>
  </si>
  <si>
    <t>Set print area</t>
  </si>
  <si>
    <t>Data Validation for cells</t>
  </si>
  <si>
    <t>EXCEL SCREENSHOT</t>
  </si>
  <si>
    <t>Hide and group rows and columns</t>
  </si>
  <si>
    <t>There is a hidden sheet and a "veryhidden" sheet in this file.</t>
  </si>
  <si>
    <t>When you right-click on a sheet name at the bottom and click "unhide", it should only offer you to unhide the normal-hidden sheet!</t>
  </si>
  <si>
    <t>Comments (simple "notes" and threaded "comments")</t>
  </si>
  <si>
    <t>comment</t>
  </si>
  <si>
    <t>note</t>
  </si>
  <si>
    <r>
      <t xml:space="preserve">Format cells as text when started with </t>
    </r>
    <r>
      <rPr>
        <b/>
        <u/>
        <sz val="10"/>
        <color theme="1"/>
        <rFont val="Arial Unicode MS"/>
      </rPr>
      <t>'</t>
    </r>
  </si>
  <si>
    <t>first should be TRUE, second should be FALSE</t>
  </si>
  <si>
    <t>should return the same as the cell above</t>
  </si>
  <si>
    <t>Name manager / giving names to cells to reference them</t>
  </si>
  <si>
    <t>Hyperlinks in cells</t>
  </si>
  <si>
    <t>Link to other spreadsheet files</t>
  </si>
  <si>
    <t xml:space="preserve">Open another spreadsheet, start the formula here with "=" and then select a cell in the other file. Does it work? Does it show the correct result? </t>
  </si>
  <si>
    <t>Freeze panes</t>
  </si>
  <si>
    <t>Is the first column and row always visible when you scroll?</t>
  </si>
  <si>
    <t>can you open it by clicking on the link?</t>
  </si>
  <si>
    <t>Check, update and edit external links</t>
  </si>
  <si>
    <t>Does a reference to another spreadsheets update if the value changes in the other spreadsheet?</t>
  </si>
  <si>
    <t>Merge cells</t>
  </si>
  <si>
    <t>Are these 5 cells merged?</t>
  </si>
  <si>
    <t>Split text into multiple columns</t>
  </si>
  <si>
    <t>a, b, c, d, e</t>
  </si>
  <si>
    <t>Can you split this into 5 columns with the comma as the delimiter?</t>
  </si>
  <si>
    <t>Counts how many cells are not empty in A1:B3 in all sheets between START and END.</t>
  </si>
  <si>
    <t>Does this return a valid number?</t>
  </si>
  <si>
    <t>Apply formulas on multiple adjacent sheets (3D reference)</t>
  </si>
  <si>
    <t>Data table</t>
  </si>
  <si>
    <t>Change the yellow cells and recalculate sheet. Do the green numbers change and show the product of the yellow cells?</t>
  </si>
  <si>
    <t>Goalseek</t>
  </si>
  <si>
    <t>$ value today</t>
  </si>
  <si>
    <t>$ value in 5 years</t>
  </si>
  <si>
    <t>Interest p.a.</t>
  </si>
  <si>
    <t>What does the interest have to be for the $100 to be worth $150 in 5 years?</t>
  </si>
  <si>
    <t>Can disable automatic recalculation</t>
  </si>
  <si>
    <t>a</t>
  </si>
  <si>
    <t>a+b</t>
  </si>
  <si>
    <t>1. Disable automatic recalculation</t>
  </si>
  <si>
    <t>2. Change a or b to another value</t>
  </si>
  <si>
    <t>Does a+b stay 3 (i.e. not recalculated)?</t>
  </si>
  <si>
    <t>Hide and unhide sheets; Supports "very hidden" sheets</t>
  </si>
  <si>
    <t>AGGREGATE</t>
  </si>
  <si>
    <t>BASE</t>
  </si>
  <si>
    <t>COMBINA</t>
  </si>
  <si>
    <t>FORMULATEXT</t>
  </si>
  <si>
    <t>JIS</t>
  </si>
  <si>
    <t>REGISTER.ID</t>
  </si>
  <si>
    <t>SHEET</t>
  </si>
  <si>
    <t>SHEETS</t>
  </si>
  <si>
    <t>Not documented, for compatibility with OnlyOffice</t>
  </si>
  <si>
    <t>https://support.microsoft.com/en-us/excel/functions/*</t>
  </si>
  <si>
    <t>=register.id(1)</t>
  </si>
  <si>
    <t>Microsoft documentattion</t>
  </si>
  <si>
    <t>List of all functions in Excel 365 as of October 2026. Column D checks if the function is available. If not, it will say FALSE. Some cannot be tested easily. Column E summarizes missing functions.</t>
  </si>
  <si>
    <t>List of missing functions in the program you're using:</t>
  </si>
  <si>
    <t>Border styles and colours</t>
  </si>
  <si>
    <t>dotted</t>
  </si>
  <si>
    <t>red dotted</t>
  </si>
  <si>
    <t>double border</t>
  </si>
  <si>
    <t>bottom only</t>
  </si>
  <si>
    <t>Two-colour fill for cell backgrounds</t>
  </si>
  <si>
    <t>Pattern fill for cell backgrounds</t>
  </si>
  <si>
    <t>(vertical, diagonal, from centre)</t>
  </si>
  <si>
    <t>Conditional formatting (incl. apply colour scales or insert data bars)</t>
  </si>
  <si>
    <t>Text formatting</t>
  </si>
  <si>
    <t>Rich text, including partial formatting in a cell</t>
  </si>
  <si>
    <t>Center across selection (without merging cells)</t>
  </si>
  <si>
    <t>Indent (left and right align)</t>
  </si>
  <si>
    <t>(Partial) superscript / subscript / strikethrough</t>
  </si>
  <si>
    <t>Accounting underline</t>
  </si>
  <si>
    <t>Wrap text</t>
  </si>
  <si>
    <t>Vertical and rotated text</t>
  </si>
  <si>
    <t>$0.0,,"m"_);[Red]($0.0,,"m");-_)</t>
  </si>
  <si>
    <t>;;; (should appear blank)</t>
  </si>
  <si>
    <t>Date formatting: dddd, dd mmm yyyy, yyyy-mm-dd</t>
  </si>
  <si>
    <t>Insert shapes, arrows, textboxes, and images</t>
  </si>
  <si>
    <t>Place images in cell</t>
  </si>
  <si>
    <t>picture will move with the cell when rows are cut and pasted, and it will automatically resize to fit the new dimensions of the cell when the row height or column width is changed</t>
  </si>
  <si>
    <t>SmartArt (examples):</t>
  </si>
  <si>
    <t>can you edit the text labels easily?</t>
  </si>
  <si>
    <t>can you easily change the number of items?</t>
  </si>
  <si>
    <t>Excel SmartArt input dialog:</t>
  </si>
  <si>
    <t>Mathematical formulas</t>
  </si>
  <si>
    <t>Group multiple objects</t>
  </si>
  <si>
    <t>can you ungroup and regroup the objects?</t>
  </si>
  <si>
    <t>does resizing keep the same proportions of the grouped objects?</t>
  </si>
  <si>
    <t>Save objects as picture</t>
  </si>
  <si>
    <t>can you save the grouped objects above as a picture?</t>
  </si>
  <si>
    <t>Apply effects on objects</t>
  </si>
  <si>
    <t>Line formatting</t>
  </si>
  <si>
    <t>Line charts and area charts (normal/stacked/100%)</t>
  </si>
  <si>
    <t>Bar and column charts (clustered or stacked)</t>
  </si>
  <si>
    <t>Pie charts (incl. doughnut and pie of pie)</t>
  </si>
  <si>
    <t>Scatterplot</t>
  </si>
  <si>
    <t>Bubble charts</t>
  </si>
  <si>
    <t>bubble size correct?</t>
  </si>
  <si>
    <t>Radar charts</t>
  </si>
  <si>
    <t>Surface charts</t>
  </si>
  <si>
    <t>Treemap and sunburst charts</t>
  </si>
  <si>
    <t>Others: histogram, funnel, waterfall, box &amp; whisker</t>
  </si>
  <si>
    <t>Maps</t>
  </si>
  <si>
    <t>Combination of different chart types</t>
  </si>
  <si>
    <t>Secondary y-axis</t>
  </si>
  <si>
    <t>Custom number formatting for axis legends</t>
  </si>
  <si>
    <t>Positioning options for axis labels (high, low etc.)</t>
  </si>
  <si>
    <t>Manually reposition individual data labels with mouse</t>
  </si>
  <si>
    <t>can you drag the data labels and they will move and add a connector line, like in this screenshot?</t>
  </si>
  <si>
    <t>Skip empty values and #n/a values</t>
  </si>
  <si>
    <t>Treat dates as dates (not text) on x-axis</t>
  </si>
  <si>
    <t>is the spacing of data on the x-axis based on the time between dates?</t>
  </si>
  <si>
    <t>Date axis: show multiple values with same date together /  ignore #N/A dates at the end of the range</t>
  </si>
  <si>
    <t>Dynamic ranges for data (as defined in name manager)</t>
  </si>
  <si>
    <t xml:space="preserve">can you change the two blue dates (start and end dates) to something else in A404:A419 and the x-axis in the chart updates to use that date range? </t>
  </si>
  <si>
    <t>Axis titles or chart title linked to cell values</t>
  </si>
  <si>
    <t>CHART TITLE</t>
  </si>
  <si>
    <t>can you change the blue labels in B402 and B403:C403 and the axis and chart titles update?</t>
  </si>
  <si>
    <t>added "2" at the end of all labels:</t>
  </si>
  <si>
    <t>Data labels linked to a range of cells</t>
  </si>
  <si>
    <t>(may need to recalculate the sheet or click into the chart for it to update)</t>
  </si>
  <si>
    <t>all changed to "sdf":</t>
  </si>
  <si>
    <t>can you change the blue labels in J476:J494 and the data labels in the chart will update?</t>
  </si>
  <si>
    <t>Data table at the bottom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</si>
</sst>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_);[Red]\(#,##0\);\-_)"/>
    <numFmt numFmtId="165" formatCode="[=1]&quot;Yes&quot;;&quot;No&quot;\ "/>
    <numFmt numFmtId="166" formatCode="\$0.0,,&quot;m&quot;"/>
    <numFmt numFmtId="167" formatCode=";;;"/>
    <numFmt numFmtId="168" formatCode="dddd"/>
    <numFmt numFmtId="169" formatCode="0.0000"/>
    <numFmt numFmtId="170" formatCode="\$0.0,,&quot;m&quot;_);[Red]\(\$0.0,,&quot;m&quot;\);\-_)"/>
    <numFmt numFmtId="171" formatCode="dd\ mmm\ yyyy"/>
    <numFmt numFmtId="172" formatCode="yyyy\-mm\-dd"/>
  </numFmts>
  <fonts count="31">
    <font>
      <sz val="11"/>
      <color theme="1"/>
      <name val="Aptos Narrow"/>
      <family val="2"/>
      <scheme val="minor"/>
    </font>
    <font>
      <b/>
      <sz val="11"/>
      <color theme="1"/>
      <name val="Aptos Narrow"/>
      <family val="2"/>
      <scheme val="minor"/>
    </font>
    <font>
      <u/>
      <sz val="11"/>
      <color theme="1"/>
      <name val="Aptos Narrow"/>
      <family val="2"/>
    </font>
    <font>
      <b/>
      <sz val="11"/>
      <color theme="1"/>
      <name val="Aptos Narrow"/>
      <family val="2"/>
    </font>
    <font>
      <i/>
      <sz val="11"/>
      <color theme="1"/>
      <name val="Aptos Narrow"/>
      <family val="2"/>
    </font>
    <font>
      <vertAlign val="superscript"/>
      <sz val="11"/>
      <color theme="1"/>
      <name val="Aptos Narrow"/>
      <family val="2"/>
    </font>
    <font>
      <vertAlign val="subscript"/>
      <sz val="11"/>
      <color theme="1"/>
      <name val="Aptos Narrow"/>
      <family val="2"/>
    </font>
    <font>
      <strike/>
      <sz val="11"/>
      <color theme="1"/>
      <name val="Aptos Narrow"/>
      <family val="2"/>
    </font>
    <font>
      <u val="singleAccounting"/>
      <sz val="11"/>
      <color theme="1"/>
      <name val="Aptos Narrow"/>
      <family val="2"/>
      <scheme val="minor"/>
    </font>
    <font>
      <sz val="11"/>
      <color theme="1"/>
      <name val="Aptos Narrow"/>
      <family val="2"/>
      <scheme val="minor"/>
    </font>
    <font>
      <sz val="11"/>
      <color rgb="FF014AFF"/>
      <name val="Aptos Narrow"/>
      <family val="2"/>
      <scheme val="minor"/>
    </font>
    <font>
      <b/>
      <sz val="11"/>
      <color rgb="FF014AFF"/>
      <name val="Aptos Narrow"/>
      <family val="2"/>
      <scheme val="minor"/>
    </font>
    <font>
      <u/>
      <sz val="11"/>
      <color theme="1"/>
      <name val="Aptos Narrow"/>
      <family val="2"/>
      <scheme val="minor"/>
    </font>
    <font>
      <sz val="9"/>
      <color indexed="81"/>
      <name val="Tahoma"/>
      <family val="2"/>
    </font>
    <font>
      <b/>
      <sz val="9"/>
      <color indexed="81"/>
      <name val="Tahoma"/>
      <family val="2"/>
    </font>
    <font>
      <i/>
      <sz val="11"/>
      <color theme="1"/>
      <name val="Aptos Narrow"/>
      <family val="2"/>
      <scheme val="minor"/>
    </font>
    <font>
      <u/>
      <sz val="11"/>
      <color theme="10"/>
      <name val="Aptos Narrow"/>
      <family val="2"/>
      <scheme val="minor"/>
    </font>
    <font>
      <sz val="11"/>
      <name val="Carlito"/>
      <family val="2"/>
    </font>
    <font>
      <b/>
      <sz val="11"/>
      <name val="Carlito"/>
      <family val="2"/>
    </font>
    <font>
      <sz val="11"/>
      <color theme="1"/>
      <name val="Carlito"/>
      <family val="2"/>
    </font>
    <font>
      <u/>
      <sz val="11"/>
      <color theme="10"/>
      <name val="Carlito"/>
      <family val="2"/>
    </font>
    <font>
      <b/>
      <u/>
      <sz val="11"/>
      <name val="Carlito"/>
      <family val="2"/>
    </font>
    <font>
      <b/>
      <u/>
      <sz val="11"/>
      <color theme="1"/>
      <name val="Aptos Narrow"/>
      <family val="2"/>
      <scheme val="minor"/>
    </font>
    <font>
      <b/>
      <u/>
      <sz val="10"/>
      <color theme="1"/>
      <name val="Arial Unicode MS"/>
    </font>
    <font>
      <b/>
      <u/>
      <sz val="11"/>
      <color theme="1"/>
      <name val="Aptos Narrow"/>
      <family val="2"/>
    </font>
    <font>
      <sz val="11"/>
      <color rgb="FF00B050"/>
      <name val="Aptos Narrow"/>
      <family val="2"/>
      <scheme val="minor"/>
    </font>
    <font>
      <b/>
      <sz val="18"/>
      <color theme="1"/>
      <name val="Aptos Narrow"/>
      <family val="2"/>
      <scheme val="minor"/>
    </font>
    <font>
      <b/>
      <sz val="13.5"/>
      <color theme="1"/>
      <name val="Aptos Narrow"/>
      <family val="2"/>
      <scheme val="minor"/>
    </font>
    <font>
      <b/>
      <u/>
      <sz val="12"/>
      <color theme="1"/>
      <name val="Aptos Narrow"/>
      <family val="2"/>
    </font>
    <font>
      <b/>
      <u/>
      <sz val="12"/>
      <color theme="1"/>
      <name val="Aptos Narrow"/>
      <family val="2"/>
      <scheme val="minor"/>
    </font>
    <font>
      <b/>
      <sz val="9"/>
      <color rgb="FF014AFF"/>
      <name val="Aptos Narrow"/>
      <family val="2"/>
      <scheme val="minor"/>
    </font>
  </fonts>
  <fills count="9">
    <fill>
      <patternFill patternType="none"/>
    </fill>
    <fill>
      <patternFill patternType="gray125"/>
    </fill>
    <fill>
      <gradientFill degree="180">
        <stop position="0">
          <color theme="5"/>
        </stop>
        <stop position="1">
          <color theme="4"/>
        </stop>
      </gradientFill>
    </fill>
    <fill>
      <patternFill patternType="lightGrid">
        <fgColor theme="7" tint="0.59996337778862885"/>
        <bgColor indexed="65"/>
      </patternFill>
    </fill>
    <fill>
      <patternFill patternType="gray0625">
        <fgColor theme="8"/>
      </patternFill>
    </fill>
    <fill>
      <patternFill patternType="lightUp"/>
    </fill>
    <fill>
      <gradientFill degree="135">
        <stop position="0">
          <color theme="9" tint="0.80001220740379042"/>
        </stop>
        <stop position="1">
          <color theme="4"/>
        </stop>
      </gradientFill>
    </fill>
    <fill>
      <gradientFill type="path" left="0.5" right="0.5" top="0.5" bottom="0.5">
        <stop position="0">
          <color theme="0"/>
        </stop>
        <stop position="1">
          <color theme="4"/>
        </stop>
      </gradientFill>
    </fill>
    <fill>
      <patternFill patternType="solid">
        <fgColor rgb="FFFFFF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auto="1"/>
      </left>
      <right style="double">
        <color auto="1"/>
      </right>
      <top style="double">
        <color auto="1"/>
      </top>
      <bottom style="double">
        <color auto="1"/>
      </bottom>
      <diagonal/>
    </border>
    <border>
      <left style="hair">
        <color rgb="FFFF0000"/>
      </left>
      <right style="hair">
        <color rgb="FFFF0000"/>
      </right>
      <top style="hair">
        <color rgb="FFFF0000"/>
      </top>
      <bottom style="hair">
        <color rgb="FFFF0000"/>
      </bottom>
      <diagonal/>
    </border>
    <border>
      <left style="hair">
        <color auto="1"/>
      </left>
      <right style="hair">
        <color auto="1"/>
      </right>
      <top style="hair">
        <color auto="1"/>
      </top>
      <bottom style="hair">
        <color auto="1"/>
      </bottom>
      <diagonal/>
    </border>
  </borders>
  <cellStyleXfs count="5">
    <xf numFmtId="0" fontId="0" fillId="0" borderId="0"/>
    <xf numFmtId="9" fontId="9" fillId="0" borderId="0" applyFont="0" applyFill="0" applyBorder="0" applyAlignment="0" applyProtection="0"/>
    <xf numFmtId="0" fontId="16" fillId="0" borderId="0" applyNumberFormat="0" applyFill="0" applyBorder="0" applyAlignment="0" applyProtection="0"/>
    <xf numFmtId="0" fontId="17" fillId="0" borderId="0"/>
    <xf numFmtId="0" fontId="20" fillId="0" borderId="0" applyNumberFormat="0" applyFill="0" applyBorder="0" applyAlignment="0" applyProtection="0"/>
  </cellStyleXfs>
  <cellXfs count="91">
    <xf numFmtId="0" fontId="0" fillId="0" borderId="0" xfId="0"/>
    <xf numFmtId="0" fontId="1" fillId="0" borderId="0" xfId="0" applyFont="1"/>
    <xf numFmtId="0" fontId="0" fillId="0" borderId="0" xfId="0" quotePrefix="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0" xfId="0" applyAlignment="1">
      <alignment horizontal="centerContinuous"/>
    </xf>
    <xf numFmtId="0" fontId="8" fillId="0" borderId="0" xfId="0" applyFont="1"/>
    <xf numFmtId="0" fontId="0" fillId="0" borderId="0" xfId="0" applyAlignment="1">
      <alignment wrapText="1"/>
    </xf>
    <xf numFmtId="0" fontId="0" fillId="0" borderId="0" xfId="0" applyAlignment="1">
      <alignment textRotation="255"/>
    </xf>
    <xf numFmtId="0" fontId="0" fillId="0" borderId="0" xfId="0" applyAlignment="1">
      <alignment textRotation="90"/>
    </xf>
    <xf numFmtId="0" fontId="0" fillId="0" borderId="0" xfId="0" applyAlignment="1">
      <alignment horizontal="left" indent="1"/>
    </xf>
    <xf numFmtId="0" fontId="0" fillId="0" borderId="0" xfId="0" applyAlignment="1">
      <alignment horizontal="right" inden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14" fontId="0" fillId="0" borderId="0" xfId="0" applyNumberFormat="1"/>
    <xf numFmtId="0" fontId="10" fillId="8" borderId="0" xfId="0" applyFont="1" applyFill="1"/>
    <xf numFmtId="4" fontId="0" fillId="0" borderId="0" xfId="0" applyNumberFormat="1"/>
    <xf numFmtId="3" fontId="0" fillId="0" borderId="0" xfId="0" applyNumberFormat="1"/>
    <xf numFmtId="9" fontId="0" fillId="0" borderId="0" xfId="0" applyNumberFormat="1"/>
    <xf numFmtId="9" fontId="0" fillId="0" borderId="0" xfId="1" applyFont="1"/>
    <xf numFmtId="14" fontId="10" fillId="0" borderId="0" xfId="0" applyNumberFormat="1" applyFont="1"/>
    <xf numFmtId="14" fontId="0" fillId="0" borderId="0" xfId="0" quotePrefix="1" applyNumberFormat="1"/>
    <xf numFmtId="0" fontId="0" fillId="0" borderId="0" xfId="0" applyAlignment="1">
      <alignment horizontal="right"/>
    </xf>
    <xf numFmtId="169" fontId="0" fillId="0" borderId="0" xfId="0" applyNumberFormat="1"/>
    <xf numFmtId="10" fontId="0" fillId="0" borderId="0" xfId="0" applyNumberFormat="1"/>
    <xf numFmtId="2" fontId="10" fillId="8" borderId="0" xfId="0" applyNumberFormat="1" applyFont="1" applyFill="1"/>
    <xf numFmtId="14" fontId="10" fillId="8" borderId="0" xfId="0" applyNumberFormat="1" applyFont="1" applyFill="1"/>
    <xf numFmtId="0" fontId="12"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5" fillId="0" borderId="0" xfId="0" applyFont="1"/>
    <xf numFmtId="14" fontId="0" fillId="0" borderId="1" xfId="0" applyNumberFormat="1" applyBorder="1"/>
    <xf numFmtId="0" fontId="16" fillId="0" borderId="0" xfId="2"/>
    <xf numFmtId="0" fontId="12" fillId="0" borderId="0" xfId="0" quotePrefix="1" applyFont="1"/>
    <xf numFmtId="0" fontId="0" fillId="0" borderId="0" xfId="0" pivotButton="1"/>
    <xf numFmtId="4" fontId="0" fillId="0" borderId="0" xfId="0" applyNumberFormat="1" applyAlignment="1">
      <alignment horizontal="left"/>
    </xf>
    <xf numFmtId="0" fontId="18" fillId="0" borderId="0" xfId="3" applyFont="1" applyAlignment="1">
      <alignment horizontal="center" vertical="top"/>
    </xf>
    <xf numFmtId="0" fontId="18" fillId="0" borderId="0" xfId="3" applyFont="1" applyAlignment="1">
      <alignment vertical="top"/>
    </xf>
    <xf numFmtId="0" fontId="17" fillId="0" borderId="0" xfId="3"/>
    <xf numFmtId="0" fontId="19" fillId="0" borderId="0" xfId="3" applyFont="1"/>
    <xf numFmtId="0" fontId="19" fillId="0" borderId="0" xfId="3" applyFont="1" applyAlignment="1">
      <alignment vertical="top"/>
    </xf>
    <xf numFmtId="0" fontId="19" fillId="0" borderId="0" xfId="3" applyFont="1" applyAlignment="1">
      <alignment horizontal="center" vertical="top"/>
    </xf>
    <xf numFmtId="0" fontId="19" fillId="0" borderId="0" xfId="3" applyFont="1" applyAlignment="1">
      <alignment horizontal="center" vertical="top" wrapText="1"/>
    </xf>
    <xf numFmtId="0" fontId="19" fillId="0" borderId="0" xfId="3" applyFont="1" applyAlignment="1">
      <alignment vertical="top" wrapText="1"/>
    </xf>
    <xf numFmtId="0" fontId="20" fillId="0" borderId="0" xfId="4" applyBorder="1" applyAlignment="1"/>
    <xf numFmtId="0" fontId="20" fillId="0" borderId="0" xfId="4" applyNumberFormat="1" applyFill="1" applyBorder="1" applyAlignment="1">
      <alignment vertical="top"/>
    </xf>
    <xf numFmtId="0" fontId="21" fillId="0" borderId="0" xfId="3" applyFont="1"/>
    <xf numFmtId="0" fontId="17" fillId="0" borderId="0" xfId="3" applyAlignment="1">
      <alignment horizontal="left"/>
    </xf>
    <xf numFmtId="0" fontId="22" fillId="0" borderId="0" xfId="0" applyFont="1"/>
    <xf numFmtId="0" fontId="24" fillId="0" borderId="0" xfId="0" applyFont="1"/>
    <xf numFmtId="0" fontId="15" fillId="0" borderId="0" xfId="0" quotePrefix="1" applyFont="1"/>
    <xf numFmtId="0" fontId="25" fillId="0" borderId="0" xfId="0" applyFont="1"/>
    <xf numFmtId="0" fontId="26"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left" vertical="center" indent="1"/>
    </xf>
    <xf numFmtId="0" fontId="16" fillId="0" borderId="0" xfId="2" applyAlignment="1">
      <alignment horizontal="left" vertical="center" indent="1"/>
    </xf>
    <xf numFmtId="0" fontId="27" fillId="0" borderId="0" xfId="0" applyFont="1" applyAlignment="1">
      <alignment vertical="center"/>
    </xf>
    <xf numFmtId="0" fontId="1" fillId="0" borderId="0" xfId="0" applyFont="1" applyAlignment="1">
      <alignment horizontal="left" vertical="center" indent="1"/>
    </xf>
    <xf numFmtId="0" fontId="0" fillId="0" borderId="0" xfId="0" applyAlignment="1">
      <alignment horizontal="left" vertical="center" wrapText="1"/>
    </xf>
    <xf numFmtId="0" fontId="1" fillId="0" borderId="0" xfId="0" applyFont="1" applyAlignment="1">
      <alignment horizontal="left" vertical="center" wrapText="1"/>
    </xf>
    <xf numFmtId="0" fontId="16" fillId="0" borderId="0" xfId="2" quotePrefix="1"/>
    <xf numFmtId="0" fontId="19" fillId="0" borderId="0" xfId="3" quotePrefix="1" applyFont="1" applyAlignment="1">
      <alignment vertical="top"/>
    </xf>
    <xf numFmtId="0" fontId="0" fillId="0" borderId="10" xfId="0" applyBorder="1"/>
    <xf numFmtId="0" fontId="0" fillId="0" borderId="11" xfId="0" applyBorder="1"/>
    <xf numFmtId="0" fontId="0" fillId="0" borderId="12" xfId="0" applyBorder="1"/>
    <xf numFmtId="170" fontId="0" fillId="0" borderId="0" xfId="0" applyNumberFormat="1"/>
    <xf numFmtId="171" fontId="0" fillId="0" borderId="0" xfId="0" applyNumberFormat="1"/>
    <xf numFmtId="172" fontId="0" fillId="0" borderId="0" xfId="0" applyNumberFormat="1"/>
    <xf numFmtId="0" fontId="28" fillId="0" borderId="0" xfId="0" applyFont="1"/>
    <xf numFmtId="0" fontId="29" fillId="0" borderId="0" xfId="0" applyFont="1"/>
    <xf numFmtId="0" fontId="0" fillId="0" borderId="0" xfId="0" applyAlignment="1">
      <alignment vertical="center" wrapText="1"/>
    </xf>
    <xf numFmtId="0" fontId="15" fillId="0" borderId="0" xfId="0" applyFont="1" applyAlignment="1">
      <alignment horizontal="center"/>
    </xf>
    <xf numFmtId="0" fontId="15" fillId="0" borderId="0" xfId="0" applyFont="1" applyAlignment="1">
      <alignment horizontal="left" wrapText="1"/>
    </xf>
    <xf numFmtId="14" fontId="30" fillId="0" borderId="0" xfId="0" applyNumberFormat="1" applyFont="1"/>
    <xf numFmtId="0" fontId="10" fillId="0" borderId="0" xfId="0" applyFont="1"/>
    <xf numFmtId="0" fontId="11" fillId="0" borderId="0" xfId="0" applyFont="1"/>
  </cellXfs>
  <cellStyles count="5">
    <cellStyle name="Hyperlink" xfId="2" builtinId="8"/>
    <cellStyle name="Hyperlink 2" xfId="4" xr:uid="{123C67ED-8DB4-4BF7-8831-E9DC43DB81F2}"/>
    <cellStyle name="Normal" xfId="0" builtinId="0"/>
    <cellStyle name="Normal 2" xfId="3" xr:uid="{5187A9F5-737C-414F-AA94-CCA9FBE0F201}"/>
    <cellStyle name="Percent" xfId="1"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19" formatCode="dd/mm/yyyy"/>
    </dxf>
  </dxfs>
  <tableStyles count="0" defaultTableStyle="TableStyleMedium2" defaultPivotStyle="PivotStyleLight16"/>
  <colors>
    <mruColors>
      <color rgb="FF014A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23/09/relationships/Python" Target="pyth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2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2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2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2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0.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Line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'6. Charts'!$B$5</c:f>
              <c:strCache>
                <c:ptCount val="1"/>
                <c:pt idx="0">
                  <c:v>Data 1</c:v>
                </c:pt>
              </c:strCache>
            </c:strRef>
          </c:tx>
          <c:spPr>
            <a:ln w="28575" cap="rnd">
              <a:solidFill>
                <a:schemeClr val="accent2"/>
              </a:solidFill>
              <a:round/>
            </a:ln>
            <a:effectLst/>
          </c:spPr>
          <c:marker>
            <c:symbol val="none"/>
          </c:marke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Charts'!$B$6:$B$49</c:f>
              <c:numCache>
                <c:formatCode>#,##0.00</c:formatCode>
                <c:ptCount val="44"/>
                <c:pt idx="0">
                  <c:v>2</c:v>
                </c:pt>
                <c:pt idx="1">
                  <c:v>-1</c:v>
                </c:pt>
                <c:pt idx="2">
                  <c:v>4</c:v>
                </c:pt>
                <c:pt idx="3">
                  <c:v>-1</c:v>
                </c:pt>
                <c:pt idx="4">
                  <c:v>4</c:v>
                </c:pt>
                <c:pt idx="5">
                  <c:v>5</c:v>
                </c:pt>
                <c:pt idx="6">
                  <c:v>5</c:v>
                </c:pt>
                <c:pt idx="7">
                  <c:v>2</c:v>
                </c:pt>
                <c:pt idx="8">
                  <c:v>-2</c:v>
                </c:pt>
                <c:pt idx="9">
                  <c:v>-1</c:v>
                </c:pt>
                <c:pt idx="10">
                  <c:v>-2</c:v>
                </c:pt>
                <c:pt idx="11">
                  <c:v>1</c:v>
                </c:pt>
                <c:pt idx="12">
                  <c:v>0</c:v>
                </c:pt>
                <c:pt idx="13">
                  <c:v>-3</c:v>
                </c:pt>
                <c:pt idx="14">
                  <c:v>-2</c:v>
                </c:pt>
                <c:pt idx="15">
                  <c:v>4</c:v>
                </c:pt>
                <c:pt idx="16">
                  <c:v>0</c:v>
                </c:pt>
                <c:pt idx="17">
                  <c:v>-1</c:v>
                </c:pt>
                <c:pt idx="18">
                  <c:v>-4</c:v>
                </c:pt>
                <c:pt idx="19">
                  <c:v>0</c:v>
                </c:pt>
                <c:pt idx="20">
                  <c:v>-2</c:v>
                </c:pt>
                <c:pt idx="21">
                  <c:v>-2</c:v>
                </c:pt>
                <c:pt idx="22">
                  <c:v>5</c:v>
                </c:pt>
                <c:pt idx="23">
                  <c:v>2</c:v>
                </c:pt>
                <c:pt idx="24">
                  <c:v>2</c:v>
                </c:pt>
                <c:pt idx="25">
                  <c:v>1</c:v>
                </c:pt>
                <c:pt idx="26">
                  <c:v>-2</c:v>
                </c:pt>
                <c:pt idx="27">
                  <c:v>3</c:v>
                </c:pt>
                <c:pt idx="28">
                  <c:v>2</c:v>
                </c:pt>
                <c:pt idx="29">
                  <c:v>-5</c:v>
                </c:pt>
                <c:pt idx="30">
                  <c:v>0</c:v>
                </c:pt>
                <c:pt idx="31">
                  <c:v>5</c:v>
                </c:pt>
                <c:pt idx="32">
                  <c:v>-5</c:v>
                </c:pt>
                <c:pt idx="33">
                  <c:v>-2</c:v>
                </c:pt>
                <c:pt idx="34">
                  <c:v>-5</c:v>
                </c:pt>
                <c:pt idx="35">
                  <c:v>3</c:v>
                </c:pt>
                <c:pt idx="36">
                  <c:v>4</c:v>
                </c:pt>
                <c:pt idx="37">
                  <c:v>3</c:v>
                </c:pt>
                <c:pt idx="38">
                  <c:v>0</c:v>
                </c:pt>
                <c:pt idx="39">
                  <c:v>-4</c:v>
                </c:pt>
                <c:pt idx="40">
                  <c:v>5</c:v>
                </c:pt>
                <c:pt idx="41">
                  <c:v>-4</c:v>
                </c:pt>
                <c:pt idx="42">
                  <c:v>4</c:v>
                </c:pt>
                <c:pt idx="43">
                  <c:v>1</c:v>
                </c:pt>
              </c:numCache>
            </c:numRef>
          </c:val>
          <c:smooth val="0"/>
          <c:extLst>
            <c:ext xmlns:c16="http://schemas.microsoft.com/office/drawing/2014/chart" uri="{C3380CC4-5D6E-409C-BE32-E72D297353CC}">
              <c16:uniqueId val="{00000001-CFF2-4FE5-94AB-3269B5688526}"/>
            </c:ext>
          </c:extLst>
        </c:ser>
        <c:ser>
          <c:idx val="2"/>
          <c:order val="1"/>
          <c:tx>
            <c:strRef>
              <c:f>'6. Charts'!$C$5</c:f>
              <c:strCache>
                <c:ptCount val="1"/>
                <c:pt idx="0">
                  <c:v>Data 2</c:v>
                </c:pt>
              </c:strCache>
            </c:strRef>
          </c:tx>
          <c:spPr>
            <a:ln w="28575" cap="rnd">
              <a:solidFill>
                <a:schemeClr val="accent3"/>
              </a:solidFill>
              <a:round/>
            </a:ln>
            <a:effectLst/>
          </c:spPr>
          <c:marker>
            <c:symbol val="none"/>
          </c:marke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Charts'!$C$6:$C$49</c:f>
              <c:numCache>
                <c:formatCode>#,##0.00</c:formatCode>
                <c:ptCount val="44"/>
                <c:pt idx="0">
                  <c:v>1.8109214372981315</c:v>
                </c:pt>
                <c:pt idx="1">
                  <c:v>2.5905737989007691</c:v>
                </c:pt>
                <c:pt idx="2">
                  <c:v>1.8142262935476663</c:v>
                </c:pt>
                <c:pt idx="3">
                  <c:v>1.9550141650678929</c:v>
                </c:pt>
                <c:pt idx="4">
                  <c:v>2.8363339306848254</c:v>
                </c:pt>
                <c:pt idx="5">
                  <c:v>2.1596363152368427</c:v>
                </c:pt>
                <c:pt idx="6">
                  <c:v>1.9599325373471794</c:v>
                </c:pt>
                <c:pt idx="7">
                  <c:v>1.875014876681754</c:v>
                </c:pt>
                <c:pt idx="8">
                  <c:v>1.7917186200425816</c:v>
                </c:pt>
                <c:pt idx="9">
                  <c:v>0.44552623141760328</c:v>
                </c:pt>
                <c:pt idx="10">
                  <c:v>2.8153261591835714</c:v>
                </c:pt>
                <c:pt idx="11">
                  <c:v>1.4053785810924828</c:v>
                </c:pt>
                <c:pt idx="12">
                  <c:v>2.5741667309607252</c:v>
                </c:pt>
                <c:pt idx="13">
                  <c:v>2.5622602011899778</c:v>
                </c:pt>
                <c:pt idx="14">
                  <c:v>2.7485502859952482</c:v>
                </c:pt>
                <c:pt idx="15">
                  <c:v>9.3779590993076201E-2</c:v>
                </c:pt>
                <c:pt idx="16">
                  <c:v>2.9788967610697545</c:v>
                </c:pt>
                <c:pt idx="17">
                  <c:v>2.9496437594343314</c:v>
                </c:pt>
                <c:pt idx="18">
                  <c:v>4.2043461718417219E-2</c:v>
                </c:pt>
                <c:pt idx="19">
                  <c:v>2.8917730838956124</c:v>
                </c:pt>
                <c:pt idx="20">
                  <c:v>1.9999379201029699</c:v>
                </c:pt>
                <c:pt idx="21">
                  <c:v>0.84491926684303353</c:v>
                </c:pt>
                <c:pt idx="22">
                  <c:v>1.9883541494724741</c:v>
                </c:pt>
                <c:pt idx="23">
                  <c:v>2.0982753709135715</c:v>
                </c:pt>
                <c:pt idx="24">
                  <c:v>0.11478237085731069</c:v>
                </c:pt>
                <c:pt idx="25">
                  <c:v>0.39021720267095206</c:v>
                </c:pt>
                <c:pt idx="26">
                  <c:v>2.7287134654179281</c:v>
                </c:pt>
                <c:pt idx="27">
                  <c:v>0.63618417138910355</c:v>
                </c:pt>
                <c:pt idx="28">
                  <c:v>2.2069290019763321</c:v>
                </c:pt>
                <c:pt idx="29">
                  <c:v>0.50173815733843996</c:v>
                </c:pt>
                <c:pt idx="30">
                  <c:v>1.9618935058689135</c:v>
                </c:pt>
                <c:pt idx="31">
                  <c:v>0.27848121516603996</c:v>
                </c:pt>
                <c:pt idx="32">
                  <c:v>2.0345714347173249</c:v>
                </c:pt>
                <c:pt idx="33">
                  <c:v>0.32276640359913511</c:v>
                </c:pt>
                <c:pt idx="34">
                  <c:v>1.0553036448004516</c:v>
                </c:pt>
                <c:pt idx="35">
                  <c:v>1.0415518072153302</c:v>
                </c:pt>
                <c:pt idx="36">
                  <c:v>0.73324271528591056</c:v>
                </c:pt>
                <c:pt idx="37">
                  <c:v>0.72673451456429117</c:v>
                </c:pt>
                <c:pt idx="38">
                  <c:v>2.5846117410114227</c:v>
                </c:pt>
                <c:pt idx="39">
                  <c:v>0.3676493154073206</c:v>
                </c:pt>
                <c:pt idx="40">
                  <c:v>1.3885648278661464</c:v>
                </c:pt>
                <c:pt idx="41">
                  <c:v>1.1818591336976039</c:v>
                </c:pt>
                <c:pt idx="42">
                  <c:v>0.18444621686123341</c:v>
                </c:pt>
                <c:pt idx="43">
                  <c:v>0.43911508427168433</c:v>
                </c:pt>
              </c:numCache>
            </c:numRef>
          </c:val>
          <c:smooth val="0"/>
          <c:extLst>
            <c:ext xmlns:c16="http://schemas.microsoft.com/office/drawing/2014/chart" uri="{C3380CC4-5D6E-409C-BE32-E72D297353CC}">
              <c16:uniqueId val="{00000002-CFF2-4FE5-94AB-3269B5688526}"/>
            </c:ext>
          </c:extLst>
        </c:ser>
        <c:ser>
          <c:idx val="3"/>
          <c:order val="2"/>
          <c:tx>
            <c:strRef>
              <c:f>'6. Charts'!$D$5</c:f>
              <c:strCache>
                <c:ptCount val="1"/>
                <c:pt idx="0">
                  <c:v>Data 3</c:v>
                </c:pt>
              </c:strCache>
            </c:strRef>
          </c:tx>
          <c:spPr>
            <a:ln w="28575" cap="rnd">
              <a:solidFill>
                <a:schemeClr val="accent4"/>
              </a:solidFill>
              <a:round/>
            </a:ln>
            <a:effectLst/>
          </c:spPr>
          <c:marker>
            <c:symbol val="none"/>
          </c:marke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val>
          <c:smooth val="0"/>
          <c:extLst>
            <c:ext xmlns:c16="http://schemas.microsoft.com/office/drawing/2014/chart" uri="{C3380CC4-5D6E-409C-BE32-E72D297353CC}">
              <c16:uniqueId val="{00000003-CFF2-4FE5-94AB-3269B5688526}"/>
            </c:ext>
          </c:extLst>
        </c:ser>
        <c:ser>
          <c:idx val="4"/>
          <c:order val="3"/>
          <c:tx>
            <c:strRef>
              <c:f>'6. Charts'!$E$5</c:f>
              <c:strCache>
                <c:ptCount val="1"/>
                <c:pt idx="0">
                  <c:v>Data 4</c:v>
                </c:pt>
              </c:strCache>
            </c:strRef>
          </c:tx>
          <c:spPr>
            <a:ln w="28575" cap="rnd">
              <a:solidFill>
                <a:schemeClr val="accent5"/>
              </a:solidFill>
              <a:round/>
            </a:ln>
            <a:effectLst/>
          </c:spPr>
          <c:marker>
            <c:symbol val="none"/>
          </c:marke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Charts'!$E$6:$E$49</c:f>
              <c:numCache>
                <c:formatCode>#,##0.00</c:formatCode>
                <c:ptCount val="44"/>
                <c:pt idx="0">
                  <c:v>1.0535863885888921</c:v>
                </c:pt>
                <c:pt idx="1">
                  <c:v>-1.0937479096589318</c:v>
                </c:pt>
                <c:pt idx="2">
                  <c:v>21.436142209616996</c:v>
                </c:pt>
                <c:pt idx="3">
                  <c:v>-0.81114673752533961</c:v>
                </c:pt>
                <c:pt idx="4">
                  <c:v>1.7427168115770999</c:v>
                </c:pt>
                <c:pt idx="5">
                  <c:v>9.7998375208759789</c:v>
                </c:pt>
                <c:pt idx="6">
                  <c:v>2.6383475194258241</c:v>
                </c:pt>
                <c:pt idx="7">
                  <c:v>1.9667171440659352</c:v>
                </c:pt>
                <c:pt idx="8">
                  <c:v>-1.6572157673278893</c:v>
                </c:pt>
                <c:pt idx="9">
                  <c:v>-1.0721601939677019</c:v>
                </c:pt>
                <c:pt idx="10">
                  <c:v>-1.3667979593696533</c:v>
                </c:pt>
                <c:pt idx="11">
                  <c:v>3.7543815003844063</c:v>
                </c:pt>
                <c:pt idx="12">
                  <c:v>0</c:v>
                </c:pt>
                <c:pt idx="13">
                  <c:v>-7.0581234960348986</c:v>
                </c:pt>
                <c:pt idx="14">
                  <c:v>-2.382027490382121</c:v>
                </c:pt>
                <c:pt idx="15">
                  <c:v>8.9091714761648007</c:v>
                </c:pt>
                <c:pt idx="16">
                  <c:v>0</c:v>
                </c:pt>
                <c:pt idx="17">
                  <c:v>-0.56835412136087005</c:v>
                </c:pt>
                <c:pt idx="18">
                  <c:v>-2.8761874412424495</c:v>
                </c:pt>
                <c:pt idx="19">
                  <c:v>0</c:v>
                </c:pt>
                <c:pt idx="20">
                  <c:v>-1.0641587757944062</c:v>
                </c:pt>
                <c:pt idx="21">
                  <c:v>-1.4771883087268423</c:v>
                </c:pt>
                <c:pt idx="22">
                  <c:v>4.8113779209706999</c:v>
                </c:pt>
                <c:pt idx="23">
                  <c:v>2.297296339337628</c:v>
                </c:pt>
                <c:pt idx="24">
                  <c:v>1.2602684623351494</c:v>
                </c:pt>
                <c:pt idx="25">
                  <c:v>1.0110366391300989</c:v>
                </c:pt>
                <c:pt idx="26">
                  <c:v>-5.8299167359071875</c:v>
                </c:pt>
                <c:pt idx="27">
                  <c:v>8.6896473619859993</c:v>
                </c:pt>
                <c:pt idx="28">
                  <c:v>3.3840281939889536</c:v>
                </c:pt>
                <c:pt idx="29">
                  <c:v>-3.1115125260320426</c:v>
                </c:pt>
                <c:pt idx="30">
                  <c:v>0</c:v>
                </c:pt>
                <c:pt idx="31">
                  <c:v>2.5432131685481982</c:v>
                </c:pt>
                <c:pt idx="32">
                  <c:v>-2.533567579017987</c:v>
                </c:pt>
                <c:pt idx="33">
                  <c:v>-2.9546624453981676</c:v>
                </c:pt>
                <c:pt idx="34">
                  <c:v>-0.91017341412450004</c:v>
                </c:pt>
                <c:pt idx="35">
                  <c:v>3.0839267191792028</c:v>
                </c:pt>
                <c:pt idx="36">
                  <c:v>2.143960764507022</c:v>
                </c:pt>
                <c:pt idx="37">
                  <c:v>2.6838478218474151</c:v>
                </c:pt>
                <c:pt idx="38">
                  <c:v>0</c:v>
                </c:pt>
                <c:pt idx="39">
                  <c:v>-7.9571479379693519</c:v>
                </c:pt>
                <c:pt idx="40">
                  <c:v>4.6465086136534381</c:v>
                </c:pt>
                <c:pt idx="41">
                  <c:v>-3.0194676687115347</c:v>
                </c:pt>
                <c:pt idx="42">
                  <c:v>2.2154595164630355</c:v>
                </c:pt>
                <c:pt idx="43">
                  <c:v>0.60138159504017319</c:v>
                </c:pt>
              </c:numCache>
            </c:numRef>
          </c:val>
          <c:smooth val="0"/>
          <c:extLst>
            <c:ext xmlns:c16="http://schemas.microsoft.com/office/drawing/2014/chart" uri="{C3380CC4-5D6E-409C-BE32-E72D297353CC}">
              <c16:uniqueId val="{00000004-CFF2-4FE5-94AB-3269B5688526}"/>
            </c:ext>
          </c:extLst>
        </c:ser>
        <c:dLbls>
          <c:showLegendKey val="0"/>
          <c:showVal val="0"/>
          <c:showCatName val="0"/>
          <c:showSerName val="0"/>
          <c:showPercent val="0"/>
          <c:showBubbleSize val="0"/>
        </c:dLbls>
        <c:smooth val="0"/>
        <c:axId val="1596755552"/>
        <c:axId val="1596761312"/>
      </c:lineChart>
      <c:catAx>
        <c:axId val="15967555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61312"/>
        <c:crosses val="autoZero"/>
        <c:auto val="1"/>
        <c:lblAlgn val="ctr"/>
        <c:lblOffset val="100"/>
        <c:noMultiLvlLbl val="0"/>
      </c:catAx>
      <c:valAx>
        <c:axId val="1596761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55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Line Chart with Markers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'6. Charts'!$B$5</c:f>
              <c:strCache>
                <c:ptCount val="1"/>
                <c:pt idx="0">
                  <c:v>Data 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Charts'!$B$6:$B$49</c:f>
              <c:numCache>
                <c:formatCode>#,##0.00</c:formatCode>
                <c:ptCount val="44"/>
                <c:pt idx="0">
                  <c:v>2</c:v>
                </c:pt>
                <c:pt idx="1">
                  <c:v>-1</c:v>
                </c:pt>
                <c:pt idx="2">
                  <c:v>4</c:v>
                </c:pt>
                <c:pt idx="3">
                  <c:v>-1</c:v>
                </c:pt>
                <c:pt idx="4">
                  <c:v>4</c:v>
                </c:pt>
                <c:pt idx="5">
                  <c:v>5</c:v>
                </c:pt>
                <c:pt idx="6">
                  <c:v>5</c:v>
                </c:pt>
                <c:pt idx="7">
                  <c:v>2</c:v>
                </c:pt>
                <c:pt idx="8">
                  <c:v>-2</c:v>
                </c:pt>
                <c:pt idx="9">
                  <c:v>-1</c:v>
                </c:pt>
                <c:pt idx="10">
                  <c:v>-2</c:v>
                </c:pt>
                <c:pt idx="11">
                  <c:v>1</c:v>
                </c:pt>
                <c:pt idx="12">
                  <c:v>0</c:v>
                </c:pt>
                <c:pt idx="13">
                  <c:v>-3</c:v>
                </c:pt>
                <c:pt idx="14">
                  <c:v>-2</c:v>
                </c:pt>
                <c:pt idx="15">
                  <c:v>4</c:v>
                </c:pt>
                <c:pt idx="16">
                  <c:v>0</c:v>
                </c:pt>
                <c:pt idx="17">
                  <c:v>-1</c:v>
                </c:pt>
                <c:pt idx="18">
                  <c:v>-4</c:v>
                </c:pt>
                <c:pt idx="19">
                  <c:v>0</c:v>
                </c:pt>
                <c:pt idx="20">
                  <c:v>-2</c:v>
                </c:pt>
                <c:pt idx="21">
                  <c:v>-2</c:v>
                </c:pt>
                <c:pt idx="22">
                  <c:v>5</c:v>
                </c:pt>
                <c:pt idx="23">
                  <c:v>2</c:v>
                </c:pt>
                <c:pt idx="24">
                  <c:v>2</c:v>
                </c:pt>
                <c:pt idx="25">
                  <c:v>1</c:v>
                </c:pt>
                <c:pt idx="26">
                  <c:v>-2</c:v>
                </c:pt>
                <c:pt idx="27">
                  <c:v>3</c:v>
                </c:pt>
                <c:pt idx="28">
                  <c:v>2</c:v>
                </c:pt>
                <c:pt idx="29">
                  <c:v>-5</c:v>
                </c:pt>
                <c:pt idx="30">
                  <c:v>0</c:v>
                </c:pt>
                <c:pt idx="31">
                  <c:v>5</c:v>
                </c:pt>
                <c:pt idx="32">
                  <c:v>-5</c:v>
                </c:pt>
                <c:pt idx="33">
                  <c:v>-2</c:v>
                </c:pt>
                <c:pt idx="34">
                  <c:v>-5</c:v>
                </c:pt>
                <c:pt idx="35">
                  <c:v>3</c:v>
                </c:pt>
                <c:pt idx="36">
                  <c:v>4</c:v>
                </c:pt>
                <c:pt idx="37">
                  <c:v>3</c:v>
                </c:pt>
                <c:pt idx="38">
                  <c:v>0</c:v>
                </c:pt>
                <c:pt idx="39">
                  <c:v>-4</c:v>
                </c:pt>
                <c:pt idx="40">
                  <c:v>5</c:v>
                </c:pt>
                <c:pt idx="41">
                  <c:v>-4</c:v>
                </c:pt>
                <c:pt idx="42">
                  <c:v>4</c:v>
                </c:pt>
                <c:pt idx="43">
                  <c:v>1</c:v>
                </c:pt>
              </c:numCache>
            </c:numRef>
          </c:val>
          <c:smooth val="0"/>
          <c:extLst>
            <c:ext xmlns:c16="http://schemas.microsoft.com/office/drawing/2014/chart" uri="{C3380CC4-5D6E-409C-BE32-E72D297353CC}">
              <c16:uniqueId val="{00000000-5A94-4EFD-AFAE-77AE4F160C0F}"/>
            </c:ext>
          </c:extLst>
        </c:ser>
        <c:ser>
          <c:idx val="2"/>
          <c:order val="1"/>
          <c:tx>
            <c:strRef>
              <c:f>'6. Charts'!$C$5</c:f>
              <c:strCache>
                <c:ptCount val="1"/>
                <c:pt idx="0">
                  <c:v>Data 2</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Charts'!$C$6:$C$49</c:f>
              <c:numCache>
                <c:formatCode>#,##0.00</c:formatCode>
                <c:ptCount val="44"/>
                <c:pt idx="0">
                  <c:v>1.8109214372981315</c:v>
                </c:pt>
                <c:pt idx="1">
                  <c:v>2.5905737989007691</c:v>
                </c:pt>
                <c:pt idx="2">
                  <c:v>1.8142262935476663</c:v>
                </c:pt>
                <c:pt idx="3">
                  <c:v>1.9550141650678929</c:v>
                </c:pt>
                <c:pt idx="4">
                  <c:v>2.8363339306848254</c:v>
                </c:pt>
                <c:pt idx="5">
                  <c:v>2.1596363152368427</c:v>
                </c:pt>
                <c:pt idx="6">
                  <c:v>1.9599325373471794</c:v>
                </c:pt>
                <c:pt idx="7">
                  <c:v>1.875014876681754</c:v>
                </c:pt>
                <c:pt idx="8">
                  <c:v>1.7917186200425816</c:v>
                </c:pt>
                <c:pt idx="9">
                  <c:v>0.44552623141760328</c:v>
                </c:pt>
                <c:pt idx="10">
                  <c:v>2.8153261591835714</c:v>
                </c:pt>
                <c:pt idx="11">
                  <c:v>1.4053785810924828</c:v>
                </c:pt>
                <c:pt idx="12">
                  <c:v>2.5741667309607252</c:v>
                </c:pt>
                <c:pt idx="13">
                  <c:v>2.5622602011899778</c:v>
                </c:pt>
                <c:pt idx="14">
                  <c:v>2.7485502859952482</c:v>
                </c:pt>
                <c:pt idx="15">
                  <c:v>9.3779590993076201E-2</c:v>
                </c:pt>
                <c:pt idx="16">
                  <c:v>2.9788967610697545</c:v>
                </c:pt>
                <c:pt idx="17">
                  <c:v>2.9496437594343314</c:v>
                </c:pt>
                <c:pt idx="18">
                  <c:v>4.2043461718417219E-2</c:v>
                </c:pt>
                <c:pt idx="19">
                  <c:v>2.8917730838956124</c:v>
                </c:pt>
                <c:pt idx="20">
                  <c:v>1.9999379201029699</c:v>
                </c:pt>
                <c:pt idx="21">
                  <c:v>0.84491926684303353</c:v>
                </c:pt>
                <c:pt idx="22">
                  <c:v>1.9883541494724741</c:v>
                </c:pt>
                <c:pt idx="23">
                  <c:v>2.0982753709135715</c:v>
                </c:pt>
                <c:pt idx="24">
                  <c:v>0.11478237085731069</c:v>
                </c:pt>
                <c:pt idx="25">
                  <c:v>0.39021720267095206</c:v>
                </c:pt>
                <c:pt idx="26">
                  <c:v>2.7287134654179281</c:v>
                </c:pt>
                <c:pt idx="27">
                  <c:v>0.63618417138910355</c:v>
                </c:pt>
                <c:pt idx="28">
                  <c:v>2.2069290019763321</c:v>
                </c:pt>
                <c:pt idx="29">
                  <c:v>0.50173815733843996</c:v>
                </c:pt>
                <c:pt idx="30">
                  <c:v>1.9618935058689135</c:v>
                </c:pt>
                <c:pt idx="31">
                  <c:v>0.27848121516603996</c:v>
                </c:pt>
                <c:pt idx="32">
                  <c:v>2.0345714347173249</c:v>
                </c:pt>
                <c:pt idx="33">
                  <c:v>0.32276640359913511</c:v>
                </c:pt>
                <c:pt idx="34">
                  <c:v>1.0553036448004516</c:v>
                </c:pt>
                <c:pt idx="35">
                  <c:v>1.0415518072153302</c:v>
                </c:pt>
                <c:pt idx="36">
                  <c:v>0.73324271528591056</c:v>
                </c:pt>
                <c:pt idx="37">
                  <c:v>0.72673451456429117</c:v>
                </c:pt>
                <c:pt idx="38">
                  <c:v>2.5846117410114227</c:v>
                </c:pt>
                <c:pt idx="39">
                  <c:v>0.3676493154073206</c:v>
                </c:pt>
                <c:pt idx="40">
                  <c:v>1.3885648278661464</c:v>
                </c:pt>
                <c:pt idx="41">
                  <c:v>1.1818591336976039</c:v>
                </c:pt>
                <c:pt idx="42">
                  <c:v>0.18444621686123341</c:v>
                </c:pt>
                <c:pt idx="43">
                  <c:v>0.43911508427168433</c:v>
                </c:pt>
              </c:numCache>
            </c:numRef>
          </c:val>
          <c:smooth val="0"/>
          <c:extLst>
            <c:ext xmlns:c16="http://schemas.microsoft.com/office/drawing/2014/chart" uri="{C3380CC4-5D6E-409C-BE32-E72D297353CC}">
              <c16:uniqueId val="{00000001-5A94-4EFD-AFAE-77AE4F160C0F}"/>
            </c:ext>
          </c:extLst>
        </c:ser>
        <c:ser>
          <c:idx val="3"/>
          <c:order val="2"/>
          <c:tx>
            <c:strRef>
              <c:f>'6. Charts'!$D$5</c:f>
              <c:strCache>
                <c:ptCount val="1"/>
                <c:pt idx="0">
                  <c:v>Data 3</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val>
          <c:smooth val="0"/>
          <c:extLst>
            <c:ext xmlns:c16="http://schemas.microsoft.com/office/drawing/2014/chart" uri="{C3380CC4-5D6E-409C-BE32-E72D297353CC}">
              <c16:uniqueId val="{00000002-5A94-4EFD-AFAE-77AE4F160C0F}"/>
            </c:ext>
          </c:extLst>
        </c:ser>
        <c:ser>
          <c:idx val="4"/>
          <c:order val="3"/>
          <c:tx>
            <c:strRef>
              <c:f>'6. Charts'!$E$5</c:f>
              <c:strCache>
                <c:ptCount val="1"/>
                <c:pt idx="0">
                  <c:v>Data 4</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Charts'!$E$6:$E$49</c:f>
              <c:numCache>
                <c:formatCode>#,##0.00</c:formatCode>
                <c:ptCount val="44"/>
                <c:pt idx="0">
                  <c:v>1.0535863885888921</c:v>
                </c:pt>
                <c:pt idx="1">
                  <c:v>-1.0937479096589318</c:v>
                </c:pt>
                <c:pt idx="2">
                  <c:v>21.436142209616996</c:v>
                </c:pt>
                <c:pt idx="3">
                  <c:v>-0.81114673752533961</c:v>
                </c:pt>
                <c:pt idx="4">
                  <c:v>1.7427168115770999</c:v>
                </c:pt>
                <c:pt idx="5">
                  <c:v>9.7998375208759789</c:v>
                </c:pt>
                <c:pt idx="6">
                  <c:v>2.6383475194258241</c:v>
                </c:pt>
                <c:pt idx="7">
                  <c:v>1.9667171440659352</c:v>
                </c:pt>
                <c:pt idx="8">
                  <c:v>-1.6572157673278893</c:v>
                </c:pt>
                <c:pt idx="9">
                  <c:v>-1.0721601939677019</c:v>
                </c:pt>
                <c:pt idx="10">
                  <c:v>-1.3667979593696533</c:v>
                </c:pt>
                <c:pt idx="11">
                  <c:v>3.7543815003844063</c:v>
                </c:pt>
                <c:pt idx="12">
                  <c:v>0</c:v>
                </c:pt>
                <c:pt idx="13">
                  <c:v>-7.0581234960348986</c:v>
                </c:pt>
                <c:pt idx="14">
                  <c:v>-2.382027490382121</c:v>
                </c:pt>
                <c:pt idx="15">
                  <c:v>8.9091714761648007</c:v>
                </c:pt>
                <c:pt idx="16">
                  <c:v>0</c:v>
                </c:pt>
                <c:pt idx="17">
                  <c:v>-0.56835412136087005</c:v>
                </c:pt>
                <c:pt idx="18">
                  <c:v>-2.8761874412424495</c:v>
                </c:pt>
                <c:pt idx="19">
                  <c:v>0</c:v>
                </c:pt>
                <c:pt idx="20">
                  <c:v>-1.0641587757944062</c:v>
                </c:pt>
                <c:pt idx="21">
                  <c:v>-1.4771883087268423</c:v>
                </c:pt>
                <c:pt idx="22">
                  <c:v>4.8113779209706999</c:v>
                </c:pt>
                <c:pt idx="23">
                  <c:v>2.297296339337628</c:v>
                </c:pt>
                <c:pt idx="24">
                  <c:v>1.2602684623351494</c:v>
                </c:pt>
                <c:pt idx="25">
                  <c:v>1.0110366391300989</c:v>
                </c:pt>
                <c:pt idx="26">
                  <c:v>-5.8299167359071875</c:v>
                </c:pt>
                <c:pt idx="27">
                  <c:v>8.6896473619859993</c:v>
                </c:pt>
                <c:pt idx="28">
                  <c:v>3.3840281939889536</c:v>
                </c:pt>
                <c:pt idx="29">
                  <c:v>-3.1115125260320426</c:v>
                </c:pt>
                <c:pt idx="30">
                  <c:v>0</c:v>
                </c:pt>
                <c:pt idx="31">
                  <c:v>2.5432131685481982</c:v>
                </c:pt>
                <c:pt idx="32">
                  <c:v>-2.533567579017987</c:v>
                </c:pt>
                <c:pt idx="33">
                  <c:v>-2.9546624453981676</c:v>
                </c:pt>
                <c:pt idx="34">
                  <c:v>-0.91017341412450004</c:v>
                </c:pt>
                <c:pt idx="35">
                  <c:v>3.0839267191792028</c:v>
                </c:pt>
                <c:pt idx="36">
                  <c:v>2.143960764507022</c:v>
                </c:pt>
                <c:pt idx="37">
                  <c:v>2.6838478218474151</c:v>
                </c:pt>
                <c:pt idx="38">
                  <c:v>0</c:v>
                </c:pt>
                <c:pt idx="39">
                  <c:v>-7.9571479379693519</c:v>
                </c:pt>
                <c:pt idx="40">
                  <c:v>4.6465086136534381</c:v>
                </c:pt>
                <c:pt idx="41">
                  <c:v>-3.0194676687115347</c:v>
                </c:pt>
                <c:pt idx="42">
                  <c:v>2.2154595164630355</c:v>
                </c:pt>
                <c:pt idx="43">
                  <c:v>0.60138159504017319</c:v>
                </c:pt>
              </c:numCache>
            </c:numRef>
          </c:val>
          <c:smooth val="0"/>
          <c:extLst>
            <c:ext xmlns:c16="http://schemas.microsoft.com/office/drawing/2014/chart" uri="{C3380CC4-5D6E-409C-BE32-E72D297353CC}">
              <c16:uniqueId val="{00000003-5A94-4EFD-AFAE-77AE4F160C0F}"/>
            </c:ext>
          </c:extLst>
        </c:ser>
        <c:dLbls>
          <c:showLegendKey val="0"/>
          <c:showVal val="0"/>
          <c:showCatName val="0"/>
          <c:showSerName val="0"/>
          <c:showPercent val="0"/>
          <c:showBubbleSize val="0"/>
        </c:dLbls>
        <c:marker val="1"/>
        <c:smooth val="0"/>
        <c:axId val="1596755552"/>
        <c:axId val="1596761312"/>
      </c:lineChart>
      <c:catAx>
        <c:axId val="15967555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61312"/>
        <c:crosses val="autoZero"/>
        <c:auto val="1"/>
        <c:lblAlgn val="ctr"/>
        <c:lblOffset val="100"/>
        <c:noMultiLvlLbl val="0"/>
      </c:catAx>
      <c:valAx>
        <c:axId val="1596761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55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Area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1"/>
          <c:order val="0"/>
          <c:tx>
            <c:strRef>
              <c:f>'6. Charts'!$B$5</c:f>
              <c:strCache>
                <c:ptCount val="1"/>
                <c:pt idx="0">
                  <c:v>Data 1</c:v>
                </c:pt>
              </c:strCache>
            </c:strRef>
          </c:tx>
          <c:spPr>
            <a:solidFill>
              <a:schemeClr val="accent2"/>
            </a:solidFill>
            <a:ln>
              <a:noFill/>
            </a:ln>
            <a:effectLst/>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Charts'!$B$6:$B$49</c:f>
              <c:numCache>
                <c:formatCode>#,##0.00</c:formatCode>
                <c:ptCount val="44"/>
                <c:pt idx="0">
                  <c:v>2</c:v>
                </c:pt>
                <c:pt idx="1">
                  <c:v>-1</c:v>
                </c:pt>
                <c:pt idx="2">
                  <c:v>4</c:v>
                </c:pt>
                <c:pt idx="3">
                  <c:v>-1</c:v>
                </c:pt>
                <c:pt idx="4">
                  <c:v>4</c:v>
                </c:pt>
                <c:pt idx="5">
                  <c:v>5</c:v>
                </c:pt>
                <c:pt idx="6">
                  <c:v>5</c:v>
                </c:pt>
                <c:pt idx="7">
                  <c:v>2</c:v>
                </c:pt>
                <c:pt idx="8">
                  <c:v>-2</c:v>
                </c:pt>
                <c:pt idx="9">
                  <c:v>-1</c:v>
                </c:pt>
                <c:pt idx="10">
                  <c:v>-2</c:v>
                </c:pt>
                <c:pt idx="11">
                  <c:v>1</c:v>
                </c:pt>
                <c:pt idx="12">
                  <c:v>0</c:v>
                </c:pt>
                <c:pt idx="13">
                  <c:v>-3</c:v>
                </c:pt>
                <c:pt idx="14">
                  <c:v>-2</c:v>
                </c:pt>
                <c:pt idx="15">
                  <c:v>4</c:v>
                </c:pt>
                <c:pt idx="16">
                  <c:v>0</c:v>
                </c:pt>
                <c:pt idx="17">
                  <c:v>-1</c:v>
                </c:pt>
                <c:pt idx="18">
                  <c:v>-4</c:v>
                </c:pt>
                <c:pt idx="19">
                  <c:v>0</c:v>
                </c:pt>
                <c:pt idx="20">
                  <c:v>-2</c:v>
                </c:pt>
                <c:pt idx="21">
                  <c:v>-2</c:v>
                </c:pt>
                <c:pt idx="22">
                  <c:v>5</c:v>
                </c:pt>
                <c:pt idx="23">
                  <c:v>2</c:v>
                </c:pt>
                <c:pt idx="24">
                  <c:v>2</c:v>
                </c:pt>
                <c:pt idx="25">
                  <c:v>1</c:v>
                </c:pt>
                <c:pt idx="26">
                  <c:v>-2</c:v>
                </c:pt>
                <c:pt idx="27">
                  <c:v>3</c:v>
                </c:pt>
                <c:pt idx="28">
                  <c:v>2</c:v>
                </c:pt>
                <c:pt idx="29">
                  <c:v>-5</c:v>
                </c:pt>
                <c:pt idx="30">
                  <c:v>0</c:v>
                </c:pt>
                <c:pt idx="31">
                  <c:v>5</c:v>
                </c:pt>
                <c:pt idx="32">
                  <c:v>-5</c:v>
                </c:pt>
                <c:pt idx="33">
                  <c:v>-2</c:v>
                </c:pt>
                <c:pt idx="34">
                  <c:v>-5</c:v>
                </c:pt>
                <c:pt idx="35">
                  <c:v>3</c:v>
                </c:pt>
                <c:pt idx="36">
                  <c:v>4</c:v>
                </c:pt>
                <c:pt idx="37">
                  <c:v>3</c:v>
                </c:pt>
                <c:pt idx="38">
                  <c:v>0</c:v>
                </c:pt>
                <c:pt idx="39">
                  <c:v>-4</c:v>
                </c:pt>
                <c:pt idx="40">
                  <c:v>5</c:v>
                </c:pt>
                <c:pt idx="41">
                  <c:v>-4</c:v>
                </c:pt>
                <c:pt idx="42">
                  <c:v>4</c:v>
                </c:pt>
                <c:pt idx="43">
                  <c:v>1</c:v>
                </c:pt>
              </c:numCache>
            </c:numRef>
          </c:val>
          <c:extLst>
            <c:ext xmlns:c16="http://schemas.microsoft.com/office/drawing/2014/chart" uri="{C3380CC4-5D6E-409C-BE32-E72D297353CC}">
              <c16:uniqueId val="{00000000-5FEB-4CF3-8D92-234A27D9183F}"/>
            </c:ext>
          </c:extLst>
        </c:ser>
        <c:ser>
          <c:idx val="2"/>
          <c:order val="1"/>
          <c:tx>
            <c:strRef>
              <c:f>'6. Charts'!$C$5</c:f>
              <c:strCache>
                <c:ptCount val="1"/>
                <c:pt idx="0">
                  <c:v>Data 2</c:v>
                </c:pt>
              </c:strCache>
            </c:strRef>
          </c:tx>
          <c:spPr>
            <a:solidFill>
              <a:schemeClr val="accent3"/>
            </a:solidFill>
            <a:ln>
              <a:noFill/>
            </a:ln>
            <a:effectLst/>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Charts'!$C$6:$C$49</c:f>
              <c:numCache>
                <c:formatCode>#,##0.00</c:formatCode>
                <c:ptCount val="44"/>
                <c:pt idx="0">
                  <c:v>1.8109214372981315</c:v>
                </c:pt>
                <c:pt idx="1">
                  <c:v>2.5905737989007691</c:v>
                </c:pt>
                <c:pt idx="2">
                  <c:v>1.8142262935476663</c:v>
                </c:pt>
                <c:pt idx="3">
                  <c:v>1.9550141650678929</c:v>
                </c:pt>
                <c:pt idx="4">
                  <c:v>2.8363339306848254</c:v>
                </c:pt>
                <c:pt idx="5">
                  <c:v>2.1596363152368427</c:v>
                </c:pt>
                <c:pt idx="6">
                  <c:v>1.9599325373471794</c:v>
                </c:pt>
                <c:pt idx="7">
                  <c:v>1.875014876681754</c:v>
                </c:pt>
                <c:pt idx="8">
                  <c:v>1.7917186200425816</c:v>
                </c:pt>
                <c:pt idx="9">
                  <c:v>0.44552623141760328</c:v>
                </c:pt>
                <c:pt idx="10">
                  <c:v>2.8153261591835714</c:v>
                </c:pt>
                <c:pt idx="11">
                  <c:v>1.4053785810924828</c:v>
                </c:pt>
                <c:pt idx="12">
                  <c:v>2.5741667309607252</c:v>
                </c:pt>
                <c:pt idx="13">
                  <c:v>2.5622602011899778</c:v>
                </c:pt>
                <c:pt idx="14">
                  <c:v>2.7485502859952482</c:v>
                </c:pt>
                <c:pt idx="15">
                  <c:v>9.3779590993076201E-2</c:v>
                </c:pt>
                <c:pt idx="16">
                  <c:v>2.9788967610697545</c:v>
                </c:pt>
                <c:pt idx="17">
                  <c:v>2.9496437594343314</c:v>
                </c:pt>
                <c:pt idx="18">
                  <c:v>4.2043461718417219E-2</c:v>
                </c:pt>
                <c:pt idx="19">
                  <c:v>2.8917730838956124</c:v>
                </c:pt>
                <c:pt idx="20">
                  <c:v>1.9999379201029699</c:v>
                </c:pt>
                <c:pt idx="21">
                  <c:v>0.84491926684303353</c:v>
                </c:pt>
                <c:pt idx="22">
                  <c:v>1.9883541494724741</c:v>
                </c:pt>
                <c:pt idx="23">
                  <c:v>2.0982753709135715</c:v>
                </c:pt>
                <c:pt idx="24">
                  <c:v>0.11478237085731069</c:v>
                </c:pt>
                <c:pt idx="25">
                  <c:v>0.39021720267095206</c:v>
                </c:pt>
                <c:pt idx="26">
                  <c:v>2.7287134654179281</c:v>
                </c:pt>
                <c:pt idx="27">
                  <c:v>0.63618417138910355</c:v>
                </c:pt>
                <c:pt idx="28">
                  <c:v>2.2069290019763321</c:v>
                </c:pt>
                <c:pt idx="29">
                  <c:v>0.50173815733843996</c:v>
                </c:pt>
                <c:pt idx="30">
                  <c:v>1.9618935058689135</c:v>
                </c:pt>
                <c:pt idx="31">
                  <c:v>0.27848121516603996</c:v>
                </c:pt>
                <c:pt idx="32">
                  <c:v>2.0345714347173249</c:v>
                </c:pt>
                <c:pt idx="33">
                  <c:v>0.32276640359913511</c:v>
                </c:pt>
                <c:pt idx="34">
                  <c:v>1.0553036448004516</c:v>
                </c:pt>
                <c:pt idx="35">
                  <c:v>1.0415518072153302</c:v>
                </c:pt>
                <c:pt idx="36">
                  <c:v>0.73324271528591056</c:v>
                </c:pt>
                <c:pt idx="37">
                  <c:v>0.72673451456429117</c:v>
                </c:pt>
                <c:pt idx="38">
                  <c:v>2.5846117410114227</c:v>
                </c:pt>
                <c:pt idx="39">
                  <c:v>0.3676493154073206</c:v>
                </c:pt>
                <c:pt idx="40">
                  <c:v>1.3885648278661464</c:v>
                </c:pt>
                <c:pt idx="41">
                  <c:v>1.1818591336976039</c:v>
                </c:pt>
                <c:pt idx="42">
                  <c:v>0.18444621686123341</c:v>
                </c:pt>
                <c:pt idx="43">
                  <c:v>0.43911508427168433</c:v>
                </c:pt>
              </c:numCache>
            </c:numRef>
          </c:val>
          <c:extLst>
            <c:ext xmlns:c16="http://schemas.microsoft.com/office/drawing/2014/chart" uri="{C3380CC4-5D6E-409C-BE32-E72D297353CC}">
              <c16:uniqueId val="{00000001-5FEB-4CF3-8D92-234A27D9183F}"/>
            </c:ext>
          </c:extLst>
        </c:ser>
        <c:ser>
          <c:idx val="3"/>
          <c:order val="2"/>
          <c:tx>
            <c:strRef>
              <c:f>'6. Charts'!$D$5</c:f>
              <c:strCache>
                <c:ptCount val="1"/>
                <c:pt idx="0">
                  <c:v>Data 3</c:v>
                </c:pt>
              </c:strCache>
            </c:strRef>
          </c:tx>
          <c:spPr>
            <a:solidFill>
              <a:schemeClr val="accent4"/>
            </a:solidFill>
            <a:ln>
              <a:noFill/>
            </a:ln>
            <a:effectLst/>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val>
          <c:extLst>
            <c:ext xmlns:c16="http://schemas.microsoft.com/office/drawing/2014/chart" uri="{C3380CC4-5D6E-409C-BE32-E72D297353CC}">
              <c16:uniqueId val="{00000002-5FEB-4CF3-8D92-234A27D9183F}"/>
            </c:ext>
          </c:extLst>
        </c:ser>
        <c:ser>
          <c:idx val="4"/>
          <c:order val="3"/>
          <c:tx>
            <c:strRef>
              <c:f>'6. Charts'!$E$5</c:f>
              <c:strCache>
                <c:ptCount val="1"/>
                <c:pt idx="0">
                  <c:v>Data 4</c:v>
                </c:pt>
              </c:strCache>
            </c:strRef>
          </c:tx>
          <c:spPr>
            <a:solidFill>
              <a:schemeClr val="accent5"/>
            </a:solidFill>
            <a:ln>
              <a:noFill/>
            </a:ln>
            <a:effectLst/>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Charts'!$E$6:$E$49</c:f>
              <c:numCache>
                <c:formatCode>#,##0.00</c:formatCode>
                <c:ptCount val="44"/>
                <c:pt idx="0">
                  <c:v>1.0535863885888921</c:v>
                </c:pt>
                <c:pt idx="1">
                  <c:v>-1.0937479096589318</c:v>
                </c:pt>
                <c:pt idx="2">
                  <c:v>21.436142209616996</c:v>
                </c:pt>
                <c:pt idx="3">
                  <c:v>-0.81114673752533961</c:v>
                </c:pt>
                <c:pt idx="4">
                  <c:v>1.7427168115770999</c:v>
                </c:pt>
                <c:pt idx="5">
                  <c:v>9.7998375208759789</c:v>
                </c:pt>
                <c:pt idx="6">
                  <c:v>2.6383475194258241</c:v>
                </c:pt>
                <c:pt idx="7">
                  <c:v>1.9667171440659352</c:v>
                </c:pt>
                <c:pt idx="8">
                  <c:v>-1.6572157673278893</c:v>
                </c:pt>
                <c:pt idx="9">
                  <c:v>-1.0721601939677019</c:v>
                </c:pt>
                <c:pt idx="10">
                  <c:v>-1.3667979593696533</c:v>
                </c:pt>
                <c:pt idx="11">
                  <c:v>3.7543815003844063</c:v>
                </c:pt>
                <c:pt idx="12">
                  <c:v>0</c:v>
                </c:pt>
                <c:pt idx="13">
                  <c:v>-7.0581234960348986</c:v>
                </c:pt>
                <c:pt idx="14">
                  <c:v>-2.382027490382121</c:v>
                </c:pt>
                <c:pt idx="15">
                  <c:v>8.9091714761648007</c:v>
                </c:pt>
                <c:pt idx="16">
                  <c:v>0</c:v>
                </c:pt>
                <c:pt idx="17">
                  <c:v>-0.56835412136087005</c:v>
                </c:pt>
                <c:pt idx="18">
                  <c:v>-2.8761874412424495</c:v>
                </c:pt>
                <c:pt idx="19">
                  <c:v>0</c:v>
                </c:pt>
                <c:pt idx="20">
                  <c:v>-1.0641587757944062</c:v>
                </c:pt>
                <c:pt idx="21">
                  <c:v>-1.4771883087268423</c:v>
                </c:pt>
                <c:pt idx="22">
                  <c:v>4.8113779209706999</c:v>
                </c:pt>
                <c:pt idx="23">
                  <c:v>2.297296339337628</c:v>
                </c:pt>
                <c:pt idx="24">
                  <c:v>1.2602684623351494</c:v>
                </c:pt>
                <c:pt idx="25">
                  <c:v>1.0110366391300989</c:v>
                </c:pt>
                <c:pt idx="26">
                  <c:v>-5.8299167359071875</c:v>
                </c:pt>
                <c:pt idx="27">
                  <c:v>8.6896473619859993</c:v>
                </c:pt>
                <c:pt idx="28">
                  <c:v>3.3840281939889536</c:v>
                </c:pt>
                <c:pt idx="29">
                  <c:v>-3.1115125260320426</c:v>
                </c:pt>
                <c:pt idx="30">
                  <c:v>0</c:v>
                </c:pt>
                <c:pt idx="31">
                  <c:v>2.5432131685481982</c:v>
                </c:pt>
                <c:pt idx="32">
                  <c:v>-2.533567579017987</c:v>
                </c:pt>
                <c:pt idx="33">
                  <c:v>-2.9546624453981676</c:v>
                </c:pt>
                <c:pt idx="34">
                  <c:v>-0.91017341412450004</c:v>
                </c:pt>
                <c:pt idx="35">
                  <c:v>3.0839267191792028</c:v>
                </c:pt>
                <c:pt idx="36">
                  <c:v>2.143960764507022</c:v>
                </c:pt>
                <c:pt idx="37">
                  <c:v>2.6838478218474151</c:v>
                </c:pt>
                <c:pt idx="38">
                  <c:v>0</c:v>
                </c:pt>
                <c:pt idx="39">
                  <c:v>-7.9571479379693519</c:v>
                </c:pt>
                <c:pt idx="40">
                  <c:v>4.6465086136534381</c:v>
                </c:pt>
                <c:pt idx="41">
                  <c:v>-3.0194676687115347</c:v>
                </c:pt>
                <c:pt idx="42">
                  <c:v>2.2154595164630355</c:v>
                </c:pt>
                <c:pt idx="43">
                  <c:v>0.60138159504017319</c:v>
                </c:pt>
              </c:numCache>
            </c:numRef>
          </c:val>
          <c:extLst>
            <c:ext xmlns:c16="http://schemas.microsoft.com/office/drawing/2014/chart" uri="{C3380CC4-5D6E-409C-BE32-E72D297353CC}">
              <c16:uniqueId val="{00000003-5FEB-4CF3-8D92-234A27D9183F}"/>
            </c:ext>
          </c:extLst>
        </c:ser>
        <c:dLbls>
          <c:showLegendKey val="0"/>
          <c:showVal val="0"/>
          <c:showCatName val="0"/>
          <c:showSerName val="0"/>
          <c:showPercent val="0"/>
          <c:showBubbleSize val="0"/>
        </c:dLbls>
        <c:axId val="1596755552"/>
        <c:axId val="1596761312"/>
      </c:areaChart>
      <c:catAx>
        <c:axId val="15967555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61312"/>
        <c:crosses val="autoZero"/>
        <c:auto val="1"/>
        <c:lblAlgn val="ctr"/>
        <c:lblOffset val="100"/>
        <c:noMultiLvlLbl val="0"/>
      </c:catAx>
      <c:valAx>
        <c:axId val="1596761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555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Stacked</a:t>
            </a:r>
            <a:r>
              <a:rPr lang="en-GB" baseline="0"/>
              <a:t> </a:t>
            </a:r>
            <a:r>
              <a:rPr lang="en-GB"/>
              <a:t>Area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'6. Charts'!$B$5</c:f>
              <c:strCache>
                <c:ptCount val="1"/>
                <c:pt idx="0">
                  <c:v>Data 1</c:v>
                </c:pt>
              </c:strCache>
            </c:strRef>
          </c:tx>
          <c:spPr>
            <a:solidFill>
              <a:schemeClr val="accent2"/>
            </a:solidFill>
            <a:ln>
              <a:noFill/>
            </a:ln>
            <a:effectLst/>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Charts'!$B$6:$B$49</c:f>
              <c:numCache>
                <c:formatCode>#,##0.00</c:formatCode>
                <c:ptCount val="44"/>
                <c:pt idx="0">
                  <c:v>2</c:v>
                </c:pt>
                <c:pt idx="1">
                  <c:v>-1</c:v>
                </c:pt>
                <c:pt idx="2">
                  <c:v>4</c:v>
                </c:pt>
                <c:pt idx="3">
                  <c:v>-1</c:v>
                </c:pt>
                <c:pt idx="4">
                  <c:v>4</c:v>
                </c:pt>
                <c:pt idx="5">
                  <c:v>5</c:v>
                </c:pt>
                <c:pt idx="6">
                  <c:v>5</c:v>
                </c:pt>
                <c:pt idx="7">
                  <c:v>2</c:v>
                </c:pt>
                <c:pt idx="8">
                  <c:v>-2</c:v>
                </c:pt>
                <c:pt idx="9">
                  <c:v>-1</c:v>
                </c:pt>
                <c:pt idx="10">
                  <c:v>-2</c:v>
                </c:pt>
                <c:pt idx="11">
                  <c:v>1</c:v>
                </c:pt>
                <c:pt idx="12">
                  <c:v>0</c:v>
                </c:pt>
                <c:pt idx="13">
                  <c:v>-3</c:v>
                </c:pt>
                <c:pt idx="14">
                  <c:v>-2</c:v>
                </c:pt>
                <c:pt idx="15">
                  <c:v>4</c:v>
                </c:pt>
                <c:pt idx="16">
                  <c:v>0</c:v>
                </c:pt>
                <c:pt idx="17">
                  <c:v>-1</c:v>
                </c:pt>
                <c:pt idx="18">
                  <c:v>-4</c:v>
                </c:pt>
                <c:pt idx="19">
                  <c:v>0</c:v>
                </c:pt>
                <c:pt idx="20">
                  <c:v>-2</c:v>
                </c:pt>
                <c:pt idx="21">
                  <c:v>-2</c:v>
                </c:pt>
                <c:pt idx="22">
                  <c:v>5</c:v>
                </c:pt>
                <c:pt idx="23">
                  <c:v>2</c:v>
                </c:pt>
                <c:pt idx="24">
                  <c:v>2</c:v>
                </c:pt>
                <c:pt idx="25">
                  <c:v>1</c:v>
                </c:pt>
                <c:pt idx="26">
                  <c:v>-2</c:v>
                </c:pt>
                <c:pt idx="27">
                  <c:v>3</c:v>
                </c:pt>
                <c:pt idx="28">
                  <c:v>2</c:v>
                </c:pt>
                <c:pt idx="29">
                  <c:v>-5</c:v>
                </c:pt>
                <c:pt idx="30">
                  <c:v>0</c:v>
                </c:pt>
                <c:pt idx="31">
                  <c:v>5</c:v>
                </c:pt>
                <c:pt idx="32">
                  <c:v>-5</c:v>
                </c:pt>
                <c:pt idx="33">
                  <c:v>-2</c:v>
                </c:pt>
                <c:pt idx="34">
                  <c:v>-5</c:v>
                </c:pt>
                <c:pt idx="35">
                  <c:v>3</c:v>
                </c:pt>
                <c:pt idx="36">
                  <c:v>4</c:v>
                </c:pt>
                <c:pt idx="37">
                  <c:v>3</c:v>
                </c:pt>
                <c:pt idx="38">
                  <c:v>0</c:v>
                </c:pt>
                <c:pt idx="39">
                  <c:v>-4</c:v>
                </c:pt>
                <c:pt idx="40">
                  <c:v>5</c:v>
                </c:pt>
                <c:pt idx="41">
                  <c:v>-4</c:v>
                </c:pt>
                <c:pt idx="42">
                  <c:v>4</c:v>
                </c:pt>
                <c:pt idx="43">
                  <c:v>1</c:v>
                </c:pt>
              </c:numCache>
            </c:numRef>
          </c:val>
          <c:extLst>
            <c:ext xmlns:c16="http://schemas.microsoft.com/office/drawing/2014/chart" uri="{C3380CC4-5D6E-409C-BE32-E72D297353CC}">
              <c16:uniqueId val="{00000000-C675-432F-8737-B42BA3746C3F}"/>
            </c:ext>
          </c:extLst>
        </c:ser>
        <c:ser>
          <c:idx val="2"/>
          <c:order val="1"/>
          <c:tx>
            <c:strRef>
              <c:f>'6. Charts'!$C$5</c:f>
              <c:strCache>
                <c:ptCount val="1"/>
                <c:pt idx="0">
                  <c:v>Data 2</c:v>
                </c:pt>
              </c:strCache>
            </c:strRef>
          </c:tx>
          <c:spPr>
            <a:solidFill>
              <a:schemeClr val="accent3"/>
            </a:solidFill>
            <a:ln>
              <a:noFill/>
            </a:ln>
            <a:effectLst/>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Charts'!$C$6:$C$49</c:f>
              <c:numCache>
                <c:formatCode>#,##0.00</c:formatCode>
                <c:ptCount val="44"/>
                <c:pt idx="0">
                  <c:v>1.8109214372981315</c:v>
                </c:pt>
                <c:pt idx="1">
                  <c:v>2.5905737989007691</c:v>
                </c:pt>
                <c:pt idx="2">
                  <c:v>1.8142262935476663</c:v>
                </c:pt>
                <c:pt idx="3">
                  <c:v>1.9550141650678929</c:v>
                </c:pt>
                <c:pt idx="4">
                  <c:v>2.8363339306848254</c:v>
                </c:pt>
                <c:pt idx="5">
                  <c:v>2.1596363152368427</c:v>
                </c:pt>
                <c:pt idx="6">
                  <c:v>1.9599325373471794</c:v>
                </c:pt>
                <c:pt idx="7">
                  <c:v>1.875014876681754</c:v>
                </c:pt>
                <c:pt idx="8">
                  <c:v>1.7917186200425816</c:v>
                </c:pt>
                <c:pt idx="9">
                  <c:v>0.44552623141760328</c:v>
                </c:pt>
                <c:pt idx="10">
                  <c:v>2.8153261591835714</c:v>
                </c:pt>
                <c:pt idx="11">
                  <c:v>1.4053785810924828</c:v>
                </c:pt>
                <c:pt idx="12">
                  <c:v>2.5741667309607252</c:v>
                </c:pt>
                <c:pt idx="13">
                  <c:v>2.5622602011899778</c:v>
                </c:pt>
                <c:pt idx="14">
                  <c:v>2.7485502859952482</c:v>
                </c:pt>
                <c:pt idx="15">
                  <c:v>9.3779590993076201E-2</c:v>
                </c:pt>
                <c:pt idx="16">
                  <c:v>2.9788967610697545</c:v>
                </c:pt>
                <c:pt idx="17">
                  <c:v>2.9496437594343314</c:v>
                </c:pt>
                <c:pt idx="18">
                  <c:v>4.2043461718417219E-2</c:v>
                </c:pt>
                <c:pt idx="19">
                  <c:v>2.8917730838956124</c:v>
                </c:pt>
                <c:pt idx="20">
                  <c:v>1.9999379201029699</c:v>
                </c:pt>
                <c:pt idx="21">
                  <c:v>0.84491926684303353</c:v>
                </c:pt>
                <c:pt idx="22">
                  <c:v>1.9883541494724741</c:v>
                </c:pt>
                <c:pt idx="23">
                  <c:v>2.0982753709135715</c:v>
                </c:pt>
                <c:pt idx="24">
                  <c:v>0.11478237085731069</c:v>
                </c:pt>
                <c:pt idx="25">
                  <c:v>0.39021720267095206</c:v>
                </c:pt>
                <c:pt idx="26">
                  <c:v>2.7287134654179281</c:v>
                </c:pt>
                <c:pt idx="27">
                  <c:v>0.63618417138910355</c:v>
                </c:pt>
                <c:pt idx="28">
                  <c:v>2.2069290019763321</c:v>
                </c:pt>
                <c:pt idx="29">
                  <c:v>0.50173815733843996</c:v>
                </c:pt>
                <c:pt idx="30">
                  <c:v>1.9618935058689135</c:v>
                </c:pt>
                <c:pt idx="31">
                  <c:v>0.27848121516603996</c:v>
                </c:pt>
                <c:pt idx="32">
                  <c:v>2.0345714347173249</c:v>
                </c:pt>
                <c:pt idx="33">
                  <c:v>0.32276640359913511</c:v>
                </c:pt>
                <c:pt idx="34">
                  <c:v>1.0553036448004516</c:v>
                </c:pt>
                <c:pt idx="35">
                  <c:v>1.0415518072153302</c:v>
                </c:pt>
                <c:pt idx="36">
                  <c:v>0.73324271528591056</c:v>
                </c:pt>
                <c:pt idx="37">
                  <c:v>0.72673451456429117</c:v>
                </c:pt>
                <c:pt idx="38">
                  <c:v>2.5846117410114227</c:v>
                </c:pt>
                <c:pt idx="39">
                  <c:v>0.3676493154073206</c:v>
                </c:pt>
                <c:pt idx="40">
                  <c:v>1.3885648278661464</c:v>
                </c:pt>
                <c:pt idx="41">
                  <c:v>1.1818591336976039</c:v>
                </c:pt>
                <c:pt idx="42">
                  <c:v>0.18444621686123341</c:v>
                </c:pt>
                <c:pt idx="43">
                  <c:v>0.43911508427168433</c:v>
                </c:pt>
              </c:numCache>
            </c:numRef>
          </c:val>
          <c:extLst>
            <c:ext xmlns:c16="http://schemas.microsoft.com/office/drawing/2014/chart" uri="{C3380CC4-5D6E-409C-BE32-E72D297353CC}">
              <c16:uniqueId val="{00000001-C675-432F-8737-B42BA3746C3F}"/>
            </c:ext>
          </c:extLst>
        </c:ser>
        <c:ser>
          <c:idx val="3"/>
          <c:order val="2"/>
          <c:tx>
            <c:strRef>
              <c:f>'6. Charts'!$D$5</c:f>
              <c:strCache>
                <c:ptCount val="1"/>
                <c:pt idx="0">
                  <c:v>Data 3</c:v>
                </c:pt>
              </c:strCache>
            </c:strRef>
          </c:tx>
          <c:spPr>
            <a:solidFill>
              <a:schemeClr val="accent4"/>
            </a:solidFill>
            <a:ln>
              <a:noFill/>
            </a:ln>
            <a:effectLst/>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val>
          <c:extLst>
            <c:ext xmlns:c16="http://schemas.microsoft.com/office/drawing/2014/chart" uri="{C3380CC4-5D6E-409C-BE32-E72D297353CC}">
              <c16:uniqueId val="{00000002-C675-432F-8737-B42BA3746C3F}"/>
            </c:ext>
          </c:extLst>
        </c:ser>
        <c:ser>
          <c:idx val="4"/>
          <c:order val="3"/>
          <c:tx>
            <c:strRef>
              <c:f>'6. Charts'!$E$5</c:f>
              <c:strCache>
                <c:ptCount val="1"/>
                <c:pt idx="0">
                  <c:v>Data 4</c:v>
                </c:pt>
              </c:strCache>
            </c:strRef>
          </c:tx>
          <c:spPr>
            <a:solidFill>
              <a:schemeClr val="accent5"/>
            </a:solidFill>
            <a:ln>
              <a:noFill/>
            </a:ln>
            <a:effectLst/>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Charts'!$E$6:$E$49</c:f>
              <c:numCache>
                <c:formatCode>#,##0.00</c:formatCode>
                <c:ptCount val="44"/>
                <c:pt idx="0">
                  <c:v>1.0535863885888921</c:v>
                </c:pt>
                <c:pt idx="1">
                  <c:v>-1.0937479096589318</c:v>
                </c:pt>
                <c:pt idx="2">
                  <c:v>21.436142209616996</c:v>
                </c:pt>
                <c:pt idx="3">
                  <c:v>-0.81114673752533961</c:v>
                </c:pt>
                <c:pt idx="4">
                  <c:v>1.7427168115770999</c:v>
                </c:pt>
                <c:pt idx="5">
                  <c:v>9.7998375208759789</c:v>
                </c:pt>
                <c:pt idx="6">
                  <c:v>2.6383475194258241</c:v>
                </c:pt>
                <c:pt idx="7">
                  <c:v>1.9667171440659352</c:v>
                </c:pt>
                <c:pt idx="8">
                  <c:v>-1.6572157673278893</c:v>
                </c:pt>
                <c:pt idx="9">
                  <c:v>-1.0721601939677019</c:v>
                </c:pt>
                <c:pt idx="10">
                  <c:v>-1.3667979593696533</c:v>
                </c:pt>
                <c:pt idx="11">
                  <c:v>3.7543815003844063</c:v>
                </c:pt>
                <c:pt idx="12">
                  <c:v>0</c:v>
                </c:pt>
                <c:pt idx="13">
                  <c:v>-7.0581234960348986</c:v>
                </c:pt>
                <c:pt idx="14">
                  <c:v>-2.382027490382121</c:v>
                </c:pt>
                <c:pt idx="15">
                  <c:v>8.9091714761648007</c:v>
                </c:pt>
                <c:pt idx="16">
                  <c:v>0</c:v>
                </c:pt>
                <c:pt idx="17">
                  <c:v>-0.56835412136087005</c:v>
                </c:pt>
                <c:pt idx="18">
                  <c:v>-2.8761874412424495</c:v>
                </c:pt>
                <c:pt idx="19">
                  <c:v>0</c:v>
                </c:pt>
                <c:pt idx="20">
                  <c:v>-1.0641587757944062</c:v>
                </c:pt>
                <c:pt idx="21">
                  <c:v>-1.4771883087268423</c:v>
                </c:pt>
                <c:pt idx="22">
                  <c:v>4.8113779209706999</c:v>
                </c:pt>
                <c:pt idx="23">
                  <c:v>2.297296339337628</c:v>
                </c:pt>
                <c:pt idx="24">
                  <c:v>1.2602684623351494</c:v>
                </c:pt>
                <c:pt idx="25">
                  <c:v>1.0110366391300989</c:v>
                </c:pt>
                <c:pt idx="26">
                  <c:v>-5.8299167359071875</c:v>
                </c:pt>
                <c:pt idx="27">
                  <c:v>8.6896473619859993</c:v>
                </c:pt>
                <c:pt idx="28">
                  <c:v>3.3840281939889536</c:v>
                </c:pt>
                <c:pt idx="29">
                  <c:v>-3.1115125260320426</c:v>
                </c:pt>
                <c:pt idx="30">
                  <c:v>0</c:v>
                </c:pt>
                <c:pt idx="31">
                  <c:v>2.5432131685481982</c:v>
                </c:pt>
                <c:pt idx="32">
                  <c:v>-2.533567579017987</c:v>
                </c:pt>
                <c:pt idx="33">
                  <c:v>-2.9546624453981676</c:v>
                </c:pt>
                <c:pt idx="34">
                  <c:v>-0.91017341412450004</c:v>
                </c:pt>
                <c:pt idx="35">
                  <c:v>3.0839267191792028</c:v>
                </c:pt>
                <c:pt idx="36">
                  <c:v>2.143960764507022</c:v>
                </c:pt>
                <c:pt idx="37">
                  <c:v>2.6838478218474151</c:v>
                </c:pt>
                <c:pt idx="38">
                  <c:v>0</c:v>
                </c:pt>
                <c:pt idx="39">
                  <c:v>-7.9571479379693519</c:v>
                </c:pt>
                <c:pt idx="40">
                  <c:v>4.6465086136534381</c:v>
                </c:pt>
                <c:pt idx="41">
                  <c:v>-3.0194676687115347</c:v>
                </c:pt>
                <c:pt idx="42">
                  <c:v>2.2154595164630355</c:v>
                </c:pt>
                <c:pt idx="43">
                  <c:v>0.60138159504017319</c:v>
                </c:pt>
              </c:numCache>
            </c:numRef>
          </c:val>
          <c:extLst>
            <c:ext xmlns:c16="http://schemas.microsoft.com/office/drawing/2014/chart" uri="{C3380CC4-5D6E-409C-BE32-E72D297353CC}">
              <c16:uniqueId val="{00000003-C675-432F-8737-B42BA3746C3F}"/>
            </c:ext>
          </c:extLst>
        </c:ser>
        <c:dLbls>
          <c:showLegendKey val="0"/>
          <c:showVal val="0"/>
          <c:showCatName val="0"/>
          <c:showSerName val="0"/>
          <c:showPercent val="0"/>
          <c:showBubbleSize val="0"/>
        </c:dLbls>
        <c:axId val="1596755552"/>
        <c:axId val="1596761312"/>
      </c:areaChart>
      <c:catAx>
        <c:axId val="15967555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61312"/>
        <c:crosses val="autoZero"/>
        <c:auto val="1"/>
        <c:lblAlgn val="ctr"/>
        <c:lblOffset val="100"/>
        <c:noMultiLvlLbl val="0"/>
      </c:catAx>
      <c:valAx>
        <c:axId val="1596761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555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100% Area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1"/>
          <c:order val="0"/>
          <c:tx>
            <c:strRef>
              <c:f>'6. Charts'!$B$5</c:f>
              <c:strCache>
                <c:ptCount val="1"/>
                <c:pt idx="0">
                  <c:v>Data 1</c:v>
                </c:pt>
              </c:strCache>
            </c:strRef>
          </c:tx>
          <c:spPr>
            <a:solidFill>
              <a:schemeClr val="accent2"/>
            </a:solidFill>
            <a:ln>
              <a:noFill/>
            </a:ln>
            <a:effectLst/>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Charts'!$B$6:$B$49</c:f>
              <c:numCache>
                <c:formatCode>#,##0.00</c:formatCode>
                <c:ptCount val="44"/>
                <c:pt idx="0">
                  <c:v>2</c:v>
                </c:pt>
                <c:pt idx="1">
                  <c:v>-1</c:v>
                </c:pt>
                <c:pt idx="2">
                  <c:v>4</c:v>
                </c:pt>
                <c:pt idx="3">
                  <c:v>-1</c:v>
                </c:pt>
                <c:pt idx="4">
                  <c:v>4</c:v>
                </c:pt>
                <c:pt idx="5">
                  <c:v>5</c:v>
                </c:pt>
                <c:pt idx="6">
                  <c:v>5</c:v>
                </c:pt>
                <c:pt idx="7">
                  <c:v>2</c:v>
                </c:pt>
                <c:pt idx="8">
                  <c:v>-2</c:v>
                </c:pt>
                <c:pt idx="9">
                  <c:v>-1</c:v>
                </c:pt>
                <c:pt idx="10">
                  <c:v>-2</c:v>
                </c:pt>
                <c:pt idx="11">
                  <c:v>1</c:v>
                </c:pt>
                <c:pt idx="12">
                  <c:v>0</c:v>
                </c:pt>
                <c:pt idx="13">
                  <c:v>-3</c:v>
                </c:pt>
                <c:pt idx="14">
                  <c:v>-2</c:v>
                </c:pt>
                <c:pt idx="15">
                  <c:v>4</c:v>
                </c:pt>
                <c:pt idx="16">
                  <c:v>0</c:v>
                </c:pt>
                <c:pt idx="17">
                  <c:v>-1</c:v>
                </c:pt>
                <c:pt idx="18">
                  <c:v>-4</c:v>
                </c:pt>
                <c:pt idx="19">
                  <c:v>0</c:v>
                </c:pt>
                <c:pt idx="20">
                  <c:v>-2</c:v>
                </c:pt>
                <c:pt idx="21">
                  <c:v>-2</c:v>
                </c:pt>
                <c:pt idx="22">
                  <c:v>5</c:v>
                </c:pt>
                <c:pt idx="23">
                  <c:v>2</c:v>
                </c:pt>
                <c:pt idx="24">
                  <c:v>2</c:v>
                </c:pt>
                <c:pt idx="25">
                  <c:v>1</c:v>
                </c:pt>
                <c:pt idx="26">
                  <c:v>-2</c:v>
                </c:pt>
                <c:pt idx="27">
                  <c:v>3</c:v>
                </c:pt>
                <c:pt idx="28">
                  <c:v>2</c:v>
                </c:pt>
                <c:pt idx="29">
                  <c:v>-5</c:v>
                </c:pt>
                <c:pt idx="30">
                  <c:v>0</c:v>
                </c:pt>
                <c:pt idx="31">
                  <c:v>5</c:v>
                </c:pt>
                <c:pt idx="32">
                  <c:v>-5</c:v>
                </c:pt>
                <c:pt idx="33">
                  <c:v>-2</c:v>
                </c:pt>
                <c:pt idx="34">
                  <c:v>-5</c:v>
                </c:pt>
                <c:pt idx="35">
                  <c:v>3</c:v>
                </c:pt>
                <c:pt idx="36">
                  <c:v>4</c:v>
                </c:pt>
                <c:pt idx="37">
                  <c:v>3</c:v>
                </c:pt>
                <c:pt idx="38">
                  <c:v>0</c:v>
                </c:pt>
                <c:pt idx="39">
                  <c:v>-4</c:v>
                </c:pt>
                <c:pt idx="40">
                  <c:v>5</c:v>
                </c:pt>
                <c:pt idx="41">
                  <c:v>-4</c:v>
                </c:pt>
                <c:pt idx="42">
                  <c:v>4</c:v>
                </c:pt>
                <c:pt idx="43">
                  <c:v>1</c:v>
                </c:pt>
              </c:numCache>
            </c:numRef>
          </c:val>
          <c:extLst>
            <c:ext xmlns:c16="http://schemas.microsoft.com/office/drawing/2014/chart" uri="{C3380CC4-5D6E-409C-BE32-E72D297353CC}">
              <c16:uniqueId val="{00000000-45AE-4932-8BB1-82169EDFE937}"/>
            </c:ext>
          </c:extLst>
        </c:ser>
        <c:ser>
          <c:idx val="2"/>
          <c:order val="1"/>
          <c:tx>
            <c:strRef>
              <c:f>'6. Charts'!$C$5</c:f>
              <c:strCache>
                <c:ptCount val="1"/>
                <c:pt idx="0">
                  <c:v>Data 2</c:v>
                </c:pt>
              </c:strCache>
            </c:strRef>
          </c:tx>
          <c:spPr>
            <a:solidFill>
              <a:schemeClr val="accent3"/>
            </a:solidFill>
            <a:ln>
              <a:noFill/>
            </a:ln>
            <a:effectLst/>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Charts'!$C$6:$C$49</c:f>
              <c:numCache>
                <c:formatCode>#,##0.00</c:formatCode>
                <c:ptCount val="44"/>
                <c:pt idx="0">
                  <c:v>1.8109214372981315</c:v>
                </c:pt>
                <c:pt idx="1">
                  <c:v>2.5905737989007691</c:v>
                </c:pt>
                <c:pt idx="2">
                  <c:v>1.8142262935476663</c:v>
                </c:pt>
                <c:pt idx="3">
                  <c:v>1.9550141650678929</c:v>
                </c:pt>
                <c:pt idx="4">
                  <c:v>2.8363339306848254</c:v>
                </c:pt>
                <c:pt idx="5">
                  <c:v>2.1596363152368427</c:v>
                </c:pt>
                <c:pt idx="6">
                  <c:v>1.9599325373471794</c:v>
                </c:pt>
                <c:pt idx="7">
                  <c:v>1.875014876681754</c:v>
                </c:pt>
                <c:pt idx="8">
                  <c:v>1.7917186200425816</c:v>
                </c:pt>
                <c:pt idx="9">
                  <c:v>0.44552623141760328</c:v>
                </c:pt>
                <c:pt idx="10">
                  <c:v>2.8153261591835714</c:v>
                </c:pt>
                <c:pt idx="11">
                  <c:v>1.4053785810924828</c:v>
                </c:pt>
                <c:pt idx="12">
                  <c:v>2.5741667309607252</c:v>
                </c:pt>
                <c:pt idx="13">
                  <c:v>2.5622602011899778</c:v>
                </c:pt>
                <c:pt idx="14">
                  <c:v>2.7485502859952482</c:v>
                </c:pt>
                <c:pt idx="15">
                  <c:v>9.3779590993076201E-2</c:v>
                </c:pt>
                <c:pt idx="16">
                  <c:v>2.9788967610697545</c:v>
                </c:pt>
                <c:pt idx="17">
                  <c:v>2.9496437594343314</c:v>
                </c:pt>
                <c:pt idx="18">
                  <c:v>4.2043461718417219E-2</c:v>
                </c:pt>
                <c:pt idx="19">
                  <c:v>2.8917730838956124</c:v>
                </c:pt>
                <c:pt idx="20">
                  <c:v>1.9999379201029699</c:v>
                </c:pt>
                <c:pt idx="21">
                  <c:v>0.84491926684303353</c:v>
                </c:pt>
                <c:pt idx="22">
                  <c:v>1.9883541494724741</c:v>
                </c:pt>
                <c:pt idx="23">
                  <c:v>2.0982753709135715</c:v>
                </c:pt>
                <c:pt idx="24">
                  <c:v>0.11478237085731069</c:v>
                </c:pt>
                <c:pt idx="25">
                  <c:v>0.39021720267095206</c:v>
                </c:pt>
                <c:pt idx="26">
                  <c:v>2.7287134654179281</c:v>
                </c:pt>
                <c:pt idx="27">
                  <c:v>0.63618417138910355</c:v>
                </c:pt>
                <c:pt idx="28">
                  <c:v>2.2069290019763321</c:v>
                </c:pt>
                <c:pt idx="29">
                  <c:v>0.50173815733843996</c:v>
                </c:pt>
                <c:pt idx="30">
                  <c:v>1.9618935058689135</c:v>
                </c:pt>
                <c:pt idx="31">
                  <c:v>0.27848121516603996</c:v>
                </c:pt>
                <c:pt idx="32">
                  <c:v>2.0345714347173249</c:v>
                </c:pt>
                <c:pt idx="33">
                  <c:v>0.32276640359913511</c:v>
                </c:pt>
                <c:pt idx="34">
                  <c:v>1.0553036448004516</c:v>
                </c:pt>
                <c:pt idx="35">
                  <c:v>1.0415518072153302</c:v>
                </c:pt>
                <c:pt idx="36">
                  <c:v>0.73324271528591056</c:v>
                </c:pt>
                <c:pt idx="37">
                  <c:v>0.72673451456429117</c:v>
                </c:pt>
                <c:pt idx="38">
                  <c:v>2.5846117410114227</c:v>
                </c:pt>
                <c:pt idx="39">
                  <c:v>0.3676493154073206</c:v>
                </c:pt>
                <c:pt idx="40">
                  <c:v>1.3885648278661464</c:v>
                </c:pt>
                <c:pt idx="41">
                  <c:v>1.1818591336976039</c:v>
                </c:pt>
                <c:pt idx="42">
                  <c:v>0.18444621686123341</c:v>
                </c:pt>
                <c:pt idx="43">
                  <c:v>0.43911508427168433</c:v>
                </c:pt>
              </c:numCache>
            </c:numRef>
          </c:val>
          <c:extLst>
            <c:ext xmlns:c16="http://schemas.microsoft.com/office/drawing/2014/chart" uri="{C3380CC4-5D6E-409C-BE32-E72D297353CC}">
              <c16:uniqueId val="{00000001-45AE-4932-8BB1-82169EDFE937}"/>
            </c:ext>
          </c:extLst>
        </c:ser>
        <c:ser>
          <c:idx val="3"/>
          <c:order val="2"/>
          <c:tx>
            <c:strRef>
              <c:f>'6. Charts'!$D$5</c:f>
              <c:strCache>
                <c:ptCount val="1"/>
                <c:pt idx="0">
                  <c:v>Data 3</c:v>
                </c:pt>
              </c:strCache>
            </c:strRef>
          </c:tx>
          <c:spPr>
            <a:solidFill>
              <a:schemeClr val="accent4"/>
            </a:solidFill>
            <a:ln>
              <a:noFill/>
            </a:ln>
            <a:effectLst/>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val>
          <c:extLst>
            <c:ext xmlns:c16="http://schemas.microsoft.com/office/drawing/2014/chart" uri="{C3380CC4-5D6E-409C-BE32-E72D297353CC}">
              <c16:uniqueId val="{00000002-45AE-4932-8BB1-82169EDFE937}"/>
            </c:ext>
          </c:extLst>
        </c:ser>
        <c:ser>
          <c:idx val="4"/>
          <c:order val="3"/>
          <c:tx>
            <c:strRef>
              <c:f>'6. Charts'!$E$5</c:f>
              <c:strCache>
                <c:ptCount val="1"/>
                <c:pt idx="0">
                  <c:v>Data 4</c:v>
                </c:pt>
              </c:strCache>
            </c:strRef>
          </c:tx>
          <c:spPr>
            <a:solidFill>
              <a:schemeClr val="accent5"/>
            </a:solidFill>
            <a:ln>
              <a:noFill/>
            </a:ln>
            <a:effectLst/>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Charts'!$E$6:$E$49</c:f>
              <c:numCache>
                <c:formatCode>#,##0.00</c:formatCode>
                <c:ptCount val="44"/>
                <c:pt idx="0">
                  <c:v>1.0535863885888921</c:v>
                </c:pt>
                <c:pt idx="1">
                  <c:v>-1.0937479096589318</c:v>
                </c:pt>
                <c:pt idx="2">
                  <c:v>21.436142209616996</c:v>
                </c:pt>
                <c:pt idx="3">
                  <c:v>-0.81114673752533961</c:v>
                </c:pt>
                <c:pt idx="4">
                  <c:v>1.7427168115770999</c:v>
                </c:pt>
                <c:pt idx="5">
                  <c:v>9.7998375208759789</c:v>
                </c:pt>
                <c:pt idx="6">
                  <c:v>2.6383475194258241</c:v>
                </c:pt>
                <c:pt idx="7">
                  <c:v>1.9667171440659352</c:v>
                </c:pt>
                <c:pt idx="8">
                  <c:v>-1.6572157673278893</c:v>
                </c:pt>
                <c:pt idx="9">
                  <c:v>-1.0721601939677019</c:v>
                </c:pt>
                <c:pt idx="10">
                  <c:v>-1.3667979593696533</c:v>
                </c:pt>
                <c:pt idx="11">
                  <c:v>3.7543815003844063</c:v>
                </c:pt>
                <c:pt idx="12">
                  <c:v>0</c:v>
                </c:pt>
                <c:pt idx="13">
                  <c:v>-7.0581234960348986</c:v>
                </c:pt>
                <c:pt idx="14">
                  <c:v>-2.382027490382121</c:v>
                </c:pt>
                <c:pt idx="15">
                  <c:v>8.9091714761648007</c:v>
                </c:pt>
                <c:pt idx="16">
                  <c:v>0</c:v>
                </c:pt>
                <c:pt idx="17">
                  <c:v>-0.56835412136087005</c:v>
                </c:pt>
                <c:pt idx="18">
                  <c:v>-2.8761874412424495</c:v>
                </c:pt>
                <c:pt idx="19">
                  <c:v>0</c:v>
                </c:pt>
                <c:pt idx="20">
                  <c:v>-1.0641587757944062</c:v>
                </c:pt>
                <c:pt idx="21">
                  <c:v>-1.4771883087268423</c:v>
                </c:pt>
                <c:pt idx="22">
                  <c:v>4.8113779209706999</c:v>
                </c:pt>
                <c:pt idx="23">
                  <c:v>2.297296339337628</c:v>
                </c:pt>
                <c:pt idx="24">
                  <c:v>1.2602684623351494</c:v>
                </c:pt>
                <c:pt idx="25">
                  <c:v>1.0110366391300989</c:v>
                </c:pt>
                <c:pt idx="26">
                  <c:v>-5.8299167359071875</c:v>
                </c:pt>
                <c:pt idx="27">
                  <c:v>8.6896473619859993</c:v>
                </c:pt>
                <c:pt idx="28">
                  <c:v>3.3840281939889536</c:v>
                </c:pt>
                <c:pt idx="29">
                  <c:v>-3.1115125260320426</c:v>
                </c:pt>
                <c:pt idx="30">
                  <c:v>0</c:v>
                </c:pt>
                <c:pt idx="31">
                  <c:v>2.5432131685481982</c:v>
                </c:pt>
                <c:pt idx="32">
                  <c:v>-2.533567579017987</c:v>
                </c:pt>
                <c:pt idx="33">
                  <c:v>-2.9546624453981676</c:v>
                </c:pt>
                <c:pt idx="34">
                  <c:v>-0.91017341412450004</c:v>
                </c:pt>
                <c:pt idx="35">
                  <c:v>3.0839267191792028</c:v>
                </c:pt>
                <c:pt idx="36">
                  <c:v>2.143960764507022</c:v>
                </c:pt>
                <c:pt idx="37">
                  <c:v>2.6838478218474151</c:v>
                </c:pt>
                <c:pt idx="38">
                  <c:v>0</c:v>
                </c:pt>
                <c:pt idx="39">
                  <c:v>-7.9571479379693519</c:v>
                </c:pt>
                <c:pt idx="40">
                  <c:v>4.6465086136534381</c:v>
                </c:pt>
                <c:pt idx="41">
                  <c:v>-3.0194676687115347</c:v>
                </c:pt>
                <c:pt idx="42">
                  <c:v>2.2154595164630355</c:v>
                </c:pt>
                <c:pt idx="43">
                  <c:v>0.60138159504017319</c:v>
                </c:pt>
              </c:numCache>
            </c:numRef>
          </c:val>
          <c:extLst>
            <c:ext xmlns:c16="http://schemas.microsoft.com/office/drawing/2014/chart" uri="{C3380CC4-5D6E-409C-BE32-E72D297353CC}">
              <c16:uniqueId val="{00000003-45AE-4932-8BB1-82169EDFE937}"/>
            </c:ext>
          </c:extLst>
        </c:ser>
        <c:dLbls>
          <c:showLegendKey val="0"/>
          <c:showVal val="0"/>
          <c:showCatName val="0"/>
          <c:showSerName val="0"/>
          <c:showPercent val="0"/>
          <c:showBubbleSize val="0"/>
        </c:dLbls>
        <c:axId val="1596755552"/>
        <c:axId val="1596761312"/>
      </c:areaChart>
      <c:catAx>
        <c:axId val="15967555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61312"/>
        <c:crosses val="autoZero"/>
        <c:auto val="1"/>
        <c:lblAlgn val="ctr"/>
        <c:lblOffset val="100"/>
        <c:noMultiLvlLbl val="0"/>
      </c:catAx>
      <c:valAx>
        <c:axId val="1596761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555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Clustered Column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'6. Charts'!$B$5</c:f>
              <c:strCache>
                <c:ptCount val="1"/>
                <c:pt idx="0">
                  <c:v>Data 1</c:v>
                </c:pt>
              </c:strCache>
            </c:strRef>
          </c:tx>
          <c:spPr>
            <a:solidFill>
              <a:schemeClr val="accent2"/>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Charts'!$B$6:$B$49</c:f>
              <c:numCache>
                <c:formatCode>#,##0.00</c:formatCode>
                <c:ptCount val="44"/>
                <c:pt idx="0">
                  <c:v>2</c:v>
                </c:pt>
                <c:pt idx="1">
                  <c:v>-1</c:v>
                </c:pt>
                <c:pt idx="2">
                  <c:v>4</c:v>
                </c:pt>
                <c:pt idx="3">
                  <c:v>-1</c:v>
                </c:pt>
                <c:pt idx="4">
                  <c:v>4</c:v>
                </c:pt>
                <c:pt idx="5">
                  <c:v>5</c:v>
                </c:pt>
                <c:pt idx="6">
                  <c:v>5</c:v>
                </c:pt>
                <c:pt idx="7">
                  <c:v>2</c:v>
                </c:pt>
                <c:pt idx="8">
                  <c:v>-2</c:v>
                </c:pt>
                <c:pt idx="9">
                  <c:v>-1</c:v>
                </c:pt>
                <c:pt idx="10">
                  <c:v>-2</c:v>
                </c:pt>
                <c:pt idx="11">
                  <c:v>1</c:v>
                </c:pt>
                <c:pt idx="12">
                  <c:v>0</c:v>
                </c:pt>
                <c:pt idx="13">
                  <c:v>-3</c:v>
                </c:pt>
                <c:pt idx="14">
                  <c:v>-2</c:v>
                </c:pt>
                <c:pt idx="15">
                  <c:v>4</c:v>
                </c:pt>
                <c:pt idx="16">
                  <c:v>0</c:v>
                </c:pt>
                <c:pt idx="17">
                  <c:v>-1</c:v>
                </c:pt>
                <c:pt idx="18">
                  <c:v>-4</c:v>
                </c:pt>
                <c:pt idx="19">
                  <c:v>0</c:v>
                </c:pt>
                <c:pt idx="20">
                  <c:v>-2</c:v>
                </c:pt>
                <c:pt idx="21">
                  <c:v>-2</c:v>
                </c:pt>
                <c:pt idx="22">
                  <c:v>5</c:v>
                </c:pt>
                <c:pt idx="23">
                  <c:v>2</c:v>
                </c:pt>
                <c:pt idx="24">
                  <c:v>2</c:v>
                </c:pt>
                <c:pt idx="25">
                  <c:v>1</c:v>
                </c:pt>
                <c:pt idx="26">
                  <c:v>-2</c:v>
                </c:pt>
                <c:pt idx="27">
                  <c:v>3</c:v>
                </c:pt>
                <c:pt idx="28">
                  <c:v>2</c:v>
                </c:pt>
                <c:pt idx="29">
                  <c:v>-5</c:v>
                </c:pt>
                <c:pt idx="30">
                  <c:v>0</c:v>
                </c:pt>
                <c:pt idx="31">
                  <c:v>5</c:v>
                </c:pt>
                <c:pt idx="32">
                  <c:v>-5</c:v>
                </c:pt>
                <c:pt idx="33">
                  <c:v>-2</c:v>
                </c:pt>
                <c:pt idx="34">
                  <c:v>-5</c:v>
                </c:pt>
                <c:pt idx="35">
                  <c:v>3</c:v>
                </c:pt>
                <c:pt idx="36">
                  <c:v>4</c:v>
                </c:pt>
                <c:pt idx="37">
                  <c:v>3</c:v>
                </c:pt>
                <c:pt idx="38">
                  <c:v>0</c:v>
                </c:pt>
                <c:pt idx="39">
                  <c:v>-4</c:v>
                </c:pt>
                <c:pt idx="40">
                  <c:v>5</c:v>
                </c:pt>
                <c:pt idx="41">
                  <c:v>-4</c:v>
                </c:pt>
                <c:pt idx="42">
                  <c:v>4</c:v>
                </c:pt>
                <c:pt idx="43">
                  <c:v>1</c:v>
                </c:pt>
              </c:numCache>
            </c:numRef>
          </c:val>
          <c:extLst>
            <c:ext xmlns:c16="http://schemas.microsoft.com/office/drawing/2014/chart" uri="{C3380CC4-5D6E-409C-BE32-E72D297353CC}">
              <c16:uniqueId val="{00000000-AB51-43F7-95E2-084586A26B4D}"/>
            </c:ext>
          </c:extLst>
        </c:ser>
        <c:ser>
          <c:idx val="2"/>
          <c:order val="1"/>
          <c:tx>
            <c:strRef>
              <c:f>'6. Charts'!$C$5</c:f>
              <c:strCache>
                <c:ptCount val="1"/>
                <c:pt idx="0">
                  <c:v>Data 2</c:v>
                </c:pt>
              </c:strCache>
            </c:strRef>
          </c:tx>
          <c:spPr>
            <a:solidFill>
              <a:schemeClr val="accent3"/>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Charts'!$C$6:$C$49</c:f>
              <c:numCache>
                <c:formatCode>#,##0.00</c:formatCode>
                <c:ptCount val="44"/>
                <c:pt idx="0">
                  <c:v>1.8109214372981315</c:v>
                </c:pt>
                <c:pt idx="1">
                  <c:v>2.5905737989007691</c:v>
                </c:pt>
                <c:pt idx="2">
                  <c:v>1.8142262935476663</c:v>
                </c:pt>
                <c:pt idx="3">
                  <c:v>1.9550141650678929</c:v>
                </c:pt>
                <c:pt idx="4">
                  <c:v>2.8363339306848254</c:v>
                </c:pt>
                <c:pt idx="5">
                  <c:v>2.1596363152368427</c:v>
                </c:pt>
                <c:pt idx="6">
                  <c:v>1.9599325373471794</c:v>
                </c:pt>
                <c:pt idx="7">
                  <c:v>1.875014876681754</c:v>
                </c:pt>
                <c:pt idx="8">
                  <c:v>1.7917186200425816</c:v>
                </c:pt>
                <c:pt idx="9">
                  <c:v>0.44552623141760328</c:v>
                </c:pt>
                <c:pt idx="10">
                  <c:v>2.8153261591835714</c:v>
                </c:pt>
                <c:pt idx="11">
                  <c:v>1.4053785810924828</c:v>
                </c:pt>
                <c:pt idx="12">
                  <c:v>2.5741667309607252</c:v>
                </c:pt>
                <c:pt idx="13">
                  <c:v>2.5622602011899778</c:v>
                </c:pt>
                <c:pt idx="14">
                  <c:v>2.7485502859952482</c:v>
                </c:pt>
                <c:pt idx="15">
                  <c:v>9.3779590993076201E-2</c:v>
                </c:pt>
                <c:pt idx="16">
                  <c:v>2.9788967610697545</c:v>
                </c:pt>
                <c:pt idx="17">
                  <c:v>2.9496437594343314</c:v>
                </c:pt>
                <c:pt idx="18">
                  <c:v>4.2043461718417219E-2</c:v>
                </c:pt>
                <c:pt idx="19">
                  <c:v>2.8917730838956124</c:v>
                </c:pt>
                <c:pt idx="20">
                  <c:v>1.9999379201029699</c:v>
                </c:pt>
                <c:pt idx="21">
                  <c:v>0.84491926684303353</c:v>
                </c:pt>
                <c:pt idx="22">
                  <c:v>1.9883541494724741</c:v>
                </c:pt>
                <c:pt idx="23">
                  <c:v>2.0982753709135715</c:v>
                </c:pt>
                <c:pt idx="24">
                  <c:v>0.11478237085731069</c:v>
                </c:pt>
                <c:pt idx="25">
                  <c:v>0.39021720267095206</c:v>
                </c:pt>
                <c:pt idx="26">
                  <c:v>2.7287134654179281</c:v>
                </c:pt>
                <c:pt idx="27">
                  <c:v>0.63618417138910355</c:v>
                </c:pt>
                <c:pt idx="28">
                  <c:v>2.2069290019763321</c:v>
                </c:pt>
                <c:pt idx="29">
                  <c:v>0.50173815733843996</c:v>
                </c:pt>
                <c:pt idx="30">
                  <c:v>1.9618935058689135</c:v>
                </c:pt>
                <c:pt idx="31">
                  <c:v>0.27848121516603996</c:v>
                </c:pt>
                <c:pt idx="32">
                  <c:v>2.0345714347173249</c:v>
                </c:pt>
                <c:pt idx="33">
                  <c:v>0.32276640359913511</c:v>
                </c:pt>
                <c:pt idx="34">
                  <c:v>1.0553036448004516</c:v>
                </c:pt>
                <c:pt idx="35">
                  <c:v>1.0415518072153302</c:v>
                </c:pt>
                <c:pt idx="36">
                  <c:v>0.73324271528591056</c:v>
                </c:pt>
                <c:pt idx="37">
                  <c:v>0.72673451456429117</c:v>
                </c:pt>
                <c:pt idx="38">
                  <c:v>2.5846117410114227</c:v>
                </c:pt>
                <c:pt idx="39">
                  <c:v>0.3676493154073206</c:v>
                </c:pt>
                <c:pt idx="40">
                  <c:v>1.3885648278661464</c:v>
                </c:pt>
                <c:pt idx="41">
                  <c:v>1.1818591336976039</c:v>
                </c:pt>
                <c:pt idx="42">
                  <c:v>0.18444621686123341</c:v>
                </c:pt>
                <c:pt idx="43">
                  <c:v>0.43911508427168433</c:v>
                </c:pt>
              </c:numCache>
            </c:numRef>
          </c:val>
          <c:extLst>
            <c:ext xmlns:c16="http://schemas.microsoft.com/office/drawing/2014/chart" uri="{C3380CC4-5D6E-409C-BE32-E72D297353CC}">
              <c16:uniqueId val="{00000001-AB51-43F7-95E2-084586A26B4D}"/>
            </c:ext>
          </c:extLst>
        </c:ser>
        <c:ser>
          <c:idx val="3"/>
          <c:order val="2"/>
          <c:tx>
            <c:strRef>
              <c:f>'6. Charts'!$D$5</c:f>
              <c:strCache>
                <c:ptCount val="1"/>
                <c:pt idx="0">
                  <c:v>Data 3</c:v>
                </c:pt>
              </c:strCache>
            </c:strRef>
          </c:tx>
          <c:spPr>
            <a:solidFill>
              <a:schemeClr val="accent4"/>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val>
          <c:extLst>
            <c:ext xmlns:c16="http://schemas.microsoft.com/office/drawing/2014/chart" uri="{C3380CC4-5D6E-409C-BE32-E72D297353CC}">
              <c16:uniqueId val="{00000002-AB51-43F7-95E2-084586A26B4D}"/>
            </c:ext>
          </c:extLst>
        </c:ser>
        <c:ser>
          <c:idx val="4"/>
          <c:order val="3"/>
          <c:tx>
            <c:strRef>
              <c:f>'6. Charts'!$E$5</c:f>
              <c:strCache>
                <c:ptCount val="1"/>
                <c:pt idx="0">
                  <c:v>Data 4</c:v>
                </c:pt>
              </c:strCache>
            </c:strRef>
          </c:tx>
          <c:spPr>
            <a:solidFill>
              <a:schemeClr val="accent5"/>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Charts'!$E$6:$E$49</c:f>
              <c:numCache>
                <c:formatCode>#,##0.00</c:formatCode>
                <c:ptCount val="44"/>
                <c:pt idx="0">
                  <c:v>1.0535863885888921</c:v>
                </c:pt>
                <c:pt idx="1">
                  <c:v>-1.0937479096589318</c:v>
                </c:pt>
                <c:pt idx="2">
                  <c:v>21.436142209616996</c:v>
                </c:pt>
                <c:pt idx="3">
                  <c:v>-0.81114673752533961</c:v>
                </c:pt>
                <c:pt idx="4">
                  <c:v>1.7427168115770999</c:v>
                </c:pt>
                <c:pt idx="5">
                  <c:v>9.7998375208759789</c:v>
                </c:pt>
                <c:pt idx="6">
                  <c:v>2.6383475194258241</c:v>
                </c:pt>
                <c:pt idx="7">
                  <c:v>1.9667171440659352</c:v>
                </c:pt>
                <c:pt idx="8">
                  <c:v>-1.6572157673278893</c:v>
                </c:pt>
                <c:pt idx="9">
                  <c:v>-1.0721601939677019</c:v>
                </c:pt>
                <c:pt idx="10">
                  <c:v>-1.3667979593696533</c:v>
                </c:pt>
                <c:pt idx="11">
                  <c:v>3.7543815003844063</c:v>
                </c:pt>
                <c:pt idx="12">
                  <c:v>0</c:v>
                </c:pt>
                <c:pt idx="13">
                  <c:v>-7.0581234960348986</c:v>
                </c:pt>
                <c:pt idx="14">
                  <c:v>-2.382027490382121</c:v>
                </c:pt>
                <c:pt idx="15">
                  <c:v>8.9091714761648007</c:v>
                </c:pt>
                <c:pt idx="16">
                  <c:v>0</c:v>
                </c:pt>
                <c:pt idx="17">
                  <c:v>-0.56835412136087005</c:v>
                </c:pt>
                <c:pt idx="18">
                  <c:v>-2.8761874412424495</c:v>
                </c:pt>
                <c:pt idx="19">
                  <c:v>0</c:v>
                </c:pt>
                <c:pt idx="20">
                  <c:v>-1.0641587757944062</c:v>
                </c:pt>
                <c:pt idx="21">
                  <c:v>-1.4771883087268423</c:v>
                </c:pt>
                <c:pt idx="22">
                  <c:v>4.8113779209706999</c:v>
                </c:pt>
                <c:pt idx="23">
                  <c:v>2.297296339337628</c:v>
                </c:pt>
                <c:pt idx="24">
                  <c:v>1.2602684623351494</c:v>
                </c:pt>
                <c:pt idx="25">
                  <c:v>1.0110366391300989</c:v>
                </c:pt>
                <c:pt idx="26">
                  <c:v>-5.8299167359071875</c:v>
                </c:pt>
                <c:pt idx="27">
                  <c:v>8.6896473619859993</c:v>
                </c:pt>
                <c:pt idx="28">
                  <c:v>3.3840281939889536</c:v>
                </c:pt>
                <c:pt idx="29">
                  <c:v>-3.1115125260320426</c:v>
                </c:pt>
                <c:pt idx="30">
                  <c:v>0</c:v>
                </c:pt>
                <c:pt idx="31">
                  <c:v>2.5432131685481982</c:v>
                </c:pt>
                <c:pt idx="32">
                  <c:v>-2.533567579017987</c:v>
                </c:pt>
                <c:pt idx="33">
                  <c:v>-2.9546624453981676</c:v>
                </c:pt>
                <c:pt idx="34">
                  <c:v>-0.91017341412450004</c:v>
                </c:pt>
                <c:pt idx="35">
                  <c:v>3.0839267191792028</c:v>
                </c:pt>
                <c:pt idx="36">
                  <c:v>2.143960764507022</c:v>
                </c:pt>
                <c:pt idx="37">
                  <c:v>2.6838478218474151</c:v>
                </c:pt>
                <c:pt idx="38">
                  <c:v>0</c:v>
                </c:pt>
                <c:pt idx="39">
                  <c:v>-7.9571479379693519</c:v>
                </c:pt>
                <c:pt idx="40">
                  <c:v>4.6465086136534381</c:v>
                </c:pt>
                <c:pt idx="41">
                  <c:v>-3.0194676687115347</c:v>
                </c:pt>
                <c:pt idx="42">
                  <c:v>2.2154595164630355</c:v>
                </c:pt>
                <c:pt idx="43">
                  <c:v>0.60138159504017319</c:v>
                </c:pt>
              </c:numCache>
            </c:numRef>
          </c:val>
          <c:extLst>
            <c:ext xmlns:c16="http://schemas.microsoft.com/office/drawing/2014/chart" uri="{C3380CC4-5D6E-409C-BE32-E72D297353CC}">
              <c16:uniqueId val="{00000003-AB51-43F7-95E2-084586A26B4D}"/>
            </c:ext>
          </c:extLst>
        </c:ser>
        <c:dLbls>
          <c:showLegendKey val="0"/>
          <c:showVal val="0"/>
          <c:showCatName val="0"/>
          <c:showSerName val="0"/>
          <c:showPercent val="0"/>
          <c:showBubbleSize val="0"/>
        </c:dLbls>
        <c:gapWidth val="150"/>
        <c:axId val="1596755552"/>
        <c:axId val="1596761312"/>
      </c:barChart>
      <c:catAx>
        <c:axId val="15967555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61312"/>
        <c:crosses val="autoZero"/>
        <c:auto val="1"/>
        <c:lblAlgn val="ctr"/>
        <c:lblOffset val="100"/>
        <c:noMultiLvlLbl val="0"/>
      </c:catAx>
      <c:valAx>
        <c:axId val="1596761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55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Stacked Column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'6. Charts'!$B$5</c:f>
              <c:strCache>
                <c:ptCount val="1"/>
                <c:pt idx="0">
                  <c:v>Data 1</c:v>
                </c:pt>
              </c:strCache>
            </c:strRef>
          </c:tx>
          <c:spPr>
            <a:solidFill>
              <a:schemeClr val="accent2"/>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Charts'!$B$6:$B$49</c:f>
              <c:numCache>
                <c:formatCode>#,##0.00</c:formatCode>
                <c:ptCount val="44"/>
                <c:pt idx="0">
                  <c:v>2</c:v>
                </c:pt>
                <c:pt idx="1">
                  <c:v>-1</c:v>
                </c:pt>
                <c:pt idx="2">
                  <c:v>4</c:v>
                </c:pt>
                <c:pt idx="3">
                  <c:v>-1</c:v>
                </c:pt>
                <c:pt idx="4">
                  <c:v>4</c:v>
                </c:pt>
                <c:pt idx="5">
                  <c:v>5</c:v>
                </c:pt>
                <c:pt idx="6">
                  <c:v>5</c:v>
                </c:pt>
                <c:pt idx="7">
                  <c:v>2</c:v>
                </c:pt>
                <c:pt idx="8">
                  <c:v>-2</c:v>
                </c:pt>
                <c:pt idx="9">
                  <c:v>-1</c:v>
                </c:pt>
                <c:pt idx="10">
                  <c:v>-2</c:v>
                </c:pt>
                <c:pt idx="11">
                  <c:v>1</c:v>
                </c:pt>
                <c:pt idx="12">
                  <c:v>0</c:v>
                </c:pt>
                <c:pt idx="13">
                  <c:v>-3</c:v>
                </c:pt>
                <c:pt idx="14">
                  <c:v>-2</c:v>
                </c:pt>
                <c:pt idx="15">
                  <c:v>4</c:v>
                </c:pt>
                <c:pt idx="16">
                  <c:v>0</c:v>
                </c:pt>
                <c:pt idx="17">
                  <c:v>-1</c:v>
                </c:pt>
                <c:pt idx="18">
                  <c:v>-4</c:v>
                </c:pt>
                <c:pt idx="19">
                  <c:v>0</c:v>
                </c:pt>
                <c:pt idx="20">
                  <c:v>-2</c:v>
                </c:pt>
                <c:pt idx="21">
                  <c:v>-2</c:v>
                </c:pt>
                <c:pt idx="22">
                  <c:v>5</c:v>
                </c:pt>
                <c:pt idx="23">
                  <c:v>2</c:v>
                </c:pt>
                <c:pt idx="24">
                  <c:v>2</c:v>
                </c:pt>
                <c:pt idx="25">
                  <c:v>1</c:v>
                </c:pt>
                <c:pt idx="26">
                  <c:v>-2</c:v>
                </c:pt>
                <c:pt idx="27">
                  <c:v>3</c:v>
                </c:pt>
                <c:pt idx="28">
                  <c:v>2</c:v>
                </c:pt>
                <c:pt idx="29">
                  <c:v>-5</c:v>
                </c:pt>
                <c:pt idx="30">
                  <c:v>0</c:v>
                </c:pt>
                <c:pt idx="31">
                  <c:v>5</c:v>
                </c:pt>
                <c:pt idx="32">
                  <c:v>-5</c:v>
                </c:pt>
                <c:pt idx="33">
                  <c:v>-2</c:v>
                </c:pt>
                <c:pt idx="34">
                  <c:v>-5</c:v>
                </c:pt>
                <c:pt idx="35">
                  <c:v>3</c:v>
                </c:pt>
                <c:pt idx="36">
                  <c:v>4</c:v>
                </c:pt>
                <c:pt idx="37">
                  <c:v>3</c:v>
                </c:pt>
                <c:pt idx="38">
                  <c:v>0</c:v>
                </c:pt>
                <c:pt idx="39">
                  <c:v>-4</c:v>
                </c:pt>
                <c:pt idx="40">
                  <c:v>5</c:v>
                </c:pt>
                <c:pt idx="41">
                  <c:v>-4</c:v>
                </c:pt>
                <c:pt idx="42">
                  <c:v>4</c:v>
                </c:pt>
                <c:pt idx="43">
                  <c:v>1</c:v>
                </c:pt>
              </c:numCache>
            </c:numRef>
          </c:val>
          <c:extLst>
            <c:ext xmlns:c16="http://schemas.microsoft.com/office/drawing/2014/chart" uri="{C3380CC4-5D6E-409C-BE32-E72D297353CC}">
              <c16:uniqueId val="{00000000-74E0-46DE-948B-9CCEDA9B3665}"/>
            </c:ext>
          </c:extLst>
        </c:ser>
        <c:ser>
          <c:idx val="2"/>
          <c:order val="1"/>
          <c:tx>
            <c:strRef>
              <c:f>'6. Charts'!$C$5</c:f>
              <c:strCache>
                <c:ptCount val="1"/>
                <c:pt idx="0">
                  <c:v>Data 2</c:v>
                </c:pt>
              </c:strCache>
            </c:strRef>
          </c:tx>
          <c:spPr>
            <a:solidFill>
              <a:schemeClr val="accent3"/>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Charts'!$C$6:$C$49</c:f>
              <c:numCache>
                <c:formatCode>#,##0.00</c:formatCode>
                <c:ptCount val="44"/>
                <c:pt idx="0">
                  <c:v>1.8109214372981315</c:v>
                </c:pt>
                <c:pt idx="1">
                  <c:v>2.5905737989007691</c:v>
                </c:pt>
                <c:pt idx="2">
                  <c:v>1.8142262935476663</c:v>
                </c:pt>
                <c:pt idx="3">
                  <c:v>1.9550141650678929</c:v>
                </c:pt>
                <c:pt idx="4">
                  <c:v>2.8363339306848254</c:v>
                </c:pt>
                <c:pt idx="5">
                  <c:v>2.1596363152368427</c:v>
                </c:pt>
                <c:pt idx="6">
                  <c:v>1.9599325373471794</c:v>
                </c:pt>
                <c:pt idx="7">
                  <c:v>1.875014876681754</c:v>
                </c:pt>
                <c:pt idx="8">
                  <c:v>1.7917186200425816</c:v>
                </c:pt>
                <c:pt idx="9">
                  <c:v>0.44552623141760328</c:v>
                </c:pt>
                <c:pt idx="10">
                  <c:v>2.8153261591835714</c:v>
                </c:pt>
                <c:pt idx="11">
                  <c:v>1.4053785810924828</c:v>
                </c:pt>
                <c:pt idx="12">
                  <c:v>2.5741667309607252</c:v>
                </c:pt>
                <c:pt idx="13">
                  <c:v>2.5622602011899778</c:v>
                </c:pt>
                <c:pt idx="14">
                  <c:v>2.7485502859952482</c:v>
                </c:pt>
                <c:pt idx="15">
                  <c:v>9.3779590993076201E-2</c:v>
                </c:pt>
                <c:pt idx="16">
                  <c:v>2.9788967610697545</c:v>
                </c:pt>
                <c:pt idx="17">
                  <c:v>2.9496437594343314</c:v>
                </c:pt>
                <c:pt idx="18">
                  <c:v>4.2043461718417219E-2</c:v>
                </c:pt>
                <c:pt idx="19">
                  <c:v>2.8917730838956124</c:v>
                </c:pt>
                <c:pt idx="20">
                  <c:v>1.9999379201029699</c:v>
                </c:pt>
                <c:pt idx="21">
                  <c:v>0.84491926684303353</c:v>
                </c:pt>
                <c:pt idx="22">
                  <c:v>1.9883541494724741</c:v>
                </c:pt>
                <c:pt idx="23">
                  <c:v>2.0982753709135715</c:v>
                </c:pt>
                <c:pt idx="24">
                  <c:v>0.11478237085731069</c:v>
                </c:pt>
                <c:pt idx="25">
                  <c:v>0.39021720267095206</c:v>
                </c:pt>
                <c:pt idx="26">
                  <c:v>2.7287134654179281</c:v>
                </c:pt>
                <c:pt idx="27">
                  <c:v>0.63618417138910355</c:v>
                </c:pt>
                <c:pt idx="28">
                  <c:v>2.2069290019763321</c:v>
                </c:pt>
                <c:pt idx="29">
                  <c:v>0.50173815733843996</c:v>
                </c:pt>
                <c:pt idx="30">
                  <c:v>1.9618935058689135</c:v>
                </c:pt>
                <c:pt idx="31">
                  <c:v>0.27848121516603996</c:v>
                </c:pt>
                <c:pt idx="32">
                  <c:v>2.0345714347173249</c:v>
                </c:pt>
                <c:pt idx="33">
                  <c:v>0.32276640359913511</c:v>
                </c:pt>
                <c:pt idx="34">
                  <c:v>1.0553036448004516</c:v>
                </c:pt>
                <c:pt idx="35">
                  <c:v>1.0415518072153302</c:v>
                </c:pt>
                <c:pt idx="36">
                  <c:v>0.73324271528591056</c:v>
                </c:pt>
                <c:pt idx="37">
                  <c:v>0.72673451456429117</c:v>
                </c:pt>
                <c:pt idx="38">
                  <c:v>2.5846117410114227</c:v>
                </c:pt>
                <c:pt idx="39">
                  <c:v>0.3676493154073206</c:v>
                </c:pt>
                <c:pt idx="40">
                  <c:v>1.3885648278661464</c:v>
                </c:pt>
                <c:pt idx="41">
                  <c:v>1.1818591336976039</c:v>
                </c:pt>
                <c:pt idx="42">
                  <c:v>0.18444621686123341</c:v>
                </c:pt>
                <c:pt idx="43">
                  <c:v>0.43911508427168433</c:v>
                </c:pt>
              </c:numCache>
            </c:numRef>
          </c:val>
          <c:extLst>
            <c:ext xmlns:c16="http://schemas.microsoft.com/office/drawing/2014/chart" uri="{C3380CC4-5D6E-409C-BE32-E72D297353CC}">
              <c16:uniqueId val="{00000001-74E0-46DE-948B-9CCEDA9B3665}"/>
            </c:ext>
          </c:extLst>
        </c:ser>
        <c:ser>
          <c:idx val="3"/>
          <c:order val="2"/>
          <c:tx>
            <c:strRef>
              <c:f>'6. Charts'!$D$5</c:f>
              <c:strCache>
                <c:ptCount val="1"/>
                <c:pt idx="0">
                  <c:v>Data 3</c:v>
                </c:pt>
              </c:strCache>
            </c:strRef>
          </c:tx>
          <c:spPr>
            <a:solidFill>
              <a:schemeClr val="accent4"/>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val>
          <c:extLst>
            <c:ext xmlns:c16="http://schemas.microsoft.com/office/drawing/2014/chart" uri="{C3380CC4-5D6E-409C-BE32-E72D297353CC}">
              <c16:uniqueId val="{00000002-74E0-46DE-948B-9CCEDA9B3665}"/>
            </c:ext>
          </c:extLst>
        </c:ser>
        <c:ser>
          <c:idx val="4"/>
          <c:order val="3"/>
          <c:tx>
            <c:strRef>
              <c:f>'6. Charts'!$E$5</c:f>
              <c:strCache>
                <c:ptCount val="1"/>
                <c:pt idx="0">
                  <c:v>Data 4</c:v>
                </c:pt>
              </c:strCache>
            </c:strRef>
          </c:tx>
          <c:spPr>
            <a:solidFill>
              <a:schemeClr val="accent5"/>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Charts'!$E$6:$E$49</c:f>
              <c:numCache>
                <c:formatCode>#,##0.00</c:formatCode>
                <c:ptCount val="44"/>
                <c:pt idx="0">
                  <c:v>1.0535863885888921</c:v>
                </c:pt>
                <c:pt idx="1">
                  <c:v>-1.0937479096589318</c:v>
                </c:pt>
                <c:pt idx="2">
                  <c:v>21.436142209616996</c:v>
                </c:pt>
                <c:pt idx="3">
                  <c:v>-0.81114673752533961</c:v>
                </c:pt>
                <c:pt idx="4">
                  <c:v>1.7427168115770999</c:v>
                </c:pt>
                <c:pt idx="5">
                  <c:v>9.7998375208759789</c:v>
                </c:pt>
                <c:pt idx="6">
                  <c:v>2.6383475194258241</c:v>
                </c:pt>
                <c:pt idx="7">
                  <c:v>1.9667171440659352</c:v>
                </c:pt>
                <c:pt idx="8">
                  <c:v>-1.6572157673278893</c:v>
                </c:pt>
                <c:pt idx="9">
                  <c:v>-1.0721601939677019</c:v>
                </c:pt>
                <c:pt idx="10">
                  <c:v>-1.3667979593696533</c:v>
                </c:pt>
                <c:pt idx="11">
                  <c:v>3.7543815003844063</c:v>
                </c:pt>
                <c:pt idx="12">
                  <c:v>0</c:v>
                </c:pt>
                <c:pt idx="13">
                  <c:v>-7.0581234960348986</c:v>
                </c:pt>
                <c:pt idx="14">
                  <c:v>-2.382027490382121</c:v>
                </c:pt>
                <c:pt idx="15">
                  <c:v>8.9091714761648007</c:v>
                </c:pt>
                <c:pt idx="16">
                  <c:v>0</c:v>
                </c:pt>
                <c:pt idx="17">
                  <c:v>-0.56835412136087005</c:v>
                </c:pt>
                <c:pt idx="18">
                  <c:v>-2.8761874412424495</c:v>
                </c:pt>
                <c:pt idx="19">
                  <c:v>0</c:v>
                </c:pt>
                <c:pt idx="20">
                  <c:v>-1.0641587757944062</c:v>
                </c:pt>
                <c:pt idx="21">
                  <c:v>-1.4771883087268423</c:v>
                </c:pt>
                <c:pt idx="22">
                  <c:v>4.8113779209706999</c:v>
                </c:pt>
                <c:pt idx="23">
                  <c:v>2.297296339337628</c:v>
                </c:pt>
                <c:pt idx="24">
                  <c:v>1.2602684623351494</c:v>
                </c:pt>
                <c:pt idx="25">
                  <c:v>1.0110366391300989</c:v>
                </c:pt>
                <c:pt idx="26">
                  <c:v>-5.8299167359071875</c:v>
                </c:pt>
                <c:pt idx="27">
                  <c:v>8.6896473619859993</c:v>
                </c:pt>
                <c:pt idx="28">
                  <c:v>3.3840281939889536</c:v>
                </c:pt>
                <c:pt idx="29">
                  <c:v>-3.1115125260320426</c:v>
                </c:pt>
                <c:pt idx="30">
                  <c:v>0</c:v>
                </c:pt>
                <c:pt idx="31">
                  <c:v>2.5432131685481982</c:v>
                </c:pt>
                <c:pt idx="32">
                  <c:v>-2.533567579017987</c:v>
                </c:pt>
                <c:pt idx="33">
                  <c:v>-2.9546624453981676</c:v>
                </c:pt>
                <c:pt idx="34">
                  <c:v>-0.91017341412450004</c:v>
                </c:pt>
                <c:pt idx="35">
                  <c:v>3.0839267191792028</c:v>
                </c:pt>
                <c:pt idx="36">
                  <c:v>2.143960764507022</c:v>
                </c:pt>
                <c:pt idx="37">
                  <c:v>2.6838478218474151</c:v>
                </c:pt>
                <c:pt idx="38">
                  <c:v>0</c:v>
                </c:pt>
                <c:pt idx="39">
                  <c:v>-7.9571479379693519</c:v>
                </c:pt>
                <c:pt idx="40">
                  <c:v>4.6465086136534381</c:v>
                </c:pt>
                <c:pt idx="41">
                  <c:v>-3.0194676687115347</c:v>
                </c:pt>
                <c:pt idx="42">
                  <c:v>2.2154595164630355</c:v>
                </c:pt>
                <c:pt idx="43">
                  <c:v>0.60138159504017319</c:v>
                </c:pt>
              </c:numCache>
            </c:numRef>
          </c:val>
          <c:extLst>
            <c:ext xmlns:c16="http://schemas.microsoft.com/office/drawing/2014/chart" uri="{C3380CC4-5D6E-409C-BE32-E72D297353CC}">
              <c16:uniqueId val="{00000003-74E0-46DE-948B-9CCEDA9B3665}"/>
            </c:ext>
          </c:extLst>
        </c:ser>
        <c:dLbls>
          <c:showLegendKey val="0"/>
          <c:showVal val="0"/>
          <c:showCatName val="0"/>
          <c:showSerName val="0"/>
          <c:showPercent val="0"/>
          <c:showBubbleSize val="0"/>
        </c:dLbls>
        <c:gapWidth val="150"/>
        <c:overlap val="100"/>
        <c:axId val="1596755552"/>
        <c:axId val="1596761312"/>
      </c:barChart>
      <c:catAx>
        <c:axId val="15967555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61312"/>
        <c:crosses val="autoZero"/>
        <c:auto val="1"/>
        <c:lblAlgn val="ctr"/>
        <c:lblOffset val="100"/>
        <c:noMultiLvlLbl val="0"/>
      </c:catAx>
      <c:valAx>
        <c:axId val="1596761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55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Clustered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'6. Charts'!$B$5</c:f>
              <c:strCache>
                <c:ptCount val="1"/>
                <c:pt idx="0">
                  <c:v>Data 1</c:v>
                </c:pt>
              </c:strCache>
            </c:strRef>
          </c:tx>
          <c:spPr>
            <a:solidFill>
              <a:schemeClr val="accent2"/>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Charts'!$B$6:$B$49</c:f>
              <c:numCache>
                <c:formatCode>#,##0.00</c:formatCode>
                <c:ptCount val="44"/>
                <c:pt idx="0">
                  <c:v>2</c:v>
                </c:pt>
                <c:pt idx="1">
                  <c:v>-1</c:v>
                </c:pt>
                <c:pt idx="2">
                  <c:v>4</c:v>
                </c:pt>
                <c:pt idx="3">
                  <c:v>-1</c:v>
                </c:pt>
                <c:pt idx="4">
                  <c:v>4</c:v>
                </c:pt>
                <c:pt idx="5">
                  <c:v>5</c:v>
                </c:pt>
                <c:pt idx="6">
                  <c:v>5</c:v>
                </c:pt>
                <c:pt idx="7">
                  <c:v>2</c:v>
                </c:pt>
                <c:pt idx="8">
                  <c:v>-2</c:v>
                </c:pt>
                <c:pt idx="9">
                  <c:v>-1</c:v>
                </c:pt>
                <c:pt idx="10">
                  <c:v>-2</c:v>
                </c:pt>
                <c:pt idx="11">
                  <c:v>1</c:v>
                </c:pt>
                <c:pt idx="12">
                  <c:v>0</c:v>
                </c:pt>
                <c:pt idx="13">
                  <c:v>-3</c:v>
                </c:pt>
                <c:pt idx="14">
                  <c:v>-2</c:v>
                </c:pt>
                <c:pt idx="15">
                  <c:v>4</c:v>
                </c:pt>
                <c:pt idx="16">
                  <c:v>0</c:v>
                </c:pt>
                <c:pt idx="17">
                  <c:v>-1</c:v>
                </c:pt>
                <c:pt idx="18">
                  <c:v>-4</c:v>
                </c:pt>
                <c:pt idx="19">
                  <c:v>0</c:v>
                </c:pt>
                <c:pt idx="20">
                  <c:v>-2</c:v>
                </c:pt>
                <c:pt idx="21">
                  <c:v>-2</c:v>
                </c:pt>
                <c:pt idx="22">
                  <c:v>5</c:v>
                </c:pt>
                <c:pt idx="23">
                  <c:v>2</c:v>
                </c:pt>
                <c:pt idx="24">
                  <c:v>2</c:v>
                </c:pt>
                <c:pt idx="25">
                  <c:v>1</c:v>
                </c:pt>
                <c:pt idx="26">
                  <c:v>-2</c:v>
                </c:pt>
                <c:pt idx="27">
                  <c:v>3</c:v>
                </c:pt>
                <c:pt idx="28">
                  <c:v>2</c:v>
                </c:pt>
                <c:pt idx="29">
                  <c:v>-5</c:v>
                </c:pt>
                <c:pt idx="30">
                  <c:v>0</c:v>
                </c:pt>
                <c:pt idx="31">
                  <c:v>5</c:v>
                </c:pt>
                <c:pt idx="32">
                  <c:v>-5</c:v>
                </c:pt>
                <c:pt idx="33">
                  <c:v>-2</c:v>
                </c:pt>
                <c:pt idx="34">
                  <c:v>-5</c:v>
                </c:pt>
                <c:pt idx="35">
                  <c:v>3</c:v>
                </c:pt>
                <c:pt idx="36">
                  <c:v>4</c:v>
                </c:pt>
                <c:pt idx="37">
                  <c:v>3</c:v>
                </c:pt>
                <c:pt idx="38">
                  <c:v>0</c:v>
                </c:pt>
                <c:pt idx="39">
                  <c:v>-4</c:v>
                </c:pt>
                <c:pt idx="40">
                  <c:v>5</c:v>
                </c:pt>
                <c:pt idx="41">
                  <c:v>-4</c:v>
                </c:pt>
                <c:pt idx="42">
                  <c:v>4</c:v>
                </c:pt>
                <c:pt idx="43">
                  <c:v>1</c:v>
                </c:pt>
              </c:numCache>
            </c:numRef>
          </c:val>
          <c:extLst>
            <c:ext xmlns:c16="http://schemas.microsoft.com/office/drawing/2014/chart" uri="{C3380CC4-5D6E-409C-BE32-E72D297353CC}">
              <c16:uniqueId val="{00000000-D792-4D95-82B1-ADBC8FB2FA9B}"/>
            </c:ext>
          </c:extLst>
        </c:ser>
        <c:ser>
          <c:idx val="2"/>
          <c:order val="1"/>
          <c:tx>
            <c:strRef>
              <c:f>'6. Charts'!$C$5</c:f>
              <c:strCache>
                <c:ptCount val="1"/>
                <c:pt idx="0">
                  <c:v>Data 2</c:v>
                </c:pt>
              </c:strCache>
            </c:strRef>
          </c:tx>
          <c:spPr>
            <a:solidFill>
              <a:schemeClr val="accent3"/>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Charts'!$C$6:$C$49</c:f>
              <c:numCache>
                <c:formatCode>#,##0.00</c:formatCode>
                <c:ptCount val="44"/>
                <c:pt idx="0">
                  <c:v>1.8109214372981315</c:v>
                </c:pt>
                <c:pt idx="1">
                  <c:v>2.5905737989007691</c:v>
                </c:pt>
                <c:pt idx="2">
                  <c:v>1.8142262935476663</c:v>
                </c:pt>
                <c:pt idx="3">
                  <c:v>1.9550141650678929</c:v>
                </c:pt>
                <c:pt idx="4">
                  <c:v>2.8363339306848254</c:v>
                </c:pt>
                <c:pt idx="5">
                  <c:v>2.1596363152368427</c:v>
                </c:pt>
                <c:pt idx="6">
                  <c:v>1.9599325373471794</c:v>
                </c:pt>
                <c:pt idx="7">
                  <c:v>1.875014876681754</c:v>
                </c:pt>
                <c:pt idx="8">
                  <c:v>1.7917186200425816</c:v>
                </c:pt>
                <c:pt idx="9">
                  <c:v>0.44552623141760328</c:v>
                </c:pt>
                <c:pt idx="10">
                  <c:v>2.8153261591835714</c:v>
                </c:pt>
                <c:pt idx="11">
                  <c:v>1.4053785810924828</c:v>
                </c:pt>
                <c:pt idx="12">
                  <c:v>2.5741667309607252</c:v>
                </c:pt>
                <c:pt idx="13">
                  <c:v>2.5622602011899778</c:v>
                </c:pt>
                <c:pt idx="14">
                  <c:v>2.7485502859952482</c:v>
                </c:pt>
                <c:pt idx="15">
                  <c:v>9.3779590993076201E-2</c:v>
                </c:pt>
                <c:pt idx="16">
                  <c:v>2.9788967610697545</c:v>
                </c:pt>
                <c:pt idx="17">
                  <c:v>2.9496437594343314</c:v>
                </c:pt>
                <c:pt idx="18">
                  <c:v>4.2043461718417219E-2</c:v>
                </c:pt>
                <c:pt idx="19">
                  <c:v>2.8917730838956124</c:v>
                </c:pt>
                <c:pt idx="20">
                  <c:v>1.9999379201029699</c:v>
                </c:pt>
                <c:pt idx="21">
                  <c:v>0.84491926684303353</c:v>
                </c:pt>
                <c:pt idx="22">
                  <c:v>1.9883541494724741</c:v>
                </c:pt>
                <c:pt idx="23">
                  <c:v>2.0982753709135715</c:v>
                </c:pt>
                <c:pt idx="24">
                  <c:v>0.11478237085731069</c:v>
                </c:pt>
                <c:pt idx="25">
                  <c:v>0.39021720267095206</c:v>
                </c:pt>
                <c:pt idx="26">
                  <c:v>2.7287134654179281</c:v>
                </c:pt>
                <c:pt idx="27">
                  <c:v>0.63618417138910355</c:v>
                </c:pt>
                <c:pt idx="28">
                  <c:v>2.2069290019763321</c:v>
                </c:pt>
                <c:pt idx="29">
                  <c:v>0.50173815733843996</c:v>
                </c:pt>
                <c:pt idx="30">
                  <c:v>1.9618935058689135</c:v>
                </c:pt>
                <c:pt idx="31">
                  <c:v>0.27848121516603996</c:v>
                </c:pt>
                <c:pt idx="32">
                  <c:v>2.0345714347173249</c:v>
                </c:pt>
                <c:pt idx="33">
                  <c:v>0.32276640359913511</c:v>
                </c:pt>
                <c:pt idx="34">
                  <c:v>1.0553036448004516</c:v>
                </c:pt>
                <c:pt idx="35">
                  <c:v>1.0415518072153302</c:v>
                </c:pt>
                <c:pt idx="36">
                  <c:v>0.73324271528591056</c:v>
                </c:pt>
                <c:pt idx="37">
                  <c:v>0.72673451456429117</c:v>
                </c:pt>
                <c:pt idx="38">
                  <c:v>2.5846117410114227</c:v>
                </c:pt>
                <c:pt idx="39">
                  <c:v>0.3676493154073206</c:v>
                </c:pt>
                <c:pt idx="40">
                  <c:v>1.3885648278661464</c:v>
                </c:pt>
                <c:pt idx="41">
                  <c:v>1.1818591336976039</c:v>
                </c:pt>
                <c:pt idx="42">
                  <c:v>0.18444621686123341</c:v>
                </c:pt>
                <c:pt idx="43">
                  <c:v>0.43911508427168433</c:v>
                </c:pt>
              </c:numCache>
            </c:numRef>
          </c:val>
          <c:extLst>
            <c:ext xmlns:c16="http://schemas.microsoft.com/office/drawing/2014/chart" uri="{C3380CC4-5D6E-409C-BE32-E72D297353CC}">
              <c16:uniqueId val="{00000001-D792-4D95-82B1-ADBC8FB2FA9B}"/>
            </c:ext>
          </c:extLst>
        </c:ser>
        <c:ser>
          <c:idx val="3"/>
          <c:order val="2"/>
          <c:tx>
            <c:strRef>
              <c:f>'6. Charts'!$D$5</c:f>
              <c:strCache>
                <c:ptCount val="1"/>
                <c:pt idx="0">
                  <c:v>Data 3</c:v>
                </c:pt>
              </c:strCache>
            </c:strRef>
          </c:tx>
          <c:spPr>
            <a:solidFill>
              <a:schemeClr val="accent4"/>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val>
          <c:extLst>
            <c:ext xmlns:c16="http://schemas.microsoft.com/office/drawing/2014/chart" uri="{C3380CC4-5D6E-409C-BE32-E72D297353CC}">
              <c16:uniqueId val="{00000002-D792-4D95-82B1-ADBC8FB2FA9B}"/>
            </c:ext>
          </c:extLst>
        </c:ser>
        <c:ser>
          <c:idx val="4"/>
          <c:order val="3"/>
          <c:tx>
            <c:strRef>
              <c:f>'6. Charts'!$E$5</c:f>
              <c:strCache>
                <c:ptCount val="1"/>
                <c:pt idx="0">
                  <c:v>Data 4</c:v>
                </c:pt>
              </c:strCache>
            </c:strRef>
          </c:tx>
          <c:spPr>
            <a:solidFill>
              <a:schemeClr val="accent5"/>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Charts'!$E$6:$E$49</c:f>
              <c:numCache>
                <c:formatCode>#,##0.00</c:formatCode>
                <c:ptCount val="44"/>
                <c:pt idx="0">
                  <c:v>1.0535863885888921</c:v>
                </c:pt>
                <c:pt idx="1">
                  <c:v>-1.0937479096589318</c:v>
                </c:pt>
                <c:pt idx="2">
                  <c:v>21.436142209616996</c:v>
                </c:pt>
                <c:pt idx="3">
                  <c:v>-0.81114673752533961</c:v>
                </c:pt>
                <c:pt idx="4">
                  <c:v>1.7427168115770999</c:v>
                </c:pt>
                <c:pt idx="5">
                  <c:v>9.7998375208759789</c:v>
                </c:pt>
                <c:pt idx="6">
                  <c:v>2.6383475194258241</c:v>
                </c:pt>
                <c:pt idx="7">
                  <c:v>1.9667171440659352</c:v>
                </c:pt>
                <c:pt idx="8">
                  <c:v>-1.6572157673278893</c:v>
                </c:pt>
                <c:pt idx="9">
                  <c:v>-1.0721601939677019</c:v>
                </c:pt>
                <c:pt idx="10">
                  <c:v>-1.3667979593696533</c:v>
                </c:pt>
                <c:pt idx="11">
                  <c:v>3.7543815003844063</c:v>
                </c:pt>
                <c:pt idx="12">
                  <c:v>0</c:v>
                </c:pt>
                <c:pt idx="13">
                  <c:v>-7.0581234960348986</c:v>
                </c:pt>
                <c:pt idx="14">
                  <c:v>-2.382027490382121</c:v>
                </c:pt>
                <c:pt idx="15">
                  <c:v>8.9091714761648007</c:v>
                </c:pt>
                <c:pt idx="16">
                  <c:v>0</c:v>
                </c:pt>
                <c:pt idx="17">
                  <c:v>-0.56835412136087005</c:v>
                </c:pt>
                <c:pt idx="18">
                  <c:v>-2.8761874412424495</c:v>
                </c:pt>
                <c:pt idx="19">
                  <c:v>0</c:v>
                </c:pt>
                <c:pt idx="20">
                  <c:v>-1.0641587757944062</c:v>
                </c:pt>
                <c:pt idx="21">
                  <c:v>-1.4771883087268423</c:v>
                </c:pt>
                <c:pt idx="22">
                  <c:v>4.8113779209706999</c:v>
                </c:pt>
                <c:pt idx="23">
                  <c:v>2.297296339337628</c:v>
                </c:pt>
                <c:pt idx="24">
                  <c:v>1.2602684623351494</c:v>
                </c:pt>
                <c:pt idx="25">
                  <c:v>1.0110366391300989</c:v>
                </c:pt>
                <c:pt idx="26">
                  <c:v>-5.8299167359071875</c:v>
                </c:pt>
                <c:pt idx="27">
                  <c:v>8.6896473619859993</c:v>
                </c:pt>
                <c:pt idx="28">
                  <c:v>3.3840281939889536</c:v>
                </c:pt>
                <c:pt idx="29">
                  <c:v>-3.1115125260320426</c:v>
                </c:pt>
                <c:pt idx="30">
                  <c:v>0</c:v>
                </c:pt>
                <c:pt idx="31">
                  <c:v>2.5432131685481982</c:v>
                </c:pt>
                <c:pt idx="32">
                  <c:v>-2.533567579017987</c:v>
                </c:pt>
                <c:pt idx="33">
                  <c:v>-2.9546624453981676</c:v>
                </c:pt>
                <c:pt idx="34">
                  <c:v>-0.91017341412450004</c:v>
                </c:pt>
                <c:pt idx="35">
                  <c:v>3.0839267191792028</c:v>
                </c:pt>
                <c:pt idx="36">
                  <c:v>2.143960764507022</c:v>
                </c:pt>
                <c:pt idx="37">
                  <c:v>2.6838478218474151</c:v>
                </c:pt>
                <c:pt idx="38">
                  <c:v>0</c:v>
                </c:pt>
                <c:pt idx="39">
                  <c:v>-7.9571479379693519</c:v>
                </c:pt>
                <c:pt idx="40">
                  <c:v>4.6465086136534381</c:v>
                </c:pt>
                <c:pt idx="41">
                  <c:v>-3.0194676687115347</c:v>
                </c:pt>
                <c:pt idx="42">
                  <c:v>2.2154595164630355</c:v>
                </c:pt>
                <c:pt idx="43">
                  <c:v>0.60138159504017319</c:v>
                </c:pt>
              </c:numCache>
            </c:numRef>
          </c:val>
          <c:extLst>
            <c:ext xmlns:c16="http://schemas.microsoft.com/office/drawing/2014/chart" uri="{C3380CC4-5D6E-409C-BE32-E72D297353CC}">
              <c16:uniqueId val="{00000003-D792-4D95-82B1-ADBC8FB2FA9B}"/>
            </c:ext>
          </c:extLst>
        </c:ser>
        <c:dLbls>
          <c:showLegendKey val="0"/>
          <c:showVal val="0"/>
          <c:showCatName val="0"/>
          <c:showSerName val="0"/>
          <c:showPercent val="0"/>
          <c:showBubbleSize val="0"/>
        </c:dLbls>
        <c:gapWidth val="150"/>
        <c:axId val="1596755552"/>
        <c:axId val="1596761312"/>
      </c:barChart>
      <c:catAx>
        <c:axId val="1596755552"/>
        <c:scaling>
          <c:orientation val="minMax"/>
        </c:scaling>
        <c:delete val="0"/>
        <c:axPos val="l"/>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61312"/>
        <c:crosses val="autoZero"/>
        <c:auto val="1"/>
        <c:lblAlgn val="ctr"/>
        <c:lblOffset val="100"/>
        <c:noMultiLvlLbl val="0"/>
      </c:catAx>
      <c:valAx>
        <c:axId val="15967613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55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Stacked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1"/>
          <c:order val="0"/>
          <c:tx>
            <c:strRef>
              <c:f>'6. Charts'!$B$5</c:f>
              <c:strCache>
                <c:ptCount val="1"/>
                <c:pt idx="0">
                  <c:v>Data 1</c:v>
                </c:pt>
              </c:strCache>
            </c:strRef>
          </c:tx>
          <c:spPr>
            <a:solidFill>
              <a:schemeClr val="accent2"/>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Charts'!$B$6:$B$49</c:f>
              <c:numCache>
                <c:formatCode>#,##0.00</c:formatCode>
                <c:ptCount val="44"/>
                <c:pt idx="0">
                  <c:v>2</c:v>
                </c:pt>
                <c:pt idx="1">
                  <c:v>-1</c:v>
                </c:pt>
                <c:pt idx="2">
                  <c:v>4</c:v>
                </c:pt>
                <c:pt idx="3">
                  <c:v>-1</c:v>
                </c:pt>
                <c:pt idx="4">
                  <c:v>4</c:v>
                </c:pt>
                <c:pt idx="5">
                  <c:v>5</c:v>
                </c:pt>
                <c:pt idx="6">
                  <c:v>5</c:v>
                </c:pt>
                <c:pt idx="7">
                  <c:v>2</c:v>
                </c:pt>
                <c:pt idx="8">
                  <c:v>-2</c:v>
                </c:pt>
                <c:pt idx="9">
                  <c:v>-1</c:v>
                </c:pt>
                <c:pt idx="10">
                  <c:v>-2</c:v>
                </c:pt>
                <c:pt idx="11">
                  <c:v>1</c:v>
                </c:pt>
                <c:pt idx="12">
                  <c:v>0</c:v>
                </c:pt>
                <c:pt idx="13">
                  <c:v>-3</c:v>
                </c:pt>
                <c:pt idx="14">
                  <c:v>-2</c:v>
                </c:pt>
                <c:pt idx="15">
                  <c:v>4</c:v>
                </c:pt>
                <c:pt idx="16">
                  <c:v>0</c:v>
                </c:pt>
                <c:pt idx="17">
                  <c:v>-1</c:v>
                </c:pt>
                <c:pt idx="18">
                  <c:v>-4</c:v>
                </c:pt>
                <c:pt idx="19">
                  <c:v>0</c:v>
                </c:pt>
                <c:pt idx="20">
                  <c:v>-2</c:v>
                </c:pt>
                <c:pt idx="21">
                  <c:v>-2</c:v>
                </c:pt>
                <c:pt idx="22">
                  <c:v>5</c:v>
                </c:pt>
                <c:pt idx="23">
                  <c:v>2</c:v>
                </c:pt>
                <c:pt idx="24">
                  <c:v>2</c:v>
                </c:pt>
                <c:pt idx="25">
                  <c:v>1</c:v>
                </c:pt>
                <c:pt idx="26">
                  <c:v>-2</c:v>
                </c:pt>
                <c:pt idx="27">
                  <c:v>3</c:v>
                </c:pt>
                <c:pt idx="28">
                  <c:v>2</c:v>
                </c:pt>
                <c:pt idx="29">
                  <c:v>-5</c:v>
                </c:pt>
                <c:pt idx="30">
                  <c:v>0</c:v>
                </c:pt>
                <c:pt idx="31">
                  <c:v>5</c:v>
                </c:pt>
                <c:pt idx="32">
                  <c:v>-5</c:v>
                </c:pt>
                <c:pt idx="33">
                  <c:v>-2</c:v>
                </c:pt>
                <c:pt idx="34">
                  <c:v>-5</c:v>
                </c:pt>
                <c:pt idx="35">
                  <c:v>3</c:v>
                </c:pt>
                <c:pt idx="36">
                  <c:v>4</c:v>
                </c:pt>
                <c:pt idx="37">
                  <c:v>3</c:v>
                </c:pt>
                <c:pt idx="38">
                  <c:v>0</c:v>
                </c:pt>
                <c:pt idx="39">
                  <c:v>-4</c:v>
                </c:pt>
                <c:pt idx="40">
                  <c:v>5</c:v>
                </c:pt>
                <c:pt idx="41">
                  <c:v>-4</c:v>
                </c:pt>
                <c:pt idx="42">
                  <c:v>4</c:v>
                </c:pt>
                <c:pt idx="43">
                  <c:v>1</c:v>
                </c:pt>
              </c:numCache>
            </c:numRef>
          </c:val>
          <c:extLst>
            <c:ext xmlns:c16="http://schemas.microsoft.com/office/drawing/2014/chart" uri="{C3380CC4-5D6E-409C-BE32-E72D297353CC}">
              <c16:uniqueId val="{00000000-E182-42DE-9590-26930BC48F61}"/>
            </c:ext>
          </c:extLst>
        </c:ser>
        <c:ser>
          <c:idx val="2"/>
          <c:order val="1"/>
          <c:tx>
            <c:strRef>
              <c:f>'6. Charts'!$C$5</c:f>
              <c:strCache>
                <c:ptCount val="1"/>
                <c:pt idx="0">
                  <c:v>Data 2</c:v>
                </c:pt>
              </c:strCache>
            </c:strRef>
          </c:tx>
          <c:spPr>
            <a:solidFill>
              <a:schemeClr val="accent3"/>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Charts'!$C$6:$C$49</c:f>
              <c:numCache>
                <c:formatCode>#,##0.00</c:formatCode>
                <c:ptCount val="44"/>
                <c:pt idx="0">
                  <c:v>1.8109214372981315</c:v>
                </c:pt>
                <c:pt idx="1">
                  <c:v>2.5905737989007691</c:v>
                </c:pt>
                <c:pt idx="2">
                  <c:v>1.8142262935476663</c:v>
                </c:pt>
                <c:pt idx="3">
                  <c:v>1.9550141650678929</c:v>
                </c:pt>
                <c:pt idx="4">
                  <c:v>2.8363339306848254</c:v>
                </c:pt>
                <c:pt idx="5">
                  <c:v>2.1596363152368427</c:v>
                </c:pt>
                <c:pt idx="6">
                  <c:v>1.9599325373471794</c:v>
                </c:pt>
                <c:pt idx="7">
                  <c:v>1.875014876681754</c:v>
                </c:pt>
                <c:pt idx="8">
                  <c:v>1.7917186200425816</c:v>
                </c:pt>
                <c:pt idx="9">
                  <c:v>0.44552623141760328</c:v>
                </c:pt>
                <c:pt idx="10">
                  <c:v>2.8153261591835714</c:v>
                </c:pt>
                <c:pt idx="11">
                  <c:v>1.4053785810924828</c:v>
                </c:pt>
                <c:pt idx="12">
                  <c:v>2.5741667309607252</c:v>
                </c:pt>
                <c:pt idx="13">
                  <c:v>2.5622602011899778</c:v>
                </c:pt>
                <c:pt idx="14">
                  <c:v>2.7485502859952482</c:v>
                </c:pt>
                <c:pt idx="15">
                  <c:v>9.3779590993076201E-2</c:v>
                </c:pt>
                <c:pt idx="16">
                  <c:v>2.9788967610697545</c:v>
                </c:pt>
                <c:pt idx="17">
                  <c:v>2.9496437594343314</c:v>
                </c:pt>
                <c:pt idx="18">
                  <c:v>4.2043461718417219E-2</c:v>
                </c:pt>
                <c:pt idx="19">
                  <c:v>2.8917730838956124</c:v>
                </c:pt>
                <c:pt idx="20">
                  <c:v>1.9999379201029699</c:v>
                </c:pt>
                <c:pt idx="21">
                  <c:v>0.84491926684303353</c:v>
                </c:pt>
                <c:pt idx="22">
                  <c:v>1.9883541494724741</c:v>
                </c:pt>
                <c:pt idx="23">
                  <c:v>2.0982753709135715</c:v>
                </c:pt>
                <c:pt idx="24">
                  <c:v>0.11478237085731069</c:v>
                </c:pt>
                <c:pt idx="25">
                  <c:v>0.39021720267095206</c:v>
                </c:pt>
                <c:pt idx="26">
                  <c:v>2.7287134654179281</c:v>
                </c:pt>
                <c:pt idx="27">
                  <c:v>0.63618417138910355</c:v>
                </c:pt>
                <c:pt idx="28">
                  <c:v>2.2069290019763321</c:v>
                </c:pt>
                <c:pt idx="29">
                  <c:v>0.50173815733843996</c:v>
                </c:pt>
                <c:pt idx="30">
                  <c:v>1.9618935058689135</c:v>
                </c:pt>
                <c:pt idx="31">
                  <c:v>0.27848121516603996</c:v>
                </c:pt>
                <c:pt idx="32">
                  <c:v>2.0345714347173249</c:v>
                </c:pt>
                <c:pt idx="33">
                  <c:v>0.32276640359913511</c:v>
                </c:pt>
                <c:pt idx="34">
                  <c:v>1.0553036448004516</c:v>
                </c:pt>
                <c:pt idx="35">
                  <c:v>1.0415518072153302</c:v>
                </c:pt>
                <c:pt idx="36">
                  <c:v>0.73324271528591056</c:v>
                </c:pt>
                <c:pt idx="37">
                  <c:v>0.72673451456429117</c:v>
                </c:pt>
                <c:pt idx="38">
                  <c:v>2.5846117410114227</c:v>
                </c:pt>
                <c:pt idx="39">
                  <c:v>0.3676493154073206</c:v>
                </c:pt>
                <c:pt idx="40">
                  <c:v>1.3885648278661464</c:v>
                </c:pt>
                <c:pt idx="41">
                  <c:v>1.1818591336976039</c:v>
                </c:pt>
                <c:pt idx="42">
                  <c:v>0.18444621686123341</c:v>
                </c:pt>
                <c:pt idx="43">
                  <c:v>0.43911508427168433</c:v>
                </c:pt>
              </c:numCache>
            </c:numRef>
          </c:val>
          <c:extLst>
            <c:ext xmlns:c16="http://schemas.microsoft.com/office/drawing/2014/chart" uri="{C3380CC4-5D6E-409C-BE32-E72D297353CC}">
              <c16:uniqueId val="{00000001-E182-42DE-9590-26930BC48F61}"/>
            </c:ext>
          </c:extLst>
        </c:ser>
        <c:ser>
          <c:idx val="3"/>
          <c:order val="2"/>
          <c:tx>
            <c:strRef>
              <c:f>'6. Charts'!$D$5</c:f>
              <c:strCache>
                <c:ptCount val="1"/>
                <c:pt idx="0">
                  <c:v>Data 3</c:v>
                </c:pt>
              </c:strCache>
            </c:strRef>
          </c:tx>
          <c:spPr>
            <a:solidFill>
              <a:schemeClr val="accent4"/>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val>
          <c:extLst>
            <c:ext xmlns:c16="http://schemas.microsoft.com/office/drawing/2014/chart" uri="{C3380CC4-5D6E-409C-BE32-E72D297353CC}">
              <c16:uniqueId val="{00000002-E182-42DE-9590-26930BC48F61}"/>
            </c:ext>
          </c:extLst>
        </c:ser>
        <c:ser>
          <c:idx val="4"/>
          <c:order val="3"/>
          <c:tx>
            <c:strRef>
              <c:f>'6. Charts'!$E$5</c:f>
              <c:strCache>
                <c:ptCount val="1"/>
                <c:pt idx="0">
                  <c:v>Data 4</c:v>
                </c:pt>
              </c:strCache>
            </c:strRef>
          </c:tx>
          <c:spPr>
            <a:solidFill>
              <a:schemeClr val="accent5"/>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Charts'!$E$6:$E$49</c:f>
              <c:numCache>
                <c:formatCode>#,##0.00</c:formatCode>
                <c:ptCount val="44"/>
                <c:pt idx="0">
                  <c:v>1.0535863885888921</c:v>
                </c:pt>
                <c:pt idx="1">
                  <c:v>-1.0937479096589318</c:v>
                </c:pt>
                <c:pt idx="2">
                  <c:v>21.436142209616996</c:v>
                </c:pt>
                <c:pt idx="3">
                  <c:v>-0.81114673752533961</c:v>
                </c:pt>
                <c:pt idx="4">
                  <c:v>1.7427168115770999</c:v>
                </c:pt>
                <c:pt idx="5">
                  <c:v>9.7998375208759789</c:v>
                </c:pt>
                <c:pt idx="6">
                  <c:v>2.6383475194258241</c:v>
                </c:pt>
                <c:pt idx="7">
                  <c:v>1.9667171440659352</c:v>
                </c:pt>
                <c:pt idx="8">
                  <c:v>-1.6572157673278893</c:v>
                </c:pt>
                <c:pt idx="9">
                  <c:v>-1.0721601939677019</c:v>
                </c:pt>
                <c:pt idx="10">
                  <c:v>-1.3667979593696533</c:v>
                </c:pt>
                <c:pt idx="11">
                  <c:v>3.7543815003844063</c:v>
                </c:pt>
                <c:pt idx="12">
                  <c:v>0</c:v>
                </c:pt>
                <c:pt idx="13">
                  <c:v>-7.0581234960348986</c:v>
                </c:pt>
                <c:pt idx="14">
                  <c:v>-2.382027490382121</c:v>
                </c:pt>
                <c:pt idx="15">
                  <c:v>8.9091714761648007</c:v>
                </c:pt>
                <c:pt idx="16">
                  <c:v>0</c:v>
                </c:pt>
                <c:pt idx="17">
                  <c:v>-0.56835412136087005</c:v>
                </c:pt>
                <c:pt idx="18">
                  <c:v>-2.8761874412424495</c:v>
                </c:pt>
                <c:pt idx="19">
                  <c:v>0</c:v>
                </c:pt>
                <c:pt idx="20">
                  <c:v>-1.0641587757944062</c:v>
                </c:pt>
                <c:pt idx="21">
                  <c:v>-1.4771883087268423</c:v>
                </c:pt>
                <c:pt idx="22">
                  <c:v>4.8113779209706999</c:v>
                </c:pt>
                <c:pt idx="23">
                  <c:v>2.297296339337628</c:v>
                </c:pt>
                <c:pt idx="24">
                  <c:v>1.2602684623351494</c:v>
                </c:pt>
                <c:pt idx="25">
                  <c:v>1.0110366391300989</c:v>
                </c:pt>
                <c:pt idx="26">
                  <c:v>-5.8299167359071875</c:v>
                </c:pt>
                <c:pt idx="27">
                  <c:v>8.6896473619859993</c:v>
                </c:pt>
                <c:pt idx="28">
                  <c:v>3.3840281939889536</c:v>
                </c:pt>
                <c:pt idx="29">
                  <c:v>-3.1115125260320426</c:v>
                </c:pt>
                <c:pt idx="30">
                  <c:v>0</c:v>
                </c:pt>
                <c:pt idx="31">
                  <c:v>2.5432131685481982</c:v>
                </c:pt>
                <c:pt idx="32">
                  <c:v>-2.533567579017987</c:v>
                </c:pt>
                <c:pt idx="33">
                  <c:v>-2.9546624453981676</c:v>
                </c:pt>
                <c:pt idx="34">
                  <c:v>-0.91017341412450004</c:v>
                </c:pt>
                <c:pt idx="35">
                  <c:v>3.0839267191792028</c:v>
                </c:pt>
                <c:pt idx="36">
                  <c:v>2.143960764507022</c:v>
                </c:pt>
                <c:pt idx="37">
                  <c:v>2.6838478218474151</c:v>
                </c:pt>
                <c:pt idx="38">
                  <c:v>0</c:v>
                </c:pt>
                <c:pt idx="39">
                  <c:v>-7.9571479379693519</c:v>
                </c:pt>
                <c:pt idx="40">
                  <c:v>4.6465086136534381</c:v>
                </c:pt>
                <c:pt idx="41">
                  <c:v>-3.0194676687115347</c:v>
                </c:pt>
                <c:pt idx="42">
                  <c:v>2.2154595164630355</c:v>
                </c:pt>
                <c:pt idx="43">
                  <c:v>0.60138159504017319</c:v>
                </c:pt>
              </c:numCache>
            </c:numRef>
          </c:val>
          <c:extLst>
            <c:ext xmlns:c16="http://schemas.microsoft.com/office/drawing/2014/chart" uri="{C3380CC4-5D6E-409C-BE32-E72D297353CC}">
              <c16:uniqueId val="{00000003-E182-42DE-9590-26930BC48F61}"/>
            </c:ext>
          </c:extLst>
        </c:ser>
        <c:dLbls>
          <c:showLegendKey val="0"/>
          <c:showVal val="0"/>
          <c:showCatName val="0"/>
          <c:showSerName val="0"/>
          <c:showPercent val="0"/>
          <c:showBubbleSize val="0"/>
        </c:dLbls>
        <c:gapWidth val="150"/>
        <c:overlap val="100"/>
        <c:axId val="1596755552"/>
        <c:axId val="1596761312"/>
      </c:barChart>
      <c:catAx>
        <c:axId val="1596755552"/>
        <c:scaling>
          <c:orientation val="minMax"/>
        </c:scaling>
        <c:delete val="0"/>
        <c:axPos val="l"/>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61312"/>
        <c:crosses val="autoZero"/>
        <c:auto val="1"/>
        <c:lblAlgn val="ctr"/>
        <c:lblOffset val="100"/>
        <c:noMultiLvlLbl val="0"/>
      </c:catAx>
      <c:valAx>
        <c:axId val="15967613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55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Radar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'6. Charts'!$D$5</c:f>
              <c:strCache>
                <c:ptCount val="1"/>
                <c:pt idx="0">
                  <c:v>Data 3</c:v>
                </c:pt>
              </c:strCache>
            </c:strRef>
          </c:tx>
          <c:spPr>
            <a:ln w="28575" cap="rnd">
              <a:solidFill>
                <a:schemeClr val="accent1"/>
              </a:solidFill>
              <a:round/>
            </a:ln>
            <a:effectLst/>
          </c:spPr>
          <c:marker>
            <c:symbol val="none"/>
          </c:marke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val>
          <c:extLst>
            <c:ext xmlns:c16="http://schemas.microsoft.com/office/drawing/2014/chart" uri="{C3380CC4-5D6E-409C-BE32-E72D297353CC}">
              <c16:uniqueId val="{00000000-9B9D-425A-9BCA-0330A595DE25}"/>
            </c:ext>
          </c:extLst>
        </c:ser>
        <c:dLbls>
          <c:showLegendKey val="0"/>
          <c:showVal val="0"/>
          <c:showCatName val="0"/>
          <c:showSerName val="0"/>
          <c:showPercent val="0"/>
          <c:showBubbleSize val="0"/>
        </c:dLbls>
        <c:axId val="1667975040"/>
        <c:axId val="1667977440"/>
      </c:radarChart>
      <c:catAx>
        <c:axId val="166797504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77440"/>
        <c:crosses val="autoZero"/>
        <c:auto val="1"/>
        <c:lblAlgn val="ctr"/>
        <c:lblOffset val="100"/>
        <c:noMultiLvlLbl val="0"/>
      </c:catAx>
      <c:valAx>
        <c:axId val="1667977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7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Surface</a:t>
            </a:r>
          </a:p>
        </c:rich>
      </c:tx>
      <c:overlay val="0"/>
      <c:spPr>
        <a:noFill/>
        <a:ln>
          <a:noFill/>
        </a:ln>
        <a:effectLst/>
      </c:sp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2"/>
          <c:order val="0"/>
          <c:tx>
            <c:strRef>
              <c:f>'6. Charts'!$D$5</c:f>
              <c:strCache>
                <c:ptCount val="1"/>
                <c:pt idx="0">
                  <c:v>Data 3</c:v>
                </c:pt>
              </c:strCache>
            </c:strRef>
          </c:tx>
          <c:spPr>
            <a:solidFill>
              <a:schemeClr val="accent3"/>
            </a:solidFill>
            <a:ln/>
            <a:effectLst/>
            <a:sp3d/>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val>
          <c:extLst>
            <c:ext xmlns:c16="http://schemas.microsoft.com/office/drawing/2014/chart" uri="{C3380CC4-5D6E-409C-BE32-E72D297353CC}">
              <c16:uniqueId val="{00000002-E285-4076-9E8F-5C96994E5227}"/>
            </c:ext>
          </c:extLst>
        </c:ser>
        <c:ser>
          <c:idx val="3"/>
          <c:order val="1"/>
          <c:tx>
            <c:strRef>
              <c:f>'6. Charts'!$E$5</c:f>
              <c:strCache>
                <c:ptCount val="1"/>
                <c:pt idx="0">
                  <c:v>Data 4</c:v>
                </c:pt>
              </c:strCache>
            </c:strRef>
          </c:tx>
          <c:spPr>
            <a:solidFill>
              <a:schemeClr val="accent4"/>
            </a:solidFill>
            <a:ln/>
            <a:effectLst/>
            <a:sp3d/>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Charts'!$E$6:$E$49</c:f>
              <c:numCache>
                <c:formatCode>#,##0.00</c:formatCode>
                <c:ptCount val="44"/>
                <c:pt idx="0">
                  <c:v>1.0535863885888921</c:v>
                </c:pt>
                <c:pt idx="1">
                  <c:v>-1.0937479096589318</c:v>
                </c:pt>
                <c:pt idx="2">
                  <c:v>21.436142209616996</c:v>
                </c:pt>
                <c:pt idx="3">
                  <c:v>-0.81114673752533961</c:v>
                </c:pt>
                <c:pt idx="4">
                  <c:v>1.7427168115770999</c:v>
                </c:pt>
                <c:pt idx="5">
                  <c:v>9.7998375208759789</c:v>
                </c:pt>
                <c:pt idx="6">
                  <c:v>2.6383475194258241</c:v>
                </c:pt>
                <c:pt idx="7">
                  <c:v>1.9667171440659352</c:v>
                </c:pt>
                <c:pt idx="8">
                  <c:v>-1.6572157673278893</c:v>
                </c:pt>
                <c:pt idx="9">
                  <c:v>-1.0721601939677019</c:v>
                </c:pt>
                <c:pt idx="10">
                  <c:v>-1.3667979593696533</c:v>
                </c:pt>
                <c:pt idx="11">
                  <c:v>3.7543815003844063</c:v>
                </c:pt>
                <c:pt idx="12">
                  <c:v>0</c:v>
                </c:pt>
                <c:pt idx="13">
                  <c:v>-7.0581234960348986</c:v>
                </c:pt>
                <c:pt idx="14">
                  <c:v>-2.382027490382121</c:v>
                </c:pt>
                <c:pt idx="15">
                  <c:v>8.9091714761648007</c:v>
                </c:pt>
                <c:pt idx="16">
                  <c:v>0</c:v>
                </c:pt>
                <c:pt idx="17">
                  <c:v>-0.56835412136087005</c:v>
                </c:pt>
                <c:pt idx="18">
                  <c:v>-2.8761874412424495</c:v>
                </c:pt>
                <c:pt idx="19">
                  <c:v>0</c:v>
                </c:pt>
                <c:pt idx="20">
                  <c:v>-1.0641587757944062</c:v>
                </c:pt>
                <c:pt idx="21">
                  <c:v>-1.4771883087268423</c:v>
                </c:pt>
                <c:pt idx="22">
                  <c:v>4.8113779209706999</c:v>
                </c:pt>
                <c:pt idx="23">
                  <c:v>2.297296339337628</c:v>
                </c:pt>
                <c:pt idx="24">
                  <c:v>1.2602684623351494</c:v>
                </c:pt>
                <c:pt idx="25">
                  <c:v>1.0110366391300989</c:v>
                </c:pt>
                <c:pt idx="26">
                  <c:v>-5.8299167359071875</c:v>
                </c:pt>
                <c:pt idx="27">
                  <c:v>8.6896473619859993</c:v>
                </c:pt>
                <c:pt idx="28">
                  <c:v>3.3840281939889536</c:v>
                </c:pt>
                <c:pt idx="29">
                  <c:v>-3.1115125260320426</c:v>
                </c:pt>
                <c:pt idx="30">
                  <c:v>0</c:v>
                </c:pt>
                <c:pt idx="31">
                  <c:v>2.5432131685481982</c:v>
                </c:pt>
                <c:pt idx="32">
                  <c:v>-2.533567579017987</c:v>
                </c:pt>
                <c:pt idx="33">
                  <c:v>-2.9546624453981676</c:v>
                </c:pt>
                <c:pt idx="34">
                  <c:v>-0.91017341412450004</c:v>
                </c:pt>
                <c:pt idx="35">
                  <c:v>3.0839267191792028</c:v>
                </c:pt>
                <c:pt idx="36">
                  <c:v>2.143960764507022</c:v>
                </c:pt>
                <c:pt idx="37">
                  <c:v>2.6838478218474151</c:v>
                </c:pt>
                <c:pt idx="38">
                  <c:v>0</c:v>
                </c:pt>
                <c:pt idx="39">
                  <c:v>-7.9571479379693519</c:v>
                </c:pt>
                <c:pt idx="40">
                  <c:v>4.6465086136534381</c:v>
                </c:pt>
                <c:pt idx="41">
                  <c:v>-3.0194676687115347</c:v>
                </c:pt>
                <c:pt idx="42">
                  <c:v>2.2154595164630355</c:v>
                </c:pt>
                <c:pt idx="43">
                  <c:v>0.60138159504017319</c:v>
                </c:pt>
              </c:numCache>
            </c:numRef>
          </c:val>
          <c:extLst>
            <c:ext xmlns:c16="http://schemas.microsoft.com/office/drawing/2014/chart" uri="{C3380CC4-5D6E-409C-BE32-E72D297353CC}">
              <c16:uniqueId val="{00000003-E285-4076-9E8F-5C96994E5227}"/>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392923839"/>
        <c:axId val="1392940639"/>
        <c:axId val="659648159"/>
      </c:surface3DChart>
      <c:catAx>
        <c:axId val="1392923839"/>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40639"/>
        <c:crosses val="autoZero"/>
        <c:auto val="1"/>
        <c:lblAlgn val="ctr"/>
        <c:lblOffset val="100"/>
        <c:noMultiLvlLbl val="0"/>
      </c:catAx>
      <c:valAx>
        <c:axId val="1392940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23839"/>
        <c:crosses val="autoZero"/>
        <c:crossBetween val="midCat"/>
      </c:valAx>
      <c:serAx>
        <c:axId val="659648159"/>
        <c:scaling>
          <c:orientation val="minMax"/>
        </c:scaling>
        <c:delete val="1"/>
        <c:axPos val="b"/>
        <c:majorTickMark val="out"/>
        <c:minorTickMark val="none"/>
        <c:tickLblPos val="nextTo"/>
        <c:crossAx val="1392940639"/>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Pie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09-40F1-B10B-8E9ABB14E6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09-40F1-B10B-8E9ABB14E6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09-40F1-B10B-8E9ABB14E6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09-40F1-B10B-8E9ABB14E6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09-40F1-B10B-8E9ABB14E67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B09-40F1-B10B-8E9ABB14E675}"/>
              </c:ext>
            </c:extLst>
          </c:dPt>
          <c:cat>
            <c:strRef>
              <c:f>'6. Charts'!$A$60:$A$65</c:f>
              <c:strCache>
                <c:ptCount val="6"/>
                <c:pt idx="0">
                  <c:v>Red</c:v>
                </c:pt>
                <c:pt idx="1">
                  <c:v>Blue</c:v>
                </c:pt>
                <c:pt idx="2">
                  <c:v>Yellow</c:v>
                </c:pt>
                <c:pt idx="3">
                  <c:v>Green</c:v>
                </c:pt>
                <c:pt idx="4">
                  <c:v>Purple</c:v>
                </c:pt>
                <c:pt idx="5">
                  <c:v>Orange</c:v>
                </c:pt>
              </c:strCache>
            </c:strRef>
          </c:cat>
          <c:val>
            <c:numRef>
              <c:f>'6. Charts'!$B$60:$B$65</c:f>
              <c:numCache>
                <c:formatCode>0%</c:formatCode>
                <c:ptCount val="6"/>
                <c:pt idx="0">
                  <c:v>0.1</c:v>
                </c:pt>
                <c:pt idx="1">
                  <c:v>0.2</c:v>
                </c:pt>
                <c:pt idx="2">
                  <c:v>0.25</c:v>
                </c:pt>
                <c:pt idx="3">
                  <c:v>0.125</c:v>
                </c:pt>
                <c:pt idx="4">
                  <c:v>0.25</c:v>
                </c:pt>
                <c:pt idx="5">
                  <c:v>7.4999999999999956E-2</c:v>
                </c:pt>
              </c:numCache>
            </c:numRef>
          </c:val>
          <c:extLst>
            <c:ext xmlns:c16="http://schemas.microsoft.com/office/drawing/2014/chart" uri="{C3380CC4-5D6E-409C-BE32-E72D297353CC}">
              <c16:uniqueId val="{00000000-213B-49D9-B052-70CB39A58A1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Pie of Pie Chart (&lt;20%</a:t>
            </a:r>
            <a:r>
              <a:rPr lang="en-GB" baseline="0"/>
              <a:t> = "Other")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ofPieChart>
        <c:ofPieType val="pie"/>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89-4088-BEDD-41EC9E5669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89-4088-BEDD-41EC9E5669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89-4088-BEDD-41EC9E5669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89-4088-BEDD-41EC9E5669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89-4088-BEDD-41EC9E5669B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89-4088-BEDD-41EC9E5669B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89-4088-BEDD-41EC9E5669B3}"/>
              </c:ext>
            </c:extLst>
          </c:dPt>
          <c:cat>
            <c:strRef>
              <c:f>'6. Charts'!$A$60:$A$65</c:f>
              <c:strCache>
                <c:ptCount val="6"/>
                <c:pt idx="0">
                  <c:v>Red</c:v>
                </c:pt>
                <c:pt idx="1">
                  <c:v>Blue</c:v>
                </c:pt>
                <c:pt idx="2">
                  <c:v>Yellow</c:v>
                </c:pt>
                <c:pt idx="3">
                  <c:v>Green</c:v>
                </c:pt>
                <c:pt idx="4">
                  <c:v>Purple</c:v>
                </c:pt>
                <c:pt idx="5">
                  <c:v>Orange</c:v>
                </c:pt>
              </c:strCache>
            </c:strRef>
          </c:cat>
          <c:val>
            <c:numRef>
              <c:f>'6. Charts'!$B$60:$B$65</c:f>
              <c:numCache>
                <c:formatCode>0%</c:formatCode>
                <c:ptCount val="6"/>
                <c:pt idx="0">
                  <c:v>0.1</c:v>
                </c:pt>
                <c:pt idx="1">
                  <c:v>0.2</c:v>
                </c:pt>
                <c:pt idx="2">
                  <c:v>0.25</c:v>
                </c:pt>
                <c:pt idx="3">
                  <c:v>0.125</c:v>
                </c:pt>
                <c:pt idx="4">
                  <c:v>0.25</c:v>
                </c:pt>
                <c:pt idx="5">
                  <c:v>7.4999999999999956E-2</c:v>
                </c:pt>
              </c:numCache>
            </c:numRef>
          </c:val>
          <c:extLst>
            <c:ext xmlns:c16="http://schemas.microsoft.com/office/drawing/2014/chart" uri="{C3380CC4-5D6E-409C-BE32-E72D297353CC}">
              <c16:uniqueId val="{0000000E-AF89-4088-BEDD-41EC9E5669B3}"/>
            </c:ext>
          </c:extLst>
        </c:ser>
        <c:dLbls>
          <c:showLegendKey val="0"/>
          <c:showVal val="0"/>
          <c:showCatName val="0"/>
          <c:showSerName val="0"/>
          <c:showPercent val="0"/>
          <c:showBubbleSize val="0"/>
          <c:showLeaderLines val="1"/>
        </c:dLbls>
        <c:gapWidth val="100"/>
        <c:splitType val="percent"/>
        <c:splitPos val="2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Dougnut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5D-4196-8FE9-A407B834F4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5D-4196-8FE9-A407B834F4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5D-4196-8FE9-A407B834F4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5D-4196-8FE9-A407B834F4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5D-4196-8FE9-A407B834F4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15D-4196-8FE9-A407B834F424}"/>
              </c:ext>
            </c:extLst>
          </c:dPt>
          <c:cat>
            <c:strRef>
              <c:f>'6. Charts'!$A$60:$A$65</c:f>
              <c:strCache>
                <c:ptCount val="6"/>
                <c:pt idx="0">
                  <c:v>Red</c:v>
                </c:pt>
                <c:pt idx="1">
                  <c:v>Blue</c:v>
                </c:pt>
                <c:pt idx="2">
                  <c:v>Yellow</c:v>
                </c:pt>
                <c:pt idx="3">
                  <c:v>Green</c:v>
                </c:pt>
                <c:pt idx="4">
                  <c:v>Purple</c:v>
                </c:pt>
                <c:pt idx="5">
                  <c:v>Orange</c:v>
                </c:pt>
              </c:strCache>
            </c:strRef>
          </c:cat>
          <c:val>
            <c:numRef>
              <c:f>'6. Charts'!$B$60:$B$65</c:f>
              <c:numCache>
                <c:formatCode>0%</c:formatCode>
                <c:ptCount val="6"/>
                <c:pt idx="0">
                  <c:v>0.1</c:v>
                </c:pt>
                <c:pt idx="1">
                  <c:v>0.2</c:v>
                </c:pt>
                <c:pt idx="2">
                  <c:v>0.25</c:v>
                </c:pt>
                <c:pt idx="3">
                  <c:v>0.125</c:v>
                </c:pt>
                <c:pt idx="4">
                  <c:v>0.25</c:v>
                </c:pt>
                <c:pt idx="5">
                  <c:v>7.4999999999999956E-2</c:v>
                </c:pt>
              </c:numCache>
            </c:numRef>
          </c:val>
          <c:extLst>
            <c:ext xmlns:c16="http://schemas.microsoft.com/office/drawing/2014/chart" uri="{C3380CC4-5D6E-409C-BE32-E72D297353CC}">
              <c16:uniqueId val="{0000000C-215D-4196-8FE9-A407B834F42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 axis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'6. Charts'!$B$447</c:f>
              <c:strCache>
                <c:ptCount val="1"/>
                <c:pt idx="0">
                  <c:v>Data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'6. Charts'!$A$448:$A$491</c:f>
              <c:numCache>
                <c:formatCode>m/d/yyyy</c:formatCode>
                <c:ptCount val="44"/>
                <c:pt idx="0">
                  <c:v>44562</c:v>
                </c:pt>
                <c:pt idx="1">
                  <c:v>44586</c:v>
                </c:pt>
                <c:pt idx="2">
                  <c:v>44623</c:v>
                </c:pt>
                <c:pt idx="3">
                  <c:v>44792</c:v>
                </c:pt>
                <c:pt idx="4">
                  <c:v>44954</c:v>
                </c:pt>
                <c:pt idx="5">
                  <c:v>45022</c:v>
                </c:pt>
                <c:pt idx="6">
                  <c:v>45028</c:v>
                </c:pt>
                <c:pt idx="7">
                  <c:v>45085</c:v>
                </c:pt>
                <c:pt idx="8">
                  <c:v>45212</c:v>
                </c:pt>
                <c:pt idx="9">
                  <c:v>45343</c:v>
                </c:pt>
                <c:pt idx="10">
                  <c:v>45477</c:v>
                </c:pt>
                <c:pt idx="11">
                  <c:v>45484</c:v>
                </c:pt>
                <c:pt idx="12">
                  <c:v>45663</c:v>
                </c:pt>
                <c:pt idx="13">
                  <c:v>45841</c:v>
                </c:pt>
                <c:pt idx="14">
                  <c:v>45982</c:v>
                </c:pt>
                <c:pt idx="15">
                  <c:v>46071</c:v>
                </c:pt>
                <c:pt idx="16">
                  <c:v>46234</c:v>
                </c:pt>
                <c:pt idx="17">
                  <c:v>46359</c:v>
                </c:pt>
                <c:pt idx="18">
                  <c:v>46455</c:v>
                </c:pt>
                <c:pt idx="19">
                  <c:v>46572</c:v>
                </c:pt>
                <c:pt idx="20">
                  <c:v>46622</c:v>
                </c:pt>
                <c:pt idx="21">
                  <c:v>46669</c:v>
                </c:pt>
                <c:pt idx="22">
                  <c:v>46771</c:v>
                </c:pt>
                <c:pt idx="23">
                  <c:v>46800</c:v>
                </c:pt>
                <c:pt idx="24">
                  <c:v>46827</c:v>
                </c:pt>
                <c:pt idx="25">
                  <c:v>46955</c:v>
                </c:pt>
                <c:pt idx="26">
                  <c:v>47008</c:v>
                </c:pt>
                <c:pt idx="27">
                  <c:v>47093</c:v>
                </c:pt>
                <c:pt idx="28">
                  <c:v>47246</c:v>
                </c:pt>
                <c:pt idx="29">
                  <c:v>47255</c:v>
                </c:pt>
                <c:pt idx="30">
                  <c:v>47398</c:v>
                </c:pt>
                <c:pt idx="31">
                  <c:v>47490</c:v>
                </c:pt>
                <c:pt idx="32">
                  <c:v>47621</c:v>
                </c:pt>
                <c:pt idx="33">
                  <c:v>47787</c:v>
                </c:pt>
                <c:pt idx="34">
                  <c:v>47821</c:v>
                </c:pt>
                <c:pt idx="35">
                  <c:v>48000</c:v>
                </c:pt>
                <c:pt idx="36">
                  <c:v>48094</c:v>
                </c:pt>
                <c:pt idx="37">
                  <c:v>48218</c:v>
                </c:pt>
                <c:pt idx="38">
                  <c:v>48266</c:v>
                </c:pt>
                <c:pt idx="39">
                  <c:v>48277</c:v>
                </c:pt>
                <c:pt idx="40">
                  <c:v>48391</c:v>
                </c:pt>
                <c:pt idx="41">
                  <c:v>48516</c:v>
                </c:pt>
                <c:pt idx="42">
                  <c:v>48521</c:v>
                </c:pt>
                <c:pt idx="43">
                  <c:v>48677</c:v>
                </c:pt>
              </c:numCache>
            </c:numRef>
          </c:cat>
          <c:val>
            <c:numRef>
              <c:f>'6. Charts'!$B$448:$B$491</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val>
          <c:smooth val="0"/>
          <c:extLst>
            <c:ext xmlns:c16="http://schemas.microsoft.com/office/drawing/2014/chart" uri="{C3380CC4-5D6E-409C-BE32-E72D297353CC}">
              <c16:uniqueId val="{00000000-A71F-49F2-818B-23F6672204C1}"/>
            </c:ext>
          </c:extLst>
        </c:ser>
        <c:dLbls>
          <c:showLegendKey val="0"/>
          <c:showVal val="0"/>
          <c:showCatName val="0"/>
          <c:showSerName val="0"/>
          <c:showPercent val="0"/>
          <c:showBubbleSize val="0"/>
        </c:dLbls>
        <c:marker val="1"/>
        <c:smooth val="0"/>
        <c:axId val="231991455"/>
        <c:axId val="232001535"/>
      </c:lineChart>
      <c:dateAx>
        <c:axId val="23199145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001535"/>
        <c:crosses val="autoZero"/>
        <c:auto val="0"/>
        <c:lblOffset val="100"/>
        <c:baseTimeUnit val="days"/>
      </c:dateAx>
      <c:valAx>
        <c:axId val="232001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9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axis - last rows empty/same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'6. Charts'!$E$475</c:f>
              <c:strCache>
                <c:ptCount val="1"/>
                <c:pt idx="0">
                  <c:v>Data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'6. Charts'!$D$476:$D$496</c:f>
              <c:numCache>
                <c:formatCode>m/d/yyyy</c:formatCode>
                <c:ptCount val="21"/>
                <c:pt idx="0">
                  <c:v>45292</c:v>
                </c:pt>
                <c:pt idx="1">
                  <c:v>45293</c:v>
                </c:pt>
                <c:pt idx="2">
                  <c:v>45294</c:v>
                </c:pt>
                <c:pt idx="3">
                  <c:v>45295</c:v>
                </c:pt>
                <c:pt idx="4">
                  <c:v>45296</c:v>
                </c:pt>
                <c:pt idx="5">
                  <c:v>45297</c:v>
                </c:pt>
                <c:pt idx="6">
                  <c:v>45298</c:v>
                </c:pt>
                <c:pt idx="7">
                  <c:v>45351</c:v>
                </c:pt>
                <c:pt idx="8">
                  <c:v>45382</c:v>
                </c:pt>
                <c:pt idx="9">
                  <c:v>45412</c:v>
                </c:pt>
                <c:pt idx="10">
                  <c:v>45443</c:v>
                </c:pt>
                <c:pt idx="11">
                  <c:v>45473</c:v>
                </c:pt>
                <c:pt idx="12">
                  <c:v>45504</c:v>
                </c:pt>
                <c:pt idx="13">
                  <c:v>45535</c:v>
                </c:pt>
                <c:pt idx="14">
                  <c:v>45565</c:v>
                </c:pt>
                <c:pt idx="15">
                  <c:v>45930</c:v>
                </c:pt>
                <c:pt idx="16">
                  <c:v>45930</c:v>
                </c:pt>
                <c:pt idx="17">
                  <c:v>45930</c:v>
                </c:pt>
                <c:pt idx="18">
                  <c:v>45930</c:v>
                </c:pt>
                <c:pt idx="19">
                  <c:v>45930</c:v>
                </c:pt>
                <c:pt idx="20">
                  <c:v>45930</c:v>
                </c:pt>
              </c:numCache>
            </c:numRef>
          </c:cat>
          <c:val>
            <c:numRef>
              <c:f>'6. Charts'!$E$476:$E$496</c:f>
              <c:numCache>
                <c:formatCode>#,##0.00</c:formatCode>
                <c:ptCount val="21"/>
                <c:pt idx="0">
                  <c:v>4.6358807386385816</c:v>
                </c:pt>
                <c:pt idx="1">
                  <c:v>6.714489127724371</c:v>
                </c:pt>
                <c:pt idx="2">
                  <c:v>5.3358632489228484</c:v>
                </c:pt>
                <c:pt idx="3">
                  <c:v>6.7742326635337236</c:v>
                </c:pt>
                <c:pt idx="4">
                  <c:v>7.4212839803512924</c:v>
                </c:pt>
                <c:pt idx="5">
                  <c:v>2.5024349903241392</c:v>
                </c:pt>
                <c:pt idx="6">
                  <c:v>4.9238457073952988</c:v>
                </c:pt>
                <c:pt idx="7">
                  <c:v>2.4795234894810392</c:v>
                </c:pt>
                <c:pt idx="8">
                  <c:v>0.88527709558692602</c:v>
                </c:pt>
                <c:pt idx="9">
                  <c:v>3.4355207351112602</c:v>
                </c:pt>
                <c:pt idx="10">
                  <c:v>5.4516765151590931</c:v>
                </c:pt>
                <c:pt idx="11">
                  <c:v>4.1786254072598457</c:v>
                </c:pt>
                <c:pt idx="12">
                  <c:v>3.3850317199417468</c:v>
                </c:pt>
                <c:pt idx="13">
                  <c:v>9.0600681993983994</c:v>
                </c:pt>
                <c:pt idx="14">
                  <c:v>3.4948126228094898</c:v>
                </c:pt>
                <c:pt idx="15">
                  <c:v>2.7074059326877356</c:v>
                </c:pt>
              </c:numCache>
            </c:numRef>
          </c:val>
          <c:smooth val="0"/>
          <c:extLst>
            <c:ext xmlns:c16="http://schemas.microsoft.com/office/drawing/2014/chart" uri="{C3380CC4-5D6E-409C-BE32-E72D297353CC}">
              <c16:uniqueId val="{00000000-F662-44F5-84CF-B1C921460A16}"/>
            </c:ext>
          </c:extLst>
        </c:ser>
        <c:dLbls>
          <c:showLegendKey val="0"/>
          <c:showVal val="0"/>
          <c:showCatName val="0"/>
          <c:showSerName val="0"/>
          <c:showPercent val="0"/>
          <c:showBubbleSize val="0"/>
        </c:dLbls>
        <c:marker val="1"/>
        <c:smooth val="0"/>
        <c:axId val="364201103"/>
        <c:axId val="364205903"/>
      </c:lineChart>
      <c:dateAx>
        <c:axId val="36420110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205903"/>
        <c:crosses val="autoZero"/>
        <c:auto val="0"/>
        <c:lblOffset val="100"/>
        <c:baseTimeUnit val="days"/>
      </c:dateAx>
      <c:valAx>
        <c:axId val="364205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20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Date axis - last rows #N/A (to be ignored)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'6. Charts'!$H$475</c:f>
              <c:strCache>
                <c:ptCount val="1"/>
                <c:pt idx="0">
                  <c:v>Data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'6. Charts'!$G$476:$G$496</c:f>
              <c:numCache>
                <c:formatCode>m/d/yyyy</c:formatCode>
                <c:ptCount val="21"/>
                <c:pt idx="0">
                  <c:v>45292</c:v>
                </c:pt>
                <c:pt idx="1">
                  <c:v>45293</c:v>
                </c:pt>
                <c:pt idx="2">
                  <c:v>45294</c:v>
                </c:pt>
                <c:pt idx="3">
                  <c:v>45295</c:v>
                </c:pt>
                <c:pt idx="4">
                  <c:v>45296</c:v>
                </c:pt>
                <c:pt idx="5">
                  <c:v>45297</c:v>
                </c:pt>
                <c:pt idx="6">
                  <c:v>45298</c:v>
                </c:pt>
                <c:pt idx="7">
                  <c:v>45351</c:v>
                </c:pt>
                <c:pt idx="8">
                  <c:v>45382</c:v>
                </c:pt>
                <c:pt idx="9">
                  <c:v>45412</c:v>
                </c:pt>
                <c:pt idx="10">
                  <c:v>45443</c:v>
                </c:pt>
                <c:pt idx="11">
                  <c:v>45473</c:v>
                </c:pt>
                <c:pt idx="12">
                  <c:v>45504</c:v>
                </c:pt>
                <c:pt idx="13">
                  <c:v>45535</c:v>
                </c:pt>
                <c:pt idx="14">
                  <c:v>45565</c:v>
                </c:pt>
                <c:pt idx="15">
                  <c:v>45930</c:v>
                </c:pt>
                <c:pt idx="16">
                  <c:v>#N/A</c:v>
                </c:pt>
                <c:pt idx="17">
                  <c:v>#N/A</c:v>
                </c:pt>
                <c:pt idx="18">
                  <c:v>#N/A</c:v>
                </c:pt>
                <c:pt idx="19">
                  <c:v>#N/A</c:v>
                </c:pt>
                <c:pt idx="20">
                  <c:v>#N/A</c:v>
                </c:pt>
              </c:numCache>
            </c:numRef>
          </c:cat>
          <c:val>
            <c:numRef>
              <c:f>'6. Charts'!$H$476:$H$496</c:f>
              <c:numCache>
                <c:formatCode>#,##0.00</c:formatCode>
                <c:ptCount val="21"/>
                <c:pt idx="0">
                  <c:v>4.6358807386385816</c:v>
                </c:pt>
                <c:pt idx="1">
                  <c:v>6.714489127724371</c:v>
                </c:pt>
                <c:pt idx="2">
                  <c:v>5.3358632489228484</c:v>
                </c:pt>
                <c:pt idx="3">
                  <c:v>6.7742326635337236</c:v>
                </c:pt>
                <c:pt idx="4">
                  <c:v>7.4212839803512924</c:v>
                </c:pt>
                <c:pt idx="5">
                  <c:v>2.5024349903241392</c:v>
                </c:pt>
                <c:pt idx="6">
                  <c:v>4.9238457073952988</c:v>
                </c:pt>
                <c:pt idx="7">
                  <c:v>2.4795234894810392</c:v>
                </c:pt>
                <c:pt idx="8">
                  <c:v>0.88527709558692602</c:v>
                </c:pt>
                <c:pt idx="9">
                  <c:v>3.4355207351112602</c:v>
                </c:pt>
                <c:pt idx="10">
                  <c:v>5.4516765151590931</c:v>
                </c:pt>
                <c:pt idx="11">
                  <c:v>4.1786254072598457</c:v>
                </c:pt>
                <c:pt idx="12">
                  <c:v>3.3850317199417468</c:v>
                </c:pt>
                <c:pt idx="13">
                  <c:v>9.0600681993983994</c:v>
                </c:pt>
                <c:pt idx="14">
                  <c:v>3.4948126228094898</c:v>
                </c:pt>
                <c:pt idx="15">
                  <c:v>2.7074059326877356</c:v>
                </c:pt>
                <c:pt idx="16">
                  <c:v>#N/A</c:v>
                </c:pt>
                <c:pt idx="17">
                  <c:v>#N/A</c:v>
                </c:pt>
                <c:pt idx="18">
                  <c:v>#N/A</c:v>
                </c:pt>
                <c:pt idx="19">
                  <c:v>#N/A</c:v>
                </c:pt>
                <c:pt idx="20">
                  <c:v>#N/A</c:v>
                </c:pt>
              </c:numCache>
            </c:numRef>
          </c:val>
          <c:smooth val="0"/>
          <c:extLst>
            <c:ext xmlns:c16="http://schemas.microsoft.com/office/drawing/2014/chart" uri="{C3380CC4-5D6E-409C-BE32-E72D297353CC}">
              <c16:uniqueId val="{00000000-6E1A-470B-99CB-63CEC2056577}"/>
            </c:ext>
          </c:extLst>
        </c:ser>
        <c:dLbls>
          <c:showLegendKey val="0"/>
          <c:showVal val="0"/>
          <c:showCatName val="0"/>
          <c:showSerName val="0"/>
          <c:showPercent val="0"/>
          <c:showBubbleSize val="0"/>
        </c:dLbls>
        <c:marker val="1"/>
        <c:smooth val="0"/>
        <c:axId val="1758286816"/>
        <c:axId val="1758287296"/>
      </c:lineChart>
      <c:dateAx>
        <c:axId val="1758286816"/>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287296"/>
        <c:crosses val="autoZero"/>
        <c:auto val="0"/>
        <c:lblOffset val="100"/>
        <c:baseTimeUnit val="days"/>
      </c:dateAx>
      <c:valAx>
        <c:axId val="1758287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286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Data labels </a:t>
            </a:r>
            <a:r>
              <a:rPr lang="en-GB" baseline="0"/>
              <a:t>linked to another range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tx>
                <c:rich>
                  <a:bodyPr/>
                  <a:lstStyle/>
                  <a:p>
                    <a:fld id="{77CEC7CB-9F21-4DEB-B782-F315891B4BF4}"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CC3-4C17-9B59-801FB01BB4FF}"/>
                </c:ext>
              </c:extLst>
            </c:dLbl>
            <c:dLbl>
              <c:idx val="1"/>
              <c:tx>
                <c:rich>
                  <a:bodyPr/>
                  <a:lstStyle/>
                  <a:p>
                    <a:fld id="{0B95CFC1-1D51-4146-B284-717D70F1198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CC3-4C17-9B59-801FB01BB4FF}"/>
                </c:ext>
              </c:extLst>
            </c:dLbl>
            <c:dLbl>
              <c:idx val="2"/>
              <c:tx>
                <c:rich>
                  <a:bodyPr/>
                  <a:lstStyle/>
                  <a:p>
                    <a:fld id="{1F7A1C54-D663-49D1-9347-B90F978E7C0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CC3-4C17-9B59-801FB01BB4FF}"/>
                </c:ext>
              </c:extLst>
            </c:dLbl>
            <c:dLbl>
              <c:idx val="3"/>
              <c:tx>
                <c:rich>
                  <a:bodyPr/>
                  <a:lstStyle/>
                  <a:p>
                    <a:fld id="{A9AB3287-58FA-4CA8-9A20-6405BC4C3D7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CC3-4C17-9B59-801FB01BB4FF}"/>
                </c:ext>
              </c:extLst>
            </c:dLbl>
            <c:dLbl>
              <c:idx val="4"/>
              <c:tx>
                <c:rich>
                  <a:bodyPr/>
                  <a:lstStyle/>
                  <a:p>
                    <a:fld id="{A1896D5E-1B79-4597-8220-4BF0D3A115B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CC3-4C17-9B59-801FB01BB4FF}"/>
                </c:ext>
              </c:extLst>
            </c:dLbl>
            <c:dLbl>
              <c:idx val="5"/>
              <c:tx>
                <c:rich>
                  <a:bodyPr/>
                  <a:lstStyle/>
                  <a:p>
                    <a:fld id="{668DDE30-AE66-41EB-A612-4446C0370FC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CC3-4C17-9B59-801FB01BB4FF}"/>
                </c:ext>
              </c:extLst>
            </c:dLbl>
            <c:dLbl>
              <c:idx val="6"/>
              <c:tx>
                <c:rich>
                  <a:bodyPr/>
                  <a:lstStyle/>
                  <a:p>
                    <a:fld id="{EA6E19A1-89CB-4C3E-94FA-B6CB2A9ACD4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CC3-4C17-9B59-801FB01BB4FF}"/>
                </c:ext>
              </c:extLst>
            </c:dLbl>
            <c:dLbl>
              <c:idx val="7"/>
              <c:tx>
                <c:rich>
                  <a:bodyPr/>
                  <a:lstStyle/>
                  <a:p>
                    <a:fld id="{C3BD9814-9B61-46C8-A4DD-C0964458388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CC3-4C17-9B59-801FB01BB4FF}"/>
                </c:ext>
              </c:extLst>
            </c:dLbl>
            <c:dLbl>
              <c:idx val="8"/>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CC3-4C17-9B59-801FB01BB4FF}"/>
                </c:ext>
              </c:extLst>
            </c:dLbl>
            <c:dLbl>
              <c:idx val="9"/>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CC3-4C17-9B59-801FB01BB4FF}"/>
                </c:ext>
              </c:extLst>
            </c:dLbl>
            <c:dLbl>
              <c:idx val="1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CC3-4C17-9B59-801FB01BB4FF}"/>
                </c:ext>
              </c:extLst>
            </c:dLbl>
            <c:dLbl>
              <c:idx val="1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7CC3-4C17-9B59-801FB01BB4FF}"/>
                </c:ext>
              </c:extLst>
            </c:dLbl>
            <c:dLbl>
              <c:idx val="1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CC3-4C17-9B59-801FB01BB4FF}"/>
                </c:ext>
              </c:extLst>
            </c:dLbl>
            <c:dLbl>
              <c:idx val="13"/>
              <c:tx>
                <c:rich>
                  <a:bodyPr/>
                  <a:lstStyle/>
                  <a:p>
                    <a:fld id="{38DF2AB4-0894-4ABC-8C06-E9748ED29B2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CC3-4C17-9B59-801FB01BB4FF}"/>
                </c:ext>
              </c:extLst>
            </c:dLbl>
            <c:dLbl>
              <c:idx val="14"/>
              <c:tx>
                <c:rich>
                  <a:bodyPr/>
                  <a:lstStyle/>
                  <a:p>
                    <a:fld id="{183DE13E-D32B-432B-9B2D-010A78ED7F0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CC3-4C17-9B59-801FB01BB4FF}"/>
                </c:ext>
              </c:extLst>
            </c:dLbl>
            <c:dLbl>
              <c:idx val="15"/>
              <c:tx>
                <c:rich>
                  <a:bodyPr/>
                  <a:lstStyle/>
                  <a:p>
                    <a:fld id="{A88FC058-6A34-4D32-8CD5-2D0197E3074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CC3-4C17-9B59-801FB01BB4FF}"/>
                </c:ext>
              </c:extLst>
            </c:dLbl>
            <c:dLbl>
              <c:idx val="16"/>
              <c:tx>
                <c:rich>
                  <a:bodyPr/>
                  <a:lstStyle/>
                  <a:p>
                    <a:fld id="{953912C3-9747-429B-B210-2509E49CE6D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CC3-4C17-9B59-801FB01BB4FF}"/>
                </c:ext>
              </c:extLst>
            </c:dLbl>
            <c:dLbl>
              <c:idx val="17"/>
              <c:tx>
                <c:rich>
                  <a:bodyPr/>
                  <a:lstStyle/>
                  <a:p>
                    <a:fld id="{5E44A6D6-C208-452E-A473-5B38FA9BD59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CC3-4C17-9B59-801FB01BB4FF}"/>
                </c:ext>
              </c:extLst>
            </c:dLbl>
            <c:dLbl>
              <c:idx val="18"/>
              <c:tx>
                <c:rich>
                  <a:bodyPr/>
                  <a:lstStyle/>
                  <a:p>
                    <a:fld id="{7C9ECD87-9B9D-41EE-9E85-E724AB4A5A2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CC3-4C17-9B59-801FB01BB4F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val>
            <c:numRef>
              <c:f>'6. Charts'!$K$476:$K$494</c:f>
              <c:numCache>
                <c:formatCode>#,##0</c:formatCode>
                <c:ptCount val="19"/>
                <c:pt idx="0">
                  <c:v>2</c:v>
                </c:pt>
                <c:pt idx="1">
                  <c:v>-1</c:v>
                </c:pt>
                <c:pt idx="2">
                  <c:v>4</c:v>
                </c:pt>
                <c:pt idx="3">
                  <c:v>-1</c:v>
                </c:pt>
                <c:pt idx="4">
                  <c:v>4</c:v>
                </c:pt>
                <c:pt idx="5">
                  <c:v>5</c:v>
                </c:pt>
                <c:pt idx="6">
                  <c:v>5</c:v>
                </c:pt>
                <c:pt idx="7">
                  <c:v>2</c:v>
                </c:pt>
                <c:pt idx="13">
                  <c:v>-3</c:v>
                </c:pt>
                <c:pt idx="14">
                  <c:v>-2</c:v>
                </c:pt>
                <c:pt idx="15">
                  <c:v>4</c:v>
                </c:pt>
                <c:pt idx="16">
                  <c:v>0</c:v>
                </c:pt>
                <c:pt idx="17">
                  <c:v>-1</c:v>
                </c:pt>
                <c:pt idx="18">
                  <c:v>-4</c:v>
                </c:pt>
              </c:numCache>
            </c:numRef>
          </c:val>
          <c:smooth val="0"/>
          <c:extLst>
            <c:ext xmlns:c15="http://schemas.microsoft.com/office/drawing/2012/chart" uri="{02D57815-91ED-43cb-92C2-25804820EDAC}">
              <c15:datalabelsRange>
                <c15:f>'6. Charts'!$J$476:$J$494</c15:f>
                <c15:dlblRangeCache>
                  <c:ptCount val="19"/>
                  <c:pt idx="0">
                    <c:v>Mon</c:v>
                  </c:pt>
                  <c:pt idx="1">
                    <c:v>Sun</c:v>
                  </c:pt>
                  <c:pt idx="2">
                    <c:v>Wed</c:v>
                  </c:pt>
                  <c:pt idx="3">
                    <c:v>Sun</c:v>
                  </c:pt>
                  <c:pt idx="4">
                    <c:v>Wed</c:v>
                  </c:pt>
                  <c:pt idx="5">
                    <c:v>Thu</c:v>
                  </c:pt>
                  <c:pt idx="6">
                    <c:v>Thu</c:v>
                  </c:pt>
                  <c:pt idx="7">
                    <c:v>Mon</c:v>
                  </c:pt>
                  <c:pt idx="13">
                    <c:v>Tue</c:v>
                  </c:pt>
                  <c:pt idx="14">
                    <c:v>Mon</c:v>
                  </c:pt>
                  <c:pt idx="15">
                    <c:v>Wed</c:v>
                  </c:pt>
                  <c:pt idx="16">
                    <c:v>Sat</c:v>
                  </c:pt>
                  <c:pt idx="17">
                    <c:v>Sun</c:v>
                  </c:pt>
                  <c:pt idx="18">
                    <c:v>Wed</c:v>
                  </c:pt>
                </c15:dlblRangeCache>
              </c15:datalabelsRange>
            </c:ext>
            <c:ext xmlns:c16="http://schemas.microsoft.com/office/drawing/2014/chart" uri="{C3380CC4-5D6E-409C-BE32-E72D297353CC}">
              <c16:uniqueId val="{00000000-7CC3-4C17-9B59-801FB01BB4FF}"/>
            </c:ext>
          </c:extLst>
        </c:ser>
        <c:dLbls>
          <c:showLegendKey val="0"/>
          <c:showVal val="0"/>
          <c:showCatName val="0"/>
          <c:showSerName val="0"/>
          <c:showPercent val="0"/>
          <c:showBubbleSize val="0"/>
        </c:dLbls>
        <c:marker val="1"/>
        <c:smooth val="0"/>
        <c:axId val="1865452576"/>
        <c:axId val="1865449216"/>
      </c:lineChart>
      <c:catAx>
        <c:axId val="18654525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49216"/>
        <c:crosses val="autoZero"/>
        <c:auto val="1"/>
        <c:lblAlgn val="ctr"/>
        <c:lblOffset val="100"/>
        <c:noMultiLvlLbl val="0"/>
      </c:catAx>
      <c:valAx>
        <c:axId val="186544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5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Dynamic x-axis range, chart updates automatically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'6. Charts'!$B$403</c:f>
              <c:strCache>
                <c:ptCount val="1"/>
                <c:pt idx="0">
                  <c:v>Data</c:v>
                </c:pt>
              </c:strCache>
            </c:strRef>
          </c:tx>
          <c:spPr>
            <a:ln w="28575" cap="rnd">
              <a:solidFill>
                <a:schemeClr val="accent1"/>
              </a:solidFill>
              <a:round/>
            </a:ln>
            <a:effectLst/>
          </c:spPr>
          <c:marker>
            <c:symbol val="none"/>
          </c:marker>
          <c:cat>
            <c:numRef>
              <c:f>[0]!xrange</c:f>
              <c:numCache>
                <c:formatCode>m/d/yyyy</c:formatCode>
                <c:ptCount val="9"/>
                <c:pt idx="0">
                  <c:v>45295</c:v>
                </c:pt>
                <c:pt idx="1">
                  <c:v>45296</c:v>
                </c:pt>
                <c:pt idx="2">
                  <c:v>45297</c:v>
                </c:pt>
                <c:pt idx="3">
                  <c:v>45298</c:v>
                </c:pt>
                <c:pt idx="4">
                  <c:v>45299</c:v>
                </c:pt>
                <c:pt idx="5">
                  <c:v>45300</c:v>
                </c:pt>
                <c:pt idx="6">
                  <c:v>45301</c:v>
                </c:pt>
                <c:pt idx="7">
                  <c:v>45302</c:v>
                </c:pt>
                <c:pt idx="8">
                  <c:v>45303</c:v>
                </c:pt>
              </c:numCache>
            </c:numRef>
          </c:cat>
          <c:val>
            <c:numRef>
              <c:f>[0]!yrange</c:f>
              <c:numCache>
                <c:formatCode>#,##0.00</c:formatCode>
                <c:ptCount val="9"/>
                <c:pt idx="0">
                  <c:v>6.7742326635337236</c:v>
                </c:pt>
                <c:pt idx="1">
                  <c:v>7.4212839803512924</c:v>
                </c:pt>
                <c:pt idx="2">
                  <c:v>2.5024349903241392</c:v>
                </c:pt>
                <c:pt idx="3">
                  <c:v>4.9238457073952988</c:v>
                </c:pt>
                <c:pt idx="4">
                  <c:v>2.4795234894810392</c:v>
                </c:pt>
                <c:pt idx="5">
                  <c:v>0.88527709558692602</c:v>
                </c:pt>
                <c:pt idx="6">
                  <c:v>1.43552073511126</c:v>
                </c:pt>
                <c:pt idx="7">
                  <c:v>2.45167651515909</c:v>
                </c:pt>
                <c:pt idx="8">
                  <c:v>4.1786254072598457</c:v>
                </c:pt>
              </c:numCache>
            </c:numRef>
          </c:val>
          <c:smooth val="0"/>
          <c:extLst>
            <c:ext xmlns:c16="http://schemas.microsoft.com/office/drawing/2014/chart" uri="{C3380CC4-5D6E-409C-BE32-E72D297353CC}">
              <c16:uniqueId val="{00000000-1973-418F-AA86-56179F2E041B}"/>
            </c:ext>
          </c:extLst>
        </c:ser>
        <c:dLbls>
          <c:showLegendKey val="0"/>
          <c:showVal val="0"/>
          <c:showCatName val="0"/>
          <c:showSerName val="0"/>
          <c:showPercent val="0"/>
          <c:showBubbleSize val="0"/>
        </c:dLbls>
        <c:smooth val="0"/>
        <c:axId val="231994335"/>
        <c:axId val="231994815"/>
      </c:lineChart>
      <c:dateAx>
        <c:axId val="23199433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94815"/>
        <c:crosses val="autoZero"/>
        <c:auto val="1"/>
        <c:lblOffset val="100"/>
        <c:baseTimeUnit val="days"/>
      </c:dateAx>
      <c:valAx>
        <c:axId val="2319948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94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Data table at the bottom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'6. Charts'!$K$476:$K$494</c:f>
              <c:numCache>
                <c:formatCode>#,##0</c:formatCode>
                <c:ptCount val="19"/>
                <c:pt idx="0">
                  <c:v>2</c:v>
                </c:pt>
                <c:pt idx="1">
                  <c:v>-1</c:v>
                </c:pt>
                <c:pt idx="2">
                  <c:v>4</c:v>
                </c:pt>
                <c:pt idx="3">
                  <c:v>-1</c:v>
                </c:pt>
                <c:pt idx="4">
                  <c:v>4</c:v>
                </c:pt>
                <c:pt idx="5">
                  <c:v>5</c:v>
                </c:pt>
                <c:pt idx="6">
                  <c:v>5</c:v>
                </c:pt>
                <c:pt idx="7">
                  <c:v>2</c:v>
                </c:pt>
                <c:pt idx="13">
                  <c:v>-3</c:v>
                </c:pt>
                <c:pt idx="14">
                  <c:v>-2</c:v>
                </c:pt>
                <c:pt idx="15">
                  <c:v>4</c:v>
                </c:pt>
                <c:pt idx="16">
                  <c:v>0</c:v>
                </c:pt>
                <c:pt idx="17">
                  <c:v>-1</c:v>
                </c:pt>
                <c:pt idx="18">
                  <c:v>-4</c:v>
                </c:pt>
              </c:numCache>
            </c:numRef>
          </c:val>
          <c:smooth val="0"/>
          <c:extLst>
            <c:ext xmlns:c16="http://schemas.microsoft.com/office/drawing/2014/chart" uri="{C3380CC4-5D6E-409C-BE32-E72D297353CC}">
              <c16:uniqueId val="{00000000-8ACC-495F-A55A-297EB2D09FD3}"/>
            </c:ext>
          </c:extLst>
        </c:ser>
        <c:dLbls>
          <c:showLegendKey val="0"/>
          <c:showVal val="0"/>
          <c:showCatName val="0"/>
          <c:showSerName val="0"/>
          <c:showPercent val="0"/>
          <c:showBubbleSize val="0"/>
        </c:dLbls>
        <c:marker val="1"/>
        <c:smooth val="0"/>
        <c:axId val="1865452576"/>
        <c:axId val="1865449216"/>
      </c:lineChart>
      <c:catAx>
        <c:axId val="1865452576"/>
        <c:scaling>
          <c:orientation val="minMax"/>
        </c:scaling>
        <c:delete val="0"/>
        <c:axPos val="b"/>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49216"/>
        <c:crosses val="autoZero"/>
        <c:auto val="1"/>
        <c:lblAlgn val="ctr"/>
        <c:lblOffset val="100"/>
        <c:noMultiLvlLbl val="0"/>
      </c:catAx>
      <c:valAx>
        <c:axId val="186544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52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'6. Charts'!$B$402</c:f>
          <c:strCache>
            <c:ptCount val="1"/>
            <c:pt idx="0">
              <c:v>CHART TITLE</c:v>
            </c:pt>
          </c:strCache>
        </c:strRef>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'6. Charts'!$B$403</c:f>
              <c:strCache>
                <c:ptCount val="1"/>
                <c:pt idx="0">
                  <c:v>Data</c:v>
                </c:pt>
              </c:strCache>
            </c:strRef>
          </c:tx>
          <c:spPr>
            <a:ln w="28575" cap="rnd">
              <a:solidFill>
                <a:schemeClr val="accent1"/>
              </a:solidFill>
              <a:round/>
            </a:ln>
            <a:effectLst/>
          </c:spPr>
          <c:marker>
            <c:symbol val="none"/>
          </c:marker>
          <c:cat>
            <c:numRef>
              <c:f>'6. Charts'!$A$404:$A$419</c:f>
              <c:numCache>
                <c:formatCode>m/d/yyyy</c:formatCode>
                <c:ptCount val="16"/>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numCache>
            </c:numRef>
          </c:cat>
          <c:val>
            <c:numRef>
              <c:f>'6. Charts'!$B$404:$B$419</c:f>
              <c:numCache>
                <c:formatCode>#,##0.00</c:formatCode>
                <c:ptCount val="16"/>
                <c:pt idx="0">
                  <c:v>4.6358807386385816</c:v>
                </c:pt>
                <c:pt idx="1">
                  <c:v>6.714489127724371</c:v>
                </c:pt>
                <c:pt idx="2">
                  <c:v>5.3358632489228484</c:v>
                </c:pt>
                <c:pt idx="3">
                  <c:v>6.7742326635337236</c:v>
                </c:pt>
                <c:pt idx="4">
                  <c:v>7.4212839803512924</c:v>
                </c:pt>
                <c:pt idx="5">
                  <c:v>2.5024349903241392</c:v>
                </c:pt>
                <c:pt idx="6">
                  <c:v>4.9238457073952988</c:v>
                </c:pt>
                <c:pt idx="7">
                  <c:v>2.4795234894810392</c:v>
                </c:pt>
                <c:pt idx="8">
                  <c:v>0.88527709558692602</c:v>
                </c:pt>
                <c:pt idx="9">
                  <c:v>1.43552073511126</c:v>
                </c:pt>
                <c:pt idx="10">
                  <c:v>2.45167651515909</c:v>
                </c:pt>
                <c:pt idx="11">
                  <c:v>4.1786254072598457</c:v>
                </c:pt>
                <c:pt idx="12">
                  <c:v>3.3850317199417468</c:v>
                </c:pt>
                <c:pt idx="13">
                  <c:v>4.0600681993984002</c:v>
                </c:pt>
                <c:pt idx="14">
                  <c:v>3.4948126228094898</c:v>
                </c:pt>
                <c:pt idx="15">
                  <c:v>2.7074059326877356</c:v>
                </c:pt>
              </c:numCache>
            </c:numRef>
          </c:val>
          <c:smooth val="0"/>
          <c:extLst>
            <c:ext xmlns:c16="http://schemas.microsoft.com/office/drawing/2014/chart" uri="{C3380CC4-5D6E-409C-BE32-E72D297353CC}">
              <c16:uniqueId val="{00000000-08D8-4BF3-A482-5954574C8EB2}"/>
            </c:ext>
          </c:extLst>
        </c:ser>
        <c:dLbls>
          <c:showLegendKey val="0"/>
          <c:showVal val="0"/>
          <c:showCatName val="0"/>
          <c:showSerName val="0"/>
          <c:showPercent val="0"/>
          <c:showBubbleSize val="0"/>
        </c:dLbls>
        <c:marker val="1"/>
        <c:smooth val="0"/>
        <c:axId val="231994335"/>
        <c:axId val="231994815"/>
      </c:lineChart>
      <c:lineChart>
        <c:grouping val="standard"/>
        <c:varyColors val="0"/>
        <c:ser>
          <c:idx val="1"/>
          <c:order val="1"/>
          <c:tx>
            <c:strRef>
              <c:f>'6. Charts'!$C$403</c:f>
              <c:strCache>
                <c:ptCount val="1"/>
                <c:pt idx="0">
                  <c:v>Change (%)</c:v>
                </c:pt>
              </c:strCache>
            </c:strRef>
          </c:tx>
          <c:spPr>
            <a:ln w="28575" cap="rnd">
              <a:solidFill>
                <a:schemeClr val="accent2"/>
              </a:solidFill>
              <a:round/>
            </a:ln>
            <a:effectLst/>
          </c:spPr>
          <c:marker>
            <c:symbol val="none"/>
          </c:marker>
          <c:cat>
            <c:numRef>
              <c:f>'6. Charts'!$A$404:$A$419</c:f>
              <c:numCache>
                <c:formatCode>m/d/yyyy</c:formatCode>
                <c:ptCount val="16"/>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numCache>
            </c:numRef>
          </c:cat>
          <c:val>
            <c:numRef>
              <c:f>'6. Charts'!$C$404:$C$419</c:f>
              <c:numCache>
                <c:formatCode>0%</c:formatCode>
                <c:ptCount val="16"/>
                <c:pt idx="1">
                  <c:v>0.44837399973671754</c:v>
                </c:pt>
                <c:pt idx="2">
                  <c:v>-0.20532103821705894</c:v>
                </c:pt>
                <c:pt idx="3">
                  <c:v>0.26956639394782833</c:v>
                </c:pt>
                <c:pt idx="4">
                  <c:v>9.5516547623275772E-2</c:v>
                </c:pt>
                <c:pt idx="5">
                  <c:v>-0.66280296011449968</c:v>
                </c:pt>
                <c:pt idx="6">
                  <c:v>0.96762182691407927</c:v>
                </c:pt>
                <c:pt idx="7">
                  <c:v>-0.4964254290590473</c:v>
                </c:pt>
                <c:pt idx="8">
                  <c:v>-0.64296482798305199</c:v>
                </c:pt>
                <c:pt idx="9">
                  <c:v>0.62154961680052323</c:v>
                </c:pt>
                <c:pt idx="10">
                  <c:v>0.70786562338932213</c:v>
                </c:pt>
                <c:pt idx="11">
                  <c:v>0.70439508696305042</c:v>
                </c:pt>
                <c:pt idx="12">
                  <c:v>-0.18991740344547947</c:v>
                </c:pt>
                <c:pt idx="13">
                  <c:v>0.19941806615279511</c:v>
                </c:pt>
                <c:pt idx="14">
                  <c:v>-0.1392231728207588</c:v>
                </c:pt>
                <c:pt idx="15">
                  <c:v>-0.22530726968954229</c:v>
                </c:pt>
              </c:numCache>
            </c:numRef>
          </c:val>
          <c:smooth val="0"/>
          <c:extLst>
            <c:ext xmlns:c16="http://schemas.microsoft.com/office/drawing/2014/chart" uri="{C3380CC4-5D6E-409C-BE32-E72D297353CC}">
              <c16:uniqueId val="{00000001-08D8-4BF3-A482-5954574C8EB2}"/>
            </c:ext>
          </c:extLst>
        </c:ser>
        <c:dLbls>
          <c:showLegendKey val="0"/>
          <c:showVal val="0"/>
          <c:showCatName val="0"/>
          <c:showSerName val="0"/>
          <c:showPercent val="0"/>
          <c:showBubbleSize val="0"/>
        </c:dLbls>
        <c:marker val="1"/>
        <c:smooth val="0"/>
        <c:axId val="364191503"/>
        <c:axId val="364192943"/>
      </c:lineChart>
      <c:dateAx>
        <c:axId val="231994335"/>
        <c:scaling>
          <c:orientation val="minMax"/>
        </c:scaling>
        <c:delete val="0"/>
        <c:axPos val="b"/>
        <c:title>
          <c:tx>
            <c:strRef>
              <c:f>'6. Charts'!$A$403</c:f>
              <c:strCache>
                <c:ptCount val="1"/>
                <c:pt idx="0">
                  <c:v>Date</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94815"/>
        <c:crosses val="autoZero"/>
        <c:auto val="1"/>
        <c:lblOffset val="100"/>
        <c:baseTimeUnit val="days"/>
      </c:dateAx>
      <c:valAx>
        <c:axId val="231994815"/>
        <c:scaling>
          <c:orientation val="minMax"/>
        </c:scaling>
        <c:delete val="0"/>
        <c:axPos val="l"/>
        <c:majorGridlines>
          <c:spPr>
            <a:ln w="9525" cap="flat" cmpd="sng" algn="ctr">
              <a:solidFill>
                <a:schemeClr val="tx1">
                  <a:lumMod val="15000"/>
                  <a:lumOff val="85000"/>
                </a:schemeClr>
              </a:solidFill>
              <a:round/>
            </a:ln>
            <a:effectLst/>
          </c:spPr>
        </c:majorGridlines>
        <c:title>
          <c:tx>
            <c:strRef>
              <c:f>'6. Charts'!$B$403</c:f>
              <c:strCache>
                <c:ptCount val="1"/>
                <c:pt idx="0">
                  <c:v>Data</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94335"/>
        <c:crosses val="autoZero"/>
        <c:crossBetween val="between"/>
      </c:valAx>
      <c:valAx>
        <c:axId val="364192943"/>
        <c:scaling>
          <c:orientation val="minMax"/>
        </c:scaling>
        <c:delete val="0"/>
        <c:axPos val="r"/>
        <c:title>
          <c:tx>
            <c:strRef>
              <c:f>'6. Charts'!$C$403</c:f>
              <c:strCache>
                <c:ptCount val="1"/>
                <c:pt idx="0">
                  <c:v>Change (%)</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91503"/>
        <c:crosses val="max"/>
        <c:crossBetween val="between"/>
      </c:valAx>
      <c:dateAx>
        <c:axId val="364191503"/>
        <c:scaling>
          <c:orientation val="minMax"/>
        </c:scaling>
        <c:delete val="1"/>
        <c:axPos val="b"/>
        <c:numFmt formatCode="m/d/yyyy" sourceLinked="1"/>
        <c:majorTickMark val="out"/>
        <c:minorTickMark val="none"/>
        <c:tickLblPos val="nextTo"/>
        <c:crossAx val="364192943"/>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Scatterplot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'6. Charts'!$B$5</c:f>
              <c:strCache>
                <c:ptCount val="1"/>
                <c:pt idx="0">
                  <c:v>Data 1</c:v>
                </c:pt>
              </c:strCache>
            </c:strRef>
          </c:tx>
          <c:spPr>
            <a:ln w="25400" cap="rnd">
              <a:noFill/>
              <a:round/>
            </a:ln>
            <a:effectLst/>
          </c:spPr>
          <c:marker>
            <c:symbol val="circle"/>
            <c:size val="5"/>
            <c:spPr>
              <a:solidFill>
                <a:schemeClr val="accent2"/>
              </a:solidFill>
              <a:ln w="9525">
                <a:solidFill>
                  <a:schemeClr val="accent2"/>
                </a:solidFill>
              </a:ln>
              <a:effectLst/>
            </c:spPr>
          </c:marker>
          <c:xVal>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xVal>
          <c:yVal>
            <c:numRef>
              <c:f>'6. Charts'!$B$6:$B$49</c:f>
              <c:numCache>
                <c:formatCode>#,##0.00</c:formatCode>
                <c:ptCount val="44"/>
                <c:pt idx="0">
                  <c:v>2</c:v>
                </c:pt>
                <c:pt idx="1">
                  <c:v>-1</c:v>
                </c:pt>
                <c:pt idx="2">
                  <c:v>4</c:v>
                </c:pt>
                <c:pt idx="3">
                  <c:v>-1</c:v>
                </c:pt>
                <c:pt idx="4">
                  <c:v>4</c:v>
                </c:pt>
                <c:pt idx="5">
                  <c:v>5</c:v>
                </c:pt>
                <c:pt idx="6">
                  <c:v>5</c:v>
                </c:pt>
                <c:pt idx="7">
                  <c:v>2</c:v>
                </c:pt>
                <c:pt idx="8">
                  <c:v>-2</c:v>
                </c:pt>
                <c:pt idx="9">
                  <c:v>-1</c:v>
                </c:pt>
                <c:pt idx="10">
                  <c:v>-2</c:v>
                </c:pt>
                <c:pt idx="11">
                  <c:v>1</c:v>
                </c:pt>
                <c:pt idx="12">
                  <c:v>0</c:v>
                </c:pt>
                <c:pt idx="13">
                  <c:v>-3</c:v>
                </c:pt>
                <c:pt idx="14">
                  <c:v>-2</c:v>
                </c:pt>
                <c:pt idx="15">
                  <c:v>4</c:v>
                </c:pt>
                <c:pt idx="16">
                  <c:v>0</c:v>
                </c:pt>
                <c:pt idx="17">
                  <c:v>-1</c:v>
                </c:pt>
                <c:pt idx="18">
                  <c:v>-4</c:v>
                </c:pt>
                <c:pt idx="19">
                  <c:v>0</c:v>
                </c:pt>
                <c:pt idx="20">
                  <c:v>-2</c:v>
                </c:pt>
                <c:pt idx="21">
                  <c:v>-2</c:v>
                </c:pt>
                <c:pt idx="22">
                  <c:v>5</c:v>
                </c:pt>
                <c:pt idx="23">
                  <c:v>2</c:v>
                </c:pt>
                <c:pt idx="24">
                  <c:v>2</c:v>
                </c:pt>
                <c:pt idx="25">
                  <c:v>1</c:v>
                </c:pt>
                <c:pt idx="26">
                  <c:v>-2</c:v>
                </c:pt>
                <c:pt idx="27">
                  <c:v>3</c:v>
                </c:pt>
                <c:pt idx="28">
                  <c:v>2</c:v>
                </c:pt>
                <c:pt idx="29">
                  <c:v>-5</c:v>
                </c:pt>
                <c:pt idx="30">
                  <c:v>0</c:v>
                </c:pt>
                <c:pt idx="31">
                  <c:v>5</c:v>
                </c:pt>
                <c:pt idx="32">
                  <c:v>-5</c:v>
                </c:pt>
                <c:pt idx="33">
                  <c:v>-2</c:v>
                </c:pt>
                <c:pt idx="34">
                  <c:v>-5</c:v>
                </c:pt>
                <c:pt idx="35">
                  <c:v>3</c:v>
                </c:pt>
                <c:pt idx="36">
                  <c:v>4</c:v>
                </c:pt>
                <c:pt idx="37">
                  <c:v>3</c:v>
                </c:pt>
                <c:pt idx="38">
                  <c:v>0</c:v>
                </c:pt>
                <c:pt idx="39">
                  <c:v>-4</c:v>
                </c:pt>
                <c:pt idx="40">
                  <c:v>5</c:v>
                </c:pt>
                <c:pt idx="41">
                  <c:v>-4</c:v>
                </c:pt>
                <c:pt idx="42">
                  <c:v>4</c:v>
                </c:pt>
                <c:pt idx="43">
                  <c:v>1</c:v>
                </c:pt>
              </c:numCache>
            </c:numRef>
          </c:yVal>
          <c:smooth val="0"/>
          <c:extLst>
            <c:ext xmlns:c16="http://schemas.microsoft.com/office/drawing/2014/chart" uri="{C3380CC4-5D6E-409C-BE32-E72D297353CC}">
              <c16:uniqueId val="{00000000-01BF-44C6-954C-D8442D0A4949}"/>
            </c:ext>
          </c:extLst>
        </c:ser>
        <c:ser>
          <c:idx val="2"/>
          <c:order val="1"/>
          <c:tx>
            <c:strRef>
              <c:f>'6. Charts'!$C$5</c:f>
              <c:strCache>
                <c:ptCount val="1"/>
                <c:pt idx="0">
                  <c:v>Data 2</c:v>
                </c:pt>
              </c:strCache>
            </c:strRef>
          </c:tx>
          <c:spPr>
            <a:ln w="25400" cap="rnd">
              <a:noFill/>
              <a:round/>
            </a:ln>
            <a:effectLst/>
          </c:spPr>
          <c:marker>
            <c:symbol val="circle"/>
            <c:size val="5"/>
            <c:spPr>
              <a:solidFill>
                <a:schemeClr val="accent3"/>
              </a:solidFill>
              <a:ln w="9525">
                <a:solidFill>
                  <a:schemeClr val="accent3"/>
                </a:solidFill>
              </a:ln>
              <a:effectLst/>
            </c:spPr>
          </c:marker>
          <c:xVal>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xVal>
          <c:yVal>
            <c:numRef>
              <c:f>'6. Charts'!$C$6:$C$49</c:f>
              <c:numCache>
                <c:formatCode>#,##0.00</c:formatCode>
                <c:ptCount val="44"/>
                <c:pt idx="0">
                  <c:v>1.8109214372981315</c:v>
                </c:pt>
                <c:pt idx="1">
                  <c:v>2.5905737989007691</c:v>
                </c:pt>
                <c:pt idx="2">
                  <c:v>1.8142262935476663</c:v>
                </c:pt>
                <c:pt idx="3">
                  <c:v>1.9550141650678929</c:v>
                </c:pt>
                <c:pt idx="4">
                  <c:v>2.8363339306848254</c:v>
                </c:pt>
                <c:pt idx="5">
                  <c:v>2.1596363152368427</c:v>
                </c:pt>
                <c:pt idx="6">
                  <c:v>1.9599325373471794</c:v>
                </c:pt>
                <c:pt idx="7">
                  <c:v>1.875014876681754</c:v>
                </c:pt>
                <c:pt idx="8">
                  <c:v>1.7917186200425816</c:v>
                </c:pt>
                <c:pt idx="9">
                  <c:v>0.44552623141760328</c:v>
                </c:pt>
                <c:pt idx="10">
                  <c:v>2.8153261591835714</c:v>
                </c:pt>
                <c:pt idx="11">
                  <c:v>1.4053785810924828</c:v>
                </c:pt>
                <c:pt idx="12">
                  <c:v>2.5741667309607252</c:v>
                </c:pt>
                <c:pt idx="13">
                  <c:v>2.5622602011899778</c:v>
                </c:pt>
                <c:pt idx="14">
                  <c:v>2.7485502859952482</c:v>
                </c:pt>
                <c:pt idx="15">
                  <c:v>9.3779590993076201E-2</c:v>
                </c:pt>
                <c:pt idx="16">
                  <c:v>2.9788967610697545</c:v>
                </c:pt>
                <c:pt idx="17">
                  <c:v>2.9496437594343314</c:v>
                </c:pt>
                <c:pt idx="18">
                  <c:v>4.2043461718417219E-2</c:v>
                </c:pt>
                <c:pt idx="19">
                  <c:v>2.8917730838956124</c:v>
                </c:pt>
                <c:pt idx="20">
                  <c:v>1.9999379201029699</c:v>
                </c:pt>
                <c:pt idx="21">
                  <c:v>0.84491926684303353</c:v>
                </c:pt>
                <c:pt idx="22">
                  <c:v>1.9883541494724741</c:v>
                </c:pt>
                <c:pt idx="23">
                  <c:v>2.0982753709135715</c:v>
                </c:pt>
                <c:pt idx="24">
                  <c:v>0.11478237085731069</c:v>
                </c:pt>
                <c:pt idx="25">
                  <c:v>0.39021720267095206</c:v>
                </c:pt>
                <c:pt idx="26">
                  <c:v>2.7287134654179281</c:v>
                </c:pt>
                <c:pt idx="27">
                  <c:v>0.63618417138910355</c:v>
                </c:pt>
                <c:pt idx="28">
                  <c:v>2.2069290019763321</c:v>
                </c:pt>
                <c:pt idx="29">
                  <c:v>0.50173815733843996</c:v>
                </c:pt>
                <c:pt idx="30">
                  <c:v>1.9618935058689135</c:v>
                </c:pt>
                <c:pt idx="31">
                  <c:v>0.27848121516603996</c:v>
                </c:pt>
                <c:pt idx="32">
                  <c:v>2.0345714347173249</c:v>
                </c:pt>
                <c:pt idx="33">
                  <c:v>0.32276640359913511</c:v>
                </c:pt>
                <c:pt idx="34">
                  <c:v>1.0553036448004516</c:v>
                </c:pt>
                <c:pt idx="35">
                  <c:v>1.0415518072153302</c:v>
                </c:pt>
                <c:pt idx="36">
                  <c:v>0.73324271528591056</c:v>
                </c:pt>
                <c:pt idx="37">
                  <c:v>0.72673451456429117</c:v>
                </c:pt>
                <c:pt idx="38">
                  <c:v>2.5846117410114227</c:v>
                </c:pt>
                <c:pt idx="39">
                  <c:v>0.3676493154073206</c:v>
                </c:pt>
                <c:pt idx="40">
                  <c:v>1.3885648278661464</c:v>
                </c:pt>
                <c:pt idx="41">
                  <c:v>1.1818591336976039</c:v>
                </c:pt>
                <c:pt idx="42">
                  <c:v>0.18444621686123341</c:v>
                </c:pt>
                <c:pt idx="43">
                  <c:v>0.43911508427168433</c:v>
                </c:pt>
              </c:numCache>
            </c:numRef>
          </c:yVal>
          <c:smooth val="0"/>
          <c:extLst>
            <c:ext xmlns:c16="http://schemas.microsoft.com/office/drawing/2014/chart" uri="{C3380CC4-5D6E-409C-BE32-E72D297353CC}">
              <c16:uniqueId val="{00000001-01BF-44C6-954C-D8442D0A4949}"/>
            </c:ext>
          </c:extLst>
        </c:ser>
        <c:ser>
          <c:idx val="3"/>
          <c:order val="2"/>
          <c:tx>
            <c:strRef>
              <c:f>'6. Charts'!$D$5</c:f>
              <c:strCache>
                <c:ptCount val="1"/>
                <c:pt idx="0">
                  <c:v>Data 3</c:v>
                </c:pt>
              </c:strCache>
            </c:strRef>
          </c:tx>
          <c:spPr>
            <a:ln w="25400" cap="rnd">
              <a:noFill/>
              <a:round/>
            </a:ln>
            <a:effectLst/>
          </c:spPr>
          <c:marker>
            <c:symbol val="circle"/>
            <c:size val="5"/>
            <c:spPr>
              <a:solidFill>
                <a:schemeClr val="accent4"/>
              </a:solidFill>
              <a:ln w="9525">
                <a:solidFill>
                  <a:schemeClr val="accent4"/>
                </a:solidFill>
              </a:ln>
              <a:effectLst/>
            </c:spPr>
          </c:marker>
          <c:xVal>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xVal>
          <c:yVal>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yVal>
          <c:smooth val="0"/>
          <c:extLst>
            <c:ext xmlns:c16="http://schemas.microsoft.com/office/drawing/2014/chart" uri="{C3380CC4-5D6E-409C-BE32-E72D297353CC}">
              <c16:uniqueId val="{00000002-01BF-44C6-954C-D8442D0A4949}"/>
            </c:ext>
          </c:extLst>
        </c:ser>
        <c:ser>
          <c:idx val="4"/>
          <c:order val="3"/>
          <c:tx>
            <c:strRef>
              <c:f>'6. Charts'!$E$5</c:f>
              <c:strCache>
                <c:ptCount val="1"/>
                <c:pt idx="0">
                  <c:v>Data 4</c:v>
                </c:pt>
              </c:strCache>
            </c:strRef>
          </c:tx>
          <c:spPr>
            <a:ln w="25400" cap="rnd">
              <a:noFill/>
              <a:round/>
            </a:ln>
            <a:effectLst/>
          </c:spPr>
          <c:marker>
            <c:symbol val="circle"/>
            <c:size val="5"/>
            <c:spPr>
              <a:solidFill>
                <a:schemeClr val="accent5"/>
              </a:solidFill>
              <a:ln w="9525">
                <a:solidFill>
                  <a:schemeClr val="accent5"/>
                </a:solidFill>
              </a:ln>
              <a:effectLst/>
            </c:spPr>
          </c:marker>
          <c:xVal>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xVal>
          <c:yVal>
            <c:numRef>
              <c:f>'6. Charts'!$E$6:$E$49</c:f>
              <c:numCache>
                <c:formatCode>#,##0.00</c:formatCode>
                <c:ptCount val="44"/>
                <c:pt idx="0">
                  <c:v>1.0535863885888921</c:v>
                </c:pt>
                <c:pt idx="1">
                  <c:v>-1.0937479096589318</c:v>
                </c:pt>
                <c:pt idx="2">
                  <c:v>21.436142209616996</c:v>
                </c:pt>
                <c:pt idx="3">
                  <c:v>-0.81114673752533961</c:v>
                </c:pt>
                <c:pt idx="4">
                  <c:v>1.7427168115770999</c:v>
                </c:pt>
                <c:pt idx="5">
                  <c:v>9.7998375208759789</c:v>
                </c:pt>
                <c:pt idx="6">
                  <c:v>2.6383475194258241</c:v>
                </c:pt>
                <c:pt idx="7">
                  <c:v>1.9667171440659352</c:v>
                </c:pt>
                <c:pt idx="8">
                  <c:v>-1.6572157673278893</c:v>
                </c:pt>
                <c:pt idx="9">
                  <c:v>-1.0721601939677019</c:v>
                </c:pt>
                <c:pt idx="10">
                  <c:v>-1.3667979593696533</c:v>
                </c:pt>
                <c:pt idx="11">
                  <c:v>3.7543815003844063</c:v>
                </c:pt>
                <c:pt idx="12">
                  <c:v>0</c:v>
                </c:pt>
                <c:pt idx="13">
                  <c:v>-7.0581234960348986</c:v>
                </c:pt>
                <c:pt idx="14">
                  <c:v>-2.382027490382121</c:v>
                </c:pt>
                <c:pt idx="15">
                  <c:v>8.9091714761648007</c:v>
                </c:pt>
                <c:pt idx="16">
                  <c:v>0</c:v>
                </c:pt>
                <c:pt idx="17">
                  <c:v>-0.56835412136087005</c:v>
                </c:pt>
                <c:pt idx="18">
                  <c:v>-2.8761874412424495</c:v>
                </c:pt>
                <c:pt idx="19">
                  <c:v>0</c:v>
                </c:pt>
                <c:pt idx="20">
                  <c:v>-1.0641587757944062</c:v>
                </c:pt>
                <c:pt idx="21">
                  <c:v>-1.4771883087268423</c:v>
                </c:pt>
                <c:pt idx="22">
                  <c:v>4.8113779209706999</c:v>
                </c:pt>
                <c:pt idx="23">
                  <c:v>2.297296339337628</c:v>
                </c:pt>
                <c:pt idx="24">
                  <c:v>1.2602684623351494</c:v>
                </c:pt>
                <c:pt idx="25">
                  <c:v>1.0110366391300989</c:v>
                </c:pt>
                <c:pt idx="26">
                  <c:v>-5.8299167359071875</c:v>
                </c:pt>
                <c:pt idx="27">
                  <c:v>8.6896473619859993</c:v>
                </c:pt>
                <c:pt idx="28">
                  <c:v>3.3840281939889536</c:v>
                </c:pt>
                <c:pt idx="29">
                  <c:v>-3.1115125260320426</c:v>
                </c:pt>
                <c:pt idx="30">
                  <c:v>0</c:v>
                </c:pt>
                <c:pt idx="31">
                  <c:v>2.5432131685481982</c:v>
                </c:pt>
                <c:pt idx="32">
                  <c:v>-2.533567579017987</c:v>
                </c:pt>
                <c:pt idx="33">
                  <c:v>-2.9546624453981676</c:v>
                </c:pt>
                <c:pt idx="34">
                  <c:v>-0.91017341412450004</c:v>
                </c:pt>
                <c:pt idx="35">
                  <c:v>3.0839267191792028</c:v>
                </c:pt>
                <c:pt idx="36">
                  <c:v>2.143960764507022</c:v>
                </c:pt>
                <c:pt idx="37">
                  <c:v>2.6838478218474151</c:v>
                </c:pt>
                <c:pt idx="38">
                  <c:v>0</c:v>
                </c:pt>
                <c:pt idx="39">
                  <c:v>-7.9571479379693519</c:v>
                </c:pt>
                <c:pt idx="40">
                  <c:v>4.6465086136534381</c:v>
                </c:pt>
                <c:pt idx="41">
                  <c:v>-3.0194676687115347</c:v>
                </c:pt>
                <c:pt idx="42">
                  <c:v>2.2154595164630355</c:v>
                </c:pt>
                <c:pt idx="43">
                  <c:v>0.60138159504017319</c:v>
                </c:pt>
              </c:numCache>
            </c:numRef>
          </c:yVal>
          <c:smooth val="0"/>
          <c:extLst>
            <c:ext xmlns:c16="http://schemas.microsoft.com/office/drawing/2014/chart" uri="{C3380CC4-5D6E-409C-BE32-E72D297353CC}">
              <c16:uniqueId val="{00000003-01BF-44C6-954C-D8442D0A4949}"/>
            </c:ext>
          </c:extLst>
        </c:ser>
        <c:dLbls>
          <c:showLegendKey val="0"/>
          <c:showVal val="0"/>
          <c:showCatName val="0"/>
          <c:showSerName val="0"/>
          <c:showPercent val="0"/>
          <c:showBubbleSize val="0"/>
        </c:dLbls>
        <c:axId val="1596755552"/>
        <c:axId val="1596761312"/>
      </c:scatterChart>
      <c:valAx>
        <c:axId val="15967555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61312"/>
        <c:crosses val="autoZero"/>
        <c:crossBetween val="midCat"/>
      </c:valAx>
      <c:valAx>
        <c:axId val="1596761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555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Bubble chart</a:t>
            </a:r>
            <a:r>
              <a:rPr lang="en-US" baseline="0"/>
              <a:t> with different sizes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'6. Charts'!$B$5</c:f>
              <c:strCache>
                <c:ptCount val="1"/>
                <c:pt idx="0">
                  <c:v>Data 1</c:v>
                </c:pt>
              </c:strCache>
            </c:strRef>
          </c:tx>
          <c:spPr>
            <a:solidFill>
              <a:schemeClr val="accent1">
                <a:alpha val="75000"/>
              </a:schemeClr>
            </a:solidFill>
            <a:ln w="25400">
              <a:noFill/>
            </a:ln>
            <a:effectLst/>
          </c:spPr>
          <c:invertIfNegative val="0"/>
          <c:xVal>
            <c:numRef>
              <c:f>'6. Charts'!$C$6:$C$49</c:f>
              <c:numCache>
                <c:formatCode>#,##0.00</c:formatCode>
                <c:ptCount val="44"/>
                <c:pt idx="0">
                  <c:v>1.8109214372981315</c:v>
                </c:pt>
                <c:pt idx="1">
                  <c:v>2.5905737989007691</c:v>
                </c:pt>
                <c:pt idx="2">
                  <c:v>1.8142262935476663</c:v>
                </c:pt>
                <c:pt idx="3">
                  <c:v>1.9550141650678929</c:v>
                </c:pt>
                <c:pt idx="4">
                  <c:v>2.8363339306848254</c:v>
                </c:pt>
                <c:pt idx="5">
                  <c:v>2.1596363152368427</c:v>
                </c:pt>
                <c:pt idx="6">
                  <c:v>1.9599325373471794</c:v>
                </c:pt>
                <c:pt idx="7">
                  <c:v>1.875014876681754</c:v>
                </c:pt>
                <c:pt idx="8">
                  <c:v>1.7917186200425816</c:v>
                </c:pt>
                <c:pt idx="9">
                  <c:v>0.44552623141760328</c:v>
                </c:pt>
                <c:pt idx="10">
                  <c:v>2.8153261591835714</c:v>
                </c:pt>
                <c:pt idx="11">
                  <c:v>1.4053785810924828</c:v>
                </c:pt>
                <c:pt idx="12">
                  <c:v>2.5741667309607252</c:v>
                </c:pt>
                <c:pt idx="13">
                  <c:v>2.5622602011899778</c:v>
                </c:pt>
                <c:pt idx="14">
                  <c:v>2.7485502859952482</c:v>
                </c:pt>
                <c:pt idx="15">
                  <c:v>9.3779590993076201E-2</c:v>
                </c:pt>
                <c:pt idx="16">
                  <c:v>2.9788967610697545</c:v>
                </c:pt>
                <c:pt idx="17">
                  <c:v>2.9496437594343314</c:v>
                </c:pt>
                <c:pt idx="18">
                  <c:v>4.2043461718417219E-2</c:v>
                </c:pt>
                <c:pt idx="19">
                  <c:v>2.8917730838956124</c:v>
                </c:pt>
                <c:pt idx="20">
                  <c:v>1.9999379201029699</c:v>
                </c:pt>
                <c:pt idx="21">
                  <c:v>0.84491926684303353</c:v>
                </c:pt>
                <c:pt idx="22">
                  <c:v>1.9883541494724741</c:v>
                </c:pt>
                <c:pt idx="23">
                  <c:v>2.0982753709135715</c:v>
                </c:pt>
                <c:pt idx="24">
                  <c:v>0.11478237085731069</c:v>
                </c:pt>
                <c:pt idx="25">
                  <c:v>0.39021720267095206</c:v>
                </c:pt>
                <c:pt idx="26">
                  <c:v>2.7287134654179281</c:v>
                </c:pt>
                <c:pt idx="27">
                  <c:v>0.63618417138910355</c:v>
                </c:pt>
                <c:pt idx="28">
                  <c:v>2.2069290019763321</c:v>
                </c:pt>
                <c:pt idx="29">
                  <c:v>0.50173815733843996</c:v>
                </c:pt>
                <c:pt idx="30">
                  <c:v>1.9618935058689135</c:v>
                </c:pt>
                <c:pt idx="31">
                  <c:v>0.27848121516603996</c:v>
                </c:pt>
                <c:pt idx="32">
                  <c:v>2.0345714347173249</c:v>
                </c:pt>
                <c:pt idx="33">
                  <c:v>0.32276640359913511</c:v>
                </c:pt>
                <c:pt idx="34">
                  <c:v>1.0553036448004516</c:v>
                </c:pt>
                <c:pt idx="35">
                  <c:v>1.0415518072153302</c:v>
                </c:pt>
                <c:pt idx="36">
                  <c:v>0.73324271528591056</c:v>
                </c:pt>
                <c:pt idx="37">
                  <c:v>0.72673451456429117</c:v>
                </c:pt>
                <c:pt idx="38">
                  <c:v>2.5846117410114227</c:v>
                </c:pt>
                <c:pt idx="39">
                  <c:v>0.3676493154073206</c:v>
                </c:pt>
                <c:pt idx="40">
                  <c:v>1.3885648278661464</c:v>
                </c:pt>
                <c:pt idx="41">
                  <c:v>1.1818591336976039</c:v>
                </c:pt>
                <c:pt idx="42">
                  <c:v>0.18444621686123341</c:v>
                </c:pt>
                <c:pt idx="43">
                  <c:v>0.43911508427168433</c:v>
                </c:pt>
              </c:numCache>
            </c:numRef>
          </c:xVal>
          <c:yVal>
            <c:numRef>
              <c:f>'6. Charts'!$B$6:$B$49</c:f>
              <c:numCache>
                <c:formatCode>#,##0.00</c:formatCode>
                <c:ptCount val="44"/>
                <c:pt idx="0">
                  <c:v>2</c:v>
                </c:pt>
                <c:pt idx="1">
                  <c:v>-1</c:v>
                </c:pt>
                <c:pt idx="2">
                  <c:v>4</c:v>
                </c:pt>
                <c:pt idx="3">
                  <c:v>-1</c:v>
                </c:pt>
                <c:pt idx="4">
                  <c:v>4</c:v>
                </c:pt>
                <c:pt idx="5">
                  <c:v>5</c:v>
                </c:pt>
                <c:pt idx="6">
                  <c:v>5</c:v>
                </c:pt>
                <c:pt idx="7">
                  <c:v>2</c:v>
                </c:pt>
                <c:pt idx="8">
                  <c:v>-2</c:v>
                </c:pt>
                <c:pt idx="9">
                  <c:v>-1</c:v>
                </c:pt>
                <c:pt idx="10">
                  <c:v>-2</c:v>
                </c:pt>
                <c:pt idx="11">
                  <c:v>1</c:v>
                </c:pt>
                <c:pt idx="12">
                  <c:v>0</c:v>
                </c:pt>
                <c:pt idx="13">
                  <c:v>-3</c:v>
                </c:pt>
                <c:pt idx="14">
                  <c:v>-2</c:v>
                </c:pt>
                <c:pt idx="15">
                  <c:v>4</c:v>
                </c:pt>
                <c:pt idx="16">
                  <c:v>0</c:v>
                </c:pt>
                <c:pt idx="17">
                  <c:v>-1</c:v>
                </c:pt>
                <c:pt idx="18">
                  <c:v>-4</c:v>
                </c:pt>
                <c:pt idx="19">
                  <c:v>0</c:v>
                </c:pt>
                <c:pt idx="20">
                  <c:v>-2</c:v>
                </c:pt>
                <c:pt idx="21">
                  <c:v>-2</c:v>
                </c:pt>
                <c:pt idx="22">
                  <c:v>5</c:v>
                </c:pt>
                <c:pt idx="23">
                  <c:v>2</c:v>
                </c:pt>
                <c:pt idx="24">
                  <c:v>2</c:v>
                </c:pt>
                <c:pt idx="25">
                  <c:v>1</c:v>
                </c:pt>
                <c:pt idx="26">
                  <c:v>-2</c:v>
                </c:pt>
                <c:pt idx="27">
                  <c:v>3</c:v>
                </c:pt>
                <c:pt idx="28">
                  <c:v>2</c:v>
                </c:pt>
                <c:pt idx="29">
                  <c:v>-5</c:v>
                </c:pt>
                <c:pt idx="30">
                  <c:v>0</c:v>
                </c:pt>
                <c:pt idx="31">
                  <c:v>5</c:v>
                </c:pt>
                <c:pt idx="32">
                  <c:v>-5</c:v>
                </c:pt>
                <c:pt idx="33">
                  <c:v>-2</c:v>
                </c:pt>
                <c:pt idx="34">
                  <c:v>-5</c:v>
                </c:pt>
                <c:pt idx="35">
                  <c:v>3</c:v>
                </c:pt>
                <c:pt idx="36">
                  <c:v>4</c:v>
                </c:pt>
                <c:pt idx="37">
                  <c:v>3</c:v>
                </c:pt>
                <c:pt idx="38">
                  <c:v>0</c:v>
                </c:pt>
                <c:pt idx="39">
                  <c:v>-4</c:v>
                </c:pt>
                <c:pt idx="40">
                  <c:v>5</c:v>
                </c:pt>
                <c:pt idx="41">
                  <c:v>-4</c:v>
                </c:pt>
                <c:pt idx="42">
                  <c:v>4</c:v>
                </c:pt>
                <c:pt idx="43">
                  <c:v>1</c:v>
                </c:pt>
              </c:numCache>
            </c:numRef>
          </c:yVal>
          <c:bubbleSize>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bubbleSize>
          <c:bubble3D val="0"/>
          <c:extLst>
            <c:ext xmlns:c16="http://schemas.microsoft.com/office/drawing/2014/chart" uri="{C3380CC4-5D6E-409C-BE32-E72D297353CC}">
              <c16:uniqueId val="{00000000-230D-4A27-AE22-91C57CB98ED5}"/>
            </c:ext>
          </c:extLst>
        </c:ser>
        <c:dLbls>
          <c:showLegendKey val="0"/>
          <c:showVal val="0"/>
          <c:showCatName val="0"/>
          <c:showSerName val="0"/>
          <c:showPercent val="0"/>
          <c:showBubbleSize val="0"/>
        </c:dLbls>
        <c:bubbleScale val="100"/>
        <c:showNegBubbles val="0"/>
        <c:axId val="364199663"/>
        <c:axId val="364192463"/>
      </c:bubbleChart>
      <c:valAx>
        <c:axId val="3641996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92463"/>
        <c:crosses val="autoZero"/>
        <c:crossBetween val="midCat"/>
      </c:valAx>
      <c:valAx>
        <c:axId val="364192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996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Mixed: Area, Column,</a:t>
            </a:r>
            <a:r>
              <a:rPr lang="en-GB" baseline="0"/>
              <a:t> Line, Scatter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areaChart>
        <c:grouping val="standard"/>
        <c:varyColors val="0"/>
        <c:ser>
          <c:idx val="2"/>
          <c:order val="1"/>
          <c:tx>
            <c:strRef>
              <c:f>'6. Charts'!$C$5</c:f>
              <c:strCache>
                <c:ptCount val="1"/>
                <c:pt idx="0">
                  <c:v>Data 2</c:v>
                </c:pt>
              </c:strCache>
            </c:strRef>
          </c:tx>
          <c:spPr>
            <a:solidFill>
              <a:schemeClr val="accent3"/>
            </a:solidFill>
            <a:ln>
              <a:noFill/>
            </a:ln>
            <a:effectLst/>
          </c:spP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Charts'!$C$6:$C$49</c:f>
              <c:numCache>
                <c:formatCode>#,##0.00</c:formatCode>
                <c:ptCount val="44"/>
                <c:pt idx="0">
                  <c:v>1.8109214372981315</c:v>
                </c:pt>
                <c:pt idx="1">
                  <c:v>2.5905737989007691</c:v>
                </c:pt>
                <c:pt idx="2">
                  <c:v>1.8142262935476663</c:v>
                </c:pt>
                <c:pt idx="3">
                  <c:v>1.9550141650678929</c:v>
                </c:pt>
                <c:pt idx="4">
                  <c:v>2.8363339306848254</c:v>
                </c:pt>
                <c:pt idx="5">
                  <c:v>2.1596363152368427</c:v>
                </c:pt>
                <c:pt idx="6">
                  <c:v>1.9599325373471794</c:v>
                </c:pt>
                <c:pt idx="7">
                  <c:v>1.875014876681754</c:v>
                </c:pt>
                <c:pt idx="8">
                  <c:v>1.7917186200425816</c:v>
                </c:pt>
                <c:pt idx="9">
                  <c:v>0.44552623141760328</c:v>
                </c:pt>
                <c:pt idx="10">
                  <c:v>2.8153261591835714</c:v>
                </c:pt>
                <c:pt idx="11">
                  <c:v>1.4053785810924828</c:v>
                </c:pt>
                <c:pt idx="12">
                  <c:v>2.5741667309607252</c:v>
                </c:pt>
                <c:pt idx="13">
                  <c:v>2.5622602011899778</c:v>
                </c:pt>
                <c:pt idx="14">
                  <c:v>2.7485502859952482</c:v>
                </c:pt>
                <c:pt idx="15">
                  <c:v>9.3779590993076201E-2</c:v>
                </c:pt>
                <c:pt idx="16">
                  <c:v>2.9788967610697545</c:v>
                </c:pt>
                <c:pt idx="17">
                  <c:v>2.9496437594343314</c:v>
                </c:pt>
                <c:pt idx="18">
                  <c:v>4.2043461718417219E-2</c:v>
                </c:pt>
                <c:pt idx="19">
                  <c:v>2.8917730838956124</c:v>
                </c:pt>
                <c:pt idx="20">
                  <c:v>1.9999379201029699</c:v>
                </c:pt>
                <c:pt idx="21">
                  <c:v>0.84491926684303353</c:v>
                </c:pt>
                <c:pt idx="22">
                  <c:v>1.9883541494724741</c:v>
                </c:pt>
                <c:pt idx="23">
                  <c:v>2.0982753709135715</c:v>
                </c:pt>
                <c:pt idx="24">
                  <c:v>0.11478237085731069</c:v>
                </c:pt>
                <c:pt idx="25">
                  <c:v>0.39021720267095206</c:v>
                </c:pt>
                <c:pt idx="26">
                  <c:v>2.7287134654179281</c:v>
                </c:pt>
                <c:pt idx="27">
                  <c:v>0.63618417138910355</c:v>
                </c:pt>
                <c:pt idx="28">
                  <c:v>2.2069290019763321</c:v>
                </c:pt>
                <c:pt idx="29">
                  <c:v>0.50173815733843996</c:v>
                </c:pt>
                <c:pt idx="30">
                  <c:v>1.9618935058689135</c:v>
                </c:pt>
                <c:pt idx="31">
                  <c:v>0.27848121516603996</c:v>
                </c:pt>
                <c:pt idx="32">
                  <c:v>2.0345714347173249</c:v>
                </c:pt>
                <c:pt idx="33">
                  <c:v>0.32276640359913511</c:v>
                </c:pt>
                <c:pt idx="34">
                  <c:v>1.0553036448004516</c:v>
                </c:pt>
                <c:pt idx="35">
                  <c:v>1.0415518072153302</c:v>
                </c:pt>
                <c:pt idx="36">
                  <c:v>0.73324271528591056</c:v>
                </c:pt>
                <c:pt idx="37">
                  <c:v>0.72673451456429117</c:v>
                </c:pt>
                <c:pt idx="38">
                  <c:v>2.5846117410114227</c:v>
                </c:pt>
                <c:pt idx="39">
                  <c:v>0.3676493154073206</c:v>
                </c:pt>
                <c:pt idx="40">
                  <c:v>1.3885648278661464</c:v>
                </c:pt>
                <c:pt idx="41">
                  <c:v>1.1818591336976039</c:v>
                </c:pt>
                <c:pt idx="42">
                  <c:v>0.18444621686123341</c:v>
                </c:pt>
                <c:pt idx="43">
                  <c:v>0.43911508427168433</c:v>
                </c:pt>
              </c:numCache>
            </c:numRef>
          </c:val>
          <c:extLst>
            <c:ext xmlns:c16="http://schemas.microsoft.com/office/drawing/2014/chart" uri="{C3380CC4-5D6E-409C-BE32-E72D297353CC}">
              <c16:uniqueId val="{00000000-A873-4E4B-8925-6DFF14E978FC}"/>
            </c:ext>
          </c:extLst>
        </c:ser>
        <c:dLbls>
          <c:showLegendKey val="0"/>
          <c:showVal val="0"/>
          <c:showCatName val="0"/>
          <c:showSerName val="0"/>
          <c:showPercent val="0"/>
          <c:showBubbleSize val="0"/>
        </c:dLbls>
        <c:axId val="1596755552"/>
        <c:axId val="1596761312"/>
      </c:areaChart>
      <c:barChart>
        <c:barDir val="col"/>
        <c:grouping val="clustered"/>
        <c:varyColors val="0"/>
        <c:ser>
          <c:idx val="1"/>
          <c:order val="0"/>
          <c:tx>
            <c:strRef>
              <c:f>'6. Charts'!$B$5</c:f>
              <c:strCache>
                <c:ptCount val="1"/>
                <c:pt idx="0">
                  <c:v>Data 1</c:v>
                </c:pt>
              </c:strCache>
            </c:strRef>
          </c:tx>
          <c:spPr>
            <a:solidFill>
              <a:schemeClr val="accent2"/>
            </a:solidFill>
            <a:ln>
              <a:noFill/>
            </a:ln>
            <a:effectLst/>
          </c:spPr>
          <c:invertIfNegative val="0"/>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Charts'!$B$6:$B$49</c:f>
              <c:numCache>
                <c:formatCode>#,##0.00</c:formatCode>
                <c:ptCount val="44"/>
                <c:pt idx="0">
                  <c:v>2</c:v>
                </c:pt>
                <c:pt idx="1">
                  <c:v>-1</c:v>
                </c:pt>
                <c:pt idx="2">
                  <c:v>4</c:v>
                </c:pt>
                <c:pt idx="3">
                  <c:v>-1</c:v>
                </c:pt>
                <c:pt idx="4">
                  <c:v>4</c:v>
                </c:pt>
                <c:pt idx="5">
                  <c:v>5</c:v>
                </c:pt>
                <c:pt idx="6">
                  <c:v>5</c:v>
                </c:pt>
                <c:pt idx="7">
                  <c:v>2</c:v>
                </c:pt>
                <c:pt idx="8">
                  <c:v>-2</c:v>
                </c:pt>
                <c:pt idx="9">
                  <c:v>-1</c:v>
                </c:pt>
                <c:pt idx="10">
                  <c:v>-2</c:v>
                </c:pt>
                <c:pt idx="11">
                  <c:v>1</c:v>
                </c:pt>
                <c:pt idx="12">
                  <c:v>0</c:v>
                </c:pt>
                <c:pt idx="13">
                  <c:v>-3</c:v>
                </c:pt>
                <c:pt idx="14">
                  <c:v>-2</c:v>
                </c:pt>
                <c:pt idx="15">
                  <c:v>4</c:v>
                </c:pt>
                <c:pt idx="16">
                  <c:v>0</c:v>
                </c:pt>
                <c:pt idx="17">
                  <c:v>-1</c:v>
                </c:pt>
                <c:pt idx="18">
                  <c:v>-4</c:v>
                </c:pt>
                <c:pt idx="19">
                  <c:v>0</c:v>
                </c:pt>
                <c:pt idx="20">
                  <c:v>-2</c:v>
                </c:pt>
                <c:pt idx="21">
                  <c:v>-2</c:v>
                </c:pt>
                <c:pt idx="22">
                  <c:v>5</c:v>
                </c:pt>
                <c:pt idx="23">
                  <c:v>2</c:v>
                </c:pt>
                <c:pt idx="24">
                  <c:v>2</c:v>
                </c:pt>
                <c:pt idx="25">
                  <c:v>1</c:v>
                </c:pt>
                <c:pt idx="26">
                  <c:v>-2</c:v>
                </c:pt>
                <c:pt idx="27">
                  <c:v>3</c:v>
                </c:pt>
                <c:pt idx="28">
                  <c:v>2</c:v>
                </c:pt>
                <c:pt idx="29">
                  <c:v>-5</c:v>
                </c:pt>
                <c:pt idx="30">
                  <c:v>0</c:v>
                </c:pt>
                <c:pt idx="31">
                  <c:v>5</c:v>
                </c:pt>
                <c:pt idx="32">
                  <c:v>-5</c:v>
                </c:pt>
                <c:pt idx="33">
                  <c:v>-2</c:v>
                </c:pt>
                <c:pt idx="34">
                  <c:v>-5</c:v>
                </c:pt>
                <c:pt idx="35">
                  <c:v>3</c:v>
                </c:pt>
                <c:pt idx="36">
                  <c:v>4</c:v>
                </c:pt>
                <c:pt idx="37">
                  <c:v>3</c:v>
                </c:pt>
                <c:pt idx="38">
                  <c:v>0</c:v>
                </c:pt>
                <c:pt idx="39">
                  <c:v>-4</c:v>
                </c:pt>
                <c:pt idx="40">
                  <c:v>5</c:v>
                </c:pt>
                <c:pt idx="41">
                  <c:v>-4</c:v>
                </c:pt>
                <c:pt idx="42">
                  <c:v>4</c:v>
                </c:pt>
                <c:pt idx="43">
                  <c:v>1</c:v>
                </c:pt>
              </c:numCache>
            </c:numRef>
          </c:val>
          <c:extLst>
            <c:ext xmlns:c16="http://schemas.microsoft.com/office/drawing/2014/chart" uri="{C3380CC4-5D6E-409C-BE32-E72D297353CC}">
              <c16:uniqueId val="{00000001-A873-4E4B-8925-6DFF14E978FC}"/>
            </c:ext>
          </c:extLst>
        </c:ser>
        <c:dLbls>
          <c:showLegendKey val="0"/>
          <c:showVal val="0"/>
          <c:showCatName val="0"/>
          <c:showSerName val="0"/>
          <c:showPercent val="0"/>
          <c:showBubbleSize val="0"/>
        </c:dLbls>
        <c:gapWidth val="150"/>
        <c:axId val="1596755552"/>
        <c:axId val="1596761312"/>
      </c:barChart>
      <c:lineChart>
        <c:grouping val="standard"/>
        <c:varyColors val="0"/>
        <c:ser>
          <c:idx val="3"/>
          <c:order val="2"/>
          <c:tx>
            <c:strRef>
              <c:f>'6. Charts'!$D$5</c:f>
              <c:strCache>
                <c:ptCount val="1"/>
                <c:pt idx="0">
                  <c:v>Data 3</c:v>
                </c:pt>
              </c:strCache>
            </c:strRef>
          </c:tx>
          <c:spPr>
            <a:ln w="28575" cap="rnd">
              <a:solidFill>
                <a:schemeClr val="accent4"/>
              </a:solidFill>
              <a:round/>
            </a:ln>
            <a:effectLst/>
          </c:spPr>
          <c:marker>
            <c:symbol val="none"/>
          </c:marker>
          <c:cat>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cat>
          <c:val>
            <c:numRef>
              <c:f>'6. Charts'!$D$6:$D$49</c:f>
              <c:numCache>
                <c:formatCode>#,##0.00</c:formatCode>
                <c:ptCount val="44"/>
                <c:pt idx="0">
                  <c:v>3.8142053619659535</c:v>
                </c:pt>
                <c:pt idx="1">
                  <c:v>7.8693798891939446</c:v>
                </c:pt>
                <c:pt idx="2">
                  <c:v>2.092017049945547</c:v>
                </c:pt>
                <c:pt idx="3">
                  <c:v>8.3200751839804798</c:v>
                </c:pt>
                <c:pt idx="4">
                  <c:v>6.211213271338865</c:v>
                </c:pt>
                <c:pt idx="5">
                  <c:v>0.89690823635206085</c:v>
                </c:pt>
                <c:pt idx="6">
                  <c:v>3.5676022907838592</c:v>
                </c:pt>
                <c:pt idx="7">
                  <c:v>0.15475364784804269</c:v>
                </c:pt>
                <c:pt idx="8">
                  <c:v>0.84632906110049366</c:v>
                </c:pt>
                <c:pt idx="9">
                  <c:v>3.8123899189198651</c:v>
                </c:pt>
                <c:pt idx="10">
                  <c:v>1.4016699417898049</c:v>
                </c:pt>
                <c:pt idx="11">
                  <c:v>5.912547565525359</c:v>
                </c:pt>
                <c:pt idx="12">
                  <c:v>4.6358807386385816</c:v>
                </c:pt>
                <c:pt idx="13">
                  <c:v>6.714489127724371</c:v>
                </c:pt>
                <c:pt idx="14">
                  <c:v>5.3358632489228484</c:v>
                </c:pt>
                <c:pt idx="15">
                  <c:v>6.7742326635337236</c:v>
                </c:pt>
                <c:pt idx="16">
                  <c:v>7.4212839803512924</c:v>
                </c:pt>
                <c:pt idx="17">
                  <c:v>2.5024349903241392</c:v>
                </c:pt>
                <c:pt idx="18">
                  <c:v>4.9238457073952988</c:v>
                </c:pt>
                <c:pt idx="19">
                  <c:v>2.4795234894810392</c:v>
                </c:pt>
                <c:pt idx="20">
                  <c:v>0.88527709558692602</c:v>
                </c:pt>
                <c:pt idx="21">
                  <c:v>3.4355207351112602</c:v>
                </c:pt>
                <c:pt idx="22">
                  <c:v>5.4516765151590931</c:v>
                </c:pt>
                <c:pt idx="23">
                  <c:v>4.1786254072598457</c:v>
                </c:pt>
                <c:pt idx="24">
                  <c:v>3.3850317199417468</c:v>
                </c:pt>
                <c:pt idx="25">
                  <c:v>9.0600681993983994</c:v>
                </c:pt>
                <c:pt idx="26">
                  <c:v>3.4948126228094898</c:v>
                </c:pt>
                <c:pt idx="27">
                  <c:v>2.7074059326877356</c:v>
                </c:pt>
                <c:pt idx="28">
                  <c:v>5.1237431334005894</c:v>
                </c:pt>
                <c:pt idx="29">
                  <c:v>3.7592166746530098</c:v>
                </c:pt>
                <c:pt idx="30">
                  <c:v>9.4280057220096154</c:v>
                </c:pt>
                <c:pt idx="31">
                  <c:v>2.5282354608785393</c:v>
                </c:pt>
                <c:pt idx="32">
                  <c:v>0.4332367863427744</c:v>
                </c:pt>
                <c:pt idx="33">
                  <c:v>5.3763937328217626</c:v>
                </c:pt>
                <c:pt idx="34">
                  <c:v>8.4434090802367123</c:v>
                </c:pt>
                <c:pt idx="35">
                  <c:v>8.3935336833090748</c:v>
                </c:pt>
                <c:pt idx="36">
                  <c:v>1.6434409096585889</c:v>
                </c:pt>
                <c:pt idx="37">
                  <c:v>0.47272517020168436</c:v>
                </c:pt>
                <c:pt idx="38">
                  <c:v>1.6735700189346414</c:v>
                </c:pt>
                <c:pt idx="39">
                  <c:v>4.8538296270728907</c:v>
                </c:pt>
                <c:pt idx="40">
                  <c:v>4.6698327346125108</c:v>
                </c:pt>
                <c:pt idx="41">
                  <c:v>8.2441451067236198</c:v>
                </c:pt>
                <c:pt idx="42">
                  <c:v>4.5020291525664913</c:v>
                </c:pt>
                <c:pt idx="43">
                  <c:v>6.6451210924288446</c:v>
                </c:pt>
              </c:numCache>
            </c:numRef>
          </c:val>
          <c:smooth val="0"/>
          <c:extLst>
            <c:ext xmlns:c16="http://schemas.microsoft.com/office/drawing/2014/chart" uri="{C3380CC4-5D6E-409C-BE32-E72D297353CC}">
              <c16:uniqueId val="{00000002-A873-4E4B-8925-6DFF14E978FC}"/>
            </c:ext>
          </c:extLst>
        </c:ser>
        <c:dLbls>
          <c:showLegendKey val="0"/>
          <c:showVal val="0"/>
          <c:showCatName val="0"/>
          <c:showSerName val="0"/>
          <c:showPercent val="0"/>
          <c:showBubbleSize val="0"/>
        </c:dLbls>
        <c:marker val="1"/>
        <c:smooth val="0"/>
        <c:axId val="1596755552"/>
        <c:axId val="1596761312"/>
      </c:lineChart>
      <c:scatterChart>
        <c:scatterStyle val="lineMarker"/>
        <c:varyColors val="0"/>
        <c:ser>
          <c:idx val="4"/>
          <c:order val="3"/>
          <c:tx>
            <c:strRef>
              <c:f>'6. Charts'!$E$5</c:f>
              <c:strCache>
                <c:ptCount val="1"/>
                <c:pt idx="0">
                  <c:v>Data 4</c:v>
                </c:pt>
              </c:strCache>
            </c:strRef>
          </c:tx>
          <c:spPr>
            <a:ln w="25400" cap="rnd">
              <a:noFill/>
              <a:round/>
            </a:ln>
            <a:effectLst/>
          </c:spPr>
          <c:marker>
            <c:symbol val="circle"/>
            <c:size val="5"/>
            <c:spPr>
              <a:solidFill>
                <a:schemeClr val="accent5"/>
              </a:solidFill>
              <a:ln w="9525">
                <a:solidFill>
                  <a:schemeClr val="accent5"/>
                </a:solidFill>
              </a:ln>
              <a:effectLst/>
            </c:spPr>
          </c:marker>
          <c:xVal>
            <c:numRef>
              <c:f>'6. Charts'!$A$6:$A$49</c:f>
              <c:numCache>
                <c:formatCode>#,##0</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xVal>
          <c:yVal>
            <c:numRef>
              <c:f>'6. Charts'!$E$6:$E$49</c:f>
              <c:numCache>
                <c:formatCode>#,##0.00</c:formatCode>
                <c:ptCount val="44"/>
                <c:pt idx="0">
                  <c:v>1.0535863885888921</c:v>
                </c:pt>
                <c:pt idx="1">
                  <c:v>-1.0937479096589318</c:v>
                </c:pt>
                <c:pt idx="2">
                  <c:v>21.436142209616996</c:v>
                </c:pt>
                <c:pt idx="3">
                  <c:v>-0.81114673752533961</c:v>
                </c:pt>
                <c:pt idx="4">
                  <c:v>1.7427168115770999</c:v>
                </c:pt>
                <c:pt idx="5">
                  <c:v>9.7998375208759789</c:v>
                </c:pt>
                <c:pt idx="6">
                  <c:v>2.6383475194258241</c:v>
                </c:pt>
                <c:pt idx="7">
                  <c:v>1.9667171440659352</c:v>
                </c:pt>
                <c:pt idx="8">
                  <c:v>-1.6572157673278893</c:v>
                </c:pt>
                <c:pt idx="9">
                  <c:v>-1.0721601939677019</c:v>
                </c:pt>
                <c:pt idx="10">
                  <c:v>-1.3667979593696533</c:v>
                </c:pt>
                <c:pt idx="11">
                  <c:v>3.7543815003844063</c:v>
                </c:pt>
                <c:pt idx="12">
                  <c:v>0</c:v>
                </c:pt>
                <c:pt idx="13">
                  <c:v>-7.0581234960348986</c:v>
                </c:pt>
                <c:pt idx="14">
                  <c:v>-2.382027490382121</c:v>
                </c:pt>
                <c:pt idx="15">
                  <c:v>8.9091714761648007</c:v>
                </c:pt>
                <c:pt idx="16">
                  <c:v>0</c:v>
                </c:pt>
                <c:pt idx="17">
                  <c:v>-0.56835412136087005</c:v>
                </c:pt>
                <c:pt idx="18">
                  <c:v>-2.8761874412424495</c:v>
                </c:pt>
                <c:pt idx="19">
                  <c:v>0</c:v>
                </c:pt>
                <c:pt idx="20">
                  <c:v>-1.0641587757944062</c:v>
                </c:pt>
                <c:pt idx="21">
                  <c:v>-1.4771883087268423</c:v>
                </c:pt>
                <c:pt idx="22">
                  <c:v>4.8113779209706999</c:v>
                </c:pt>
                <c:pt idx="23">
                  <c:v>2.297296339337628</c:v>
                </c:pt>
                <c:pt idx="24">
                  <c:v>1.2602684623351494</c:v>
                </c:pt>
                <c:pt idx="25">
                  <c:v>1.0110366391300989</c:v>
                </c:pt>
                <c:pt idx="26">
                  <c:v>-5.8299167359071875</c:v>
                </c:pt>
                <c:pt idx="27">
                  <c:v>8.6896473619859993</c:v>
                </c:pt>
                <c:pt idx="28">
                  <c:v>3.3840281939889536</c:v>
                </c:pt>
                <c:pt idx="29">
                  <c:v>-3.1115125260320426</c:v>
                </c:pt>
                <c:pt idx="30">
                  <c:v>0</c:v>
                </c:pt>
                <c:pt idx="31">
                  <c:v>2.5432131685481982</c:v>
                </c:pt>
                <c:pt idx="32">
                  <c:v>-2.533567579017987</c:v>
                </c:pt>
                <c:pt idx="33">
                  <c:v>-2.9546624453981676</c:v>
                </c:pt>
                <c:pt idx="34">
                  <c:v>-0.91017341412450004</c:v>
                </c:pt>
                <c:pt idx="35">
                  <c:v>3.0839267191792028</c:v>
                </c:pt>
                <c:pt idx="36">
                  <c:v>2.143960764507022</c:v>
                </c:pt>
                <c:pt idx="37">
                  <c:v>2.6838478218474151</c:v>
                </c:pt>
                <c:pt idx="38">
                  <c:v>0</c:v>
                </c:pt>
                <c:pt idx="39">
                  <c:v>-7.9571479379693519</c:v>
                </c:pt>
                <c:pt idx="40">
                  <c:v>4.6465086136534381</c:v>
                </c:pt>
                <c:pt idx="41">
                  <c:v>-3.0194676687115347</c:v>
                </c:pt>
                <c:pt idx="42">
                  <c:v>2.2154595164630355</c:v>
                </c:pt>
                <c:pt idx="43">
                  <c:v>0.60138159504017319</c:v>
                </c:pt>
              </c:numCache>
            </c:numRef>
          </c:yVal>
          <c:smooth val="0"/>
          <c:extLst>
            <c:ext xmlns:c16="http://schemas.microsoft.com/office/drawing/2014/chart" uri="{C3380CC4-5D6E-409C-BE32-E72D297353CC}">
              <c16:uniqueId val="{00000003-A873-4E4B-8925-6DFF14E978FC}"/>
            </c:ext>
          </c:extLst>
        </c:ser>
        <c:dLbls>
          <c:showLegendKey val="0"/>
          <c:showVal val="0"/>
          <c:showCatName val="0"/>
          <c:showSerName val="0"/>
          <c:showPercent val="0"/>
          <c:showBubbleSize val="0"/>
        </c:dLbls>
        <c:axId val="1596755552"/>
        <c:axId val="1596761312"/>
      </c:scatterChart>
      <c:catAx>
        <c:axId val="15967555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61312"/>
        <c:crosses val="autoZero"/>
        <c:auto val="1"/>
        <c:lblAlgn val="ctr"/>
        <c:lblOffset val="100"/>
        <c:noMultiLvlLbl val="0"/>
      </c:catAx>
      <c:valAx>
        <c:axId val="1596761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55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a:t>
            </a:r>
            <a:r>
              <a:rPr lang="en-GB" baseline="0"/>
              <a:t> y-axes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'6. Charts'!$B$403</c:f>
              <c:strCache>
                <c:ptCount val="1"/>
                <c:pt idx="0">
                  <c:v>Data</c:v>
                </c:pt>
              </c:strCache>
            </c:strRef>
          </c:tx>
          <c:spPr>
            <a:ln w="28575" cap="rnd">
              <a:solidFill>
                <a:schemeClr val="accent1"/>
              </a:solidFill>
              <a:round/>
            </a:ln>
            <a:effectLst/>
          </c:spPr>
          <c:marker>
            <c:symbol val="none"/>
          </c:marker>
          <c:cat>
            <c:numRef>
              <c:f>'6. Charts'!$A$404:$A$419</c:f>
              <c:numCache>
                <c:formatCode>m/d/yyyy</c:formatCode>
                <c:ptCount val="16"/>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numCache>
            </c:numRef>
          </c:cat>
          <c:val>
            <c:numRef>
              <c:f>'6. Charts'!$B$404:$B$419</c:f>
              <c:numCache>
                <c:formatCode>#,##0.00</c:formatCode>
                <c:ptCount val="16"/>
                <c:pt idx="0">
                  <c:v>4.6358807386385816</c:v>
                </c:pt>
                <c:pt idx="1">
                  <c:v>6.714489127724371</c:v>
                </c:pt>
                <c:pt idx="2">
                  <c:v>5.3358632489228484</c:v>
                </c:pt>
                <c:pt idx="3">
                  <c:v>6.7742326635337236</c:v>
                </c:pt>
                <c:pt idx="4">
                  <c:v>7.4212839803512924</c:v>
                </c:pt>
                <c:pt idx="5">
                  <c:v>2.5024349903241392</c:v>
                </c:pt>
                <c:pt idx="6">
                  <c:v>4.9238457073952988</c:v>
                </c:pt>
                <c:pt idx="7">
                  <c:v>2.4795234894810392</c:v>
                </c:pt>
                <c:pt idx="8">
                  <c:v>0.88527709558692602</c:v>
                </c:pt>
                <c:pt idx="9">
                  <c:v>1.43552073511126</c:v>
                </c:pt>
                <c:pt idx="10">
                  <c:v>2.45167651515909</c:v>
                </c:pt>
                <c:pt idx="11">
                  <c:v>4.1786254072598457</c:v>
                </c:pt>
                <c:pt idx="12">
                  <c:v>3.3850317199417468</c:v>
                </c:pt>
                <c:pt idx="13">
                  <c:v>4.0600681993984002</c:v>
                </c:pt>
                <c:pt idx="14">
                  <c:v>3.4948126228094898</c:v>
                </c:pt>
                <c:pt idx="15">
                  <c:v>2.7074059326877356</c:v>
                </c:pt>
              </c:numCache>
            </c:numRef>
          </c:val>
          <c:smooth val="0"/>
          <c:extLst>
            <c:ext xmlns:c16="http://schemas.microsoft.com/office/drawing/2014/chart" uri="{C3380CC4-5D6E-409C-BE32-E72D297353CC}">
              <c16:uniqueId val="{00000000-E4A5-41B0-86A7-27CA20DCB587}"/>
            </c:ext>
          </c:extLst>
        </c:ser>
        <c:dLbls>
          <c:showLegendKey val="0"/>
          <c:showVal val="0"/>
          <c:showCatName val="0"/>
          <c:showSerName val="0"/>
          <c:showPercent val="0"/>
          <c:showBubbleSize val="0"/>
        </c:dLbls>
        <c:marker val="1"/>
        <c:smooth val="0"/>
        <c:axId val="231994335"/>
        <c:axId val="231994815"/>
      </c:lineChart>
      <c:lineChart>
        <c:grouping val="standard"/>
        <c:varyColors val="0"/>
        <c:ser>
          <c:idx val="1"/>
          <c:order val="1"/>
          <c:tx>
            <c:strRef>
              <c:f>'6. Charts'!$C$403</c:f>
              <c:strCache>
                <c:ptCount val="1"/>
                <c:pt idx="0">
                  <c:v>Change (%)</c:v>
                </c:pt>
              </c:strCache>
            </c:strRef>
          </c:tx>
          <c:spPr>
            <a:ln w="28575" cap="rnd">
              <a:solidFill>
                <a:schemeClr val="accent2"/>
              </a:solidFill>
              <a:round/>
            </a:ln>
            <a:effectLst/>
          </c:spPr>
          <c:marker>
            <c:symbol val="none"/>
          </c:marker>
          <c:cat>
            <c:numRef>
              <c:f>'6. Charts'!$A$404:$A$419</c:f>
              <c:numCache>
                <c:formatCode>m/d/yyyy</c:formatCode>
                <c:ptCount val="16"/>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numCache>
            </c:numRef>
          </c:cat>
          <c:val>
            <c:numRef>
              <c:f>'6. Charts'!$C$404:$C$419</c:f>
              <c:numCache>
                <c:formatCode>0%</c:formatCode>
                <c:ptCount val="16"/>
                <c:pt idx="1">
                  <c:v>0.44837399973671754</c:v>
                </c:pt>
                <c:pt idx="2">
                  <c:v>-0.20532103821705894</c:v>
                </c:pt>
                <c:pt idx="3">
                  <c:v>0.26956639394782833</c:v>
                </c:pt>
                <c:pt idx="4">
                  <c:v>9.5516547623275772E-2</c:v>
                </c:pt>
                <c:pt idx="5">
                  <c:v>-0.66280296011449968</c:v>
                </c:pt>
                <c:pt idx="6">
                  <c:v>0.96762182691407927</c:v>
                </c:pt>
                <c:pt idx="7">
                  <c:v>-0.4964254290590473</c:v>
                </c:pt>
                <c:pt idx="8">
                  <c:v>-0.64296482798305199</c:v>
                </c:pt>
                <c:pt idx="9">
                  <c:v>0.62154961680052323</c:v>
                </c:pt>
                <c:pt idx="10">
                  <c:v>0.70786562338932213</c:v>
                </c:pt>
                <c:pt idx="11">
                  <c:v>0.70439508696305042</c:v>
                </c:pt>
                <c:pt idx="12">
                  <c:v>-0.18991740344547947</c:v>
                </c:pt>
                <c:pt idx="13">
                  <c:v>0.19941806615279511</c:v>
                </c:pt>
                <c:pt idx="14">
                  <c:v>-0.1392231728207588</c:v>
                </c:pt>
                <c:pt idx="15">
                  <c:v>-0.22530726968954229</c:v>
                </c:pt>
              </c:numCache>
            </c:numRef>
          </c:val>
          <c:smooth val="0"/>
          <c:extLst>
            <c:ext xmlns:c16="http://schemas.microsoft.com/office/drawing/2014/chart" uri="{C3380CC4-5D6E-409C-BE32-E72D297353CC}">
              <c16:uniqueId val="{00000001-E4A5-41B0-86A7-27CA20DCB587}"/>
            </c:ext>
          </c:extLst>
        </c:ser>
        <c:dLbls>
          <c:showLegendKey val="0"/>
          <c:showVal val="0"/>
          <c:showCatName val="0"/>
          <c:showSerName val="0"/>
          <c:showPercent val="0"/>
          <c:showBubbleSize val="0"/>
        </c:dLbls>
        <c:marker val="1"/>
        <c:smooth val="0"/>
        <c:axId val="364191503"/>
        <c:axId val="364192943"/>
      </c:lineChart>
      <c:dateAx>
        <c:axId val="23199433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94815"/>
        <c:crosses val="autoZero"/>
        <c:auto val="1"/>
        <c:lblOffset val="100"/>
        <c:baseTimeUnit val="days"/>
      </c:dateAx>
      <c:valAx>
        <c:axId val="2319948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94335"/>
        <c:crosses val="autoZero"/>
        <c:crossBetween val="between"/>
      </c:valAx>
      <c:valAx>
        <c:axId val="36419294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91503"/>
        <c:crosses val="max"/>
        <c:crossBetween val="between"/>
      </c:valAx>
      <c:dateAx>
        <c:axId val="364191503"/>
        <c:scaling>
          <c:orientation val="minMax"/>
        </c:scaling>
        <c:delete val="1"/>
        <c:axPos val="b"/>
        <c:numFmt formatCode="m/d/yyyy" sourceLinked="1"/>
        <c:majorTickMark val="out"/>
        <c:minorTickMark val="none"/>
        <c:tickLblPos val="nextTo"/>
        <c:crossAx val="364192943"/>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a:t>
            </a:r>
            <a:r>
              <a:rPr lang="en-GB" baseline="0"/>
              <a:t> y-axes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'6. Charts'!$B$403</c:f>
              <c:strCache>
                <c:ptCount val="1"/>
                <c:pt idx="0">
                  <c:v>Data</c:v>
                </c:pt>
              </c:strCache>
            </c:strRef>
          </c:tx>
          <c:spPr>
            <a:ln w="28575" cap="rnd">
              <a:solidFill>
                <a:schemeClr val="accent1"/>
              </a:solidFill>
              <a:round/>
            </a:ln>
            <a:effectLst/>
          </c:spPr>
          <c:marker>
            <c:symbol val="none"/>
          </c:marker>
          <c:cat>
            <c:numRef>
              <c:f>'6. Charts'!$A$404:$A$419</c:f>
              <c:numCache>
                <c:formatCode>m/d/yyyy</c:formatCode>
                <c:ptCount val="16"/>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numCache>
            </c:numRef>
          </c:cat>
          <c:val>
            <c:numRef>
              <c:f>'6. Charts'!$B$404:$B$419</c:f>
              <c:numCache>
                <c:formatCode>#,##0.00</c:formatCode>
                <c:ptCount val="16"/>
                <c:pt idx="0">
                  <c:v>4.6358807386385816</c:v>
                </c:pt>
                <c:pt idx="1">
                  <c:v>6.714489127724371</c:v>
                </c:pt>
                <c:pt idx="2">
                  <c:v>5.3358632489228484</c:v>
                </c:pt>
                <c:pt idx="3">
                  <c:v>6.7742326635337236</c:v>
                </c:pt>
                <c:pt idx="4">
                  <c:v>7.4212839803512924</c:v>
                </c:pt>
                <c:pt idx="5">
                  <c:v>2.5024349903241392</c:v>
                </c:pt>
                <c:pt idx="6">
                  <c:v>4.9238457073952988</c:v>
                </c:pt>
                <c:pt idx="7">
                  <c:v>2.4795234894810392</c:v>
                </c:pt>
                <c:pt idx="8">
                  <c:v>0.88527709558692602</c:v>
                </c:pt>
                <c:pt idx="9">
                  <c:v>1.43552073511126</c:v>
                </c:pt>
                <c:pt idx="10">
                  <c:v>2.45167651515909</c:v>
                </c:pt>
                <c:pt idx="11">
                  <c:v>4.1786254072598457</c:v>
                </c:pt>
                <c:pt idx="12">
                  <c:v>3.3850317199417468</c:v>
                </c:pt>
                <c:pt idx="13">
                  <c:v>4.0600681993984002</c:v>
                </c:pt>
                <c:pt idx="14">
                  <c:v>3.4948126228094898</c:v>
                </c:pt>
                <c:pt idx="15">
                  <c:v>2.7074059326877356</c:v>
                </c:pt>
              </c:numCache>
            </c:numRef>
          </c:val>
          <c:smooth val="0"/>
          <c:extLst>
            <c:ext xmlns:c16="http://schemas.microsoft.com/office/drawing/2014/chart" uri="{C3380CC4-5D6E-409C-BE32-E72D297353CC}">
              <c16:uniqueId val="{00000000-0DD4-4AB2-84E4-2B9D3693202F}"/>
            </c:ext>
          </c:extLst>
        </c:ser>
        <c:dLbls>
          <c:showLegendKey val="0"/>
          <c:showVal val="0"/>
          <c:showCatName val="0"/>
          <c:showSerName val="0"/>
          <c:showPercent val="0"/>
          <c:showBubbleSize val="0"/>
        </c:dLbls>
        <c:smooth val="0"/>
        <c:axId val="231994335"/>
        <c:axId val="231994815"/>
      </c:lineChart>
      <c:dateAx>
        <c:axId val="23199433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94815"/>
        <c:crosses val="autoZero"/>
        <c:auto val="1"/>
        <c:lblOffset val="100"/>
        <c:baseTimeUnit val="days"/>
      </c:dateAx>
      <c:valAx>
        <c:axId val="231994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 !!!!&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9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"High" axis label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'6. Charts'!$K$476:$K$494</c:f>
              <c:numCache>
                <c:formatCode>#,##0</c:formatCode>
                <c:ptCount val="19"/>
                <c:pt idx="0">
                  <c:v>2</c:v>
                </c:pt>
                <c:pt idx="1">
                  <c:v>-1</c:v>
                </c:pt>
                <c:pt idx="2">
                  <c:v>4</c:v>
                </c:pt>
                <c:pt idx="3">
                  <c:v>-1</c:v>
                </c:pt>
                <c:pt idx="4">
                  <c:v>4</c:v>
                </c:pt>
                <c:pt idx="5">
                  <c:v>5</c:v>
                </c:pt>
                <c:pt idx="6">
                  <c:v>5</c:v>
                </c:pt>
                <c:pt idx="7">
                  <c:v>2</c:v>
                </c:pt>
                <c:pt idx="13">
                  <c:v>-3</c:v>
                </c:pt>
                <c:pt idx="14">
                  <c:v>-2</c:v>
                </c:pt>
                <c:pt idx="15">
                  <c:v>4</c:v>
                </c:pt>
                <c:pt idx="16">
                  <c:v>0</c:v>
                </c:pt>
                <c:pt idx="17">
                  <c:v>-1</c:v>
                </c:pt>
                <c:pt idx="18">
                  <c:v>-4</c:v>
                </c:pt>
              </c:numCache>
            </c:numRef>
          </c:val>
          <c:smooth val="0"/>
          <c:extLst>
            <c:ext xmlns:c16="http://schemas.microsoft.com/office/drawing/2014/chart" uri="{C3380CC4-5D6E-409C-BE32-E72D297353CC}">
              <c16:uniqueId val="{00000000-2430-47E3-84C8-8ED53C4F939B}"/>
            </c:ext>
          </c:extLst>
        </c:ser>
        <c:dLbls>
          <c:showLegendKey val="0"/>
          <c:showVal val="0"/>
          <c:showCatName val="0"/>
          <c:showSerName val="0"/>
          <c:showPercent val="0"/>
          <c:showBubbleSize val="0"/>
        </c:dLbls>
        <c:marker val="1"/>
        <c:smooth val="0"/>
        <c:axId val="1865452576"/>
        <c:axId val="1865449216"/>
      </c:lineChart>
      <c:catAx>
        <c:axId val="1865452576"/>
        <c:scaling>
          <c:orientation val="minMax"/>
        </c:scaling>
        <c:delete val="0"/>
        <c:axPos val="b"/>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49216"/>
        <c:crosses val="autoZero"/>
        <c:auto val="1"/>
        <c:lblAlgn val="ctr"/>
        <c:lblOffset val="100"/>
        <c:noMultiLvlLbl val="0"/>
      </c:catAx>
      <c:valAx>
        <c:axId val="186544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5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"Low" axis label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'6. Charts'!$K$476:$K$494</c:f>
              <c:numCache>
                <c:formatCode>#,##0</c:formatCode>
                <c:ptCount val="19"/>
                <c:pt idx="0">
                  <c:v>2</c:v>
                </c:pt>
                <c:pt idx="1">
                  <c:v>-1</c:v>
                </c:pt>
                <c:pt idx="2">
                  <c:v>4</c:v>
                </c:pt>
                <c:pt idx="3">
                  <c:v>-1</c:v>
                </c:pt>
                <c:pt idx="4">
                  <c:v>4</c:v>
                </c:pt>
                <c:pt idx="5">
                  <c:v>5</c:v>
                </c:pt>
                <c:pt idx="6">
                  <c:v>5</c:v>
                </c:pt>
                <c:pt idx="7">
                  <c:v>2</c:v>
                </c:pt>
                <c:pt idx="13">
                  <c:v>-3</c:v>
                </c:pt>
                <c:pt idx="14">
                  <c:v>-2</c:v>
                </c:pt>
                <c:pt idx="15">
                  <c:v>4</c:v>
                </c:pt>
                <c:pt idx="16">
                  <c:v>0</c:v>
                </c:pt>
                <c:pt idx="17">
                  <c:v>-1</c:v>
                </c:pt>
                <c:pt idx="18">
                  <c:v>-4</c:v>
                </c:pt>
              </c:numCache>
            </c:numRef>
          </c:val>
          <c:smooth val="0"/>
          <c:extLst>
            <c:ext xmlns:c16="http://schemas.microsoft.com/office/drawing/2014/chart" uri="{C3380CC4-5D6E-409C-BE32-E72D297353CC}">
              <c16:uniqueId val="{00000000-7E63-4FAF-B0C2-569A3109DD5C}"/>
            </c:ext>
          </c:extLst>
        </c:ser>
        <c:dLbls>
          <c:showLegendKey val="0"/>
          <c:showVal val="0"/>
          <c:showCatName val="0"/>
          <c:showSerName val="0"/>
          <c:showPercent val="0"/>
          <c:showBubbleSize val="0"/>
        </c:dLbls>
        <c:marker val="1"/>
        <c:smooth val="0"/>
        <c:axId val="1865452576"/>
        <c:axId val="1865449216"/>
      </c:lineChart>
      <c:catAx>
        <c:axId val="186545257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49216"/>
        <c:crosses val="autoZero"/>
        <c:auto val="1"/>
        <c:lblAlgn val="ctr"/>
        <c:lblOffset val="100"/>
        <c:noMultiLvlLbl val="0"/>
      </c:catAx>
      <c:valAx>
        <c:axId val="186544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5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Data labels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'6. Charts'!$K$476:$K$494</c:f>
              <c:numCache>
                <c:formatCode>#,##0</c:formatCode>
                <c:ptCount val="19"/>
                <c:pt idx="0">
                  <c:v>2</c:v>
                </c:pt>
                <c:pt idx="1">
                  <c:v>-1</c:v>
                </c:pt>
                <c:pt idx="2">
                  <c:v>4</c:v>
                </c:pt>
                <c:pt idx="3">
                  <c:v>-1</c:v>
                </c:pt>
                <c:pt idx="4">
                  <c:v>4</c:v>
                </c:pt>
                <c:pt idx="5">
                  <c:v>5</c:v>
                </c:pt>
                <c:pt idx="6">
                  <c:v>5</c:v>
                </c:pt>
                <c:pt idx="7">
                  <c:v>2</c:v>
                </c:pt>
                <c:pt idx="13">
                  <c:v>-3</c:v>
                </c:pt>
                <c:pt idx="14">
                  <c:v>-2</c:v>
                </c:pt>
                <c:pt idx="15">
                  <c:v>4</c:v>
                </c:pt>
                <c:pt idx="16">
                  <c:v>0</c:v>
                </c:pt>
                <c:pt idx="17">
                  <c:v>-1</c:v>
                </c:pt>
                <c:pt idx="18">
                  <c:v>-4</c:v>
                </c:pt>
              </c:numCache>
            </c:numRef>
          </c:val>
          <c:smooth val="0"/>
          <c:extLst>
            <c:ext xmlns:c16="http://schemas.microsoft.com/office/drawing/2014/chart" uri="{C3380CC4-5D6E-409C-BE32-E72D297353CC}">
              <c16:uniqueId val="{00000000-9005-47E0-A4DC-E9CC762F7DD7}"/>
            </c:ext>
          </c:extLst>
        </c:ser>
        <c:dLbls>
          <c:dLblPos val="t"/>
          <c:showLegendKey val="0"/>
          <c:showVal val="1"/>
          <c:showCatName val="0"/>
          <c:showSerName val="0"/>
          <c:showPercent val="0"/>
          <c:showBubbleSize val="0"/>
        </c:dLbls>
        <c:marker val="1"/>
        <c:smooth val="0"/>
        <c:axId val="1865452576"/>
        <c:axId val="1865449216"/>
      </c:lineChart>
      <c:catAx>
        <c:axId val="18654525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49216"/>
        <c:crosses val="autoZero"/>
        <c:auto val="1"/>
        <c:lblAlgn val="ctr"/>
        <c:lblOffset val="100"/>
        <c:noMultiLvlLbl val="0"/>
      </c:catAx>
      <c:valAx>
        <c:axId val="186544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5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Skip</a:t>
            </a:r>
            <a:r>
              <a:rPr lang="en-GB" baseline="0"/>
              <a:t> empty rows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'6. Charts'!$K$476:$K$494</c:f>
              <c:numCache>
                <c:formatCode>#,##0</c:formatCode>
                <c:ptCount val="19"/>
                <c:pt idx="0">
                  <c:v>2</c:v>
                </c:pt>
                <c:pt idx="1">
                  <c:v>-1</c:v>
                </c:pt>
                <c:pt idx="2">
                  <c:v>4</c:v>
                </c:pt>
                <c:pt idx="3">
                  <c:v>-1</c:v>
                </c:pt>
                <c:pt idx="4">
                  <c:v>4</c:v>
                </c:pt>
                <c:pt idx="5">
                  <c:v>5</c:v>
                </c:pt>
                <c:pt idx="6">
                  <c:v>5</c:v>
                </c:pt>
                <c:pt idx="7">
                  <c:v>2</c:v>
                </c:pt>
                <c:pt idx="13">
                  <c:v>-3</c:v>
                </c:pt>
                <c:pt idx="14">
                  <c:v>-2</c:v>
                </c:pt>
                <c:pt idx="15">
                  <c:v>4</c:v>
                </c:pt>
                <c:pt idx="16">
                  <c:v>0</c:v>
                </c:pt>
                <c:pt idx="17">
                  <c:v>-1</c:v>
                </c:pt>
                <c:pt idx="18">
                  <c:v>-4</c:v>
                </c:pt>
              </c:numCache>
            </c:numRef>
          </c:val>
          <c:smooth val="0"/>
          <c:extLst>
            <c:ext xmlns:c16="http://schemas.microsoft.com/office/drawing/2014/chart" uri="{C3380CC4-5D6E-409C-BE32-E72D297353CC}">
              <c16:uniqueId val="{00000000-C01B-4987-AE0C-7037815762A8}"/>
            </c:ext>
          </c:extLst>
        </c:ser>
        <c:dLbls>
          <c:showLegendKey val="0"/>
          <c:showVal val="0"/>
          <c:showCatName val="0"/>
          <c:showSerName val="0"/>
          <c:showPercent val="0"/>
          <c:showBubbleSize val="0"/>
        </c:dLbls>
        <c:marker val="1"/>
        <c:smooth val="0"/>
        <c:axId val="1865452576"/>
        <c:axId val="1865449216"/>
      </c:lineChart>
      <c:catAx>
        <c:axId val="18654525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49216"/>
        <c:crosses val="autoZero"/>
        <c:auto val="1"/>
        <c:lblAlgn val="ctr"/>
        <c:lblOffset val="100"/>
        <c:noMultiLvlLbl val="0"/>
      </c:catAx>
      <c:valAx>
        <c:axId val="186544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5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Skip</a:t>
            </a:r>
            <a:r>
              <a:rPr lang="en-GB" baseline="0"/>
              <a:t> rows with errors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'6. Charts'!$L$476:$L$494</c:f>
              <c:numCache>
                <c:formatCode>#,##0</c:formatCode>
                <c:ptCount val="19"/>
                <c:pt idx="0">
                  <c:v>2</c:v>
                </c:pt>
                <c:pt idx="1">
                  <c:v>-1</c:v>
                </c:pt>
                <c:pt idx="2">
                  <c:v>4</c:v>
                </c:pt>
                <c:pt idx="3">
                  <c:v>-1</c:v>
                </c:pt>
                <c:pt idx="4">
                  <c:v>4</c:v>
                </c:pt>
                <c:pt idx="5">
                  <c:v>5</c:v>
                </c:pt>
                <c:pt idx="6">
                  <c:v>5</c:v>
                </c:pt>
                <c:pt idx="7">
                  <c:v>2</c:v>
                </c:pt>
                <c:pt idx="8">
                  <c:v>#N/A</c:v>
                </c:pt>
                <c:pt idx="9">
                  <c:v>#N/A</c:v>
                </c:pt>
                <c:pt idx="10">
                  <c:v>#N/A</c:v>
                </c:pt>
                <c:pt idx="11">
                  <c:v>#N/A</c:v>
                </c:pt>
                <c:pt idx="12">
                  <c:v>#N/A</c:v>
                </c:pt>
                <c:pt idx="13">
                  <c:v>-3</c:v>
                </c:pt>
                <c:pt idx="14">
                  <c:v>-2</c:v>
                </c:pt>
                <c:pt idx="15">
                  <c:v>4</c:v>
                </c:pt>
                <c:pt idx="16">
                  <c:v>0</c:v>
                </c:pt>
                <c:pt idx="17">
                  <c:v>-1</c:v>
                </c:pt>
                <c:pt idx="18">
                  <c:v>-4</c:v>
                </c:pt>
              </c:numCache>
            </c:numRef>
          </c:val>
          <c:smooth val="0"/>
          <c:extLst>
            <c:ext xmlns:c16="http://schemas.microsoft.com/office/drawing/2014/chart" uri="{C3380CC4-5D6E-409C-BE32-E72D297353CC}">
              <c16:uniqueId val="{00000000-CEBA-4887-9C8B-A8C13F45D079}"/>
            </c:ext>
          </c:extLst>
        </c:ser>
        <c:dLbls>
          <c:showLegendKey val="0"/>
          <c:showVal val="0"/>
          <c:showCatName val="0"/>
          <c:showSerName val="0"/>
          <c:showPercent val="0"/>
          <c:showBubbleSize val="0"/>
        </c:dLbls>
        <c:marker val="1"/>
        <c:smooth val="0"/>
        <c:axId val="1865452576"/>
        <c:axId val="1865449216"/>
      </c:lineChart>
      <c:catAx>
        <c:axId val="18654525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49216"/>
        <c:crosses val="autoZero"/>
        <c:auto val="1"/>
        <c:lblAlgn val="ctr"/>
        <c:lblOffset val="100"/>
        <c:noMultiLvlLbl val="0"/>
      </c:catAx>
      <c:valAx>
        <c:axId val="186544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5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_xlchart.v1.31</cx:f>
      </cx:numDim>
    </cx:data>
  </cx:chartData>
  <cx:chart>
    <cx:title pos="t" align="ctr" overlay="0">
      <cx:tx>
        <cx:txData>
          <cx:v>Histogram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Histogram</a:t>
          </a:r>
        </a:p>
      </cx:txPr>
    </cx:title>
    <cx:plotArea>
      <cx:plotAreaRegion>
        <cx:series layoutId="clusteredColumn" uniqueId="{F558AB00-372F-441C-A6A5-431CACEC9CA4}">
          <cx:tx>
            <cx:txData>
              <cx:f>_xlchart.v1.30</cx:f>
              <cx:v>Data 3</cx:v>
            </cx:txData>
          </cx:tx>
          <cx:dataId val="0"/>
          <cx:layoutPr>
            <cx:binning intervalClosed="r"/>
          </cx:layoutPr>
          <cx:axisId val="1"/>
        </cx:series>
        <cx:series layoutId="paretoLine" ownerIdx="0" uniqueId="{DCEB6611-352B-4126-9241-B32FC34A0C26}">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_xlchart.v2.21</cx:f>
      </cx:numDim>
    </cx:data>
  </cx:chartData>
  <cx:chart>
    <cx:title pos="t" align="ctr" overlay="0">
      <cx:tx>
        <cx:txData>
          <cx:v>Funnel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Funnel</a:t>
          </a:r>
        </a:p>
      </cx:txPr>
    </cx:title>
    <cx:plotArea>
      <cx:plotAreaRegion>
        <cx:series layoutId="funnel" uniqueId="{330BAE36-8A10-43D8-B858-89FE0F8490F2}">
          <cx:tx>
            <cx:txData>
              <cx:f>_xlchart.v2.20</cx:f>
              <cx:v>Data 3</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_xlchart.v1.23</cx:f>
      </cx:numDim>
    </cx:data>
    <cx:data id="1">
      <cx:numDim type="val">
        <cx:f>_xlchart.v1.25</cx:f>
      </cx:numDim>
    </cx:data>
    <cx:data id="2">
      <cx:numDim type="val">
        <cx:f>_xlchart.v1.27</cx:f>
      </cx:numDim>
    </cx:data>
    <cx:data id="3">
      <cx:numDim type="val">
        <cx:f>_xlchart.v1.29</cx:f>
      </cx:numDim>
    </cx:data>
  </cx:chartData>
  <cx:chart>
    <cx:title pos="t" align="ctr" overlay="0">
      <cx:tx>
        <cx:txData>
          <cx:v>Box &amp; Whisker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Box &amp; Whisker</a:t>
          </a:r>
        </a:p>
      </cx:txPr>
    </cx:title>
    <cx:plotArea>
      <cx:plotAreaRegion>
        <cx:series layoutId="boxWhisker" uniqueId="{D65AFA21-CD5F-4652-8A42-946C96E37A59}">
          <cx:tx>
            <cx:txData>
              <cx:f>_xlchart.v1.22</cx:f>
              <cx:v>Data 1</cx:v>
            </cx:txData>
          </cx:tx>
          <cx:dataId val="0"/>
          <cx:layoutPr>
            <cx:visibility meanLine="0" meanMarker="1" nonoutliers="0" outliers="1"/>
            <cx:statistics quartileMethod="exclusive"/>
          </cx:layoutPr>
        </cx:series>
        <cx:series layoutId="boxWhisker" uniqueId="{5FC87B87-ADEA-4D53-A6AE-89073E6B5EFE}">
          <cx:tx>
            <cx:txData>
              <cx:f>_xlchart.v1.24</cx:f>
              <cx:v>Data 2</cx:v>
            </cx:txData>
          </cx:tx>
          <cx:dataId val="1"/>
          <cx:layoutPr>
            <cx:visibility meanLine="0" meanMarker="1" nonoutliers="0" outliers="1"/>
            <cx:statistics quartileMethod="exclusive"/>
          </cx:layoutPr>
        </cx:series>
        <cx:series layoutId="boxWhisker" uniqueId="{5C40956A-182E-43BD-AC57-C8CD8A57406E}">
          <cx:tx>
            <cx:txData>
              <cx:f>_xlchart.v1.26</cx:f>
              <cx:v>Data 3</cx:v>
            </cx:txData>
          </cx:tx>
          <cx:dataId val="2"/>
          <cx:layoutPr>
            <cx:visibility meanLine="0" meanMarker="1" nonoutliers="0" outliers="1"/>
            <cx:statistics quartileMethod="exclusive"/>
          </cx:layoutPr>
        </cx:series>
        <cx:series layoutId="boxWhisker" uniqueId="{0B48F426-1BD4-4B1D-AAB5-DD1271EFB389}">
          <cx:tx>
            <cx:txData>
              <cx:f>_xlchart.v1.28</cx:f>
              <cx:v>Data 4</cx:v>
            </cx:txData>
          </cx:tx>
          <cx:dataId val="3"/>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_xlchart.v1.16</cx:f>
      </cx:numDim>
    </cx:data>
  </cx:chartData>
  <cx:chart>
    <cx:title pos="t" align="ctr" overlay="0">
      <cx:tx>
        <cx:txData>
          <cx:v>Sunburst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Sunburst</a:t>
          </a:r>
        </a:p>
      </cx:txPr>
    </cx:title>
    <cx:plotArea>
      <cx:plotAreaRegion>
        <cx:series layoutId="sunburst" uniqueId="{527BBB0D-63DB-4202-9DC3-F6B906ADB344}">
          <cx:dataLabels pos="ctr">
            <cx:visibility seriesName="0" categoryName="1" value="0"/>
          </cx:dataLabels>
          <cx:dataId val="0"/>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_xlchart.v1.17</cx:f>
      </cx:strDim>
      <cx:numDim type="size">
        <cx:f>_xlchart.v1.19</cx:f>
      </cx:numDim>
    </cx:data>
  </cx:chartData>
  <cx:chart>
    <cx:title pos="t" align="ctr" overlay="0">
      <cx:tx>
        <cx:txData>
          <cx:v>Tree 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Tree Map</a:t>
          </a:r>
        </a:p>
      </cx:txPr>
    </cx:title>
    <cx:plotArea>
      <cx:plotAreaRegion>
        <cx:series layoutId="treemap" uniqueId="{7EB8801A-4C9B-43C6-9DC2-C7529D0A0899}">
          <cx:tx>
            <cx:txData>
              <cx:f>_xlchart.v1.18</cx:f>
              <cx:v>Sales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title pos="t" align="ctr" overlay="0">
      <cx:tx>
        <cx:txData>
          <cx:v>Map of Europe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Map of Europe</a:t>
          </a:r>
        </a:p>
      </cx:txPr>
    </cx:title>
    <cx:plotArea>
      <cx:plotAreaRegion>
        <cx:series layoutId="regionMap" uniqueId="{760ACC29-0A3C-43ED-9006-56325790BC49}">
          <cx:dataId val="0"/>
          <cx:layoutPr>
            <cx:geography cultureLanguage="en-US" cultureRegion="GB" attribution="Powered by Bing">
              <cx:geoCache provider="{E9337A44-BEBE-4D9F-B70C-5C5E7DAFC167}">
                <cx:binary>xHpZk564su1f6fDzxa0BDew4+zwI+IaaZ9v9QpSryhIgEIMAwa+/WT14u8v72mdHnIhb4ShHAUJS
KnPlypX811P4x5N9eRx+CY1tx388hX++M953//j11/HJvDSP4/umfBrc6L7490+u+dV9+VI+vfz6
PDwuZat/JQjHvz6Zx8G/hHf//V/wNv3iztzToy9dez29DOvNyzhZP/7g3r+99cuTm1r/OlzDm/75
7ugf7frul5fWl369W7uXf7772xPvfvn17Xu+m/MXC8vy0zOMjel7RhhjSMbo9x/87hfrWv3nbUze
Y/56Xf5xF8HtP6a+eGxg+E9X8/taHp+fh5dx/OXP/78O+9vCv14tR5f+sefUvS7xePf7nn79u03/
+7/eXIBdvrnyjdnfmuRnt95aff8yNI/t/6LdGX6PEpxIwVHy+4/4u93ReyrB6EL+afg3dv8frOff
W/7rwDe2/3r9rfWz/P+/9XfDY/v08pfn/S84PX/PSSxRQv5udfI+ZpIKLsUfZ5Ikf835h7f/fB3/
3uh/jXtj878uvzX57uZ/w+T/72D4igfZo3/MfweSb+Lhx3f/CqQ3Q3+ER3/gxfH5n+8Io9/A0+sr
/gYmD4BKT4/tLykg21+G/zrs5XH0/3wHeARHFMPxAGDFgnD+7pfl5a87MRMkATTjgr+ebOsGbwDi
8PsEiVgmQnCOMSXy3S+jm77eQgSikEgsqIRbf23wytlVu/arNf78+5d2aq5c2foRXoze/dL98djr
MgXBLImJABfCHLwICVhc9/R4A/kBnsb/x3cR0UugWCXIqGG6LuPrwj8WRa+Ez8b2sKK9CLeIqyo5
XO6a7iYpLwnVeWFIxmitoqbbUc1VlPRKDndt/0C7B7bem+UebRemv5p8n1X7pG9VFfa8SFd5zd2T
FBc6nInihuHbbz3rb1t8ct06lNr8maG+/vnfd66Bf79j678uvia4f/11/ldmfPvUqw9+fexfAP16
8l/R+o0n/ZEm/zqF/+Tm/8wHk/hHLvgVBv/ltK8D/nQ+9h5RAXgtwVMYl/Sr87H3kjNOEi4oQjFm
CMb86X0MBnFMuUA0TjDBCDDlL+8T78FbhBSUUYZhPPtPvA8c/FvnQxgRLnEMk3BwQUZhCd863yaK
pqN+K9NiLbTQauTtopWPC1RlZRzYcM4TFp5waMfjNyb6N34P8fN2ZrAKkQh4BOc0Jn+fWSxjXUXa
lOk4Nk2hhEHoc899IXJNu3XKkoUn/jhJX7+MzdQ49ePp8Zuwg51TwmNGKeA5TxB9vf9t2MVjN3a8
cikggENqq2xMU8lHt3djSO79iu1LTNaWZFG9YUCfDru9H1G8//FCXsP7m/B/XQePUUySmLOYcvLG
Dt3SLdscjVVaN0U838lilRmriyo695SAHWbHwtWPp2TfTwmwIzlBsH/wyNej+WbrM3K279eoSqtq
Y6eI1uZjTKflZDIhKn9i5+8djApCWJyQGGHKxBsHG8MS/ISqOvWbXUrVjYHVR+vnpFG+jMJ+CCXq
LsQ2os//+SZjzsG+jCcJpa9G+GaTY8vFSjpcp1FbDPyCh6qoTmiI7KAiPdb/+TYhjiF+sIhhOvbG
pN3kqVxr2qR14Ox0rkKd6xmjzOrquRlwcqxfTf3jHb6a7o3nJCIhmMcS7BqLNx4cNjRxS/sm7RBD
nxl2cHgV4MVPpvk+UIHkM0oSKSFO4u+8ZS2bKdSDTWtr2enYjM9VPPlpt4VW0RnXu2jdBlXZpW1/
AhHf+2mMBGAngxQM0CmAzn57hC0diSRdsOnCAB5UVJtRFe20PW+taYafnCAm35kTDg6mYSwG7JVv
AUFEuG57Qlw6V3H1IOaG67TBaNpjXE5jHjoe15m3xtSqmmi0qsV7L9NVhCjvXcuQaky79D9Z1vc2
EIgAShIMQCEJfhM/tUTa+WJ16WR6up6iolnT1if1cl6WJvkJFv27ySgGRESQEUT8drJtRbEJ2gIm
dgs79T0q90xTY9QYL92n/9R7X5MbjpEEZIgpgwz37eFyQLsKHMmlSzkle1ot4L1N1+ku/fE837uv
wIDyPMEYThWxNwb0BQ7AzLRLh6Wdz6s1svttWVhmt35yirNEP6EoNHdNEc3VT+b+HtsFBvcFFgmp
FZLNGwzy7ah96GCPRhDIblO5rYpsvNQpJxWpz6eOQOr58X6/RwUhSAyMEvBIfh80PZaatwVvUkO2
cBVt1j4A8srsx7N8B+scxVDwQNYCbICq6PX+N+g6iWqrNtixagccXcm4Ks6LXsYndTkVaYhld4sh
eC9/PCkG4v93xAMAEkJy+hqoMOsbquyGaI7oHKZU2sQkpwXV8mCb0Kl6NJs8RHZb9X6upV3y1k3g
UKvl+rlsm/YwonlLjhUSNT3UU4W3nxz177HxNzSGg+aJ4FRSEn/PZ6irE7/O0ZpurHN7SVA17yvO
tFGYzFKJVlSnPrTmqmh0kq7V1h7HatYQxlv9Uoqkn1MWWO9ySafyZ3H9XRAI9KoJUEJeMY7Hbww3
h3KTFW221ONKfhj83Py2JRLznK+2vN6qNkLnpY3AMYEnAg3E2xBIvm5EqBYI4gcmlvZAJjGLLNEz
ORGiWJY8Hiahs9EOYc26rQNIrhnhIR+qae7VlCxxpeAYecjWrq2f3QDOlM6knrfdGqRfdkvbkC7t
ohgIYNyt46iQDuh84UG+zA1uw2EseFXtguvtsuuIhOfIShKRE1TbE70mU7nTr7E1oEpXqjMBFpFM
/iYMuLxCtGh3pClro9AS7JPAdk3RsjQ2laExOo3BJoUqozlcuXqLJmUCladEx1Arzd0M7Mtvjaw/
VbwKFyWiwec/9ui35wKoDjw+eRVscILh99/DKNg6mGZ2bRpd2HnXtCm1eZw5Pv0EFKBieBOxcUzh
/QSKX5lQDNXwGxyswjT4ZDBSkbjk5jEiUTIoHFY3pgSVs1PbMBo1t7jMN1R1Pqs8vSrKQasCFfOo
Rj/QMx40u+Ct7tpM88RcbeO2s7U5o4FEKobCu1bLUsUp5LTiZqubrc8oBJ7JTbP5dGsbuydLQ5Qo
im3YLb78bSNzFKlmK7p0XEqeu26xeRk69LiM68GFvvqIhloPShb1clvGc6sVUC2pJFhzTE1HZjWu
eKsy3vfXr5BY7npXxIeiEN1VvxE5n5VlXaWddHzYVx4VQXlpAPv1VNATwAORmTYegiqEaLfUlvWC
8mKR4nrpBnZeW5OSOkJ8N5kIDVmRRH23j+qO741Zwy4WbHAKT3j7QHV57OKObo9w6DiNR85I1ptg
x31EaRyrETLPsItsM98hLBJVbNOYjl0t1OTX6hrPHTXKwyrWHPc84odkk9EJajaXVcyO1wVau5s+
FvUtIaZ5icdpbFRi+lEobNmIU91BiV9M+nJKup7uByuHTqFxTL4MHR4chFrEPhZzG9bU4U1qVdIg
Uk9HOqlBhOkKlUV/jdlsj6CFlWdtX7CTyNMdHxK5G2igp2B8dNGu8ZB2cVTtSzmNNI0w80Ou2z72
B4TZiynW36LKrFBKTkvycQCPujER65Sbpr5Wrlycsgumnzzq8WFJ5KZaWzywdiFXA8KjmjfyjCvd
5lUp5aLkFuEldeu87pLBJkhpkHnO14ZXp03D2E2X4GVQ26S5V3MFoghMNnwJq3AydRGQ4v0sJ1xf
2KJ7EobfltUo1TSQZd3Podmoije7WQUazUO31K3eF5qQXVd16JpUsVYVYiGLdEeVLrenYZmBj7FK
p+Ncbqqr6XQjbOdzWyf9vkiarc6glnL72FUy5eCIPgPUGllaT2DBKop4PkaRPwGp1zd5W9RFkZbl
IO6wru4MKbw+gaLFHusBUZM1bTnuSdKxKt/8aj+MwW9gyZpZQAytIY1EsU2DddNVs0Vob8OCsgnH
27meeDiBMptDcJefZmpa5arhtqDWK28X1U90Z9D2MFTsoYIqVYFVmRqi9riGIuQL5HG1AHApYpYu
41FT72w/YZZvc8KeSZVsfdo4j2020jZcdm6cC7UZvapQ0zLVbNny0oZebXUY8jnW8bXpDb+XRrq0
IJqmMzP3LWP4KBJ92/W+v57Wvnw2M2+OrbNnlR/vkpLpjDcEXJQ9dmF7rMVgKzW29fwbMJ3nJIbE
FqL58xD6+GO1bgJ8OY6PYSN1Os/NTUj0ZbS69hT1cfShKrZLFsSS1rr8hLfnoS3vpU6ezYJDusn1
ZEX6HABKKzHNufDjvt9wnyW8b/Mwxp+0TubUMnKJo7FMPet2VbvdU+FD2qBwqnk4b3VhIZO6ex1h
umdr/WVaWdZJ8ilh3WdkyvuELUxx7njaTL1MRx0eUSKmStXd+gTc7ibQ7U6iGu2iEbQPgqNasa5r
U9c2vapGfdaBf1lTqHnAN32hZWog6Z65hqoBd16ROfB0cJXODMeXNl7hdLY5pKbSZ0A9rSqsA4mn
4yRb3BpdND5e1NQsVuFYUpgBsZPADcqIXKhqGhcr00Zpr6m7aHFSKdEXi/K0E1AH0UPU1pFqaXWn
F74HmrMBOWB9HiBGptIiZTt9SyjEj2zdZb2iNPFLAyy4fJHGxEdgbkxmQ0/iUVWYPddAOjpVNVF4
9pb5j8zj9qSAGDuL3dalcVvvcFfC0kOUHKJuvqxHHKVzRMJtHA0+xU17j9b5dBPDkA/Ja4Ghyykl
rFeh247AJM63ca5V0oNOvOEus0sS55Y0pzMeP7Z1cTIOttiXoW1VFE+5j0EoApkvSRkLNNNDafJu
luOFFfZeQA+uSWOM4GAacddvW5S143RfebyLmL62wL0UKBRBWbZc15V80nydU8BXfRb1zOddZJ5G
ostsJoCGbStWJQbdpG00siwhtT6vuu6JmOGkN7U8STx1Ktj2i4wmo2Du8guUhiaNbYFyuTrz7Iut
PR0sa3agitvbmHl7vxU9HAoxCTCbaMtR13YAzthkta53W432wJj33UJWBT7xQppkA6+Dqn8a1/K8
bFp5HLr1xuD4gJf5tmm7Mz91N+0Yqo8h9NelLlkaGbGmpJNPeLU6d8bS4zYPBISltcp5WdQK90Ne
2DAo48uLDZD5ZujnG8ScUckS9hQKpGgLl7TvDfh7fO9qKCxkopXs9VVVm5M+YmdbmK+J6QHkpvmC
xPVFLbq7YpuBbYJWcqiX+YvbvFMgXp8ZjQE32vZsJhNTizZOxRH6wsekW+FQCD0taeuApi6ntRu5
cg0hKbHLmRz1vm9cq4BhiGMxhmvagvfvMBhS2dcDb/wnoecxEyHeRwA4vYpaU18gvTSKgl5Pkra9
T3zzBFWNUfEwLpGqiZuyARQ48MUtnpQW60U/rid+SLacTsknAG+WduX2WzGX5aiwhgROeQUcJdJn
uCToPA62U8SylLX9F11HIFjMXxoj+nRpwEFBwmjUWttVmbJwqp2LWQ2bjzLj1iJti2o3J2Xeo3pv
pElpvMIzvrypSTKktNVfEuLHdIkSkdZb+4zKyCtQBZKdnLyScWtUE5tBjTO9bIFPp8tS3PG2P+O2
AnGGcKeapHvUCz6ddRIu66KeDkzHOKtMt2SUQBij/nLueHlum1WkU1dcONcUOQaxwTb1Edm7QuhD
sazZOnd53OPTEplzYaocyQEyc9tO6VJESPV17zJf0Hy2/XM5mycuyqN+tbXh2x1DQ6vWLRbHhQ11
OjYDjGhAtxqIxVltOqn6je87U+6jxVY7NpAricHr0G3P4mIX+nHPafRQQAW3VFPaUHKFF3PSdHxQ
cd1loG48EzufjKU73VC0HxAxKprqRI0s2ul63c1CXoHCfI+a4rlq4x3zLAcVKY+nMndO3C6sudxG
ZtXW1J/EsGU9Xe6dLAHKIduODufxHMc7T4Z6R6W9Ai3V7sI0u5w0dEl7ajnoYWUB7BOOJGE4c201
XlTVAuSdj6o1gPe0WA5JAE8oW7o3bF6VXobbvh/zIYq6nQRtDUIOFtE4/QF5yZUI6MxG6IZocRE3
ID3xEJ1i56vcotqf8JVacKvYKGf1aRSX7d6xbUqxj9pGRTz5rQTlJy/qdXhNDSwLyXq1rtXpJtuz
mof5Ym7dk1hZlIqlqs6cBHYOzPqDbPorIZf2ctq4OTBSQhRJSOXNpgYSlQe6FtF9CRXKnZbJZz51
IB2J44z6G8mjO1ZEqR9BLAw8/lIKOUNJSqGME+I3lFSDKnnXqEX0WE10Oy8laVPoopVAt+dPoHs/
Tl4KVQyiy3kr7/iCiTKY7Fxrt33YQnUiG3pXa3lrTCRA4uivoZdzLXRwF4iwId3c9lu8RCeD70hq
+GSygYobXBdfxFgUeaO7q6gubToWwYJMK47A1/ZrxcZdEgYG/Q9mM9DPL8tiFunoeL+Dzsu166vP
9TBxtUbm0nUWqJcPNig59l9ibK+bEUMuAElJId49jIg0ab92z44u17hL4mMnV3ofYd8osniW2kKv
6YTHcDIv26UXzGfQfZx3TFdNrfq1EUqa/rFqpjNiu/MS8tlJv0VFRqEAyiB9lUiBLFifg9ttp6Gc
P/nW8rRtVoA9YCcbIOqZSEpXZA3m7aEw7inydTjxPvGpMOVl74vLdixPlnmaVNdUyb5zHpLQKqI8
ipc6xUO3KCwNSV2NK4XINuQV5UVWDTX0SKvmod/Gg5ABEA3ARaFe5GsTtWeWVZsCCSTbpvbeNdHL
xnp5hfRozpHs1xMnerJrSjjl4HCUW77oczr3O1QXR7OQPfSIok9zCxNzG+2TRkAAyaXYtza6qmS7
k+P6oGf/4JISAHLVRyGGfbRGGfJJqcZAz5wfr91ErCJdf0a3Ik/Y6tN6bRnkMuA8dWNupkTcuSrE
KduGqx6xj2ubXCYTPUwNwsdBgpkiKUNmpyWv9Hgfb9E9Lnt02kt3vUh902N300xrqeqt/ITmfk9b
CLuNxWezdSF1IzkZWHKybSGXfXce0AAVChQzkLl3xgeAKCd28TTslxBykDSOdvMY8szYXkjmCE65
bNczMrA57+fkWDbFNY5bnc4i1CCeFMeka3a0WR4a28hMW5wHDPVtqCUUzfiL78Jr6HZYGWh158KK
LlEWQ49NDQVBUL66mUooV0ntsr5aFr6LlmGY0potyT3Ujv42QYWxaY+iusmi0BkAlaoqOqsohoY2
s8Cnb3g5QNZefWLHA6tnc96PUX0dtOu/jG4G7IuGERhkT0t6QezgQNgqfRydFAHkn1Q7Rp5B1GEP
0dyEQ4TMcuEp136/+Ck89I65y66UqEgRLiO7K9lEroouKiB347ngR0etzT0jtcwgpGSfoXGZ8m7C
d242Ez6bmBd3vPPmioDAnE16vdxIcZfI9RqD2P85hBBnvXwEuOvSav1Mh+1yEQNVZU+qE65XC6nf
VJXdwRdW/lMAA4GHjVQlheNQ/Jr5mpFm2gmQtqIRaofKnBeRvgsxVlsL6w7B3hRQR9ttuiI6uQZN
uE3XYYE8lrDLYCyoIKurzkmI6iLVxVh8ZqaqL03V5a4SdVo5lBZbJbO1jz/3gxR5Q4rlaKFfDNDu
lhgGbSxFEfhuygZIMsOiTzZa6bzlwV26djidp/lDDd+xqLFH090gyKdWdg9ClKCJrr3JAmr2phhB
I2ldfagCi6AWKbCCptl2WiYeKgBhPpia9aBIDmg+NAAqyo7swa7S3jad/kgaiFxwEsdUDZuLI0cz
YT1VwAb7TRWu9RLEBAzFqO4Nzcw8LFmj24MY52NE+5tyopd+c2VmAilOoeX+2dWV2+tyDbemi5r5
bApT+wj1mv7ct4O8sl3d70Ip7Y3uCKi9ZUjL1UcM+gvLDYiW2arliVn4dhVm+GYtGvS6dxMHYKsw
VFiVqc5Qq9ktRPrjOISrElj+ZZsMlVMycXVetSG6d9aDCltAs+d29cN2hPQ4qAES7F3XQO1nt626
EmJaT8SWfNhQG53AlypXmlYfYjiQUxe3Ljci2R4i3oBHAIEb83GU6N46qPInU5t8Mb65TzYQFXjZ
sFusNWyBY7MpaAEeg++TLDC+XHVbYp4kfAzzxGY2P0yWUWV9/NBjJE9N2djLSkfAz1mozq0sZqAU
0FlXZYVU1YegEgEt5qWZ0tAxpuQy5shgaOyP4akS4zkcC3TVluERWs82G1h3vfRueewMKFIQOrsm
JD3ob7E5hZZJmw991xzn1k9H6WxzKOeiO7iOzfc0rEWVDgn/SLAneQ/kOgVKhXdynYEmklDtkHPJ
NWhKMkXTJHHqq6K+7aCw2Nu1fpKug68gIvj6oYqcVlzU952JsnrbRN6HTqd9A9StNJRm1q1jtYf3
cnerB9REWUP4cO67DaQqSmd0H7MCsgDpyk7ppPoE6sgKSgpHIYWvAPApKQPaJ5KAcBatU2r8dLVS
oM6WcXuc66LNPEOJVf0Q5t2MuvGwdkxkoVnwAGBuo6NbeXUxNLw7KXUcLcqZ1e0cpxq+7tH6VqCa
nbfVdBY1pMk4ZfaT9aX51I4VCwqPywq9NoEeiamHXQKK8YtMEFgE0zCrSZfDo6x7qMOgd26NqoYR
P3Wv6jLUSX2VuWICRgKxoeM0EFOBw60skWoFzge0MKwdp7tum2YQjaTwzgJ2xZG4dqhs20RNMTjc
YR0GUCgiUKohfhc2pdpXyeOG5pWDtLiZBJi11F1xgk05uONceNOCMg167gn2uIxfvF9miE4/DYXi
zdYOv1XwzuUjTQYAfVx7qj8npC3DGdo8L4/gg6POEbQSHsbG/96JgG/68mmE8FEVkR1KIRtA/3EF
du+BUyO87/uCsiMOgjsod7gub1ET88+60fyqh0JfH8TvLYShr8fqCDR0jYE5tONhQmUnr+0MbO4k
TmZBd4Uf6+XgfOM/OG6xSduaw4UwB1p5tQb4pgAEEBFVJ4aEdUjNOlFq0pGEOJwsw2qbC9rH4cqu
UzXs6ITowcwzT9KBmQLqKNAaQcMemhV9bvoGpU2DpHvxJBrjy3XmcZNXrIkZtMcY0lmvlyjshuCm
/gBSfDOnwXAU5dCwbBIFKSoChWfukvqEloWXeQVKajZEJIMye4+36HqNA6iwsv/cCLGnZNknS3cT
lnr56CqQnBP8FC0ViIPj5VB3u3kYOWjBHcBJgvvDDLLy9QYSayZHg0/htD8ZoK9mnl6kR1tei2X7
NNoyiyUokOsoHbAd0OygsgKdIV8XqHB8WHi2ViC0vBbvZhe7TkBJ+dtglkGniEfQKtIj3kH1XjRq
plud6uG5TORhjpbfsPb8wvEZqToJOz3r/hKGxLcgk9d3NJnYA8JddZhY+Cx9DDnabOLQA63O582a
SdmeiBMHa1VVLSQcMciT+TjQFnS6ek4Su4+Rd/x6sVaKrEpmAIIw8HU/xrM0qu3WACHC+4aeTQK1
n3W86D6tq3KOT/pxaShoDK8t1h1eSLUcqrGE4j1m9SCz1ngoAJygUIZAfThNoOrYZO+cXOOzsq9W
l/edZElqhq5sc7r0XJy2ZTRa5VrSNjtwGDnu6DwHdCqaMWKXxTQLfiCujEQeR/BZQdFurD7Hs0b8
dOkQdUc43nI74JmQLSuCh3UL0QNYwhcq0HmFLzj0snO9J/U1UOOg77xdLT2rAwIo4HMEv1cAIKkQ
conPaDciDUylOBvipPC70Cb/l51za7IT17b0L6ICJITQK7DueU+n0/YL4St3JCQESL/+jLVr7z62
y23H6X7qiH6pcEVGJmuBkOYc4xvT1PuaxSrE7pJWaSZ1J+nNEHlHnzu66ugiZmb6Y9j0fj2mA+vU
lP29TSxpa4cPS5JMzUNsaDvcdhOsnCJcrVFtRlVlfCaSIQxuRaJIc8RfLiFW6Lq/RHPKoGLq6b6K
NVopwjt3ZnLAkRd35h5r2M97vdA52FHACetbK0axo3pTTSaC2hyHAO1e30PGeOhCpY9gx9arz/N2
mk2UZqUyotArHMsKBeadr8bmBP/tm+D+FUcmuilU2pdJU3ePfXu+NHFyGZe0Pw61SA5AFK60xwrd
hrL5MBDpd7WvZW4CHefRJFD7jPF6qk0AdPRquLsNXlbOEku/2LQN9vDJy3flSEx0ldPqd4Np6nVv
VtA66Oa1bo+QnlFELnp2N6NWNaq3BmuBGTpdek4h+tR9Iu6GzW1H0qQG3ZVoGfqNsdyVsnNtgbWM
En0wo3lztVL2VuAQ3nQnsMxpOn6egs7trGY3Vdl1n7Yqco9BJMjjYpq1Oaxpp3Me+Orkw/DZkhGc
DwubPZCMBIJNzxtoXQbQ6iTMPqgsOTfYIqbzhs7rQGz/ta+CtuhEOT0TTdC+QIiL8U2cX9Hn6Q8C
D+25hmXyoWvGtQh7YYp5jMe856yPslAGuKeuUShbHaQsr8P46A1tzmNUbg8cLekDx7rLBaGv8ehJ
k8OdJZ96qAUwy/hMCrga7qWDufq27qh87CL+jq4QcNZoSHfDtpSPZWnVtutS9xBEih2oBg7Hyahu
U605RPo5ve+EXUvIdnhOoes7OJKmW05azP0hTTrxaUVK5KCWVd5E62juaBnajEOZRJvNSJbU191u
qt9GYUkvXNlPuiP9DijhiTflduO2KSlwYsx3Yub0DKRIwVXS6iNvuqYsoom4XafHqzba0kXu4SDS
Xc+msikYp/EnG9SVzQMxTtHOdANWWLcm7uPEu3bN2jIg6O/b5kHArHtXx25+t/YpjgkaPgb4S7c0
8sm9pXCDUFuM/hzCLRaFg012t6IK2ZtgXL7EbDKPo6/NQ6DtuY049KEoWfkRygGsOaYpBKGoZXGd
d9LT9/Xk02x26bSj0o13Jq7Co+bw/rMUdKPPI9t2h6EN+10COKfCxuPrD3WZpPuglmGZzfCyYbsq
hX01tYC31AZ9uCYzODNy8TW0wUgkBHrIQNZ8VSwMilbFMZCAWjxbbWnhAGse4D8KeHh1SQ51T9CX
86AP82od/d7H4XRbBYv+xF1L79pu+WrDEZi2mfwJ7UqVc1nOTUGHIDyNg9xOUwLRjHWCXaIGclXp
Q3aIp7UJstmX8eNG+PpeGUVEUS6TuyUiZE9jtaLo0KrfeT+mdxBp0qyT5XFh/ogerdmb0HaZCrcn
ICDBG5eM86OGEYaitZF7LH3QECJs91Pf0FcTMXRnYcnoqWJYhNm2Sf5UNjD8U9n2J6EXcVStLY+2
5RDhGlG0aSjPeFtP3Vj794DnIGRXkBfDNtGPQVyaokZFj67VtN2zpWv0bmWkumNds+BYJjW0moTc
k0287ZKrhBoNQ3uwLGqKUAIlAH1X56ITA9o2Q45d4+mhrDv74JXtUWH0JZZ+Lb7StTRfhm782rfj
muvJ2o9LS/jdJOPJZMoCOOXG4jqw8eBtb3kIBzxPV1Kjpmn7s+Nmn/bRksHL3sdTcNzKcTmxpPIQ
RNmZkHXKKW9ULqR7b0jb7sCNvAxD95nNoEpkMKCpVXHGxvBGMjHFqBSAB5YkQDk0JV0LDmiY98Fw
LW2CoC9GN6oc2sl206HjNpnf6ieo3eNlC/unBUXzkg5NUkiDJiKwcCApKNuz3EKsU+bQDVdD4OqL
0VOzF8tSXYB1zHgQ2A7FKnD2DtCp+sU/+3CVRYf9c7esVZT3qwE5FYpdZeM3PGw/DcDD9iyNqgIe
4A5lV/QyR90Ranp7HoT7oExkdinuzddA4ihq6NrEeULdi0/VGmWqWUEIDsa7IWu2tD4HfhCv5VAO
ECW5a/AbUYttchlMW6QlegK74hDLJjYGlz5AxyyXNXizGTWfiV3dpcLJnOnadkcBxQw6+2buzZRC
NOK9zuEM15e042Neg8u8S3sFmRzKskN05wDdEP0Hmq18TClAP7GEeTsN6k0TBqCTsJ/uxn5ge4kD
cB970u5cMPBCQV+5raIEcm84QPZrIpNHhovLPGocgKxiT2HJ3Y13dnphJfrTAWrkuyAJTs4FZ+ls
SIqllfIGQnUezvpDY9nwYC0Tl6QdmjNCINFx0oF5KdM4uugpTG9kNU1ftn4JL00wVZcoGpespI0F
ntyG9wC6gnKHrQzGApyxxxWiRc7mdjgqB2ZQpNdyUfoGLyjtdq4fxZ6QgM2wJtj8YJMxuEsbOBMV
evo3KlDpQwnAdNdH0LtI5TefL66XTyFRH1NqxhvT4yTcG7fII1cy2TWxa/N5c/MnMcPU78FQZ+jr
sDMP5JJs6LpuHaTsp2qtYQb7oZqifIGcew4WyInXavF1UXLZlVPUFWXItwPkkOjM1z7I6hLfYNTg
rdoV6uW+6405J9smVKadS8+ym5urry0/OOw02xFvtXjWsuurvFXDVtTcGAfzMpBHt0XYA5p+3jnQ
aceBu3kHFAFvW8O0fi01qkvIGqnQxRIuncmgzoWXTQfxuYJcQnJqJ/4SVyT8VqdOHGeNcmxxdRy+
KJaYxzWOg5exseRWj1yf/exf2ykdbjd0V4+0Zfo8lIl8CgY31JmqBnpK+GQ1pHLih3yFB1bQcUE/
H27uFvJ9v2PoCcNsgVQvT30yYpdPliqCRl3pJS6CudJ5ksyhzSVT42dHx9ruBPHlSz3N3TfalQK2
SYCzIE3hJsxziGVjxNJiyTcyFJmSTfuGKMfiDBAcSYtGTgzlb2QuszHdARsayrWeeSBfaBlXEL48
2pvZc6gIHtxmAhW5c1Y+BDUahTfDit0vcQDhoI7Q9H5SNW/By0Q6ehsDo0Dd1CbVOR3HMkczntAj
GSEvhGpo5myrJWyNeFuYzOpFRS6PYlt9Ded2gRXKQWWpujsTOkafqFmn8yw89gdGNzgV1N8oAZuv
6pfxVq5B+Uq8/1Rv0G8Yg93dMexja9PcdB3f7ugWdnuuglXB/bs2yLH8EqfraQ5VmU2ivZXcvm+w
yCEUbg3JG1kv4JBYCnEn7tDTKDUMOSCr8Z4BkKp2YM6w66HQPkZlMGUNacDBWNpOeUVKeYiqYWqy
xA0S3ykJOIijNM6WhH+GQtfs9TQeDGPrrrajue3bRee670I4VEgkgMBOsjAC0NJqJva108OJoF/I
6ZZ+FrwC1wB28jBM0fzaBlF1ErKsTNHPkz5aQia8QGAf0OcGmZu26gH3G9gQ8LtLt7UbUNNVLnuP
3M2+qx0EYo+HFNSzKjyciuAiQj+8WSTaziIZ1jTCD8dbH0f+IRWKQnl3VeDP2Fdhw3KYxCieIHXB
Ao1h+GQDFl+625q5PZlqRHmOn4U7g00aPvEwhXlvQaWgF6mOS0KpLli4LrsKLMkeyl5g83GNn1Y4
iXvECuAB8RjM1cY+LJSxAIf/dfURxo9oruZ3fmzWY0RVj8IhHddsNIF6Ry2DXalkzN9pFgAN5NoN
t3PJ2ssabvgcqPdK+FpolSsbLkWwhA+429icjWzxDEfpTw201T8yloA1vyOAQVgCzEmQeuYUsUEg
3/j5d0y0RHowXrT8Nz3vU+02WPJJ0mYQ38HxxCgRsGddG86Zlye3pvNHePIcXu9sNPIwAg3wcS3L
Hit2G8GzYjfcHgRMR1Rj7TZ2mZ+pJYXq5zr4OswOBkxn5bD+jQv/O9v58Pdn/juj+H3O7vvY3f9V
gO+HP3T4Kq85WPP/QMqPIGDyv3Lw1xDhD0HTDK1kY4cfMqbXgPW/IqbJXzHiGQkaAtTKCKv8J2BK
/mJxHAG6hjAJ8yqiwHL/k/GL/kLkL4kEpFGKbA0n/53xE3/FAjQRgoEEfHSINOF/so0/PD1MC/j3
/3+fMP2J/A0BjsEqjgUjyANQhAN+XJdh3G49xGtsfCgbYdKNxSDtq+3jS4m2f0+8+Xv94LH++oLX
+/b9m/D3FZG2AKIfItzxc+aikZVc2xTpADuRlzjqPja1g6zevjGlfSbCPqbKqqxc6SuUts8h1U9t
oz65AYW6DuheWxCkjN1085gnk3knqet3ZkmqXWzSu++e4S9uTip+/rARQgwkBR79r+QPLPYfb491
VZmEZUkyXa0+pwPENZNM3V3dCFAVeKbjPonr9jinM3mjcVY8dk130DWOztb7F3CF8KSqUaOZKRso
ctpkdBNBhqgf+DBav2cNUKuWli6HqEI/pFY86pgWNPEyo7YmZ5/eV1A1dlNHIc1sMZweDqrFVsvL
OK4UPfjgIIs1RwKSASVV5T5tZL7blhjoxuABKgaRLmgEPo/oFo1WsD0RreLcajqhCDbYSchW3awK
HFFooa9rLj8MPkW60F9bHlMD4RwTkxY1a6PHaV6Cx6qskv1VP9+LUcGevtLCk+cx9vdwJ4L5jkfo
pcthqpdibB39WnYBopoybve2CrZiRvwkYzYAtRNMecqbZ5Pqfl8P42s9x+KEhOs7H6tnZnQmq2jO
wW505y5u2kNrQSdxyOs3YSoQ2ljLt9FWLVm4iQ07I25QKCpdxCkJDlY3Cs4O+s1qCc5imV4qN4RP
flHrbvDLuIuQGbkVLjy3bTe+iti2h9LRA56hgKAr7X0VTjX6pJGBcotPQ91+Qb89PPSibG7QzNmo
GAWtD00Dhw79SHdoVXNY3ErhW8HAPzFRpg3S12V8SV3PMwiU9fNERrKTpdH5BHBpBqGLCqKs8xlR
ELyF8UvTDYfWdeIkPPkI+28ooms/ChoAECpU2l3U0wfmG72zsx/BE8IBbmot71igcB53cgIqrzz+
BYajhv542zvgnWNafmuTuvpSbeyjcXMPOKwf2vzaGx5VMshHXw4tWmmwrkB1YHykEXx4WM95FcUt
0LS6Qi/IP4/cNx9JGrxdQfHdU9N0N76G0U9UQC91VH3kXvbvpsSEzwB9wBmFPOqyiqHdV7SKb6GP
BDuclx7caluv+cjVeNaluoO7rz5MW8mP0HggEabVUJiBd6fgKjIELuqAjjbo4FUCNzqib+aGt7g5
bDgNqMFzNcn2rixnhbZBsE+88f0umBysaLvpfbzVDyg55x1nI7acQYgj9r/qZYL8IUPf4iWt+j3E
zmMPiQRaKArmBJawjmZTlFcRparqo9bDlZ5Yy6c+Jt0ds1DtyBjLuyAU/r27qjD2qsf0LtK7Vdfo
dN1SlwdwD1AZxCO0UHuB2q+zgbn1NhYOqF9ZAxYgvDwgD0toRgP7qd/YfRLpMVe93oUz9LeSuNtm
RUfi6JeYmvhGjCs/GJnaHetCbzLSzvPjMpQ0p6C3qIZ9FiZQfFagTRMICQKjt4kb1AXb9GXZAgHX
I07el6V5O0CBP7p6bIqqAZRhmGoSCFWlfBuP9qMng4JrlsZHrpPXlpL2ZarQASEaAELPRNUttiGo
n+jiUBun4w5SEblHFBHJOunIQ+q39IMLRkQCsFYf1aTUDfyH/oFA94LQVU95mTC3I00HKrsZo5yU
6mO7DuYgWzl/K2ugWY3j1f3VBcjihgPzI7N8h4bjgxuAjA52fpodXLnasPgysAWxiSC8n6v1TUDi
142Fb1lnhwR0oKqQ25jqYxdrkuSkXaInQ8PtzHoSnVjaopjGJvkVsXZ+wXyG8qii0q5QVCONxJMa
BMCxtopOAzyOXC+2ufAZmYaCg4g9Uq7wXpthiYH9TPQYwt09TCjUSTaVXcMy6SZ1ryYGEpFukyrk
pOx7PiOStO9LG/tsqqFugMWcwzfSyQ13Vo/fYmWHo58J3YVRydsbXkUH1ImQTJr+C5kdKRowQJdY
rfK4ibhD8oOXHLnfSu5pABkXtlNNAAYjwTPA0jhXTEc58Ky5KGXFblPaqkekCrr7uO/dsYIle6og
BCHTYMln3zTTtmOpLd8YbpF3t/UCZcap9a6ctvo8ezM+Vq2NdljWpygV0LA7A6A7ZNrtg1D6a+SB
7KsEAvJuYJwVQIiD3Vwz8SB1OV3vWH+2cO5GJRiysizJqJDpfqlJe9spUX6DVLc86DJZxT4aSebx
1uxDG/gFq35dEVxyXYXcg63Bv/pe3Niy/rYGRryV2ohdgHP+47xweSE2Rhs4Bd5eCOK66k7ZRB0A
eQ4Fl9HQF35YhnvVlvGnwJkQqsvqj1u8PJNpLM+14/ZSIeq9U03rd0rYr/VQ9XdmG+Qu4Sua5X49
a27AatBufjAkFnvDhlcNiSLbElDHOA1kfXTNCCG471UxbingiBC+qxuXBNuEW8eMIcfyKAMy77ot
gBbdpenVGJuuzzDY3jNACD0LfW57sRfDdF8b39x16zpfCYGbFCfQLaoDhN42NoxZD1artTjjil73
67PimAoSzM3aFenizV0puqd5gOqJF6K8CWZBXylqDxjtIxredIqPzrLjsHS6ztt5dfVuBhV1lCtP
b6aeRqcujspvlm/I4uDEuASmRmMcw/CSpP3WGHQoDUvkZYp68bYxWKTYsuHr14VBoEOfkShbtqcm
1OCW0yqczykFqe3mDSJ4SYF7YbxWvPe+bgtvkKCAADtlJPkGdgtIUy292CPo+eCYGeGMQpuDolLd
6jpSkPshh5tkWaCttg76l8WppliMIylhdytiCIDp0DaC1CmPk5fyiDRzeam3Ut9Uy9a+VkHj9wYg
SN7h+LvoZZvBQgq77dNJt2fwOOpT3DflZe0S8zXYrq0j5LgrhSvX27VyyYGyWj/Fyfo4rwA/x7F6
Xk00nhaEJ3K4AIALoQLlEtHPDMGPsKAdmY8ptp+drTCdhbeyvQBKpPfpmiZ5OtP4Jk5Scx6Fmw+e
8YemjETebzJv47T7yuKp3LOgC9Gfj8cupc3eXuOu1dyLHN4XXsDIyQJiu4MGNY3HpW2iu2jrX7uF
NTd1jHDeiLjROjCTY3sZz/FCvoxylWcTzwhFD/StWpb5sVr8sUeSKZeh/qKruZBeR1m5rHC5ww4l
fN0+8mABF6MW+2ivWbCM+jS9w0navl0sDk9DK4ndcZouM3SjNlyrm1G0ydeSGnVrNk3eNk0lXtMZ
Oj5rnch9tYJ/VO2YPNSQkh5W6jqoDNVWFz7hcBXlahdotK26MAHoHHrXO64h8xmyAqFNIcsQ2uu7
yFUoCoO+xd4toX4Ob2ITIOwYwWJErBA+nIWsH7jmGVm+26mHyceI3s3wb24ode9aUydwiUR/aiO7
7KVO0NmHYGUVf8ZO1+QDb8SOcZxkS91+U9r6Ap3el84mH4dyfuOkevTox277Lv2sEvrRrUn9RsKQ
BW1Jbrt0eKNQaJ+Hpn7Xx9uc5PhkBVSmDs41IHAR9Kgm4S9/Wo2p9t20rKcW8bycRUrBcmb2CDSD
7QfnhkIi05NzcEr3fvDQSsd0X9VzC1gOkE1YRbhf8QOeJNBjpyFEhuoJUGidg5wN72OrVBbL8kuQ
NP8a0QFxGOWmA26/7xzQMRAjbT7hAMtaBNCKipYQcUej3mAkQg2muwwOLOn2UNAzVk3LCYnD4RZi
53CqkAlDLg95WmqGGMVoSmCb9nHWxnWMAOjS58TPxyri675V8CH6amBP66a+INFPstLNCARRRBQR
p842Bjp2Teh56efwLhJILI1wnHe84h8g/ZnjppvtPobe3q79vK/a1F9GFdshGwNd37ieFRCf0HQZ
jSheHxSV49FjL7FHyiQueBzEN0rT4aFuerg5MwEL1vbz2Wzcwjbsevk6myCE0OpBNmzpFzHLV9+P
n8LJI9swocnJKB+2bCXh8qnqrrUvp/0zmSvETfuUYKFipM5xVDq1J0isMeJcxBYO81CgZ2MGSzay
yh7tJI7CBkcYRJJmPLSjzYZ2VVh6aDN9OSP2EbIdTHRsx41MmtwjhobIV+AKbcL3k/m2Vtt2Wga4
NvBntvfrughQn0R8xjAbX8xaIk2JCikTBuGsKKq2/dbJ4dCw+MkMyZwjxfoIC//TqMNnqE3VOZZ4
GxqPVnJ2/Lmp2/mIwV3Ruw28wGFCWw4H8GUWIHVW1nwY+glE+HWn46Lvs7ott4MQ3O6GIU4RnRHo
aDOU+vJGDNEpdfAg4dWNCDvJL8b64bmrSIeEHwsPcdXd93j5CpwsHlgIxseA5Coz3eCTTRaks2nf
Jw5IaOX2YyTv0bCTJ4RZD2vSjz4DufDEJEcUCibbe0k6dMoYkXCwZVcfQoz5ged9bTc3hq8mogph
GfRL+HzLHr4ZblOKF1Yp3RakmQe8ePgCO121ZzV0wx4LaJcAnD2IDSVwuN2sBFkSg148x2gt4bru
dh2vgSGBUGRCkhfJ+2NczXjoZeJvGo/u1YcCpjX2RcwBip+prIO3qLntzUITdxrGofzMN/TsSdrb
Mw1Z4VVnXnVnkV0G8aWA/uVcgHuV6NGLgK3qDLQZVEpMVfhimkUdyh7si4fGcZqXyOy5Bi7bo5f9
6qlTnz2AhL1uJ/e3IPr/ZcRfzhL879lf10E8/3sZcWdmOTYfv5cRr7/wt4xI0r9IFIYkRGlCwcdH
EKOQQMQMOxL9xXksMMYE6hrDHBiMEviPkCj+AsKQxJgLCckNv/PfQiLjfwEUxQyxlBBMIAtj/j8R
Ev8x4yLkBAMmcX1GMOGCi5/GFXiiyKybFooIWtgLhja9U2gRD0Hk2c3snTg3CF5eBMZ3HNKoBxcI
Yb7LOO8nuDKei4IBHT2jPGpfvruFv1Dxfh60gg+GiQYEHwyDzK5DxX7U8DjGZWHLj8MCJ+B0AR6M
QouYFR+002XOAmyDv7/gz1NWMJcohKKBcX0sYozHP2n9cbjqBoIVKbgqbR7qVJ81Dea3v7/Kz+Mh
8DYTHoYsheICrSTGg/3eUfCT2UCag/nz6UYPW+npDPKwCSE3UfKCHn16LXuwTCxU9vn3l/7HrBUk
FDEYDTNrKMEUJoijP167TOkEj2irdtQn3YdqkP3ZjBCc4pgtSBT2dDwMc7LuBQzuLDDpOCP5bclh
iMMEsViT3M90TP8wNCi6XvU7jwVj2jAwDxQ+xSgfDL4i1wkx33ksXMWVoGVVgkGkwR4WF6jMSJoZ
Jzz0HiV8/dRu630zWXNRjmMQgIvqYwLQ87UbOyzASIBJGsp/pbMwK+QPN+36QP7x8RKMgBF4UyLy
rxlT33281PPUV3osi63CvIS5E7QI2xhwu7Tbkbsueo2HQMI3hFWLuVLtnAvQmIcSXeNFgb39w+iu
n5V/3C2GOW8iwrvKMDzqp7uV+GRD+abrHWtTvIiIImy7eUEiIolk8mFIr3HCIWR/GoXz89t4vSyP
sBNdJwQlWBA/PiTCp75t6qnZYXwXy9t+oYV1W/+49RRpU63dmkOFqjG8w0e3mqXrAQBEWfhSRigD
hDmAdu92yCKpc1DWwUu4bv4PT+oXdwbLG8NQCFyRkF4Nm+/X0WYMm0ifNLuSJ/xRz5h2oEPgdHEF
3mBsFoPwwCD+8Dh+3jSQT6J4keEIwdUJsYn+eFFiFbVQldud5GV1AHaxoLfr5R+mJP3iKkAcicCQ
Fwyr5eynWT9jEmjRIHe72zpT1lkytwk0ezo8/X6t/+MORnBhMQQVA9owWBUP/Mcvg36Csa5tk6LD
DKFbSZDiH5Oyt1ln5/LgbZMc2mBIHn5/1eQfWyIuizMQXy2OKIam/PTt5ngUDHPJMCQHsy5KuMQs
QBAS1Oseqlu9R0LCIANBoZwUa6Ad0uajHEyu/QqKL00DLYsA5+WSRULPz10AKe4ArJvnCM63LDdX
ljzTMeasaIxswgzW2G9PbcuqGywlet+uV3+EUYMk7wxGB5nJ0txUnkJPby1zKLeHsLyt01JuB4st
4mDClsg73EakX5alxgs4UrWfAgxoyPRGJPwaYdCiJEjFvK3VltyFYMTGqywmz1gnbZVtXKwmRwaG
QqJoEL7KiOU9/JQGxXsaTQAGRhCny6knSzI+bsAXoPXLPj3QyLEGQe6l/zAzdk0kwkp7uwkCKivt
gmABEoDDIweMB+8qwsSa6QA2sMsSO50MNLnnFR3n2z5ued5AfjfF7x/nrxYRdid4b3gxYKVdn/Z3
+2VvWsTiYKcWnCBFIxvMXMDQcYylmuxQUN8vd3UPqfn3F/3HGXJdQrBVSUzxt1L6064Ig72ytFIQ
KKlOdtC9xW4alSpIACfv95f6xfdDiYCLYapeREn002pF396hkhK4FF6IS+R0uC+hSOaYbhGfscTd
PkmC/g/7768uGmF4LCxnGNJp+PNNraql3HyHjgmo/W3ntvuy5qBwolIXIUe5ksw6/J/f0wRjZFEX
ojCMxM/TNmVMMZ/AxfiiTRPvBR44hhggNEunih9/f0//cbpE2LgpKpKE4oqoi35cMyjm7LJhKmrB
/XVkhpPTca1UAt50ZXcYLWH+cL1/PaQfDnVQUhHHuFRcD2U2+2m9ABSfpO1qXqAxRr0zpOIbMGNB
8yS+Ok7paNdDKHXki0FP/koKbuqAABZkC69SeUjWbkECrdXhw1RFqi7i0biTGQPovb+/Nb9Y2dBN
E6AnmJGHE/h6NHz3OpUYarEGs+TFOI2Qx22DNLgqwzxRZvs/uBRKU9jpsHlxgv60spdlMZgoXfEi
gqObrWnQnDDXKEV7HG1/eAC/WM8pZ9e3FbO4seX/VNy7mpi0XWBdG8/KGxhvUJRQKEL5NU2SrTMU
PhrT5Q9X/cW9FOAzRCgAaTD858d7KYVotjrwvLC8G3ddHTe5JsAObbWRw+8f2z9XNJoJyuPriPII
KMhPozDrzfPegW8okJeIizYugQJ4JLTjtg8LBNn6299f7/rRf1zQNERJGNMkYjhFw58WdFnTbkAe
BmxxMjHQ926+EThY/7BCfvWtMHcTIz6vOzvAmB9v4NTMASYQYIJNk0DVDQDrHuhQ2zsIexgp0U1/
GkmJP/nP74Vd4To3G8+LoPD98YqYviXQkkFEnZE4okWL8T1zPkbxAj9p3uDpjZLWZWFcraDpTQAn
7DonSAmbyC3wNVT7xDFsRu9MmoR9sSUJhpw3SzsWLqBll6+IRCBgv6F6WCYMPRLAQd+ggIe6WULC
+ox5K+5Qg4/+ZoZG3ld27sl+4hYHNjiQ1QI7xrmamZT9F3XntSM3sm7pFxoOyCCD5jaZvnypjKQb
QiVDBr0JmuDTz0ftGZzdapzeOJcDNBrohrqzKmniN2t9K00PQdGp+2Wt+q8LdDF7bwUeDPm2h3VT
Yzj50uXL4u88Ox03/FjPEqppFCKTNi3VbsZx95E0VF0xjvAAjfKadzf0a/Z3r2+XJebSV68DsLXX
gqv9C3Jucp+IBVDBNK1weMIeEw1uc5AdMW4pxKvhwP4f+snSfMjG08k1CrD68iUm5lFaCr2155dl
chwKZYodctf+HtTSNlC2xsDZ6WJlZsrGKbhxx4JFWLSky0+hu4DWP/Wrb7jhu+qwgDxlauxN72Vh
TMoUdnbS27F0WYBFqN0+kCT5+EXbkDlt568Fmsq51u/ZFNTtUa8uLd3SiKo8FqobcHlkZi3gNLHu
P+KkxPjND8ULaenL6vtqBuu5LaIcy2qHzo7RZMFXOPbG945JmfJvqATl96pnkeiLbavBqiEFEaPm
9BkDG1BC0c3tQ+9b7RsVm8Yckii57tSE1WI3VJ1gmVtZQ7qbCwudpGIbtsTgbia+l3XQ1m7SCxQS
363tANv2koyX0Q81PuzKpwFCpz3t3M7UVy2gZ+FyDKNndkVddOoWf76xnRICVeV4zPjaKAJbDXxi
ULir6+SGK7g4MUUnMD0DQgbcTWqh4uXa8gfZZas1zhN3vB/DRo/sE9j45JhdWyTBLBvv5rBqLpas
sx+iERG6Fmxxl1Xj7DkUeVdfACPVXTy5dvo0+at44YNs8CpD37zNEL6eua8VioWsnX52DZCtU9Fs
vCyBuKTdyTDpHvxeBeV/qDS2l+EfLy9GPDYwSwYJIWjdvz7kapFO6TjOBlbEHNPVfoMQqBZ3o2/N
B0qOjb00z3sApTjmS+/yz6/Ov49FKOQieJ2A8zGxUrT+9eNr4XQdez9EmEhqa/SqIC77ElNkaJw2
rpjDH0evhYrqW/UenQBwD68JHgQXfB/Kcb5tHdDR//xD/f2o4nFGP7hVKFRhf8rttFWFMz4KH6IE
TQV6xOLRCrsImUFUPv3zR/1tBEgZS8m1/fIR0I6/iQkjvJOjF2h3PyVufTN62YpBsUNFOPXLJ+Mv
w7eMlRhmiMnbOb1CACBlgyk9QNPqI4ACWsCLCpDU8Z9/sL8XCZ5kLrp1vYCXfLGdDf9W+ihwLoOT
1+jb8NPd2lAnseL7rXVsQszcSeHXb5ae5v9wM/4e6Pz1bkTB6fKhvLOQfv55yNnR2K/FhBO5LBDB
t4oXfgpy5hyqEUK6y7HiW0XwGCgN8AfaJ54uWw1frXatPg+axcA/fwsMwv58PJgdB0QASdt1GAf/
2ZY7/bJYLiInKohpvHoZYL1j4dMNwkJJIBzgQ1Di1AfjeJ+mOa0Igq4KnyoV1TXlHv4xGcancbTW
wWUpHHrDqszQmrgQZuxD11Nfxgk+5PZCp8y7ro6S5Zq2YbShUboSmm/qyrditO2zwN8uOH/ByGAP
cvqzyLO03XFKlg0gDIdjNEF8ykrPSP8dl03NqtIYZyD/QLgJD9Oo7ku2lOBAhYMcAhQvyFcmaP53
CAweB4sz6AXJXtlCrZI98Cyvc8UOkbilwJPO6cUZtfrsomrXsTunzYDFvgrB60k1VN+7tPHKQ4V7
J7yWDKg415QVOsMSB4sDKePoqkA8SMzKr/46YwR2Vrd7GHnvunGifSc9ermx171iPYNqhgnCYRRL
5ZxnlIls2aR9V7G5qh8n3imYIZbAdeIms8u3DltknC0QrjdYInOurB2Get/hIXBZaOsujRfWujLG
nqIfl0bLH3kT1taJc7GsflaTsfWLWuFsva6oxsW5A/tX7VLT5zb+lzbAp6OS4bLOSXePs8qfbrsg
j/BtuglwUoOSwENXiaHgZDJdqGMg8ds8iSIcsUd6brcfe/A3u236rGL0b10bN+WQPaipw7vQ6nx+
AdUsmSRm7B64mqnf7c3YQ4trgP90e2Entjj2rk1QWpLMTxzU6feAm0gBA1USHwe78V0U1UbsGg95
hoSUTIWW2cMXesmRmVXeQ/TIGtUlbAhn3CT+APFh71UFU4JIKzw+xWB5h7nL9MtAcgl36WLKkzZN
OBxgS0Na6uag3cNyXI4tbqg8xjaP58AesCKjcFlG+7jW3KY7NRRomTJvCh5yAxwMd0nOihJZQcaS
WejhjaphwJucR7/N6QpF7srT5xybNm2+doXTID1Zcn3tGTLlaJtnSaVnTe3P2WxiILjA4xxXNa4P
xJhEKezKsS/7U1dm8jZfe2gftkpDgeBv+8jAsM6uFw/UwOR6DNyVMcmpxS0KIHgFnrXnflza22VI
7NfMqbkXmZtbH/6cByjYogqFTA9brjg3rOg/p3KZz1aFa+ygkmhhLYu8FHeF8b/g2THYS8fE9+Cs
sGLYm6GnQtSLUvbWwKLeNcY2HXdXvXydLUaJexcG2efVWgVumIibbgcuHpVHv2xFThp+ttD+qN04
FBE2/Mjr+C3awX4dB50OseL+ui6rl/+UwYDQGDQ7o/tSTR+On/V2PAel/QW/ovUCt5yVOgWm9YSi
DQ6pYlrzSVddovezP5VfgGn6nycU5S/SyYtf8+RPd33a5oKNBIgFWIXD+go6N8WwHQTWbrTHsYrz
QqOEkn3Ggp9HbqwOBstMeSg7J6SUbpfOxPTYGug0rjRItYkJ8AYHSxnttvXTQbCULvYiQWrHE1o6
DyX1NcYZ1bFDr+kAvk4IhYO4LOCOhdPc8oSAWBMXy+qQJI+6RsgmQhV+Jw4lnQ9zASPtBlaWh2+H
JvMxWbr581LVvocIqg5fizGV16HrHHcPcnDJOdrXFD5Dkrs7pwjwVQFID8t9O6NGi50C3SLbGuPK
MwcNki4W2aK+pOViQ6geg846FFOl7vGAb/pGTTMYAxjECtRjD6v2teMnT23bNG9OhopqpyJPrQch
puGHa1m82sI0tx4mXpjpgSnAOKHPGMcxRi6Vs5taCvtt1hZEGJcHtD9FKyPOWAkve7MTtDmcLn0d
xc3SgkZSiLf3M6Rb5EthUxQPgadrfw8eaTFo16P0l2u6wj/PAP3fudI9wmfhVuj7spmKW6alP8Vo
FVWBYdaJPo+0C7u2S3PkeWHOlAD5s58dImQ5r1NSc3whxih/KAdsEhraoHjXdto9gRtjKeSMkEI7
g8c4bpMVA8MweksSa8/L1H7pZOmhHVwhqvVhs3ykvmjQJlJCf06cbv3oseFP5wxEL870yS3qPRdz
vIUV2LB5gjcA7qGxTHBI2DTMaK7VLtRboTY2o/O5ghzYn7MaDtneFtUE8S5RcLas0kqYAQMY+b/R
GP+jBf1/m8L1FxPPQ/uz/qT7nz/13bf2/wMnT8jI479fwf+/CL3/Wtlvf/5fG/gIw04UsWinnMTM
FW1xN//awFvyf1P7hoLq35aMA1k//NcKnmBGFuOMHVgHM3/4txU8QXIu61taFeaVLM0Jn/sfeHn+
OlSRDG28kFMdpQgLJI8+5K9lbtHJBBE9CjY/65bijPt1fcPxG13rvhpwQlJ3xf/21Tz+q5b9d/fQ
3z5R4msjuUmwDWYcFv0xboVu1eqhGaZdWSNUd6nuiQqYZ8fm+e17NElCrf+zJoPfS5LXRyPDpdj+
Cv4YUGFYhSBpA3dcfF5fu3wyxDQMy/a2W8UKfTNtA6S4fgKSVJXpZ+BHGCxM6v1a3L784H0LoD11
3eUdVjKisn/+Rv7aamw/HUPPCJUGizwXr98fLaALzQ1Cu4ufvDEo8qd68A0MATbe/8pg+h23Uktc
4f9hovZH88kns7PgHnI8Fhibq4u79i9NzugHedZbtPuThPvb2KF7Skt3BQrWZKN9Yas8gl7zRf8w
pi3MnE6N4NNKhI9O3KdQCDCMwuN+lkwVrf/Qe/yxm//90xFl6HgwlunDXPePFsxbPKyIftPsWpZf
nMA0q4+9N8Aq6gEb7ai8FbbO3grrvfSZwZxEkDW/GgzxGxrTGr6OUqunagQlfpcNKrX2xrfwhP/z
1UO+vz0k/9a0Cdt3BR0sm10aJJbVfwyUq1D50YJgcZfLRF4UvIEDv01+UxQlilqUrg3spYPjRf1b
ls7gD+scl6lXBvqhD+vy1uSp/OJrRsI7TPvDk0VhD8WxLDjmw77zL92Uys8utv5s36rMMfthks63
sUfNG+czmseoMKjPujQqoSCGll4fqRLL5cmLlPPBHtz3zq1IRiBy7djXxeOaC3IvUJW77lNOvoAA
QaRdxWioCSl2hMoasCJ4x+HFMR2BDpj5s1pOaVDXFKNp4UG94eWWsoPUfqA/Bb0E0dkmS/gRWCPD
zp5Z4HAZS0sfJ4Og/KSnFol/oi1KH0YB7RxLwHixBVi7v/RjOwiwYnViLohyae7tRlvgJnswgLEf
TFZ/gFu0fEtJW4BOio553LPhJFLCMD+jNV8pwHnh8H9cQaOS2mBPNHRJW4mnfjApZudCUqkFg7rz
cJ31d4QgQA0QzCepwhnzprFFyz3D8iyKYmf3Hl+lboBzn7po0fgEVtHgGZkUiRjGIlwwr8LxLp+S
D50L5KyphEmIOB+hK2zH7tomGKCYMNZZ+TINergJh9m1mOtluXmAnYM80NnYcU7g4ZOL0Hf8KIka
mDcyTUZQ2MjUFcdD8GGbHtRW0OaIjlKvXB59T/OqXhNb3gBHWDDfWxkxC3Y48FZrm9D+HvZZURzz
KEruYF95R9+0hnY3pfQ/UF2E+6GJ1nhlWj0dFpOOF2+FBm5yMVItb7T9XZKP2dOKz/SHamY444bN
CPU/C82hcpwn9qG6vyZ5MQO2y2W0vIzeREfdozaMjlUGDTGF7vMo0wWFaSd0/W7xcpnOaPP9Ty2J
RstFWgBJsFSl81OITc/spiUtIMeiNpCHup+aSyfbLRlFO1e3DL9VlYUU1rea4tsKelWggU7642AX
+Q+wx3RHll/wtgJ9tTgHOdbdAcr8eGPWDTmm1x9OOQKAGslfcJWYvktGq3c2/e1LoG0CH0gxQ/Ez
rYs+g4907/F/Izf2x+Fd4j3bu5qiCZQJ0mi6qDhDlQd/e+L3NwvYTrBs6QE0cFftIKhPx6jIqpzB
Oy0c2lfA/UulEU+weMJFzmTpO11NDyxaJeLdAfYjKbuxZmKHyvtzL+WIv4uj4ujYwU9fk+Jh5V70
CxODNLHmv4/iYSjZJsBSc8ivCdSVSY0VmwI6nIcg4CDXof2UexYKgk7X+XvR2MVe9eGU0t8KuiCH
yy12LSW3fbDTzUFDy4sjfDbrNcC88clbc/mhFlM/ICtYYh92Ic4exjhsYggdb9g0QwGSCI0kncuu
6XDqxI0ucn3081r2x5LB5dF0jvWzYQly1wXLehjRmjPkaZLsOnsmI7+BVeivBitKvCYu4G6TWYx3
itkqHpceLvdpCVjNDqpnEVowbyJvyrspYP/ESw6l7M5oa4xuwJqAQZg27+moUagPwu4P7awG7As2
hxewJpBYVsDBBubxc+sG3KyJD0tKDFlwHEbSAEKiik55gQ+BobwGbiO1eCrSVe/5ZtxzMIReTL6c
fOsimBhAWhXbj6yxViJkxITXjKy/49jl4ZmxFMTbcfbUFcCLOdkdmRPwWZgeM7c3pzxrRIvCDFVQ
VtbjJw7/8iP0lXuXOz2xTRWWkCftrLhd3CjsJ3yyonuubEiUZ0xI4xNwz8yOydbxb+QUhcXNpOvs
MJllfbRqujlpz+TIhHbJ6ywbupi7eP3qpgOuwbrx/OMaBdsBxLgqfNoM/7TD3OntRc3RilTcc6zk
wl5nqfbzsGTHjjuWZ7vw7ocAWwBJqmALhQ0V3s+wCBf5uCdZYrgupXycYGR4bvgCdU/cFpMxRyZ8
J1GIUxc436tyfW7t6OfgtM+oCQ5+IT5Mmj7064bPUY+kA3gX2Q/dg+f2wPPLIRzxNKe8UzPnE2O5
Ow3X/4gIeReKRd7kUcaYIKhZ0wCLPjg8yK/JDIGxE9I/YgzLz5MZHHwUwr1wzgWE7qj8Z9I6GWDC
tDtx+wWHwp/1x+R1C2kdMNg4ewDW9CFfoYdq8Q2qScIO0LbOLIeW4Yg6k5WSdHWtrr00IPWIEGpv
mEBOaOJsZpZ9A0lucw59Axp8xJZjqzu/KkZMTFZmHwM19wCZ+S6T9JsloVbEYRJan1qVpkdezVl6
UbmPOKfEPS5JnkrtbbtSABeJZDa8NDbvU5GDPznORXWYwfolz3XnrsjNwPPvtrFozLYhSa+wQ5lf
Llrewshcj4FWy3Ci0JgRCi6SvAY1L5jAcqbbjFzn/hYB93JQk00qiu9iktgTJLfBt9h6np2wl/cd
DvppZ1yvDWKCFtg6mSUw9s7W6/qcJ3znvAElg0kvq+SXbgyyCGNTlsVrZ68YPspUTEfUsHTPpdPd
MvBEvod2IUC+NNGo56ZqH+ERyyN0MVMfpiEtf4SpJkw3Aa9qetQVe7c10tt1G5oG5BmUGo3v00On
BfrrxPLCw0WEJKnMo+JX66TWaze2ajwUpSIlL0tZl64enMAiCIY4QlPzuiAo+pwJrxqvNNeQ53Ot
vOaiFWS8XYc37pQxVzh7G3tn2Sg8ter6h6aqakxtIi8fQitavox4Xp+9jeKDZzzEVlvVd6503iFK
DqjrPXEH6Dt9E4ZED4z62vkqaQJvIt+PQKuVzq98cIPXdIQU06Ns/s43K79oJ4GrqRV3DL8empuq
F0wdVCn7d79rcEn7C6YVY40ldsAeK3+zHNaNY1S4Y3secCiYXbFxjnjsKQBKz3Ln8whp/Wu7gZFC
fBlXp2vYXoYTP2fxL4aSN2keeaLk1iaD7e0uy9WvUBiOHR7A+TeKaYMy5ewFd2vrh1f7N7MpaBeu
5Igu7OhZEvjU4hTzLeSWG5XmE3QjuE/J6vM3ew4+jD3mcbjxoTAoXBJo3ycvXI088Nqa7xvHvZk3
qhSQaFAKJnWnC5R5dhEbf2qW2nkpMlnfVNrp7k3QmkfTVvjNsNBEx2Ju6kMCfQhxx3KxzFR8pTEF
gBtBv4o2DlZob0isoPLWh8xlyGO30AfR4tEP0TF2P2rhJRBDJ/haPaQttjbOOTded60ind2JuUkB
7hc3aT48BGtS37a/sV2U/9c0sC71RvTyN7aXTMbmFQX5fCpL/8ku1In6DaJR1gwnz2JtHgZTeduP
eOdaG1xYhlLh6HTOeLduMDG5YcVIsYOHuqHGyg06lv/Gj20gMnemQ282OJnZMGViA5aRT+ecZtPe
EnDkHCLcIffRBjibN9SZ2KBn+jf+bAOhuQVxBcgIsBZvrDSzUdPgQlovVFvOvt+YatNvvFq0kdbm
lpEcm1LES6b3xJtJO4CSbrvekNaLE3dkEA9gnxJk7A5zVE2HCizfqUjcn53XN9FxLNaKkbGX3GCn
zXdZNkTM6I14gHjVvDjZUN9Vte2zdUxVcFhQKF5bYy27dSzmYxhk+sa0gU86lzHnIrAIwbJGc1Oh
gHrJ1uJXNIdA++ao2OPEjGBECabrgRIM5OFhnto0L0+lrS2K/ayO9n7d3FZZ9cMkTcJuIatvvA2i
EQgMm9qFrcF6wxCCB82TIny4x9RjkVKyWdBsXFKZm/eweCg6khW35OTnXGJYHsMG9SBpXLwEG+hj
YUZ7LNkqUH2wib8bc/ixNYu+eNhMMuBKYIlvxhnmmuFPssjAWm62mg0icqmGxLpjr1Oc2FCFr5GX
0DlpwtZurLIdD9lUviER550rJbvAslbxFIn+nXgV2F8kVOsmCif0HVh/Vvi7PXp/G7xAhD3I6ie5
FcT2Aav2epu0vnOcdQrdFCxGRtLBPoGmD391fgsTCe6fldZlMfbjANvp4Fqcz05TG4y0wSnDnHxw
fxuaus3bNPmNYero8HrZnE/1rHgdFXQwDmfLi1LKJWarURcgTHyZde1+L327AuE0P7u6lWxKpih7
Jy3oEYjOegS+9NPH3HDlajuHkKPlEil1itrRgHDX9yygyFvKJI0bm2uUrN6KVx9aRSYEZ+mibgW6
BoO9b7OLJZtzLOpKc5osuIh2xPGe8nifGXwlR+riL1UwZyfMM+57BZbyrjNbFtTmWJP1SkoCptyY
XcTHEIWfxNQ6DHdzIOOtQ2oNi76jLwzbEfBM2APdW6Is8h91Wc7v828DHUKW5RLO/c41a/1Y5iWg
sDkogk+IfkBb66AaAZDbFDWQuM9yXT8rmeEo3vx8dLsjiTtpWpGmgcttBSIEu37xgZhU40hIVaEn
LmEH1Xfnbd5B77eNMEwpPmyshQkWw3LzGnZG5zf8h9UDGMvMvyTdKO88dh31Lut77zNTbe/qT810
b5GQ8a0ACfM4Oy04LKKUurMt5Te4Clj7/LBv76Ale98wzLQEFNn5FRyod9cjQXn0Npum3dBZzI6y
n+gl5TUJi/rU1mN7RSEJ4SK1MudS99jRLBJS7rTqlyfCvvr7TkX8Y4UeBTuyy6JmsRhsePPX3puc
j2rW1d62NMo2gh6LgNTewsB4rAt3NzDvukg/GPgbTQCgnPkAncV/bYPV/pFYQEWjMTQ/0G8Np1mG
sMuDZnZ+k2tuqqQeMPmM7Ym1FCVIlJAMhXLbc/Te/m0ZtvDRdBCSK/cVbSlRHUkjKTrhob03EHAU
fj9b/pysYdTxmHTd07D5l92VTwL6irU5CSxzXfqAMWhR9N9BIkTnAhHu52YzTae1/EF8ATZqw6ID
2HXwQsX+qdzM1h1ZqisCoPVpJnP8PSNi4cCKaTzbtp19FJudu8XPy0jAp8zq9akp7eE6VWt0q3tI
u0YX7Us4deGTDSXikHPTnKPcRt6es0Ra2nyK61GLU4P451nMyL/NJjGV2LFxUHzHAJwCNcKojkzh
i0OqAGtOx9b2rtl87egeJ/u0mVbwgzYYvGmQJADYzStfba75ZfPPz01hEWzI3mz7wlvWaOldtZnw
ScrBj6+wAVyhLrKgWzB4tjuqWARWYcn9/tvhj0MtPGvTm+S5ZWlUnCc30tZxRaxwaoXxfwbkZRw6
Z87v2KZ+qtxkab4TVuMho5qErJ2ntApYEjZMNB6mopTJgfXq7MRLbztXh50Q1fm4ivDApnf2DqlD
ru5bx+yJKCG/tT+cqPUNkq95/BpReBXHqUdilegRcF8RrBAtGUc/QT9guBSaismZAfyIATltEZID
WDJ5oc5uH6RQ7CYy4OOKaOnwRnZTMgNdKkx4juok0hfA6ZG4bUXKIK1hHSR2TicFYB3HgR+sQxos
Zy7TEycfrOBmjgDZ1nVdfOs0UvvdUPjstbebVn6eM1qh+6yYSv8X87eihXRnps2xqnLNy3Nnld6Y
HN2KkntX+KDrH5DoJaQ1jtOQH3Oqlh+T41YvgoYAClk5Pkcc1clN4M3lm6768o3uqSMKklCDr2tf
+ONJ1aFc7+2pEQozMDhwGIbe/Qgfis48FzLbAwNRLExpWO/SxizDpWKSaBhaJMMjbImkvgZi1N3G
mld7y6ur27pskTxFIYAXODDlUp/qMNs4p1P6lElSHdk+MyHm1iL3N67rtkRfzcR17zjSl6/IsaBg
o33knU4iF8E7KZoVAvRCR3eHYSaBbqctz23uHXupS65nTxzWyliyOLudz/6gF4I/X68QIE4DbBd7
tw7d8jitE4+3n/re9JwpocUDtiD+eEDZWcOCGMoXqJCCCzbZhhCleZj7Q0FaEknGKVIBHL49Ezwi
ZSgmdMKkukVu4R2bdBuM5MJa7vx8CFbISsH4zrpjPk9FVspnv7HIREokm3VXJsTJ0STSLkvkv3dU
5RmhKKwf2CwTUo0pgsVTDIxW2rGi+gziPC3IyQpGj7wrJywy0jVxpZCsTfIE8atOsY77ctGgioGU
Z/uItN3gaXWVF9SkKCv/4k7KZZ7RuvNjKlOLb6bu9K5CbQlvLdc21GeKNoZNZNG85Bka/L0i7J1Q
FMI5dAz3ZvEvaz2zhU9gGhOd07Q/Mq93qnik4f4yo6d8HFy3/qGDcnzzxQygAwHAgzfYDggjPNBq
JxFD7vK6WmZ8MgngQ+kTWHSBNr+El6bvGedmvYd0dprlcDt0wNozyqpHIVxgT+NUl28wfEqSJBlX
d3sUKpHLYdrIV2kbdIp9hGsfH0sWfFs7iDIWM3JOaPCh/i5sg6l6V3pzZodIJdSvKZoY1jtZAHV4
mD3KfSbPZCUwfRmi25Sz9hQhGEC9BPN7IZVmdr9NhOBqOE5JyN2Oz+YwkhMCAaAQ4GGWVX0Wa9O/
hCnYdYcI6xMzBm4XLClBuAd0mqZnreVa3KymsPGZtzDg9o2bwqdRBKKTwbpWLn7KxaaosqALPUqE
uu4NrF9+a+1LUV4soUhDtKYOLpudpEsC4EaTQZ85mNeWemBIHxqLl5ouwFuURsvrqLRbXW2fCvFA
n8aNPefU+ntfjvZXJbeSU9nV/MkjbwWNUjPyRNg07TxvYwXveJh4zc+YIr55WNiZByoiRVvab/8A
MANtKoKwHpBRX8H+CHUkHnDh2IJhhENZ1Rqf9HW0zvwKPU/khDfBogUUv+91O0yzn8B7hX/A7FTf
C35Jd99O7DeRJxPitYx983WQszvsuhkTI9JtjREqI0pLgcf9agRx2wDa3PJNUHC2PKiF+7bazAHg
fhK3UKUBRshWL9NDyKO3oTmD5d0xxTDvh4jBysVWAPav6Bb4CYNKFP4hI41J7vI0wehKZKB97/W1
RKi8EckgwNkxDBcuXeYsdnYKZklSGTEeDl0BOhxr73pJzYDb4PoqwobKNe+s6pbtpWn3EU6+ey/q
+NVG+ECnWfdEcMDTwM4SuKkL8qm1Mu52J9EXW2BpPoE4cJeTLVcooVg72atMhDGWB5DWZoirCTwU
OdS8FgkSWEvybSrRPdQo4x8nDuBxz4xjSY40N1V9C41pvh088mn3XaCD9bPvVc13EwRygDjnCXMj
6Y2WpyGrU0pTsrbQAg2rgZcWNt3rrEFFk4vUsN4wVh5Oz7/3V6Zyqupir+h8wI5kzkczzNH9lANE
PQ6LCGs6d5Gyr0WX86nIJyGIZHEwffGwATTMRkjwngmgWBWhfo4Q1YCI6GcirVSU/hwwr8Vuk1LP
NQqOIKExZHGs0BnfpEzWZd+PvQsoogAQFpNIwu1LLPl8m3TogI7tUEcnLETM9jXDfcg4g+BUyPwy
JRAe8UfiCKTVRRhV/o8xGDLzmEfI8e57X/PwympZUZcuU8cTyJBE3AxFkK/nZtIsEemd3RIeoE7W
PbBvUrDAuva/+sZKSfVbreKtdTvb3MxLIZIvYvVXtB9iScqLizxSf7OVXaxvItkqg9ABvXQg2i4K
DiHzie6Tl+TAfDP4eK2jI1xckCm8PdMftaEbmflMScd5we5EZZeIb4nWcm7HQgOq4ZT48NZMretu
mftqfGQYnw9PIIzF6zquTXAYushdACkOxICFnRzlwwiknkoOj1UIo7xAufZMekNx7BkLvgdlsX5P
FVZHuTYOra+UN71K13dPNphqm2F4DtK1ObcG3K1MgQS42ieal1LpoROq34sWbem+TtbglkKOTxKt
Pe7Zxwaf8K3o70iYUm6fSAUnO8u6RzbY5U+n7adfw5ouiqfK4BguJxLc8jaPbuaxCm/8tvP7vQUk
S8XgwKJ4ThPzHtiLOg8E22mBanBfQCL4uhA782XAuvdqUfbuA82tQJhet8+tVP6sVAXMGUKruJtM
ri/BVNsPyCJxm2eoFsR1ToyDgg+7Blp6UCi8DOSZloqwXsYkzUebtagb83EmZMnAh9v8lNk3F83b
2SoXuv9whgzvehDp0G3EvmNFV1JUWBguRXCfRa04gNwmPoBElaTYe4v0LPYfiXNCjbt+ypQFc5nI
RtvbpT3DrXD1lnPJdPCb0EMWO0FUPPAEtdY+yEoKyiAbxu+zG5XMDNlAse6e8lsNMRqhIyOUjoW0
Ipkrpcs9TlEX4b7GE/KwMmvF1NAOLFUl8r+d57QTyrUuqT7hXM5+scXmZedMdGtZZdt5zDi5deO+
IkUzmzI97wjT8kiYy+vrrFt32HcFCsauHBsuKyjsHBr6xUTEjudhOH7xV0CkYzf2t7C+Ue82JTsx
J3mHkFBz9pDxCprFaRpiUPO5fzcETobKywG8Ta+QGgxHIRF6hmkW6M7QPJAeWQC6BCj53OgZyyDg
HfJSA7Z8fTLIK64gti2gGF8y8gO+mXILWEFc8cgglRt/nbv6aMve3i+y496IUgUmNkHxEvOjEewY
NSK5lIHtIQierPkYbErrfVSBFP2o3MG6sm+Lw6lv+9jKVX/K1hlWgcUHYlqYc9xrdMZxschP9hJW
t2hImh276jAg7zX3zoLvjCU1Tf6jNxoz71o5N4Bc2uhCc1y+sW2o9roYBQO2GsimhETqxt4cRTd5
PTZf4XVzikFza17nNgzu1ZqbL1HbiUMUslsCBeW81w6+iTHRHKmq6RlWuEjxsuM4M8Ta9VV5Iy1O
clMLP0XaLnps1e0vKxDTWdatLvebOCj+X9nsGC51QhTA/2HvTJbjVtIs/SptvUca4IBjWPQmEBOH
4EyR1AZGihRmOByDY3j6+uJmdVdKWVXqXLZZb3KR0r2XjADc/+Gc71iITzejRwgfHzt54DKHtjSm
iUKSzECqF2TCV8T8/kGK/6sqJxCsoyEOwN2GfyJd/3dDYsd5aTctWvGewIdkg+1XXq3JaH5MoPjv
LLtG2QucJ/uDJudXedRf/1mJkgTRF5YU/5/d9iOGlPVMqeoaKwg3dbV4ybZi3s2RWuOKhMZu/uh0
+8uh94uCBZYL7IKzHxK5vxf9JrXpej8a6oql82C88ySTtE52UDaH1wbt0NDts3kan+ZkYHfrUE8j
gwiLI7t+uj1T+uuwyxbf/iBmFBH+YOU2jWvQz+2LFIO0LnyLaTl9oT9Ww7uf1ab50Uqv+FkTK46G
2uCGOEq7oT5YCmf4AX2I9c8oAVFwM0dNfYRq0NwXjDQshKmre2OcdnwO6XCRQJMk4N4ji3cQANlj
OxyzsTYjjNxpwXg0JYHeOoNkNQeAzdEfsFPP2hGrxd+Ep50hMZ5N5ynKx7MMthisCztZShTM04RI
PfDNeiHdxn+YXcATcUmf8DHNE3ddNgNRzSit9q5FcRnr1HNxW8K6pyy0alyl6K9IOUbhYtcvC/LZ
Cx9uUrSZpWTmgbCnvXRKX7Mtoat+ITRd4/CRChJ7E2Ira9D3Bwf2VPkb4CkhD3lhgDp7ibP8qMIZ
MTV2uVETDzf39q7AreacZbz+dmiZP9M7qpmXn5kYCSKFi/++qoe2pI8pGRdHQdddAdPlggnXqcCc
iMsrJT5eLeW2bWEZEBBPEndKyAoOAmy05P35A6A8BcCXYYBTYiwUSGXkZkF5fkl4tB3t9bysFy10
5Pnwl8rqX5KWPikEDfXvatFfdKX/d+rT/6cQ8mjy/mvl6eN78z9O713eqH/kP0Fz+t/yUwdg/LkT
inA7C5epE+fN3+Wn/MkZpc5UkONGwFDCBfbvACjP/dtZsoolTgDrwfiK4K1X45D9r//JH5HeCQlA
MHYKWBf+SyT5M2TqF+Uc2KkokryaHnI/wB+/iUGHQnIPTOiig4DGkaBfZvohOnvZoInCkxMdREb0
u1OYW8vIg6NJuytANduifKoKsRub6REcuqEPz/R1hzjDrQHmunhwdlbYVztOqHTbGbfj3WMzXnlJ
te0BEe0zpP7kxCVflZgQxRuX7BCf13K2A4ZjOCKZfhzDqHkJUoCrZg6RHo3Oo/HtoxXgOgK4gXm2
5u/I/q1FQtXo76NKmQ8OPjHTXvJUG/F3Esv/fwn+AEBzAp6L//oluFHd9L784wvw1z/wd/216/zN
gSfDQ3t2eHKx/p8XwPubjM7WQ/ssvkW4Kf/jBQicvzH2YeCHL5v9vDw7w//9BYCARjQfGmLCCAIb
6bTzr8ivf/P7+WfNLc+9HbKK4MeE7PGbAhf+ZTvgrN3rhYXoxluk/x3Vr3/fLbZ/53YkG24cFvJm
g6UfuyMONes2rD3vbkE9QequZvv2J0XrWXD8H9UA4RIurA8QaHj+WB8Bevr1h0K53TZpbyVxAe/7
W6Zt+dKwzkRBWHvjeb0e8aJ4QY65L2PwtVHs1Gm46p69bZEE6vMfvs3/RDH+GzDj7z9PhH6e7+8s
HA9/k28zMjZZSwAMdorAgZtIGDN8G3YO2IJFmz1mBfrRDUC3dth2qqt/eCZl2ZogGEDYvnSKSGSC
eLCcZY3PPjcL1DsoZjZPc96q4g8VnHOW+/7y8aGoD8IIdglVHDqj3z6+Vg2DYLQxMZSLSBokuUwg
1vL68CsPIo4O/H8lIT/I+84idN2BBwW8QrvtRX9ANzn/9E1iKPYxr6JeYQqI++DXbxJ1EP54Df52
8UNEK+BEgDeNrL6tDVR3H4c3xu+ILfKKoqog7Ie5pt8TrgeezU5jLHC6/IP+/58e+TNWkO/xbKsN
KKz/uhP+wVlrBBvpaUpZR/q58AmfwYYZt2xc4Xll4muEW/BoQl6EXddNbXY044JFwDa5dwqmAOUV
9D82M//9MyZ+tYHzjAHSwhxw1uG79hk88+snlaGOckl2mLZpqsz8iSBKPKKoIfZUOeMXk6mU9JFM
TyMNCut33AADoJ1u6lBOLsHSfRBbeu6Ow+kmSD3BDH3t0RjWVdDXceOVuJ5IS2YsHmUTWbo1ep67
haUm5jqWIWGMxmJZbnWvi4clqSEGqxnTfU6Fdp0Ih2IyD53u23//S/+m///rl8bayxFHy+GevQe/
/tIkatXCU6m3dQDwr9eRKVe81WSMqrju0Ntu7LnUdYzKSJJ2nBNqRtAtU/BzAKMDN8EdnwJewM/M
stTLH3628wf+21sEdMYNKQxC4Qfeb64Ie8UYRkAYyluaRr3Pu3Fcd+ze1H1WMmfZLEtZMP0OKkQ7
K6G1Yj+DIVog8qniJ4bd4KnJ3PpPoUz/yRt1JtQ4niNd0JBw8H79yJBtizqEpsJGZLYlWbKMaTdp
Zs2YxhDKUxO70nqfE5dSuy+Avu0XdgYfZbSCsm5IiP+TWf+ffyLpnG8RyjiJV0IEvz250NM7pwsh
iWQr829I98p8GwdDcFeK8+xjrIHTg6ZKmAuNPRzmOGXE8U7SZonAPRHdH05rqsB/epeCwMa/zrdn
c3tw8vz6GQmnZzDFRjaegWeXSJETAYB7sfP7sJ7HIO4W6XaHRNqD3Jalm4aHAg8pixzU0LiDPQiR
+9Bdm5+yy0c63nMk4DYZ+TU3gEekwR9urbyORStd/vrquDunmez3sQ2iB92V1U06yInRL6y0Kh6F
yapjmBSI+70RkfOWra98NbSq7SkfhoBMlbbBy74J8Kxmrxab90dQTNwxS6Qde2/KeSlvOtTKiNYd
bMZ7FXUp3zGtcBzNiZ8dK9vYgE+WatXHOZW1QLm6lEhsZTskjzTQsj1GrMa+8Inkwda1+qW/bMk3
e5ZMGKNt2EbzPVxTwb9E5i65NRpdbgyuynwi6xc/0HZMYmOCcg6QwPvJMxGqznGEKcccL5K1x87T
I1DCSVDDbiLCd4dd1DfKukQUPx1JaHO5Pu0C9gxvHQe83WEvYxVCQhXA4lbXB3ZNURljsF7cE96N
CFB2NvCCV/yi+3Sal0uBrwBxKNuvLxCIFpMg44XpYc4juwObKdhnkOXsrXEr7BTFh+sz3p2Vpo/G
GAqPGLvlvWUmc9ckKFTT0nrvh3qHLpqwcCu6m7MQgByDqD0xEsdWu1e6WT+VEc1mLNHIzh3Zr74B
+iDncr8s3cHK5nJnTYTOi85d3I3VqL1dRMW1bnpzEczRZeD/iEY4+F6DWgkkvOuP9rFRPRGzYZTG
KkIP20XhJSTYWDfO945Cn3kX6ZftD3WOMeZ5zcZ52ZECy3lcoOm2rclcLeVY7AdZsatL+5meI63S
bFtwdzzQFJeMIlgy+/5iPhhjZe8M/rbzFH0PtKgBZSYEznlzw7chbJcyBH7KR57IaW+KunuTfX+b
e611bZVt9a0ZUnGrMOc/VJZLSz8VrvwQaVamF0jMklOAme5zqC3EKWRAa0KtWCDfTVae3rlmCS5c
FnHsL/zERYrCjEPZFWj1WsPTMC090DhfU4qAY2FCuXOK+q1p/Xd3ci+rfBR31di/NI1znaymO2B0
zQHXG49maI7cK1boLhmBYzxPSfVhorS+9cfIJpq6m74NcFV2uhjfyQVy7zrSpFD7kzETpf7gbzMy
VcJt7VXqe84m9ZK06ELvja3G4oY0E5R0Hb8o4btO/d0bLb3Efn+uA/KkQHGAgBlJgMNKBsK9LVJE
k5iQyaZhEWcuVGgRYI/npuwRJ6dLdLQWOL70dm1aYk5QIz7mSabRXs3+KLfREnqfTjghDN60WadO
GmsCbWPHFP+ejVzwM8WaqC7a3EmB6g/m7Ned9WvoIoI8MESa62tHuyDCmUWl4dWYVY44+lgfeitm
RFYMtwvA3fwKmaBJdgiyCvVpR4AyXgVkIPY6KmtJ7rYmCy88qRMaQYkflsFw8GUXBR9+nvbhR+os
A5nVA0ijJSS1i5P5JR0mAQiDibC8nuQ6Wo9JHoTyyMpH2MeFsOOWFa4kEXIz9Ihy+9jOktmxNnIh
k5ltEUts5844WWRekplhzyujxpLEEYXAxX92AUiM37COoD9cEUtn7+nC84M4cg3XT8sxRsvNPLIn
OTI4Sh1/LwEZqZ1spOwvYF/hZ4kBF0lz0HqaSPGaR2f+5oQq8eOIhKrphjar61h4sBc+MnnOxIvl
FX11ZeF9cvlpPUoPFWgzPWAumrJx33KUF82h87qluPdZfU0nviJn4G2pZ/eDGJQhPFcu3HsPgwK5
c4NnzW12XYLT8SsnHwuokEfdOx+HnIckbkg2Vld940gudE+NUXMoBhZ9F33kZK+Y9foKcWQTOpd9
Z4/pTcFg0Du61UiObdBpZT+HBYxUZGwscm/MtObiyZoi7PNLepa7cWRJ7yWyVJBd+uSsKCrtObWb
TaChDH8HIe8yY9Pt4oYfjQwL5MjoGKyD9kTG9zlDgd0ythX9bbjWQ4rrZiSQ/OAvI3kROksbvcdb
nnpLnNTGZ71j25OO1NakSq6g4l2vEiiG2V+QD03wFiSFhc1Mchz8cshuhpqL8MtjxrmckACb6nJy
OU5uPA1HZe+EvNCQJ3ySNcSO99ctKALDHjmNcZd8uDjzOlLYBX59Y8Q8DMcORx1qudIz7VXIqvJM
4krmoH4GXtGJV1+3KrldhGpVQBNEKE+IdGRCG6WQhnDdtx778RNJHF10KrnOUuBgY59EaN64j9ER
AtL1nxI/rysOM5Tn3E6VNWHaY/ty1uwB6JqPdD6eOCqmM94FHCm5XPu2ioo9Q54qw3sZ8iooy62a
uDEJOhWtS2k9hSuhe7dWFqXZZxisJr1pbZZaiChV+hiMvvONLutku1drMLOVrDehtMiqBolo5uSN
FITPusaF77kF+ka8dc4ZhDCKHQRVZO5mZ6KSJKryovVBOFh2v10kmSJcuLZO7v30g3nZLtUdG3vs
DbW+IZz6JvduBoAvBz2WNwBPxIPkRoi1AROeFEi3ITZM63goOE41qtW+W3cJIt2o9n6KrEbun4S3
2PUwRs7ZcSWGapOjhAOubW4J0WKoHxzZsLy2Zfs6RPN6nwziYZ1QsPNO1SRQtS5uhmo92JyBl25X
XtqFfTGtyWugy2u36F8WgYaflmiWSrL84oiqsiSe1/XC9/rLJJtekdlusmFI72SP1kYSbwcfTF2U
pXMfDCvLVnI59l7vtVdiig752nC+PhRT/Y3VWX00WiQsvYPPahqYgFgIFfx8OZxNqNWpremy7Cq3
5J7mWu+Krr2qKwEIRVESR3njPyOGwgpidc3dYCEA1CkDek/zxKBkPatztLOdpNsiYY/0rsJmNe4X
Qxaw7V8UZUXcqzqWvXNvszZwVnU5CfvQE8kMuqXhfXKZKtamuwDpe6txzfC23pKTpPdAPabvC3S8
XTrRDGSmcOJaWdZW6uQyMWdiS1Q/5a732U7kjYz6ZIKfMFz1FXvddO/Xgx3jhDoVhRluEySXu5Xl
PJ15TaqjLSqkVZh/LBQs7DphSAISS0nA6mvWfCl3dqIfLX+aL1ipvM6wje+Sxav2aAXQujTps9d6
V4sDdiYtonyHgezeB37Mc4zSg93fOS0jFJusCsI4wyiEE3hr5f2L8ryEZWL02REmv/FgOxE1Ad+H
45TYCEJNERuObCns8YVBbr4v2EJvYWKmJ8YQBEU63luiivaaPTWw+1mSmdgVxHbqU84WdI3c50bg
QPZz73Xw8+2YlvF63h1FY4bYo81ipOPf+iK71KVYeVQQ69WjqI59V+rrNTHzHrTGLaCX6iR8s8VC
cq69ist8ZkUjO2d4srh37qxhelImbZ6oBGNReNtZ1B+TISMasN8OBWKMbIMdjBLTXojxCnuSt7GU
XtAnsEpCWJhdV2MYXvWpvRCk2Do0zhGYrMSXyDoAzT5mQvN7VNVpEHyamcqec+xBb87SBkTakddS
8ZCtZRFtHXJlWi9HecNI2/LTn0OGIdAY5dwCkkm5BCf/nSbZgbw33VmtmA+UzPWzRx4fXsWu/0oa
+sqyGlAH6bC5GrKOwle45IiWzhYQJXjqVrIqwvJ3OUey/BxxMx0gRIMpV83wXgcYFodwXLbQZrJ7
mFPZnuHlU5e7fBrMJJzsTOKzpmJn6eTOrqoXE/QS0YgwwaGoB4+Z+5jubauMHhiq4qOZQRl6WXtD
Frt3NUI6izEwrzFiqItUDYcyBC+AwGmDd4X0JWdAPYaqaJ8LdYfKhWg1uNc9P3HfbdvE36N8zV60
lo23KV1MzwRsI7LCOIZpVwfnoYtvvaUSvUwnR3fnTXm0UQPOJyTMWAjxzKJASkdiukJ1scp5QLeR
66Oc8agQr5gjWmy/6TIk2YjP9z6rE2tbFyAJyVXD6bXiLXj1Ugf9ZNbKe+Gt9u1i29fIGsweq7tz
8Jo5fwTPkm0k5d2uw2R1C0e85ssolgMCBrOLBEE8vUjEN1LHs0e+Qu7GImz640q9tEntEX9c4aFn
WsVNcsZuDqF69OxO1JueH/lldXqAfK0v8l0+mOyAUNJ85aqnfclLehW1dFfBaNJtSSov9n6Metn5
u1FZlpx02ST3yMPVhYMcJMizt6rjxVpE1Xwm0/ARTVMR936qP9vK10gdPBUHeVLuhZ+zkUmGJFZ9
kPIzTcUT1GmKWlwKezsskOTOc8lZOKYvQgXfwH73JAw1ySuxZBU5cVUWkwQlAH1VuI82emHjuKlG
Tv2HpcGRuiHhsyq+Mp4vxN4epeIh6S0zzjfpBG50v6bg0vDOR81E1d2Q1hSQ7dZYgvlaIrud7v2p
ougkgnaP6bevLxzT2W8cL/rYkt0ARU6TrvGppTJHzyAt4hTcuw1BoBwb/etK7lEDNHeHsjVRm944
+LENIV3JPL6gDF+2+cwg1IsYQZkx2ofUdZuq8Ov7OlE80/1U3bNtpQyKgqticZILHseO3XlGxnav
1XzT1GSvcioSp2kVcsd4NTxnXrD67Zl7BIO3N71RFibM0Nl3NhLxDNd3TJUebtCjvboWUqzaJqE9
9fkcoXKhCx7XHifX1H1EVq2u52aukJGoMHYWJkZg4JvxtPTVDYq068yceZ7oMk28hmo6tAFbtigj
ZMvyaGpcm+YsSaGDgVdoaBVgYW9tQuq2PqLpXVLhLM6H9Jr1LrxTtFKnbB6uRZNR+rYHosRJcoP7
xh8ZlGlRQ5Cw6VzM8UEaVnKDMSo4LJXwH52VtFkM1G7sVKm7X0TTndhH43hZm8K7FD2i7AIHyVsh
xbtnJRJlaaA/kJ7y3vf9p8NDSeH/PJdp0m58x0yaTNSQpbPdRk9ZMnBMRaqRSJIo58cnXP1y3IaB
VN1Vk+D1LSpq5w3eJR4VaiGyhydcYHus4MxHKunuPXqWQ1Ng+ULocR7HzG98Gk7sRzqEL/eu6nBn
lYt1Lrb5Xsr0tEJD28JV/QnijSSTiFOmm7tsMxvExk1EKGKZf4P4+OEAa8IbgYKtokraNdT3/Bsh
09fMG0EFQhMMosu6ND+Byp1IjMxhPUV3UbC8uoqfmp7hsc0Y9aTjHaPoIyO2fGM7GDBZiAEXi2Ac
Jjh9vfSKQNY3sqUf86b/kVrpE7w2gv9WzsOuT481AwEvnIeNDn1qe6Xo+Ytx70kCsjUq3aZCQBfN
EPTr8s0iMZq8yNie7Ntg5LYr8RBtAGYcDUwZ5AOEBoe4DpjMl2n9k1jMa2az+4BDphfWziAEshf/
yXHqL3Toh2Ho0hgKLukJhGny5qdInKlm3GW6yFJx9Gb/EkImKWJDfVTJ/OGK6DIp6zvJwCWbM4wZ
6U+0Bnwh6f3gWzeiJ2wsJ4BUWjHSsftxGm/HSv3I08CJoS5eqKYAp/lVocpKl/Zdjo+jiR46HZ5k
goetH7JwQ9N7OY/zqez0Ywf4Jw6pj7a9JFHFyXhmuLxwWyJEI9Kd22S0foJk4TTIBqOb+wzgnj4I
SiP+0G+DGXFzbvoDzh+/PdFrNlc5MjDG+y5PEtUuyN8FPtqCcxPbUzxITQyccKQh1ZRFzRfTYhSl
ikg8tUGMm9zmzB/+WiWxJJSIV6rLAOHTlU+Eb/dim1B/Y9SKlKSe+u7eXjWachlJ5b/2i2CyiajS
tbYkaeR8P2vJKMQwfTq4NtrJg+vV/pNN3ctCO+gYdSllcA9PrSNsilWW5PjbLNuKqxWAGLlz7VxA
HLXJCkWp4r8N0VCiLE7QdBEbmpUfNGYMuwmpnYNdVc3esz9n85OjEw682YIoh2G4ZJ+SqFK+hvlC
4WAIiWBS4dKj3BKuM10y1gZHkxAS0V4yBSWbjcmBiWVg+lOVDfV9Dy8CK54uAaDw7ATTFkANsXEu
Dx2+RGnra3/Q1UPJ4i/b+qYR4iZkIq8vQ9wA8kIT3Po9UkvBQBWezLlXNVl9V6bwoQkAyANuP7SU
x4y78zGaW07ZPC3NoV1xukPyBBN3bTfRcMO4rSG3KvHO/Z4u3twypOzpE4estiLN8/q58ShxoeBY
7SkZPEnaXlQMO9iFdCh5hY2ClEaMaLi3+Qq5ZFOLODpT5vcDqtj1apUSgiNhi81M+V6v9+HsMbXq
ewQ6l/grnDfmj0mNcjGLronanJiBlhMCT1r3puThJB5g32R9lR51iAd4I5rc8uLECRJoJpa9IiRN
2P+tyhtKpA7pmlE1kT3OKzWVXwZ9FEvTkc5505x9+7YC8bMhaRayNRkQ6S2Tg/TTcRcqUqwoFFWT
jYt2zEN8aDYku+EqaqiGAXWWxrvAnWvh5HEyCHurVGcQB03UPpVV3cSOO3s9ao6o6mnZggDDK26Y
PfJ+F1YXtFgo2emsbhrcne+kJqBxr1B04uzMGo2RrNc5B2dIUiSFyKC2QThmLKjrkVq1LjPMn/g2
9PugO+zu6+AmPxjAW3LTQh/leSmDV4H6/YHxTRLnbB9IFeRjp3HFEVTGi5WIiLVCZ74y0ap7BN/r
c8ogwmzIWFHgFBYLrg9JXvWHHtZcx81EgtkeLRnbc8m4+DkPZs5SIwYPOG3PWH5mE4v7R+ETI4qA
biworuZ1VC+Jh8r2EHZF9aFRcwabCIX/hFsnk991p9YiHhJXYuhVOHLu2Wy0zl4AGukuK5P4LegY
a0LPAr/hbSLER+7cIJu+o/wNfngD2rhzTDH37mg8TmjNgmo7r8X61DBziWLeuJTpWRK22xI4Ilq2
qZWfJYeTjoPFnZ6m1V2cK2SQrYlbdyAaNMVLlHyNKXJ+prEdsdQRwEg2paPqLochC0iBZENS01OK
DIlcMUsuPf5vNM7ga/udmwaFoL/rxxeq73SJ3UqFd4z1u2ajiPHc5A2z0S28scSJWflF+6YJZIpu
px4eWNM699oeots1DNrgJ2nynX9wV3ZvQHYwoWS1a786ecZz1CGyR87m5OjepnZdP3PIQ5jb60Hm
hyWstbmWhc9JG0RukezORmUScOGxjzHC+rVmKJZRBzF2qWEkEBT5yUK9e69tb6WAKooZdQRHIHPw
SdR36Tw5BKDi3Gox60zOKWV6hlFNg/nHhVJg4yNo9uTC43+pcxv5fR4Ny4ojkOTaE2ab7LnCMPuA
G4smv+nlnds4xRvSefURzCq/q5xlMvulNQxGzm1uiiQzyMeYVh4P2aLS+cUnXoPPj46S1Ak+a74J
zf/C9M1wB6Z557BZY29Gjhg3hCJbK2S/7cap7eoOma7HqKpoMij7cKmTo0+W+fdynfRTm7h9sMml
DMia9gWLAeE1WKsKHttvphpFd90Pi/dsV/7yimrz/FNEQn3Vq7E/WwFlftMTA/jcW030pvgeTiXO
Q4hcVp8giraAF3A3Z4RsjjmwMvyMef6K6xTErtRh+mhaq/3CbobcI6jDdcZO6wZ3vQjc+2w2nhc3
qcPMzS+KNQOiEFJ7tamoXjie6U/RYfrMghwpPpxGM9eWoUHPUhKHpECxZczWxtISj1Ot1DNBiz4J
rcHyxZaCvhDTJByBXocJfZrtBM0h9+lpMMSE/XzAo253LIgwJLDPSN11b1yh2yurnbzbzOo9fWix
H7B/0W1wGzpFgS0b2iv/aRcMFZkaiFvaFmzqNPdgeFxV70I3GL5kic8jJnhC9zCjFqw2hacBYNuj
iAgiDvP+lUsnlAcaEJJOk6H8uRIU1MQ5JmHqGoRyiMfdnNBpgp0qpnzRiPUT/eB4WNLCv+GEUpqZ
qwJgteIgeVB+tuD+l0beW7ng39RB3H5NykE+F1zv1DYh3B70P4y4YoOS+z23HL6rgjCheysy4Zcp
GB9gfO6GFTGeV1u7ypko/qIxMA++ZBiD58+TT3M/2d8JcWciUC9TCCEN4Z2/B2DNUeqE6dk9babk
eYUi84SF9qx+HUdvoVka+2YvemZP24whNr+bsy6cKGELQcYT8Fa4EsnzCgLUFuexVTTuetygb20I
ryJO8A2AcnD9ErOwsOptmeqcxWFob/1lWl/rjOE9Bo6ooZYq/epuShQ5Gqqq4EtMszT+ycJvQahV
R9saIyAezdaeWWQ8gPLMnOu+E1O/C/0eNF2fT+qmhQNHMreL1fkAK1zddrosJ4gXuf6RrNJM29Xt
V/9iECROb1Yif8gr1rmfH1u3y9Zt5dVorry+Ld8tvo8W5Xaknoe1XE61mBL+csAUEYA1FtKtTqKs
OzhhTn06ha0mXqNrlb3rlZe/We2YN7Fll80TvKFCfJuwzf+MWIE9Do6XPjYaIca2ndLwZ1TU5S1y
UnNV0ofk+2wUCFgyOCrvplL2ax75NU4E0rPvCo8GQfTFWG6DZlnvA/DJ5KPIovlgjB88sFgPym0x
11FNTLdOgW4VzRLeYlQMtqu2s2LXjfhy72p8pOnh/AYtR3oN8cMtJrVegkccht2yuPnXuoziEyYB
onnwlEz3y6j1vvPgUC8VbUkviFyrHbduLYsPz9TKbOdEMNuuBe3bhpV6/lSMATA6QJxUH8vUcT9Z
Xihvisw1UASnYrmJViwadDvog3ClokOgRbDtN7YNgUTjXWI4bkm0gJlcTe2FmxTrW9hKKOOdnXJL
R8t0Hs/aQ9+C2FsZvJF4gj0ZwkDAZeiOCNNMa+r3qQ8a5rHj2JByWAeCNXwF8wHfpueXoL6Tggh4
J3EfhmXGlpoWo/ta1mZcmb8oRpNRG8H3yDz8hfRVc9/csVid0i2dQf0zHdyZBl6l/iWlsLxnnbWs
AEqIftnMS0dtOAo8MZtMtgu0kjHSmGQmx9mRN+G3O/zQ9WkYhuaxHoqUTrtu+eWhcMCRrmGpf/kc
AZTxOlwfLYcpLYLbFZMZzPD+rSL/lXASbpv3jsf8u8UnnF7ZpuWomKRsSHwdx+AKcoON6cLMDgDs
ZmB0hLV1ONn50ob7kaZe7IYeXNEGq0z6Ga0zQ//VGfMfom2xpWQTJQIbKRB4jjfDYGcrHV5YdhaO
RzZC3bS3CGLh3Kg8SrIg1Nmyy+wiY42fMlLjlZ7NGnOTTM9OdT4UcFSH+FuS9kyrDVT4ONhsjrlW
Wachsm8B7I39Wqm4BHR0H3JkvCrb5O+UXAJDJgbzRxmye9vQIMC3n3Ns+JtJ4CnCSOMwnCs813pp
bAcJY1K3074Lk/Pthj0l22AESBxGKXk9761BOs9d1Mgr1cIpIOYlkd9Hj4LuUPgQ08ZgKp9yrFID
KT9zxNg+G9k1+rltngubaD7Nm9NuLSXOJSqT9tNSDgCRgglj3nbCjY/SgcPhMmwZQMXePA9B3K+r
/pzFPF9naT2Wu9Sdx2/evAo4o3PSfzLOlXcdtgMOg2zKbzk6opuaZASqhqiu3vtwTaxLUDqG8RlV
173BUfAxOmhNgCHiWrSqnro9KOUCj99rlhusb3D1arwnD2KYO3XdMnXlMrFd61LPM/Mh4+r2tVwz
74TZtrkTTZ94MR6v83vgT3etNyy33KU95J81rx/leYe4jSrW6XQauv1Rl33u7EcrL299XGr2diw7
BhCDzrtm7+NExinKQeOfyjkClAjfaZBHuyI6ceN3evnOtrZ7KpBmJLAKQldudWSq15SmDMo3J/dd
0/CdRKStnxLljfPVWP51imQ+XrG+EOp9CWCqxQAyi2SbF4F5HIqwTLk2UB9clE5rV7t5SUoSP/C+
OjFBvp90UYUVd0b6dx49bx4PIH3YqrnzKreoZlcHs2NeweTLs8ZhVNrOnx57gG5nk65Q7Gurwo7b
LfVp8n03jykfgyA+awJJgrSwT52Y9I0PfL/s75Y6wk8VEsd5N2PdEax4BEkJesyyNwFfo91EFTCX
qIdncKkldLcN6MWhi/O0Wl/y2hLJIU8CFGdibNZlq3RvgceMzEoFR8/8rOu0DTepsgkcWtOxQhy5
ePOpH5CubAS5D59ZOdLrrWGY9rzI1AZNObRPrIHxzE8oaqctAoFmicU6QAzhiELFH8L46Q4dR+Sj
5Ubpa54JVrrhklawITg9sUnyxANcsqpvHJk4+QTasJ9ANPrrhRIAcwuctYxB6LkuXWsUGudh5HyD
VZxxjCAEkc3lFBLR0RGdYJ1yJyJBGVWqm+w5h9looR1rtyDtyhepXD1vOTHay5HQ9XKbSTJczgAT
5e61DSgfAljvUxZFLdZI04ftAxzof6PuPJbkRtYl/S6zJo4FEJCL2aSuLM3S3MCqSBZEQEZAP/39
wGMzt5t9p9vOcja0NnZ3iUxkiN/dP28l36Gd+422/PIaaDEZfEYVuXcjoJiIE/BBTKR9Kq2niHHR
WijaEnhOVVResuHrd0ivDdnzsVtveCKnyFATdav2fu9yYsmED9yjNFVZnwIMfPMdjjRCkPVSN8Q6
vRU9kYHE/EFNPK+r76TJd4tw/zEf0vCTksvxecQTr8k2U+XHF2Kz3y8xrrYLTcMD7DF/Sh5T2iW+
YYOQrzA/kpdkZFgAGCFmtCwxxdz64dK95K0H/4Xplkd8w4/xzJVeii8KGNdEP4Xnde+VHrlLtZ0/
smk2FaPjwis0FoC66eN9lS8Vh+Q56ILTqs+wlZdO9+Db63Y5jFNWHlD2EJZmfHmMpiI3fw1npwOH
xU2NDi9ZzzUjw84kXAaXZZU8Qn1OoQy9T1pO1zS1uebUpkP2xKtGFhaE+E1MctLdNEPeNXs3zPFZ
sH1mj0Vm9F0YDSTmismy9zwa+UsYc6BlEEZFM263QYlr3x3H+oJxQIFTlPEReVm1ZDTZlH27kyKG
/M8p91MRBoWLZC9Zw12g6d4sxU+xTYLArticODIfvV4ZD3dRpuQev516DbxWjcT+Zb+cKXUzXC3C
LP+hMRlfaxwrP+xqka8ITRgEO1FP37oKPw2kiVS/dpU1fi3nIMVxIbIni2IUEnCyYzaZkwF6q/NI
3Dde56YHBVyPN4l75kMMLZPbEiQSymjSStNp4SXtMzjb9I4BXPUmPRsIluGS5R8cEY2fcZxqGnJA
TnPeG9uMxFnP/IbD6mD9NNjJbiJdlEzMS+a7wGhGVkDmCjRi2RyoZ2nb30doUYxyyuxxpgcwxWeR
xP4uHrr0gxMmtgEad8CONJH/nqHavBVAsnlKNL9lb+BJb8AcFVdhFWGEEF7XUPQ7lRzEFFoCXXBM
1szOnpgk9kFEIReMC81vZ03+qzvqMQLYkuZPsVOP8ZUSC7eCFqnpnM1+fbACUv+7kAbzAq58Dkh2
gdHBeiUD8Bs1rlkONr2XvpBHkmwYIsoOTUGf8MYKSx5WFakfRewqlEtaQ6+CalLMk2FxuNuFnxpm
YmQtb0Ov40cnrOdvfkR8YKtdz//QyBYl/Fa2h1LlgU8C3WPEjvkCIjGu8lTsAXvyHtpd0IKZGFPr
OrKS4rkZe3WbKd8SQOAdph1tZ5uYw3jBAHTOmrlD+5qy+6m3UMYmh0vm1imzIeBoN/bf21iAq8v8
Pmz3YiwEdOM85jgx5wuGgX6KpyeywHO56wMv+DQCnAsdfcuIrQo87iH3i/p5oTJOAjux+xedhayL
EmNTsMlLj+KoXmbJ98Fy7NsUamTCXqj4Es5c02QBqTtA8pjxZG+RwUc+UnUKjBbBOr9VoaeDg+IM
VNEsEFmU3nPWvrfsfr0WWQ1HQ4jsxKmdjuPr3qkWX/MWlONdh5SUcRBgoHeaCJBfG6xvK5dCReYy
mzWq4QQG7yrts2HYCxyl5rVP6P3LjSNfZNhNrC3FlP+AY1U9dbHF5Xhy52jY+aIpGaZXDir2SNES
dsbMFOtouxh2zLrXB5XGEOhdjW9qAhJjBEQaMWnYag1Tk+cpyyFD43nC9M7dESAJDM9PNqbp+9xP
OmMw3TWvPIAtOlqkQSEX2Tg9ckVlup9FU3pF3mK6rakNp9XVpeVkOwigIBuLhZXhW8qJeJOSPP42
LJMGH9wlaKFL74k325vqGdTh7AbLdUuggo+7wsi2HXqQvhBGY/9Kw/nryca54a07AlWLh1mCkzeC
gkWokd1w2QNfws7m9qnBIVN4N5VdzD9Kf8iPALrUu5tZ5YsRNt5EAI7MspwJFf5gz5MOj9A07e8+
42PMCvAvKIjJVPHReZRlUkbv5vdWJfDEdCJDfKpDYFTI28k6DifkekFPTStOvpfmr5JkTLpDKcCv
1gROS7i6cTDhNQsB3B3uIvNL9482IdOq7Qy1t9kkCwvZLjYcXW4ENr7rxM7ph1wW1xv2OD1Vuufk
hhUG/7ZrbZmGTK9JobvsQpYwWc9LIa18l/K4pFzVvD7axNzLZrp0Fl6LPh8Q0jyLsqJtiU3p27ys
4DSToxZtQYakKKaNcm+FVYDOwnDdRyc+U8srmQAhNikXga/k+tXPfHHbV70M+Fo6csBwmYSnooOu
c9Yq1++rBxkMEHImSOcos+Ng3zDbwOfU4tt7zgH2pNuwb4MXWyOyFbHiShYwR91wj8KuQR69qKAl
uGVGID3Hs9PmzFEvhVE4rGPpWv5GDtY08rpS6rBNx05axzlv8Gl4M7e6jSDS2W0yRjMfmZO0y7ko
ezCzAsSRzd27tEERo27iG1Wz/NFOYQpMkSg4PRBVliv8GAvbUjzy6WXttaAK5NJxbnXqQ/+BgV2+
cSRuvmWYmisMDLk93lOMN4YbJ8RmQdAmypB20qpXW2Ua92ec+J57lbna/yZ7LK1QqYboE4438txK
WKqfLHcmaqaiKX9a3Ka/T4YZaZdbHSwUrprBpyKRZG8SgFswEWWYbguD5xZzYuVHBBQsHvvUal9U
2xUfecyIHiZFDRcxG9TIXSdmsrWRdWNfjw0XrtOC8gHKIgISyEHDApbLpaQGdiZq58Pp69WQ6LN6
b8Y4j/qditxxIrrPyrHaBmg02XCFDp5114ufDTQyfzcyJrglRjc+WiUlglcpd33ytrqcMaDUmEZB
JSscfZws5oPqo+SWPSuS286ZzaVLTHg5zIy+GW6K2nP2NGoDcJrlnBLQBx9Fa+icDe1m8A3DqoaN
MuLlGRfK6Qd2Z5I5NVMTvLhzfyZ4R21CMZfl15wvf4f/ZLGwy09A5ajwG5edh3OgOMYLy+mW0xYP
TgP7j8mbFRJH2qOLxP2u1+BWtxOSX7EP0oVutUQ381c1JvKpIwhMxApvLlNaaEvJAW+H2LPPJBcK
5xY8QjtDzmENYWzg0psN97+mvCst6pxOiEWj3kN1LFNI2Oh8+3a956Hly7aG+wm4EhO9peeVBtWJ
nRoanuKhF+HLzKvvXlS4d+MtuU/5lYoUUHE2oQiKnwV1YltdtW19mucA54LI9PiEWNZ+B5DDrAG0
42pjbaPc2pBmsp/XUcU7wmTWH/Azps3OdTMOhlEAEmir2Ru94xLnLgAMjBbMzQZdIoIDLcT3lA7W
e+P4bH9I0qzwVOoF51zWyrlphRVUJ5OK/lsFzQNTAJGEERxirnD5ga6+82vHEu+MK4l+Fhpf/OAM
M5KCDICM5EwJxt1kuzK98gIcHVuKa0kWRE4OC68lMZKyO1UkKSR+n/Qumpf0WXPwN0dGYVCfG2yO
O3/xB055WV932GgTPE6Bou3wlEmgzUAhHPnB6IK7TG3rkpuums13+mhwtvDZrThncRtNMDv06bAL
15HLuV0gnG6HVWrZlZ4HBMsEOYCJKRlchZ1WLcPGzAvzYpVzed5lJgQZQ4Sz/Uy05brXkFnD+FBA
Uja4SBC3iDmkaYtZSipQo13inqXxkgZfhJfQJEzZmnuPTNe/J6quUfMHmhOo620Wdq9GDi/ZSKac
eZ+0aDOMSsI7isx7uq9aejG2E232+JFs7YBlhrkc8TxT+3GAJBPf5NrWd4EZse3kmYjSQ4EOxtWt
XsA6Nn4LP8tfAuyRea4kX2u2Zbrzhjn5pLuXe5GtKN/Y5cpFsdTDmOmtJzQQ0Cos7OSSWwFLKUGI
pLwAiGGBGu9sG1+MwwgxNux4O+AkkgxPGQfspfQCEJZBYOasyhWq3wQTKHLGdJkfPNSB1912fbQO
TibHfqvhcH7arZf/pFZEfEOiiXo4Irq8LCxMKjDeJnnL6KB8RnE17BqCeNOeHgDB4tHBioUJk4hl
79pYIiCI47/Z9pPl/rS5/a684YnPB7iChE0rbkmPxvx9uWe8l/FBGjMGTujAOSZ/WBkwAQPH/jqX
2pN7jYWPqpZGBMSPkggoMT4okiRhltBzh1o++7g8i85ft/XxmVEMI5tQwvr6UGhD3mVMdV254Q2N
7Jcc82l5SuwYYY/CiSXdAswb868dTRl0amJQgrJPAFfB6pKSzXfogk8SgPSBRjpyeeYYC55nbMKY
LYrCfSR2SNliUDWrRIHFLOEA7olk39dDHO9C7gQWrheCPdsvQza5Yapzb1WYubOTbqfmzcw116sv
hBrQaCGLbfFI9lyX3QnnRRU2Qbv9grSdCWqzudklffwWaj+kdHFe5uuB8cj9AA7V2nzhMOKPDAb6
rVu240fCqfbDl6X/Uvk6vfxi4dhx7GbdcAtdmV0RO8gvFMAa0oWzuvsS5GFk4R+T22JUTB8iaNVA
t4McO382NsUrdxK4zl0TMub9Uox0Ni5Bw2bZFhZXQ8hXHeUo0vnOtIQJFR7mhmt7O0DBC70BMCT4
MLDolfabm46eRYRuQFZcf1Nt5O6L6UniwVuFQwfYJt8JVWjqKFussKw7SUTfReoWu1i5eqESoh/t
HfhMaoJqrwGxl5eu/cEpPTKkNwlLwiuvw8siNn68+zI7puDrd/jxknHJT7Zy8MaUo8a7CP/QWDs9
BtHlF8jCncLENO+cko8GblR2Ig448Gs2DSDopy86Jq/g6T6AtRIpJu3zj7TjTLTt8Ho0+y/DyNIO
ckjtqzj1aULNUTM5gc60X+HRKQ/jCCx8+6UWBl3Z8IyQXoi+waELWOmFm3/0Uaff08rF6tSygm+/
MJ3JuCm5ap8FVBritKjwe9cWzZLgX/tpy4114eqror09x9OVgJ/xHg5t7+8c3ZtvhfGDVx/txoZ0
CAJ8IyuZGTjXE09rOk3FAU8xl1KT4ofchnVjsNemWXIeCxl9WBGTTazS5a2WeU1+sHLKd6zsKOEM
+rlQyHyuLlO+cQlBDPjSyWc+7G3hX8WnKjTpJ1Oy4q106JQ9ONhHL4ZokhEPUGPbdAabCkOWNXMU
oynnjXRHdBaA0b/nbej1h6yHzb+xMHmUW0Bv8vELDlJjgVvq9wAAJSTwoS3uFpP1r1Ubpw/A5pBS
YvojXrt0cV8LVxd3yMnqKWzd4fML9KiUA5iZ98GMr37LzIzjQ8AuMOy+JLgmVDvLaD8483Q9xxmD
VZDuNg+pkN1FYrWUjjbwfUB32ULwk3bmkhq2JN6qMMB77a0KXwLFEEMwF5V886XFvtCHssEKX414
/wLUZFosZF///CJlDUgPj9JBtoSvuNz2BdfiGX7JmhXLGNib0nvoGQymWEqr+rGGDln9A/zA+Stx
gGGOL4M1JA14QP7WhRaomQUgmWYMkVJPW1UZFtO0tGhu7nthNawndhnvxrYpLgdMG18Th6zpGkha
5LZMhPpeykKUe4E79gqAMmYSiPUJeMVkdTJnSrSvnJq8RwvcwYM9cjmmgqxwH37Fz/8j1Mr/byWV
tg1e5/+NSbno3os/U1LW//7flBQ7/JcLfQTB0pduACSFEPn403T/+3/5/2Je6kPmcQlpeIFvE+b+
P5ig4F8CyoVg+3RBCHDl+L+UFOn9i2qcSNB4SbhTetF/hAla8+L/jQIIhO1LD0IQWAYhPOcvKIDa
K1ey+ppGybrxMg84mEYj3s7OkSfmbLQoeXZ6/YfX5n+CjnBn+e3bwjkJIEK4nsP9ke1khRf9AVRB
GYzSrg3ZnFm/WZ5wj+TVRWmxje6iXxcvTDW5f1Wv2P6bPA/r4JYTAScW5bpVCzHPoghGxk6hD3LQ
IRwjE5AYHyCZLhf0FdFQxWv7w07gO3BQS3SxrXUa1Qdmb7N4C1HU5QkUF5wwYbKy3nmSa/SeLORE
bJ5OjctGlQBy88ZpXpKkn39Y5HHb7WJEtksUSzcdYmZ4HVSeDgfGbYuzdcBP6DtKd5oHPDGKHYMl
CMNtBI504xlo39TKR+6rZ/Wo7lyu05kfbRp7TvfgWeSeECm/Q5VntoNpjLENyGnb4nQTzdBut5Oa
M1LoC6S+y3QYfA3QL1hH9o7W7njRxeVUfjURQf9dnQzRsbT7HrCbbd9yeuDiLOgpfStLcWvBBTfo
6ligmgxvR6r9wcehMQavqCm4wb3auPVdPAZ1eSgK4PMPEKJnue9G2RdXgno8JAcfpsnRTm31NtqV
/wL6GNnA0VRTs883CPShviUYOX70xmUb8zwVxgziSJ7Cv80i0lzBTDAIjGk57t3W45cuZIpnKmQi
GXKBLB37JOhGAOMo02jXW2WDw6kVKtgwuSa7EzvygYBh4BE3KGSzpXSs2ydolPulZ09k11VR298h
mAzDA4Q/vidRyvZNUDcBeGNer29Gcn1JMHRAPOzqG4Xz08XFygg8cHF0HfLEINfNJs6/CwjCq8hM
4+leWTjuj5PsoEW2nGeZYcxlpfRxtPqSiV2bOPiLdE4i/0fIYm3LcxS1WBo5fC6iOVPOU9aHzjVU
XPecp80dt//mTQw5/6gsd3X7uK1rDrBMHEb5Q5DV9S3fem7zg4bcTjQ/iGJ9p4wt1V0r+04d45lh
e7V1CMDkeMElz5ftlcLcT622Ei7Wc11RVTGytYx3ou2r/KlsnLS44gAz8RT61DgyRufI00uBB+zX
X4YLtSKnifMeMht3pZzpwUSkiXQHlhvOoGTNma7ZY+wNC/a6Cl6Xp+LA/+Zijp/J6Za+OTQ4dawX
xGxeNdKRPM0yW5q3IRt8SexphPw7jz2/dSUN/5JamPC+YibFdjqY1rzN3uRWO4KpNRYYSWvdGAb4
PPqZJAYpU5f/3+p1J451MNmK+ivNR0U0EzdUeuXohwjQa9Xd6NOJ8dhldUkLVJmxbnQm5IGkzjHL
qFzLzWNGfDG7aOc8n3ccMcLgu+NHebCzaYAXRGdq/0eHO/iz0Hb0tXPqxntLq3ABIFvb3cGz7TPR
S32wkiV8ljmCw2H0jPuI5ym4oTpaXLeYfxH8N63ISM07wFdbSl0YAWBXsNf4WnBROL27QXvh1Gv7
KNWJ9yRnBcUTdYUcAU6PtuAkO/TBXZTUxV3rcUoGqpuBZAKcfymVHT8PS9jDwHesLLj3neqxkuVn
W5NGgsU8eUdRdPZFvxCiAPzc8/Jn8iZlNcYZwszrgeYdghckxn44JTYJNQn/vqjLE/K4PgDseRmI
Nm6qCqxxv9jPTYjvkDf6Omi7dpe69okxpTnObUNep+o/qq6ELU7JmoM8shOx9UDEM99gyJl3+KcU
cww6Ua2wPes52rXW9DRm3bHpBMcxUnPbkPTQ9WBi5NmBnizNWXPO6F8ytOAg/d8EVcXKGmJPnTZ9
kt1EefoclnKfucsClNXp9thLYmYTWfNqJ8xOlXqu3PmS8RteYTs590t49EXanjuoxNpXLqTb9lDo
GLJGGG5cl80A9e8yqU1xQDwsj+DueEJkd4mUxwLW51/ZvaBt16vy5pZnTMx3OJXCA8uU97IE86Ok
hmLt42g/A9OfPOYZYFwpB4qHb83CKAtUOQGedkWs+8Bl8byE2yjSCMK9PPZEQpco3Mm63yWO/OGE
0QWc5VOFFLxpTDm/xQq8MLIUb0s6MrceRHVobOsKiOujJJ7NXg9cIZqxvE26Q8HGjevu5ixP1XZc
SP+LQYb4fCM827JrKazxz4mqops+xs3UDOM2LXl6uFi9DENwj7GHSYHJrrrIOw0k7TbQL2/gzLBU
T1HJqCY/Js2c74Hszxe2N7+ydI5bJuYHja9guvcMm5KlquyCIcZHPhiSYm4HfnjLWJUUDUQVs+Fz
NN5HIbNtOErL3iMNZuuFYX/SEZ3XAKMGUDhz9Y7xi2XIagLumM00kDdbvBhUcTu0+wbB6TjYlXfC
rZ0/zSIeUc1QNHmRkVUIlfvJK5M0rpDZYmi7wPPU7FKnV2cdT81j1QX2e4Sx4luEuOVv/UCDXSZt
esUqMd9q01SoUl74GlB0eXbpZnjnhqpt2lrnBacZZSxIhLxa1G7uksBTJxAumER1Lpt837dO+Gga
pkYYnEfUEIgD1t6MUb2P2Ruu00RhvMP8TWxsGszblHb2SYs0+EZasSVRUmT3ipMiWwJOxoM/zf5t
b0fvggs/PHLsp5s2qwt1tO2k9j9QLDr7KuLGDLm8ZzBEmwSHQ/xaQ3Ns/AHvVNf722Sx0tvWTqZP
dHBnF9W1arf1bGUAnptlCxUdjyVeeZXscI4ZQXSJwAsIVUk0mMs8k2BHFPQP8jaGL8CCupsyS8Z+
WzmYGg+ISYKmmG7CbCIqfmmMlRYOfWPdlEtKcgpTWHCkOgJXy6DTWxgsZH6cMfjA6UZDL4mpc4hG
uY2ChNmT6bodkBiQRP5U4lwBt8bEIMOM1gq/5TQRefdB4xmobP0idz6SUntt0zuwLdIBKatGrjh4
BBYf2hbXHuipYaIUEZo99TrOrrGNYodPkuG7HXrzUZrcfm0bW0LAXgrmBJWL93dTFX16SurcfTU9
o204CZ1zSAbCokxIM/EcjNGxjVaLWNkCInc16P1SMN3VFstLbWIC/JRYX9t5G5yZ2tYP4RS8ZGw8
JFIGJldiMCfFBRNwQSi2XeUfYQnZRya8ytlpZgaP2sTOnu2UsBl9kRRD0tkBdUveE4bJTmhU9alr
nfwikysKiEM6Kx+EnYat7zJoLX2sehlxsCmGi073eErQrxlcieW+1z1JTorJLzvP+5wEfGgip6y3
bTjgfQVUW+/zMqgB4NaJfY2DWJzJqi43qZMVoFciRq37JC7L721IjHSfm6G6wNVR3Syg8QgyxMcA
thJp/qU3fLQlw4SvnaXX2Z+fx0cb2C/D6NxaUcjpq9BGczmJmtVmLaP4FAx2tJsawp9ENmkz0j7g
EbqitlMzpj/ZPo29CWmoPQbjRIlkygUi9NGQ5Ii9CaF7vGfpgZHBfuPRSNnMnHFT3Z+odiuOA92w
4bYx0PA75vTkJbPpHBfKOuS4pJ46CeBuq3JrPpFNyC/Jl3YHvMLyLeJSU/90YbKg7Xd+1F8OIJ1v
FVjH50bgvjo0pU+tDM2RTOHmIO4eGAmF1/QXUfOJdv2V2yPa4GIF41HEa61tONF/YIqeZXp2lxof
hTDI0MLGZIVHMv0kOswjnZez8y0JbG9rtM8sW5Ch35JSxQbZW2uP1jCKaLV4hFSvTGG4G1Dht7gJ
549mdJp87VmGB6V9Z7r1CQfJs4Jupk8+UZtxM+VJjXq5ePdFh0Fog1e3xh826OCc2vQYSTdyIUOW
5oxDbzpXK1DEUIC+L4L8e4MRot0tnU0YpI4sQD7g/O+taR7PUGvjTaRlsXfofNnQGAyUpUhG+7C4
JkZRGFjUCUIhWTrZnCMjxkPi7gdONsltytuPctf4IVNNruQgLFPG7G5bZkfM/84u5sk8SfpQCATP
XzOfEBiDvtx46BVrhqZriusxBl+POzK56lPk5H7InsGQZeAEKvsyLBfvBuuqjazjY0QMW+cw9F58
7bKKowJWwZ54osWen2RPHnQEMgikI+rZSa+xgJidwfPzPeyX5sXzhbmadDHcW7FQx6oOn3JZtBdi
lurKo9b9SaPbHZZmylDdE3OkoKk+xY6jkwNrEOEh0Pm0Pggsg00IqQf/HVv0HIl6X2cZh/qFpxnn
KotTO31dhsk/egjWDIlrMh27lJlrf+lxeQQw3g74Bpjz4fKOvePktMOFqAZJfwYU7sM62TiHFYrC
lo+MdWoJZB2QTCbm93x7vuna19z86m5mYOY9+4ZC57jijp0nfGp7r3PYxBez3iApVY0LfmG6x5O7
ePL9Q+k6zjWDyuA5ieflM/9VJt2tvdKksm+5LNIy1/LT7qNioDvnVxW1ammlnn4VVMc5x0LL72px
GYZVzoYTurxbFFrrtdq6Y5K/62AhR8dirb72GSISNHMTip9E17CAJV5Ef0Ug7fTc40yZtnqt03YA
lpMnLbIfbU3eoezXxu0ULfswllbaHarWX0u5/13QzZXycsSsiKi8NnhbHV3es4Ft3/qQzZuaj7zr
CPcDsJD3MI/0gMNuwDUpoO9skCDdeS8oR6TEjMsEFnO9lonna6/4RI3Ni0xU++YVSYeu7MqvNsjx
vTcn8YWz1pNXWCN4INfS8n409JfjzodYtKg6+vRYih7hG6KZTOy6Q8J5N3XMANzPWfmaZm1JZ0Ko
cV/mjfyuRQdDr2OD4xgAjBw7OQUMA8V2l+niqAujs+Fg6XQtY1972bF9oD1kOeHVZO1t5zunW5XR
5e6sre4uQuqOrlpDKogOHlq55E2PO+Kkrbamn5NnhkKEsSoe8Iyp60IW2WPpgwR05wnNu6FbvkUe
CHhbzvRAqkMr1wr6+Fcdvc8az0axttQX6AYHMlGZxKsj1XsBJZ43dg4+Mrz854a4z5GocH0hdJR5
+yDSOYWESmUARpAa7juNpZYcaFBOF/1gew9LgC331Dhd9dKBR6Vyj3XsalQCQYibM/3VLID+pZqJ
Nh2Wovtldaaf1GnTNluLALP73OH6s4+V439DFsRXwXwGZ4yzNAa7M10lxYma6sU+FGhKH2MTju2V
oow32IbzMskL2DrVe1HN7buw6N6eBNEIcHZWpPkYcS7l1UstfT3i7MYopFRJebuax0OZhyndhQ2H
H/ZQsZw0J85PDmeGlTNIHcj1mZVd4xxKCG6gXN5OsrTfmESJZIO1LblEk41f2jJ4ZP8W7ByjqX+M
fSAwD8Lx8XiyZvOuqDo4j2nF1Tv+NcvyioF/LkVTfWdfGNILzO8BYTd7aHaslvopg+vHtCqVebrF
eVfjLG0XCnOzZjhb4dLuU1uMj1lHrZKVYFgkhOkl0VXfhMU5L+zSJh3lJe9dUzNF8KxfBcRUeTBY
mMYGOkmPK+Vl8B2afNPFZpRmdQFjADWn9BrbgTEQYjtJrcSUhfzZsqozk0hdRlZdaWcUzWDJQfpH
i92kESoYvtrUwcmsPbth/SO4RGzCsz74vzn1ewNnDVsVzVuXWvElgfJ45O6Qq0btubbxRRqPPQoN
rBXDoWgCl6M90Ii9S2/nUwjJc8vWxH/Gh1Ly9GLh5kNETIjQ9a+/z38Nmbx1UOJkpbzAsH1Okiqh
oC/3neICqiHmr40aNdv1BptvLxowSL29nArjTCrbMgds6tsyyXkxHDtfIAxg9VsQi3GDBLTGzSMz
JhnA/DwEJc2RNE2Wibnzl4iXfyaa/Va5lMfsGkTZaTuGMX/CMXTKSwbUon6SJAQc3OauLJ60jRDM
lawJu1OXQsHZ43QEb0WNUSvVtfFgtHyUFeT7PRnUddbza27DsIoXyaFTImeGobPiKs2tzNtVRF7r
fUTmOj+J0RLT1gdTMN1Pcdu80YLOFyBtwcv370GOJHtYXlpwlswByZP3wG8SfjlfrtbpqB5bRSoN
jN4RQkDLfAsjDS8U+QR+pc5Ivn7H+8SYtUHAubVswfvPVM0uL1vdlmvGxuZvkiZe6ieB93S6Z71M
8qMR+Cav4dPxUKbc1NV1OZNO87bkB8GK2aw95dUAZPOFk7/pnitqHfWTjV+zOYx1UK87WhJ3x164
aMg6pGHiujQLP6gea6+4iX79qmEY9f4FMz+L4HPZzVv2dFPhZDAsKQM/w0ThbFpHDLEkMzpApAQ3
qH+p+n3m1/yKU4Hkv4G3NALhbHRyzHqvZtNwyyuL/qKN1pP7jOWHhH9P/0jp2QdVBUv56MbD6G++
CIoWma3RJ1DzsQStLOaYJgxGlw1+RJrOLsLaeG9/rxT8tbElctwQE5SIHJ/PoftnmSAfEzyxGaHN
1JE0o8F5JF4HiG/aRCJYHZl2X3b/ANF2/vJN+X8j5xdhPECC8X/TJjhN09fA6WnjowG+MaobBC4I
2/mpud/t0HC9szubFmfDYOEaKfrKsqCt4HnuRtXeF2OJdzQahLfPHZJIVNkBKkY4/IZRjjQmwAHu
xuDM2O3nTlaUWQ1d+OT61vAQtMChIru16ZamFHiH3Vn/E2Z5/fH/oPjwUooolL4bhqFAQ/z9NV2I
TtnsH+tKkKSXlZ2il6aq3RnpTXfI1+O1DMZqm9dJ+/gfvpuYEqWQ8NJhla2605/fzZaP2pARWNzA
4uJkqQofpZYWQRJx3CCAR+b5P7yXv1G4A35ZTq0hMcFVfbOFSw/BH3UmXWWmH0rmSBqa0c3iDgQv
PAq8pnzxSD/EUXhVqja4tbyhOVch3jqG9QYsWB8ai1gYpliK1KXT/8MPtn7fP78JIZh2fj7UP9S1
4LeXomq1o1p2dKpFnekOh/p0l1PzB5tC5BwO/v51Xz8lv38zlxymI0OUNj5Pf34RIrof69rYPXm9
tXU0LRrZb6MpcS/+/vv8/ksh8yGqBTYDUeFQcYJm+ccXGx5fntukcvhwGkbrgmFRAQMtJbXLLIO9
4e+/3e8PMt/O4TlyJHIoQ//oNxR2NdtZxXqEd/XXxpNNGULDPDMFOhLzY9GHE71OodgYmCIvHLJ2
f/8D2H/tWOGZQsF1qFhxBRai35aKbHSySSECYe/r2v4FDshi7XPX7XzkRiu55cwBusQySYM0kBr1
FpNmtBjyEPfiakY9H87FhJFJh4J4Y5K0jjdxRaJ23zkKUJUMMQBv406uaKYpHpiydawf9CGNGZcM
7KgnupPAcddWSt4mZokmP4KVFcRz0liY1vqOtf/fGow3dGy0iAbrIdSV6EkEdStAfBxvc4zRk/kW
JrObXWLfzZwbVAefSCNwgfmkwYJ1dwWEFNK2ZrLrJy4XbKjINEiBLbgJlCow3ekurGgkI4kRU8g6
CfDDm2iM+bOGU6mgqMXeZYt78z6JZv629QLP22gMsZjYWPHs4yi8dSfOU04DzlDyw9fYvI/kZXgr
WdeS96SZmviA9zg8l9owCXa7oL8i5Bd9CrnG5HmNM84AMZLCue/8OH6pohg0mgY387yQk7+nILxj
M3VcfgSviJGgHEbvxVWmGzb0Ihj+i7oz25EbSbP0qzTmngkuxsWAmbpwkr57uMceoRsiJIW47zuf
fj5KVd2ZWejsLgwwQF9WKRWucHea/cs536EIAXQ7LfvInOf+0yR9neBIGcEAnhKDfM8ZDSXDt94k
7YHHKdG8cnEwRZWGw88xYkZJvr7U6Gsxj6C4mZuIKioFyd9uGdTEO2VKeC8DNjfLPoBK0x1IYOeC
zucmZnn3sx7BdCTj41QKkgljo2OW2gKDU/edNqr5abLH3ELIVTO/7uVc1f7w8yf0seBFepYxWCUg
cNobdEmxxOCt/XwToNNtCMzl1UsEMdl5ochHJJcPUXuD8lq9t0vSsaipoK5OEWm8MVkvrzrOeA/f
DYuNGXfRXdB1Re4HVYpgMlCcjyDFYpgUrBWsAke3Zgk6yKxNZuX4q0qbxoTogy4ZYD3WUPNhZNk/
NBSz9zMgRbIRHVuYHja2JTvSNxX/1bX3J8WBrkEYoMNGWe3YpmVpf0L5SytNK0MDoxS3MTV9yALx
nt+Rc8oRAYQorY7uEqfnI/jrQ+LPh69GvgLXrM3r65QTf64m9JEGMcDjucFbwPkeKsyWvZL29vbX
r/PnqkWTJooQolEQCVg2IqY/Hr7sniJSpZiEoEhLTgYsfdR32brizYrmfQjjQfsvjr/1OP/9tYJw
gRmaxguTOqIi6PjjKzLKRXW5Ss2EodgvkQRChpO4qfcIt8yVhGTTK2eLqjrAubUSI5wMfvz1L/1P
Nw5ZWsgWpIqbCB2J86cgi5GnaCJ5doG4G8srvl5M2OFkfEo0+Ib/16/1T18gXgtSveUQ+iWIWTH+
+OtGBKqKBn8O7o4y/Up+Lam2AoYrLJ4BRoQNtvz7L3nDv/665MzYljAw/ug/S5zfSWUWOetKAahh
o+L6uQHV4l2NS/seAS+6EgNhYx7OfLP++lV5IP/08eqqLpAkmY4wKBlxK//x9+UuIqoWSR0lSZdd
VbVt0dOqEHEBDaGgJNzE+h4TmvDDjEvtO6CRIYP26rQfbYRRylecuf6ul0mj42FVzROBp2zUq0Bm
93Y+GM9VYednFIYCUBFyhxfJPvgjh6wO7jBwnAjvBCoP/C4zA0bioUdPD4fhI4vxrGDEltPR5GEo
PX2U84dhDm3tKolSE08AogJdm1V+HfGH1btF06cD+ojCuU2azS0yx00Yv5GUk3edG4mafCtyH+zc
2Nk/2964LyDUdw7QHxYuuR0cOmZV/afUO06HNnCW6oixSNisuYpB2SN64TCFCoF0G+13TOrhz/Zd
NhX/f/Fz6KMYlPuXnBbcuYlh5icQfRYXdyocqIfUDjUWq8vYqfkRTkbi+K3TVSh4CBihFdVbNPqE
LJQ695lcbiGoO6QdYPTeaSI5zjP2fhe8krmzjRfB+VKMiXKF9ygf8Y6u/7iwWTYZu9TvSVesky9i
Ja6tmXf8IkhlmAXP3N0ycaadCb2BrPsCbY1WDD+yzDAJc0yHkPt4dtQW3T/n0Bl8H5NkE1SYVzVV
L/YYcmYmj4oZvOKSL+wtZHGJxy803toqHoE0cuF7jmKZ1VEpDfNUNCHmijlKHHCN0iEqIlm/2h2K
uD0LZMdy4zLgZprxGa9snXFoTm2K10NWo3n6dVSbTO2IPGd1mJ5/zWoIkSja9yoa149KOlzVZLVT
Jv3679nQrFyMmAiyc9w1jjiTS5K+TRjKwZlZU7WHDiUtLyWu/h0WmfWEahyjqCLUYPmCNCWlYVIw
lQ6Vgqemo/rcmbM0tyO5uN02I7Ekd9Wl74NLUuhBtm3yrq19hBg5hvOxnQc3mywBTwCRjQIiwOTL
/EuCsjQz/+QC/ni1s3KHSXI2c6Mxlq4gpjQ8IzmbsfXDTSAHkwNiNaU8lfP09zhIshzDz/L26wD/
t6LPb0D+upbYwX967k2qWs1REQPCJfhzl0aaSCWxWQLtkAw/gJZWqXJfdtVSfP15xPxLOtCn/4fc
yfWFvpXAUmC4de3ffoZX8it6H93HH/6HT7xnN9/3n8388Lmqx//2v3+9Get/+d/9w3/7/PlT/os0
PRqg3x2z68//+9+7+8g//8//usB7/iw+w+aPkZLrX/qlFdXV3wyTwEi6VazMa4TeP7Siq4rUMLhw
TYc/4wLiT/6hFTV+M00UoVJXOaa5pLiZ1hHFGimp/eaYqtRsh4/SgqIl/5VEPbrnP303NMgoZA7R
4gnNNCzrTwpkxVR0CNBZ6mYG1lYWetwNbMjQsdElT0zsp66aviDiIFG4H5iJQPjA5bWZ4AqHe5I7
EssHVtRSquKr99k9WmfGsu3iMwMk73vJZvVJ6EsK/sBq7O8UzKN02zyXCJ+QDnkjKcq5VyNrZ1kn
mk9bAFDZCUXa23wm8sixg6ZmJxjhnKZJGq6iEKioqAzgIwgtmZ+zyVRhX9ZLsOnB1UY7pxfOthwW
xrGCMfJzjkWUVT5uIZNHmZZ2gz/2y8yDchFAr2hlWrt9ZkKLeEDwDiiujYdB24iqBPaQ5cTSqaYG
/U/RzIrVXKio+8RQyNHF7f9pwRNTXE005XEVmiWuEpVx7tE8OO8dXj7AP0aHayvAZ0Dm+qislhjT
rM5SqunRUauqv8M3rzs7u8ZDbWDpZxhGdIG6F/hxn3BAhMeYVQHswyzD6mjDGLxLMYSxLeftBgrT
ma9ta+gdUoi5PNmYyXEB9iV7r04mtBEVwhONDfCM/ZQERbdSc0xjgn3ITcWdxgBQ1MNzrVgZquGQ
hpsFGiEUJFG0zMCAPfFLVGJOf6S9ie+LPKErJjHSQ5AW9DsQbiamNKJALK/sc9lc6E61ox6zHuXj
7bW9zAkWtx1Sm0oB/dYvlgnkJKI6JuVjZCnQfJv2VpTTtpY9oIya8dXZUUT8ildFvlg6FCFSslXj
aPe9JZCBSIXfBYI7mY6mfLBTGCV8wVdRDfbMyXfQzWS+EhQy5Ho3K+l1Tdo0dylGstvSNctJrxaC
/jC3DiC4+PJBPbIr7SXXV3vmYGqhn42jBYbFrOsEkQMNv8to6wO6R594IB+0n/O9j5h51eK1Uzcm
26wGtknC8DosmE1UQUzj5aoBquzmneVnBsq1A5sbpgox8SGS/2WTlmn3kIZdcAGbxbA/lFx3buEg
zHL1Ms4OeWFloGJwEkp8y8uy4g/69NbKAlcWoH1UWnyHmDk7S4SModMbwVg/LBVqBO671SXNUQK9
y7LuHFKyE19Dj3YV9G6KX613sMfYKgbRuUSw3tVqAHXQhkcuVI1tFgN/gp/pDL0ynZv8WAqjOrSl
nddbk+KnwAYWkhWgMWdfne8G1o1R9UKJGsweHQCGcqxx9M+xyHGmRK16D7VRLQ500iSqJUGTLjiN
pCaeutzu4BLqNsrlf/1a+u9lHf+PMzGs48//3MRwjj+/RdxPbfcZF3+IfF3/3q8LSv5GG8tkj4Eq
qapr8uU/Lij5G3eSo0khcBFIJsvUFf+4oOzfdNswBV2atUYp2Pp/XFD4HLi8IHQDPLZUAKn/ygW1
xsr+viVV11uOflJI4pXZFqw34e8nkL06Ups2NTB8PccIbuGwXjpxLVPEy2PQ9SsJF5krvjAmbvXk
Y+Rj212Qy62qvfXEWdl5dSH6y4ICfoenFc1O+JWj5c3Jw4Z9E8by3DKvTBNGggAw/nbpeYDpCzah
eU1hSsAsdfRDWtmEpiYQPjZZk4x+hY2DOVkcAJYM8/IHLB78xuXQehNzaTfGEfAMZx4fdqrbhyqB
5Lrm1yO3IoHHcTJxnWvmKc6QwwpVoxuZkGh9Vkp0qo3IgY2EERliXHYHRQQaO7EfRN2LXw3//7eC
7ff12t/+BwWF23/52LgLj0388fsHZv0L/27+cfhoCfzWBDf0z6fil/mHjHDaamYX1jqUstmH/Pvz
YmrrQ8FUxWbYYArKvf94XhxqvZ+1ubr6dtZv+D+q2b+X9hTC/2mpz1PIo/eHJwZ9M+YSkx/E65ho
yf74xDB7oyWzENHHDfw9cO7XdlrkHufRMyabFiE8VpeZ1ABakACJcm9/1KmBhGBuXptCBbLNbveQ
oe7zGuerKtJ7BpJ+yMhzbOzY5UhABKKCG2cRTYZgJ3i0zOLOFPJk51wICGldXZmLndlyn2DfFQN0
1rCdTlnT7qsIy88i/cTkYpHlpQnLi1KAX4nKCzOmLyjdvkEL2ouu+dEq8mK3xlGt7IdIH7a98KOM
sdRnOZ0G+dIt6t4MjuF4xGBz1pzntDbu2oSNeC0yV2VSG8w7WRHkYJjfZPUVOYQ7hBfVwiQeaIuf
x/mNDCePeHSfqTxGlJcMAeOcUj/0WyMIT63ZktIDUWR5XLKLDnOgIyuEG/VbkqrPzOPAcy93uFCA
jeZ7RT6NeQQFzLwmzftKz6gy7FAzKG+SDsLoSHVwmYXbWDHxkV9F5M39C8bHHW/jyPZAxpfJuNO7
Y60ubucUSALNTyVUnthik30FVlRT2ieyNB2TNMLADbPHANtLpuOqractzaZXWMGNbFzfjHTPadRL
JCqEtSFqSJqMS9kmu5V9kzTTjhAmet7J9OZpPNvqeAVygVTB2Trp8D1ttsBlyio1kOsx6iZ9qYBC
ruu7OKzu54KKblBcQ7mKjsVoOObdQRdqch/ysrBH8VgejeHW6C+ro6A3Z7cab1l3hMCzKdAzzz1x
blkko0PUl9gWNbheGGLNoHkIs9i1tVtQmH5kG17WNLfQGh4bh5Ydq8yuNQqqKpSofF1BlwDK2NjW
fB+iKKJ/yTZ2TD6as2yhzsMHUNFijupDa/Luwhx9M6a548in9F20H5r6KeA7eXo5XObkRW3zXcjA
C4Gp2wyvlWFphw43emJylSQwJutZf27R6BiSRJFch6Rkb+blICGk4eA44TJBVdWWV4LhoNb8SOzp
rpWZB+jLc7pyFyDdM9P3vCIKDstO6+SnuIcUXpzm6BH2Bi3QKqv7mHt0F6Hch+T1ZqRdmOpwaxPa
jtIBDk2up6H51prAQ5Cwtmwpel87vSfIsDjokNXxiHiK0dx1Se6L2LyHo+1qKGpRo+5HY7wQSPhN
ZjhcZo3vwZtc9q1SeUHHzDNvDqJ86cj+GBC/l8UR3fOG6/806BOsZEl0mypuszXsnTS4D4b8RxSa
fCzdTNs0YpMJp95bdBM52NB92HrzTdITRT8/DcR1kQpTaYCKtTZAFr4MZ07ekdm8MraDCG8aP1qp
flJUgLNzBgn0mAMiiP1oSU5gff0epX0S5jeJ+lKdnJWxVW8JikESneKL0Mbp0U7Cd/KaFi+sUzbA
K01JWZxDVJKyOtPXeLOjhNspyq6TDYqO2Jtn4mfcBpC2qmZoUkrGNe9L5cPTe0vTG7yZfR0QrFQb
j3H3TUPLiFhh8SxcX5BRvmpOfRfZa2oSC1GKcy77FQQWgwgF5S+Wa9ab0wMn6ehhjTtryNXYWcHg
cUq6WVs/6ZldP5aRAlBHFQcOdrGr5+ceyfQiaM7q0H4LtBzZXCkeU9Q9IDoR5HckFTkZNEMynx7n
CMWoNev3YAqvyWSRc5qN/dYKK9ZQDeT2UlOs7RLxTNo9iVRjGn9J9fZUOhJUQnB16AOw1Z0dNhhP
uMVem2y+wbLEOWreAVAHKnPqmTN61RB/Iot6wLWJs1han01AlN2UJo7Xzkm0Z6ot/DFzkmMj8gmk
yHRDR6u8Gx3ATz5wyBOzqfcwRXoIMg35pVYNeQ22y4bomnMwLs1dXK+pHAMJpZXIzjYw0j08NGhE
1Vx0d10t4ksMzhK6UO87sUEwLyptJJMAeVUafbsC0JGsUXROJ61HpSHNxkbvyImtXoI5CN7A/iAg
sqb4BVXTuDXnqLrni5Gs+RLx2c6xWoVsJrwQu+TeAkxEK0YDnYUKyTmcrBjILCLqpgRdtbZc7EZu
EbzxoUFMU/poFwKd4Dz7Zqpjv9ESNBm5KbITaCk8iU5Q+03fEFoYVeRKLXC4cGNVXfioKcreqJUS
0clDG5fGOYC3C0Og6v2G8+rGxcszM0iruGsM0W0N4GBfwSAwYs7ErB1m2+BSZtTEaasXd3Reizcu
Q31lrgwrxHpSzKk6TInN6QgvFMbLD2O99UL9iyhU1Ysc/CCjkR/TqiMujWxEAUuRbCnS66Y0PXR2
IWBiLrkXzSlTjUjdMuXFyyOj1wxg6Kwa53Cq+oOY7UfCtYqLsJP0W6cSuFyRU0UkzeIQLGE6TCAm
mJ9E6W2Yt2CeijNWxHVpoVaLqQYs/WueMKoEPcK3ltnKVinb20qFIrGKwlpUSuejv0KMX68/zeiZ
/XCXXYtC/zC0jHF3BZuojaJ9XjtPo4GGmxwB1yDg8Nyr1Af2i25LuVvC2XCbZFpcpZy/opTtOSKm
+OSYY0DWhDPvGbEwt9Z61hD1ZZ52GJiaeIEKHWseCQaqm1nN61IU3wcrvE/NWvUjJ+cc0LOLNifP
kB4ObThfoly7R+u/NYxi35n9E7sFTxPcJ8HybbLTLyWS8lipdrQZXhxnOwI5dhYK/hi0jThPk+Wt
KG1Zmse4NXeEVbtrFgigLrg6gTu20XHBJ7gpm37HWpJrqr4QQH+UU34NZQ9R5Fq35r4olLsSySxm
Hl8hLYVxVOG2QsNhxPMhtOqO95764ZE8WXmEs2i/l0E7nJYBhrcLRxYtpzpo10wBJIe/N1k2OYRG
N80bGIeLKnAFMoLepaE+bZsCq2EXlcRkdYhZUbsDG2IkNkqkkktbIWNtB3MPoBOUOiEKRHfhvTzW
lWGfmGJbXxmQTG6kBuVpwLnHmGv1gVZLdE8ryr2I4jXbtgO+MIVN1M4KMxKoc+IUhqEjuaPVNVDM
3EpIW5fTEAmFRD6Z7PpxMfd9lGrnAcDbF5xh9QMymtKPcE4LVihL8CiKkbQCzQrIalJR9rv42oar
qdvpoa5M5n7ZVL8yYsH2OwLAZ50UDySdoPmqMJg8JcusXVBh98dWdOaPXIuAM3Vjdy9V5QMzATcq
sMHuzgEsyRaf7C18RKpyl+RRuu2dIn5S+1E9wDYlyihS7XumwjYY/9A8ZJpd4dqt8YcpJB8RE99x
/EVYn+AVuqM25scm1rk6bBTVW84Pw9gblbGfMis8DjJ+09t2EhBHVPNVw4LsLgQZe63dJzdJMDC5
s3lrYByJIN8lxAY/W0MvD0IpFj5UwD5hE1CkELHoanmrnIp0nDdLIo1XI8mDt9xos6OB86Zw83yh
UKxm+2MZqIdxdkDEEhgkd6Od95epUJK3RmbOYQKSCLJwZBaM0aoavi8ZUcHTQNwOcvwvptWpHIhE
MdlKLy566TzE0twBVuw25GDh6XS2qK7Q28C6DgcCK+MpJ14RE6MRKpegKO+cZnoBgemN83inI7tY
g0Wn6UTV3nr1UCwuaoaF1IrgiyHGbcYoYmOkxTlWsdNFXIPETh3UvnxyxvzZyJYtGFtuJqbionzi
coWc5Pi4KjpvaiYi9cLkXekBQ1mKRsiWXfm1Wi4+bpQb6lJSaHvMIyZwG8l5CSs5uGR6eam06CDb
D76DpZulY+VLK3wp02kD/fLa1opO+ae2h5JYwuOqiWGgQOpGpySAxELxuoww3vtB5823oZvozlc5
WQP3ADhWa45j2P+ietL1moywaRFPSGl6d2VYbCxiGVyRaPq2TFAmVknzvIAzWBPZ0Rzgdna7zDrm
Nu5P8DfbIMjKa930jJYJuN44IUIR1Q4qf6qUY0jCnl7Jh1n7UsamazBkNolAD9TC5UbxbeDWMkK+
ig2yCsnCW4k4CVWl1IkhUqbdNGNE0cwfxRz7tRy2GIePgBg8tUkutfZaEdf6XWrD954tJUyjrmDB
SWJIhu8ZXpyqjDxlAMlZa6Jdti22euzsSC4YiBkkOgECHkUp94aSn9jHkZel34VK2x8Ltb+tq8VN
zNp8lzGpX4HOu0ppPDzeAeYeK1oQcLWTjxaejUPW2LCbksq+pINJzDeuoL0ZG8ar2nBEtJFFsJuW
ttZW5Kp5l2Ho8/M2q69s0OFeamQE5kHonNoeggNNnA7INsSUQUy42DumER1R2BXPk6JIeMladMv0
DNV8ZNivRGjPGJqbZtcFVQzyDpPdK6kuyw3WA9B6a84ebbPX9yqysC2G6i52nUyar7rZZZdoqJNL
Vijykbg6xPplJlinMhmmuRnrw8omfh3ZzD2FWZF/THbWfR2oN47d0iukCkYaAqRa657lYPfXPiUj
Vomc7As2NHIUB7bVO1E0rB1Mmcs7OVrdW4eP5jFtkvAB7y0XE15vil4dcOtTD3riy2KJKPWYR2oF
pNw68AxZTXv8BIGrozR5MhucWEj0p7vUrNQT0AIaMpsvqmXn2mOg1wTuxY1yKUQ4H/LGRsGUxqbu
Cqvi6E8yA9hgt9TWmUuAWDAh6OEcs8H9kXJv4l4mQkJtxKOUZvQGu75pPPgK7StkNjyeYpn0F+YI
06EJE+E7eYr43UwOSwdLAPkVxC1oUfoD6fCUdgWVrqczdeStGbioHfxNuMaiF3DNwq+tIrzJFZ7e
i4H1RhsKwIVkYfZ8tewo2C2QGVySTrHE9TZ9Iirl+ZTKkDtCps6xnchOn8oCEF4L2WAsgOneKgQT
Bw0nD8EnG0PVWi+Fp4bd2nrKlebGvdtuRpBAbkDEbtKLR7R8NDNATLKAtkabFMK2a/K4jWLRvksk
2Ahloaen4O4HpGyfcx93d0OGsZTsRr+gXfd7E1gU2jA/lelbCatlp9vRdpTCTwzOcHu1yJjwiSJn
pAxL39nomDTq+hvL8rvKBFzVK2r45ECGYqMGJH4omNsS2zFiQ1mGUzbSY0Y/FkYmgu0JkMjXPgoO
ss/8UaB2xeVEZKS+sDUD3wUa9zgVZJzHeN03eTaeSz3bkuaEopFWzKhyj9Z0bSbvHTu1+D/HYc/6
RnrzcG8tz8maKwj1KWWs5ACWKvvoSY27lcZYltDOloNql3uzwRrYj1pI66dVF7367PTrAtBzJCVy
kyU5rXZFNntqmSC91NJVRuYadk3epuNJeYrrraHXGc9QTJiNGn4mWrHFVfuJCzB7hn15wSXfwKlB
o4ycTOw1HQPZrNNkpUl1pb068FZ+V1ACgysIFB9T1jYNpw9Lt24ccpz5HUsho/o+D4WvVm+Bssyu
xfAkQebvFiWdQYc/2J2SweFASMk6WlT++RpeYEtRXjoyA9q8pjsl1q9vlv6kppa2Aoh3bWBJv3Eg
Iy4kAHhpzuRwteCrGBaFczbgJiTJe21pVxLBvhEEP3pxzx0aEvlJIF3geDl5tTtuoTW/FcJJQ7Yc
0ReMVOq5wjRS5vW+5hFyc71s78NFSzZ163C05EiA2yei6M8Bum3YDuVLE9YIRZwPIeSAUbqId5qa
XnCOk4v02HfKtMF6dYHDC0ALYUUiLyEbQwwoXbqvycwhlrE1/dZYef9y/opj8dzLwLrjzB79sIDc
Gg9QT9BgIF5hz834183M6KwyFfIt2Acf4ZLwJbTq8nUpQTaOnbld1m4U+hYrQke/SztxlKH0mGwg
a4rVM8CFc09aF2M0oD09gNvLNBoTZmGs8GNZeXo0E1AS+H3c69xK5g/VIpOV8BcCJgizse1HNEfl
i4GHzBcZQ91RYWeORRq/7pAglIlIhujYgJ8V5k+PhsF7ExJsj/+lu2O3trPi8D4vKPGNQX+ZacD9
epF3hh7yfpEArDKfaVMagWKbEzpSlOFzWhrZTha9dbJ0QOxdER3apdyCPG38JppuWpabTznDRmAr
yjYk/MNFw2LvyrK2tzpqNmx5aJap6517JUq/gW2+6Ys48i954U68sFzkkXc+JGj8fTjrHIUJd2MQ
xgczBjuoiRjHTqH60N1u6PkZNuLm3Dgpjt8Az51VdLU/C+eEvxDz1jR/4bLSqPXJAWIudO5TYkpR
VrB7VufmNsRadaU0uJBccLLW52IYheE5YwJiQbGPbRB+auRw+ri4v1lmTAo5XIrHKVt47NPynmEa
h2QzsWkiAfreSmuoOVnZ47zTBmeLfklfzYjmeSaF4Ep0Q7zHsBlv47FnQDMXoNAFaGCGmpkVoHur
rBejT3fj7HSeblfVjYtnV8Do2Gtk3V4J1SPIhjPYNpOrZuWPjgkMdTC+D9Xy81biEwlmEuSljmZj
TYUqkvrZtCcIFIITde62eCbIC9S9rq9fDOtLLBhIh5NqXKP+EAakPOr3Q5T5mfqhMJR7dEpzbXgA
tYDhaDZ0YuJx1ud053TL8FTAxyFYZOqvCQRDH3nvoQkW9WKCivfjxHmHZU+hGDcvUBaIU2LhZYBW
Bks/YtzOADRV9YzO2J5Aa6hTCgyMP+xxcZ9g03iFeh10czomCilqDRwoxx58fVAYm4LIh+bnp0jP
NligUNQrc0ahwoi2rw+pDA6qplzIHt0MbC8qBz9c/EwRrLtDo+/hIyW+aXY+UXbHhSHsqwrc6IID
09yI3MZCX/dAcNph13DmphAziRyC7Qm0wjXyfUM8y1QRC92+waEuQCeV6NvKtod31Yt9IchSWJhM
P5dd2164Lk1WeTP3YFL9AF7tTbA1/BgEuJtWS7K19H4VT0cKCc0pCwrsVuq27fJv8LBPaV2cmdsZ
B+ijbw0JDqehtxqgQ+MhB5++T9Tc3vTBAms2r8BwEr6xGftW+3Qg/uxGvT9n69uu5DwloFyPaN07
X5tnUIrI4AeiWLUgYb8TTIFbmON5dPiSEzhzRMDdbHNH4BRv9PCYa+23PrPbpySwPqPC9LDhrxQd
D0uosh16spQJnwbImKBU2hSdqnkTSLWv4CI/0ooYzFQOxhOm1ye+Bjfk6jEmw/CT6kc/I0A7GqNl
nshPOYVDgqYuZB5MzhdSQYx+lByBr2ap6mkEXKDKHw9hha5AX2goy9y4pMl0o2u4WmH4qvQzIwiR
78wFcX+d6EeChotNU1MLkIdxRtt/lEj7XEWXpEZS2sJDprWtFcclM9fP84SaCo+GYVyi/mjnezsl
MefSVc2VttXD3bMNZtvi7reyLfwjzkUYqrZib8Cj6B4E9pUfviX66SJU0miEdt9DocfknfqISxSK
G3k1bExtywihWGafpPPg/4cdqqIVwj6Qggdu9wSc3aYueTS7PDzA4r1qDbikETay0Oe7PmV7VKvf
YWRx0scwLGpSxd2E/4Bo6XDcpGDo3MUkoSEzQEjaX9RG/UGpvbcVp2Bh1G+V2XkEUnamrbp2Qf+9
ELFxdlpY8HGZo/gNzfE6KwCOZzq6yl5eSdlVN05VcnHfEYJ0vyZKMjp0ScA6Ksa8LzqReItsd9Yk
j6NsITsljBK0sdi09Xw/OOq14s4b1eeaMKihiNwkH3dkSDkeZncfe8cjH+uGQokYwYEiiYyi27yu
HyvJyYxQJcyb9CrK5dTPuoex5RyGDMiKhVvDDqLvROxctIIuGLEzU+GsPOD1f7W5NjE6M/kErOKE
N2ud1GvKK5xwy5/0iAwdOXuOwcPfo0K+4ma3N6NRBqQ82+aBGcubrMt7LCDcPZM8FD2rqXBXL0rF
v1XZITJ6N/iRPd/pEc6z0vXfcVds7Fr1GnObWXdS5tvQYl1v6xcwy65FfGJG11hBYcu0d/i/EzqD
r7DXCXXYOXSOBKrNmeJ3Je/C3JDOpVzE1B8RcbqOquz7wb7GcXBCOl1zHScJZWAM21XVYOPk46MF
eHknSt3xorpmJAeoF2zI8kgMRPJUt5P5WNmw0shh1Z6MciRdDsacwoJIi8sTDfNRFA5EW4m81bH6
LxjCTbfPWMzNwhxXdMQ96HmbGbZoPb3uSIlelAOyImKRNedTFpyTuE+A2epL5mUlVI5kAD+akJdp
pRi7dUEwZ5U4brF2RFVPeGYNW1gO/TWNG8or6CUUhVlLI6Tcp31zVLIQvl7ExH3N/MwgNUX5TknJ
gBSyO+GDi45SKON2csJXcLfXuUkPGhxIMgSJzma2Z29Cpkxu0gJoAMJzyhkwPidl/QOV5biSWJxN
svACQJ0fyemevLiES9wWmdgphiBtVO/2CaBjpIMPOV5Oh7blfmhJyoi6iN0ajGaGHzGVlS6VM8Dd
bZ5216VGNAeCS4mXXTd/Iz3hqpoPRRns+5wIbrI8KNLZEmflVm/1nZiLB6eBjtSB1Um/tx0hQYmz
7wjbwgZMEUQOyrbohx2ez23MLK4Oazbf1laSuAHcfQMbwhvNc0K+t12eugKslXiy0vZqcLaHUX0X
64o3dbRjxghtblHEuzSK1u/bFFd8n+ovSkc0jGGFNDbjGAS2u0Cl2WDY3cbWE/o/N21eRDZvAzO9
i0S4DZtDMnjZBL4+2onwm6Qn72fTrSkNlLllmaNjuvqhA34YGrSL4JDNNH6zumlrdN+AD6tG9ZYl
zUcwKzd1XNUHhhdColkixkNEkDTdOUt1VyUHMMqIM/qcE87kuiPxBkk2hIGcCU1mgbrMODuG2KO6
dykIj7bJp2+rkM3NOHiq6pK4F4KbaOk027X4Oh8Wh74b9JSlPgAKDR+bsK1vRc60sFpAorSNIneI
PWB9Gk38VZWBgJfEN1oBDoE4Ap2fz/a+TDeIiEI2kzHeF7CXWLyLmV91juYLAs72GBjFuOsGs/LL
vBAvMNzo5KaWcx+cUOvJBoj0FGGsTgrt3bR5lE20REx1s/BHK+zwoKac14lQy9de64aZ4jWa/CZx
qocJPxuUnPTZYAk/kIAIB32yYQokOmRJyoKnieIePWHmGVrLls98q1d6ErCppFGe7ZXawYj1HfKq
T44pK7GMw7TU+/tWFQ6X1gtr9HJXzsRqByN20px2gdBz13IwLDKzDo46WBzUUdk35L43Nnkv+iAO
ehT9GE2CIdoK4DA81g79JaXLQ+c4R6Sj/a6aEFbZzHjVwLj+X+bOYzluZEvDT4QbsAnktjy9k0SK
G4TYEuE9MoHE088HlSKmxZ5Rx+xmc29TZBWARJpjfoNxzgrgl8m+pS3Wxi/s9tmuaBS1YgwxyWNw
fKR6HUNn72wWypSeWrobvttMG8sbH1CNXjun1X0/jSccGW8TUFTwDV+BMD96k4Vdw3i9lP0xD6ae
WsFU8BYX64QszD2GnCHxYfI02/ll5Y3YUyFWYnqc17HpCk5taR2om04b6adP3ewh3rlSG6hWo6i+
nWaakYr2jVPcxHFjUy1UqK69946ytjZB/pZsFWAJpV8Pw6XVqfd9TKlrxRObO1rZYBraHayUcmtm
gtRSB4Az01vfUw8IWNGMWeKjNxevSq7GqEn7A7zzm2c3hNkiu+xntz7y8k+4nY2bKZ1PteUcwSsf
wiW5lIJ2UBw0tLmTqzyWXwgQbz0H5DK0gvsZ6VK0LW59O8IrLpgRR6muc6woEoiNLLw+oVawbsfo
uyDxtosngz38QKWk6XjQIi5e2oUDK9WXOISujUbogbXcoW1aHtuA1CUeX01b3eUxUmzo/z3ZAHq3
HbqqQsePCl6DXbqvKDNe+KO6g6tySKhZxGn7jpeIfUhc+SlrQFQMHUXfcN/brr3zVXeM6sg7hZhL
HKBRenjouBJqj8+xXfq3MxHjWHn3oOcuBLTLLUnlNyetoo0trFdHobyJONh77kBgqfPokpY4OoyR
uk9n5y6W861rJ3fWFCMbN74gqX1XawQ+Q/MYyjeJ9nlp39JGbLfhWOwDDCBJZOSunILtSA5U2PpU
5tkP/JVX0aoO+aMcwQfIrYQczk1J99ofKLVU7kVOkQ1r1kejniLkgzL3FNXVw1w9uYW1G0exggPw
ZF/soEfNCzg0PpYXCcoPnQmLfTq5yHClGBvldQasG6GRzonv8gw4du5QvVqWZvX+QDbTcQhy7XGY
D20XHlHKQsS2EFep1a72SS0gnUp8t5bqGkzIU6CyvbXABGmU9jY2VbtxQJPYys0hnamfa46zrZOM
L2VrLsvQ/5704yW6oI/02XdTJ/Bkdy9JW83Gw8AjJc/cNHBXtgnUqqPXGTyMm6Npg6OS2Iouee/s
YFK5R/RXKLRbumXK0ZkkHCs3XaOvVWR/93O1gbf2uWurNyhAVxiA/VBl9x035aOt4gRnaU5uV/V/
jVH+YAU+NSnVP0ZYIKZaXMAmA3iVXEv0rR204hC/pdP3jhK83vvhj6GIPvdzcYtMsLUdi9nFpNK9
mu32Lp0We1v1GngDCpeyYR9VS3PVIOmAcgqoTaCbLwS7F3bXf0MM8GUaYu9IBnk1T84Xo7v3mgYv
1MjKogxufbJZ2g6FKJbzO7YQCoA3u2TiRlsViW+UkfGgzHwkPNLunmP40o3MPdy4LbEF2prLKSyd
A83+aeejNMkjFlg48EYD417ndXVH6Q7f2QIvNDm11xYMCX5CaDR1zHuGqzEbPubWU6R2pU3Hthxg
T1rJdT8gw11TOcN6A0KvJL5mv7cuok4jMAtihlk8X2YAWbfap3gLUMU5tELeOYG0r+MiTbcMT/V5
EKhuu9bbMo4gpNJPygqPiAlX2xDTcmRBo/QqSw0j19IoQ9O0YSo6VzW9h23fYWo09i0lb5YpJ4N1
hDBC+i1QAIvd7D2A22ZwMdyVuUvprjrKRL+OWJTD6apbujDAzy3qetku1P0rPm/XaAQX6QFiQgxV
A6iGCL5IKCf0TQMKHXgpGA39zNQppt/5Z/SGEcdA9nhXuGXw5ln2u4ArP6XOtwkVKHLrVZQnv87M
jMCNm6yNqbdxcL82YCIDmqn5GGwtIR3QRXh96pcF72X4DYROnltdx/g4YO51gfTJPW/qykLHd+0q
3eelv4NwAYCZtkQJDKIEZWzSOzXcyPQWuNAYF/l+FOIidyERLv2p6/RjVJbthd2yqgIn/hSMAryE
Ahxj8Gjp5HQpvPklyDtxa88uUsaj/bS0uDrha+rM+nbMwk+dyxB67iFM+4NPUWwDudw6jtgNWon3
NW4eegvwWyuXg+XFNs1JWlpV+thRnqYqBxFWPjggHMdkfk5E+QqxxjvCcnhCaPMvDQIxDn8gYrAZ
6PtOAYYpRPnueLSmY7uac7QAGGjEFuXNuiLy5oDhCPbbn5WrDlI9ZpQEpn2BWC1iuJlNnwO9o4Wi
iGfAHhrKRiPM0cs6QHIymorrNAQiFtn7z6ncOnfB2nSvaqrOD10q0k9Zl8aP6Kf2TIbBvnQhHv0I
i3o5VcqzfhRhWeyR/6yfcEFu37004nBxx4NTcAhVU5beZlUwIVgUOD7dVzM+FyC2bkHXVsc6spF7
WlR+ZawxujDoDB2itB6ukf9Lr6ugSN/iOl2pFqSuXtwLEqbZPlR47JysMML0jzbpC0SSb7EE3hLk
38KOdpI7NgPtlpFej4VhEPjA9lqnS39TIt17G3qVfeEM+stQM4x2TCF071n1lxB7dvrlrvIuHZTa
6GkW33tA7Gy3+zSxDovj72a8R7A0vmuG9NlEGlCb+DJkYE2R1ujW1Ok+rF2cd2u2No9++6cuF9aD
ktQ+vW/wmbptm+G7pOwbzODvuyJAqjg+WdQgTpSSrCNN5mrf+Yt3yvR4jwT2I4C27HFCWAKUMjgq
t54vewDUuxlNz01YqttGOC9ZNl417l+5srFxI++gOYOD9YQ+e5QjHGiSzUybCjfVl8hGr1HCC7p2
RIIu9bJJxH0TotxGWbcjpgudH9ZEezG1TrmysDntXr38bZGSMvIX1u2WkrBcRdlfiZbNYRXV9JPB
AjQygKpBiO0bBqNXiBFS1RON2OIfjiiGCi8h7e4pltwmeXsB7R9UU7LaMWbPvYSET87SsaskO5zW
9j4Kr5BfQGhZ901EnsDG52YQiS6aqrrvQl8fokzt8eaIX9B+rw5eQ0xtAX6coHtCN39O66Nus6sm
Mw+42TabiSmxT70SHdNBktfOKIT2+qlU8jrWkdwko6xXTtl84S455CQYRX0VfmPvAADcF2+xbUVf
KA+mB2+RBP0tEtBysg+6XpsBINrQMCP5hxS+k2G0d6D/ooKWIfgbca5CYQ2RM5i2fZBCT1oOWA8+
w5O6Qoz5YOrgmJkE4HIuv0uXTZIai/U1dLCjRnQ1uclFR33eWq6sBlHm0hwLC3I7BIpok+UYm4rB
RWd2meMNAvffU5c24Aj01ZJQnFV6HcJewYQBUUviIz8wq31V+Y3zlsWDKqVp5pd6QQGzBvUacZ7T
L8elScLQ1x1RWeX8hQBp3w6A0V15g2Zjv1H8gAMVvnpE2GXbr5S3gbJrWeZsJVO0z+Dg3gKv27A7
S9oRIeVR1WC6nXwyY9Lso8hDYLFHBdqm6LZLUIsDA3DTZ/YX2txoiPrlBAg7qMweZnHFXdCr/b+z
lv7f8pGgztbwZ/9OkUA3x0et4X9nI4HQbdof/8NHzsQKIf7jhRCNgDW4tuOEDlTVM7EC2RZ8VaC6
SkRskDWwV8OVX0yk0PnPT0UDCUUsCJBE4hZ+UWU9/z/oY0SQIWwYEa7vuv8XZgXf+huxAj0gWk8O
BG7bt9Gd8oOVZv032YaS3gm4MyfcjU4T9s7t3NukamB8KQqvvgxK2SispegZj1vbC9eTA0+1BT5t
jWLiCDsVcUjpXYRJL/Uj5nsdMGEKDIIf8E5avow+sLovjZnK/N1O8D35EjRFj/Xur883OfvgozP0
tbg1esIrbFOwsRZYN2sAMj8JtvoR9feSbykH21wNJWZQNFa0zRfTyXYN59jSFd9CmvcT1aPBc+ar
BVflaN7P9dyLWyxbNZc8/xBWIk8Mu8Wy3kbux3ynajF8zY6q9Ra+ms+uj4HNZpG/x/RyzVVZTy1/
PRUWF6octRiwrUporPbwot+k9spSvXDGBVGbBDwIj+Eius6XjS5+FwQOOD6xrxESufoRCzUe2ibQ
5zILBdjlS68HOesjDycosqx2XN8Mji/5uxoinmAhQuGmYVYH+jFWQStuS5SW8McsUU3nHXWWavP3
vErWQQM8zJ8NmGbk764aB8nLC0i/6z3N25kP5XmQzuABfj6bVEGVv1stCvDveMjxBIsaEanKO05z
wtASf/ZHGWveQC7LpviGRlSdv/syL5gjZ9UmpBRKvrAFL4w85NLG69hOFgLiMafNSqOmdLeEGZaj
ubfeNnyjmd91bjtF3xdv9GJQZ3HOgJ9niaJ+tM6F80PmcYK7IP1oelHuRZ3ggXuX2CMvhiK/LT81
oyrbY1ll3F0EyWk4lL6o+e/Uydd5DMiYkRDO+kKCQgMWBbQztNzAgCahwuohkDUU6YK1PG4XkhjK
vqnl2tzp+fucrtIDLigywU90V6EfJm5//UE9eeuzB6Es8+hQWJaNAR0my+ss9WnEs6xIPHFD253f
KMFUu0LhsKnBJbLH6C1/T39OcIzqUh7aqzxuN9SUEVfdpm4pvnTYsyU3sPBMrA8U59ald34xfaJU
7lEnwjev2YHV4ny5isEw8B4a16yvo/65+mAEZ3SfRJzI3PmS+J2tvlfK4jnaomWiIAG0jvj50c7f
bWOBwUB4GsjR7a/hs8BYtO6uwwot/V7/XL1hlPD7NkRwl9jZSjIshDdI1Rnm5QJqmb2DJ8ciAQCE
T/UI07+Uvun93zbeX7SxvytCOOte9d9KP5DDILe7LBob2i8iRvIDSSyfFrwXEfjZpi02Ly+M1BQf
QAKAbZmXYAZCY3Mz82dmsjbOJjdYw1x67gSTGemMgi3L6WXv3qkuRuXi1z/JfMTt5nwM/q+MtlWU
5uOdQn7wkLAI2eLFB129pkaQquosQo2f99i1SNrvHRQkuVKXVnG/70rPQ61E4acw/cvFf5dgYpi4
YIgeEsI5kSOclQH79y2/npd2WWq6GTXGoOJymfCDA7+lffJKlKeS+bMJYtQ9//x2Ph40XBU5CI6z
kD5hhOze71fVWRrHAQZ125iZCajx1xuJMDJg+OfBGP7xz5d0/vGkAaREL0J9D5EK5DI/XLMoBKbB
cTNQhE898VSKiXLtEWMVFpx0YyJmISVR215rP6yfPZ1FFBKavENn5jpzIL3eI4kXsZM6mH5e9AAn
9WOYdOut9pMlEsTyK7+N0n+7cffj/FhFgRA28aJVohAxjd8Ha8kQjl6BHuhzFhasnaYSMQbSCXdM
f3ZwaZW6HuWwBA3P4hA1MVoduyRIChd506mtPwWweTC/pU0fBS9/HlUijA+TV9geOCHmkA/JGsXT
328OBGUwiRwMSLV0JbOzgukPviNUM2byuI4htUtHwGaoggmyPz73ZTFaT1lAV/7CsZLAP1UiZJot
nHX6MUEFwD8BxreHW0sJHhSxczPcduGyzhPpNaxSDBficl8MtPrHY7akM7+hjsr6/vPD/WMLEXZI
2WP1uoNZQtz2+7NlOnUQZqSRQoxviucBr9jswWZ//1fhqlXz67ctQKzqNUhlOQheQmL58IpLa6yq
onQ5UXTEKJQlbhoOUGd4VgrPsQgR4iSiTvF5Dmc5fTbtJPhF5NMBeMZ/Ms0euhnO4+ufn/8fK4ZS
jx26EWsUoXcE2j48/+ArOw/KcuuNTu18biU6B++pJNS4aDOdtDcU5z1x9+eLrkHw72Oxbkc4YLse
PF8cAz/MqKBZpiQE27Il0onKWxeT0OVEL4NIBGRZXjy1tliCYwH8eDmhG5wM94ldo00EGXZVUMMs
L4rRZol8876cRbMLMQjAHrO7HoMZxHPrKU4jU4K7zaLppSHeTP/lMf75FICOPLiDDJwUQbSum7+F
0gVC8z6K6CU+A225fIKi1QC/RYWfCqjUvu7ENoIFZt9OuTsFX3U4JZRSuxENt/2/DOjHySWQbYXE
jb24y2kYfNzi7bBESSZbyi16si4EfaQzmWO0mlCGFN5CfggxN2ZrAHfLyYMWfSpe3MZmPlluFeIq
1fooWfz5rj7OrfWmgDQx4R3xP2xqSWMi1YQddewo+wlA1y7EEvDi2AlhRYfPZ/Hcrx3Lf91O7Y+H
D0gIlE+lG1Dt8sU/xkMVITLxHVqddtf4SXAnpI1B36mB7AJ0pVB42hCPaT2P3cmaqonGiNvXeXzZ
e22OpWwG3q6g/RL0BKFVOGhYblhHj5gjV0Wg0G0pLBSXgRHmRBNb0WrP+eRgAQmirohkaj9MWTh5
nzILRRJKq45pzLGVaRF8LdxFAuqtSBOjY2CbVuD+1FbuZ4iCSDNQMrRteSFCd67eFLw4gcaCmyBH
hy6boa/pBUVIMm91FS6SKwWc1B3lkjTPaZ7Nvs+mkRRipuDdxYMDZZRCcrdX9pyMEUYjKJGzq2SY
ciOD0iye1QORy7vFoxbvTf0N/olpfAhFV8fwgnIRZ5964OLpD3zDgDDuaCkqH+b72BThFarAwhYw
Sa1OXxGlFTQSBlc5sKIU0fhumefe/UsUqZBv4VyCbC2iHlYepCHaBH/1uJDH6FWDDslP1B2x+MbH
uKaQXzSOGqGz6Cx5wfyt9u4sOWnaLRm70QRAo8Iem3b3UOj4e13QQQCapJDHPrr1Asxh58Q4E1Fb
aavBPrajrJrsmHugZD+tome0mZZ5sKPvDZ0ipTfluJ61m76nFfAMlTi1LipT9Xh/031fcEi2GPw3
OUEg/Io3c5cHR3It5AO3QWrR9qIBNJD04HI3L3azs8wi5k9dEgTMQKtGQbE8cli2pgISjTYvWBt3
DGL0gAc/AuZrsyP0/3KwoWD9YZMlnCCkkIFA4cQl7vxwtDFAoCDmjiw4pnz40lLBA4Cf5gLNe3T2
xDGP3DVZ6OA2xjTt0ULJdiUCK5gUhyHcqSvAmnPxXBTQ+x8tXP/kaYEaC3LIjHbhPdguLEBKu5gh
AaB32liBse772sOoaqqjBhAu+flfVSarsdl4UQtGOxhzxH5OyeAZcxGD7xtuJXHM/LmIZtxZdgBE
p+oKaJ1vH8NwKfliS1npHOLvRuwGJWjBieB9chea0Ze2mVGlFqDm6/mILQmRW+COen70DC+sP2Cc
VNXDsSpFS94NPWXV3wpkuYjb2TcTwbe7Lkf4sfPoOPfsCk0IRz1TLQoHhhofrGFQWOqdHmU+ISnm
5/DsnQ6RtMsBoqV3MY9ZYpKjWzahiS+7ISXwUQAp9WMK9s5H+MhRax5CgXo41gFlVKjBNdQLUL++
E68kXQfS2GUw87pY/EgTtxE9uDCLv6DfKyjId3mTef5uaAf26TbB7P5aSx2j1+DFwiEuqoJwjSE0
nENGsFEUrulNz9Y4v1baYYQR30JsYlDkZWpLqFfz1ull+hqQA44ujwgh6/XVlWUavCiRk64fsxS/
+ovWRN38Kn+mVNZMM8+HCZUbfLOaQI6mpSgdz1F5aj3JkDSph5jBFhhmyQaPifYcH+ZlGNjgSyet
i4OME81oh91Q8E2iGimKoLkgurehc6nIHrxkRudxA+4kGpFtaJbU8je1aLGP/8S+2Iefs9Fn5aFt
6rZhfirn3HDc0UeQwUtp0i5/X6x6PQHZkIf5NTfRzA9qaPX8GnZd32U/KMLgTOe2dVMc4DBzCx4s
HhZFC240PWTE97q/O8enydJwSAHeGawntmG06DFazeJ2N6N56J8Qj2bpCE0/7wH6OgFtgnMoTFCZ
m59GG5Le+zPdnSSCXNE0zNzFwoP0kuoDUwRzhmW4jbUkYY0p/QXdpi2HuL3Q+chr00XKG5/Qee/e
RBByC4vsDOPXhVjRPANHnIfboGRW72qMRbq3czLnzvDrH86Rdde3RN9uxh5xmqvaKr+n9uqbm9gL
KVFCCYc1XwHjFpfaVTbvNbYHfoMvOUYPkZxqOBDhHMakGyD38MzbhHXLWAeuHVI/qStMI/bkY2ss
O/6coShZQ0ERzthGlwbTlB6d1aXIPRqbKFJfeqliZ5l+LpGqTHTxHHkDhIqNsIc1SHBgPIkjDiPM
voRcRD82fVnUn9I0q0bEpe0hAgQRg9MEPuCPZBgyDNY0+pwajbXh9usBSblLzijyJ6SmiXJ6esHi
qDjJ8ObCQ43JSLuM6KgAVIX3awYkBxKP8UOelAzR41a8xWdQWxeLwYPF6/ZPhqpv9waYnDKdZ8Pb
eiqbfFg19VxnYduswcJYT3Sk+P1Mf2m4hfDIdbM6YIIl2uVxs6hgnhi0E5ydMiXliRUhwfQrwfZd
9SoHBLE1XgNncOmpY132KvuZL8VL94aRt2Y7qf0BnyLoNrTtv1d0q6oHII4J6oPaRUzw4jzJfONZ
rXtc8gJNcHey/YZ2oAv8ZwsL0G13lVADLg8EOsVN8/N0gOARqlfPphj8QI7J0oi9lh1tmpdSf81c
NHWeSvDoXg6Ar9fWI2SxWgKwmTLXRZREYRMoN2QUyF9Ybr0uzQF4b35NkbFxHjFxq5wvWQS7G0eB
PkO6O9NWF92Teg6YFLHt5s6Tb+uuOHoApcJj0fpUyOhSOVVxANwJysONGcwTEeQa1EJcZJCXHl+J
k6rBnux7vLqm2xBsfvfsd0UXHBrTMkuyNB8zitDh2IAwaICzMY70nHLYOkltz/0LIEzJNvqrLjKa
KnvIB4fprUOrs56kJ+fZ33XVPHVggP2o9Vrs2YwQl+0wsUQ9a7amz71JZUwxWiTipfOSVdM+GXr1
rZC+V92nqEUkKFObhiXvsr0JwptszezJHVTxbETDBYPUW4cOprdb3Hg1RhHv8UKd8LkdylZFNzmy
BCBy27BR8aFTsQGkZeFWXBabMXfXdTkGCeExG6hK5SEl6MB3xkmtIrwPcCUH1zOya6Ncx38zDJUV
pgxmO/mQBCY78MKLP2cCH8NxwpAIDXC2MN/FEeFjBSEIiSCiEeqilMjtf/tVQU49CrbnCvqfL/eP
xEOGBJuRQKXK8QLX+5DUghJqyyaBgbNYM6tvngdAw1uayUxl21nWEoUAAznc/vmyH4t8oU1kHrlc
de3uUH/6PR9M+nyxiCA5nKYUjDHqR9P6ZgMsLmJ6kWh4X/oJkA4UEhyjOCj/fPmPpYxwFbpjeClk
0HjC4e73y8MtkBbUXwQ2f3Zjzj0DKkkxte8/X+nj+IbAP2hVBaFHvcqXH7PNbKb3FRKQ0wuOHZ4D
svq67qmarM/bVa5uvo6ibd37P1/XwY/l96BWhCS5VLqololVUf5jFaWZNCCxGdgdRPZhQBDDXiD+
ZB3QoBXk7iljHVRfD7BLfGktXnqDPaeB3AMqUwSYsXo20sc3Q+0szVcv96zouY/FEKTgD7R2y6vB
A3c07uwS7zRzRIO/9fRlOOF29cWfjavlln7t6og0sd/OD8KO+N+CvI+YyhoJl4Y9NsY5WspZhlif
3sWhZ92UGI+F8UHW8VreLaBDzfD7cSfy5SHJQkhT+Gfa3pJ8xuIvdEEjFxloYPSuZU+bylZ+gP0X
0bseqXKAKyKluand0KDL1PvezMOXcU65lQ5wocjwVtHTaDogYNASehTO0sP6wYSgiM2W1A2TJYhJ
JTHiHdATBnNbhWllvoXajM4ToGQ1TPvz0uxpsYCcshZKWuErSPYQ12g1p5m/t6uInfcq0mK2UGdg
i43lljZPigQmDS+l3/ORPgfoiyB2/OZqseca2YMmNcEISMyRg3ga3QxGDU0l9ra7Ft+FFmH2xKE4
tDNDBSFh20aym8LNQiUL9+mZI3BB8CPIKolS9TIFowPQyZ+xFYMeAS1zU04dSJgDkzGWD/iYhA3S
u6LuTHC1MJBM0dGH1hxAgkT7KD+0qC9Cr8wBuGOo5xYBZzziBtBmgF3mQFb37gy18pN0vSkBOIVL
DkCksKFABjagioskP8Q69escBzdUWOHstS5spi2AAJtkNvGVbwBiGIeTGOG0ugBzAoQ//TTXnmxe
rLrD6mHra2HBQMl1AKFtn4p+1QYuVQh38cDpofFX4YgIsNW02rYox4Np+8qg4h2bdfKlSoWUAKjx
G3Z+Cx/yQmwlylC9zz8aTqhNMJXrY3sYdzCZVvPG8dEB1hbQ1Iux40q2jiiHcLgMuhx7q00V8UKx
GIQy67yxZU3zC4WOHPfPMokGhOxI0OrlThNXBuYBv4l5nE+NQWEo3vXx4NrEqk6Nprg4RdiDyleq
ARp4daRQE2hPzMwB3ZxZTwbPyyatjWWOhpqEh1cDVLO8v3IbD3jRwatUipxcYVE8yB854EY+V0wd
bjR7qjwGxi7WxNgN4nRniUtFj29EtHWwKjgCOOGE9W2Xmskp3gjPZ6bb+SUbNtRxpcZ7TKw0Iw95
ZZTT8TsqTm3WIKXDMYmPN+K4yt+CqFRrm6ufM4Z7wDcOuOmAtAgLNFwse7posAgt32JV06cWqCPx
Cx/LGZzlsXWCqr73uQkajDoxdAMuwG2vxUqR1UQPAQzbqf06+b3Teo/wJ0O+vUh8FK1xFJjbVbOf
XW1ivnIQNPNyRPMU4ONtWsdREmy6sMVhDahSFROIgjpcP78Q3LIuwiaMuAmkDpHJgWqgmeBTTNsV
E4VoqbhChgExNzYQgLGnFWs65JReyDfNIq35A8dZ1i883ytS8WufVCgxKXJnBJSnl7GLeYpyttdF
uvCK+Ot41sBjN0FQJAzF0llrmIsRq/4MgSyR905FaF+cAlq6yxfdG9ADWZ2uC3QpVYHOcrDo+AaT
WWfGsFI4ahjv59DRa7EK8srasYX7vT78mEKz3PSkRfPDefyBKsnEPclSEg9iHyurhXIzaoe9pt2/
frsdISPEvfr8a0MRocLshv3HX3/4+UoQ5V+fOV6myH628E06rYRtRnBqYq+4CemoBxPSRDYarEfQ
aYIb9+jmd2890scsNGPpBqG1WQEzkEiu2JqpZ6HAzyXCBfvbt3PkeI6HqvO2Vfw047G0zUsKI4FG
wy4ZknWF16vezrjrW6pzI8R4AA1fyCgKfnUe20wD3H/Qpbv226lZr6+iYO/yeQc/2/yU+Ft2QRXB
WgDz7YXrZ6FKLUySX38/+nM2PyC5zLFGMQ4IQHd+mDAVTGvaOUgD7AgbO56liLVZP1pRTrI590qP
Sd6fN9ezy4FMu/WLzhtzl6PakO5gKK6f8tJ4HY/zwxcAixnrXwPnRIaOflAE6/SYCSiLm/MTGmEi
XicalNxYaWXrWJ9XEYbSAd9djeV6PatfD5XxvDhLrwEjR8F5faYGThWHQ0YwVdxEltVzynP0raeU
wAmH4euzIK/w/Y07eCWl7U4WPFKFxvS1ymAkVKS7kculzsdjmqyROZTVCLVGFH1UHqDP4CViTG+E
jy/5ZyevnLYCF47YoNkxjdPykfrZvKC+hkBcgQUXtn3UhQimBkB0jXQRVkFPVHH2XwT2MJbPgJIH
ooLzrKh0TmFFotJKjjuLjggeHQCSNRXGCDkeAFyuvcBRWBy+R7vqCHUmqsHTZwoBEjwrAnZW89W1
5oiwuC0N2SpI9aj/Xi1OnXzXcctCdVZl9/xiaEYZ4/A0Molfcfy2+mfwZRXz5lwGawuHVIbdmbR7
nDo5FggemLV+Fi3ghzC7FdrGNamhQsbV2Cui1n5EKRNoMHxZamQn3FgU6Y4LYpg8PvD1urI1yvxs
GkWDuvYeHvvaoP9VnMSuImJk8qGlrKlnEvdh3y86I+SuO49/O/f2JWDMfu8qyla7Jmn7uf/m90Ft
NUdHsUtu6IWvF6qgPvBJuy65lXaMftZlRuAR7dITseNIut4V/DmvfQlMJpCDgQjNP3H806ebih6x
iD3lSMAKiApBwjdbECPRmnF5scUzz4hv8T4K14At2JdEWw1aYut2OUnFKrd8QDovflj0bn65cJqt
j4pWh/w6w8HxTqJGzukhjqjMoHaX1iAWukUbKn/nsg8ZyQorgo5N/QJwNnZqPtWmyeaiq/Uw1TVS
Tf6c4sd6d12IcNY7fWbbvkuiZWyya5rxK9sC/t56IrVOYdP3sKFX8Cnd1dq9c9LM5fK+K3jdJq1W
uwA0ykSLSIQ/+5azObv4OS54VWdzHnwVOuAyZiCo6V9j3ZUJNY3KwiRMAFPjqxMq5YzkUgxrfSrG
+VFvF7eSQ7ttZmeKvJ2XAB9CHD7GKiGCJlwatFXzoaPspoy37oNRlLMLRNYo/e+FndQt8bHCLQUB
1CC3AWQPPXHVZ2PoUYEyBs8DZUiaMM/uz4lSk9ka47ZRlonYzqZpO5QXQLBHRD4sXCbCzzR+HiYm
yLk60AQIVbwNlCWLV6J1haheJ4aErZpAl/HGUSBGlcGtsG4cLvrKN9l0VSFXlOKE4o0B3GhXpGNN
xajDI+Iyy5e4Tx/jwF3P5GWxlMyOY6WEPCCm5a346bpSWXDRDa42XbNtLeTIypOVeranDzqjMRHu
QWKVAoWu1hhwJN/wrfPW/9Nk+UkJDMiPI/zrM/ZiIAPI5sifQgfgplIsYA4dP0/yL5pFhYcx5agh
UEd/lU0QLiEVWbFkJn73dYiAAdXjaEYGAYvwLqxptBwg8pei6m8UJkdl+rZ4sM68txVVJcBEIcqM
mTVw5rlfZvafaXbYE3pw9UgytcO2s2FlAXYtFNhKihOEMvjisGeITKItsGsnJ50QYWOeVQIOWu5q
BP1ul1HZ4fTdb+SYhzDtq0hqQNlO1LbON+TkfRQy4akgAub3SDIsdRqyQrO2yN1tjXaJ8wPFShPL
C4BMjqPvHOpH3GVQYE4PdnsJ8p4J088EUxe4IVaGaB9Ues6eCVsH5rPdjVXanjKa/uLKKQw9NmDR
UBVRLqgqNdcVmi/96HjbWRe+ry+yJfJwQ8BFR04othNmhtYdkg7LMF7SZyqGlM5jirzDfuojcHyH
Jg34uqNlNI3o7eiSqrgBLJbAs/O7pAOJCsOjy9oFsQN7ccOm2U8A58h+cRIZLf+im+nNkZMnvjSn
IbNQ/txmCNbFz60OUMj5MqeOJZ8Tf3Rz7wjwLxm5FS1IBm/o44UaLI3ggW6UrUz0WjYuyefXQsB9
n7YyLCVtjQD7IotlbDFJK871RksqLKHqhF/eTLiQOfkdIWjNJ6BZNVgz4QhVRN4l7mv0iDe1qpMC
WgYwLPQgu5pq3Fviw/jAwQPCsanh9AmqsPto4GChoBbMHq8ExZ55lI9dUTERjiMegI3B0cTGcO6m
UZ1MoktlS5UvuB8SkefXuZVrtDHzCNesBv4GR0t0aBXy+Aq1JFxz1TVQKRWkyQZZwjmN93KxFj6R
TmZR8k7BXbMNnom5BuOtQ73efOEy/IQLwNvQTaB5o9fq4BKsCzkwFgVk6un/xdyZLceNZGn6Vcb6
HjmAYzfrLrOJjZsoiaJW3sBEpYR9dQDuwNP35xHMLjFURU2azcX0RaukJAMIwP34Wf4lCRD5tWak
sA6ezGzy0sRfTZ7bqkAumA7SiGUhFYAf40/e6rch1Oa1dGE1o0uxMLvUXT+RgWDNoqx7Zi8l71HX
tkADE3A8imgbOTdObr+pSWJo7OL8OY/cSYP+HGFJdo6x5G7sMIW4v/D+/Bnk2RxNE0IGqZzzOPqm
bNtfwVh4SbBW/XWd0BpOa4rrORmRwI58WjPDfsoLho2XxWw5sF4qNJ70O00XtUTQdg6AqSZDLaIH
f4IL7t2onnZb/XHInFi/6/KJyRV3HAwQQzZZkyfIRSgXZETubqWPB6b8WBv83Jee0KuLr/3MXI4U
NUK21r/rJ7zOPIYrYckGBQthQlFIhU+Lo7V1yz/KuO0R7Ey7KQ3EfSfces73AUTyCKqi1dVWfVWz
VMLJaKmNKIQi4cF00L6W1qChaSAC5EDRmEObg5aZJTJ+8WW9zI6o95HIVxR00c6HNXER1GVcwU6L
EIsrrqF85UMDqYrI1KDqqWokDqygtW0Bu4rKa6Zz7DRjePDlJCXaVtEaLbDsms6bYPxgxF05G1RK
u8XZU5vVbrzDT7G1rd3UhQ10VjycR349odvjZe/SQcopPUixMl98rYiDLopVqDkk4ipI8VZrdmNi
m5pzzv2O/zYidwi/KyrBhG5CX6rKgk2xRlMAjWsi79uBlhtdLFuHgcxvGzu0Gh467ID55T5XZgkj
A2GyhLwKkSDcdzmdUItCmCppDxRm5AeLEBlPVBZUlpDN2xQa2Klng/k32Qrz4xhmu/wRp8ncfPDw
kVOYiyMA4RCesqS2b0qOthFZ2gIpESrYlcMcha6kX/mtHjQsnysnYvuDmW1xNzCOTJFJNGu5AVEJ
Zh4bb5BpAys87Rwcz91pNI8AmQUMtq/qqGt4PGjMmf+2osxr3feM4vgJINF2bV2SqgfBQ1Ijv9wf
YmSruLQ+PcYmmkvdXtqe4kufvvqEwAqPA1zIKL09IYLKbYMLHVqmuwF54ybbBYB1LWzvh5qUZUsJ
mTN1YJxdIRM4ZaY6+qv+9Fv2dxZx8jQw3CrHPKqJGSbMnywyXzA+3tv/fNs+4wefHjeefea9EyJM
ZyLv9cqNpGNY8Y891u9En76D5QYTl7qKvzViYlwV06rgg0Fy40o3EACse+b1YfUalqHLJ1SOy1HZ
ukxoEckK4PnBI0qAfkAknLvBPN8IYMp4oeUauAx+XKeMeXPgJ/jtpz3QlBWDK1TLsdfmOQdrhLXu
4vXCfo+fXJqul6QKprgaxTAN8RYEcuugC9OM5uVWp2WF3eES5EYfQzNACufK3N7TG7EcS/C3JchY
GthFmUcA3Nc0pGstVkti1kj14m5bX8PepW+X6xXGXq76JNsyE7L8TzM4nIwmni94J5vF9fMSe7xT
C7Mouzaxr1J4N0y/hsAH3PrK0cHg4uC74pvKiwrGNviip9S1yZCgE9EqwKtw5luVChMie2sjXzO0
d8XIIaMPkeozqEG9gz7Y1eJWNbZgg85SmExIM83ZblgA2WpooY2goLdS6gCo/Kb3gF5VznHQKgEr
9/KpnxG2JTpDqeza9G2i80Ew0s9sOd/aaiqZ7LR4diIUO6ZqGJvtTBdrvlZAMNAdHBk1EpFVo5Q+
MMmc3QeB4GXRbOh4B6gYBqDI1ntZV16DyEYBOAb8e7v648ccFvp0NR+74ciw9dTTdeaYWtzS41B/
WzrMSF8lVi0VHTV7QhsKpe089RHtlGDZIZS7pg3RK2l6RlE/dXxZ0Tpmp7O8aHLQVlDUWKcWTTUr
064g+FT8Gw+lCFAKqyvtfaN/mKVofK3ECWQyp8TxIVhbwRK+Wd0uGj/1bpsFQCDw8e31m7UgP4Y4
ii7H8A7qdlD3+1EGCrlFQbE2Auw7daPGjBG/81m2/gANpBMzNSrkLWGvpDSi1ClWAysOj/QQ2hVM
HJTZYo3Hq36OTZ+siUJDwciOD2rwKBejLUQPQAMH0scqi7bp0Gv/O0pVrvVh6iyBUocgmU3S/bo0
9BFvZz/ugxEV+2HWap+0dVqitijtQH5WCHRFZCUWOfgnXDdTV9Ka0D6ydqUHJOounGNSJIjlDg3X
q6IunQ4VDeaYdxMDkBF0U+QhIf/Xl2VQ0GfTbhHVEAWHIZuYmO07GEo20q+2Zxoldm2bXYntTzhF
CEMyu2QsMvqqy+4gXeslOyQN/twPSI0p8UDh4Y/x3QBbr7uLOyRm6ODgKsQnnYJOBr6NfSph9/Gf
MsYSfLqJlTzJIRtN/2pqY4f2IrpKNAVmNJ/5QYWOduXu6JfA1GZiAtaHFp8QbaovelQf2Xfo99HK
QBz22HlrXNd0q5QwPcOnplptOSQ4W8Vk36iM5MGUgh5n69+qLFZl8WrgiyHAZReei6QlmbEIxK7N
ahcs4Knbh7cgizSpg4BFny4NzVO6yDWeDBLmbfexYp6iKK7LKREwQNceU9ONOIILTh02Rrysoj3w
sn6dtisnpQbSp4UMsBI79gmnsiMvgtyYru4dTWmEa24SJKQTmOHIAuBUUBWTiXWQS8yjKejS0Tpz
yGPYj/6Cjlm4X726TxF4zrppsdFWczzT3yWcWxalla17BCdraX49lL2ZM5Htm/YjoB3TB22Cyaxw
fXqYrjd0Y/hGes4ordcRymEscVR+HH6vsGxiVNwEZisAODTdvglvVfNWRZjyIRPg2FVeIGjZ18E+
08B1s70MmwCZdSvE1PTOKjBWvoafrOvXMeZ3cP3LYimoCUDRjFO3k1Kp5cEbJweJa8hsaDd1sMnW
B9UB1wNDoyFUh1fBrEsdbEOAI4Ii+NjlTcuSxHmbSK9My002dgE0TeTDs7LcMWEwX/a0Wfu0CGnU
T02P4cSWs6XRd0+teV3YJr4jaeBW96PLHBodAZpxj9mpEVznjmnzJlm28mCol6KcDGSoqZzRhFfR
Aod4WSsV3DdOhl/5zanrvkxNRHty9dwlWf+EzVeZQ6TWS7feAyXOo+azr0g5Q/ZzPy3fQzwCPSoj
H/IJKfpYwq94E+TYlTNs9xXYOnqqGHoJTlSUO6A/6QDFy30zuoIP0U6b+P4eVdu2h/bjxXVe7BKx
OORthbWkkiBJvn9ljYw53pBEtHn6YXQBHPR7F+gLuqEg0SzWkevLkOWPsXLINe2xJ6l4V+mh1t0X
JysmszpOa7M8tqSeuspNHZqOUxO2wkw2jj3mp2b2MVyK1iMr6fqZ3X96ebmLxD3zl+Omq05PuXWA
fKEmIROkDhgCpYv54xRpYlTLeHmCiRs6Oe3kclTBWi/h3uzaU0c9kC4CPkvt5GH8Zn0KD3ltRgrd
uGj+wDUg4P5soJ+mIx0Jf/UOHMcSZXw4Y2x/T9ldjMg1wj95/mpsqnnIDhlpktvspiKp3eQaFk4w
dzu7W+vS3oJbrhAfsVI9jWgeARCsv4hhoV17SPtO981t64YAkL+OXt/CnSczmCCrSM8jaN7WHnbQ
AWkvAoXjgwTZx5RQxaU/+zvPHczxCx8NkxVkf8oQo4kJaxAxXQ7tqPlbCt2aP9qqjuovlex7epeK
kddEj631/OSOSsdHc5emhBe/Q5nYcfXWrwANf0H4QojHoeqnaHoTjXjgmKNtWcePpeuqEK2erBhg
ZCcAn1rY5zXEwjbuzYFBX4kRAgg0IKjksSbSdKeBC56oZhElHArT1anLjeqRCTdzStVFQAtDcxo8
DYHppJN8XI6IOM2faPl7mJsutd0kiFTE3iKHnVylyQCDQtE0ofeeuuGf5LGpgvpOBQSBvMxh3SVX
bVy7abJZB2ggKSZhvhWUr6mqOis6KAfWij7YQmaY8jFxFtrdMjbKUXv1vckvmhsrRZ6EfCHrENYC
+ZgX1ZfKI7zpPSLNo1gwffUV2qvtESNkexaDC2RSMv5/5ZsnxEi/xE0swsOWAaYTsDLf67Id8gdd
D3SH83Tu0dSBhurmdEI0LQWk1ZLKpJVpp6XX7VasJfgITgop9KPr+w1BmG4KnUjd+Cb61rl/bKqn
zZR81JF02mFbaDrtpKanKRcMBVPbKVox+s7zBhO8KtQo1o8odwF+0M4Sdu/nIfDk8ipF+7oZbvW0
OOWdFYSYrW5RSmhwsCGJlw3ChumQ2K97z26k/WqaMfeG+9YbQ1h49cTphvFEVdGnskekIGrOBSDd
ct9zmk1oEFZd0lRoXjXlYB2KpeljikpgPZneFB1AWXw7MEJzPlmWhJt/H7eeRDkQLkvtfOaAnqN3
9FIY3eA4EusW2PEy0NvArXvpgKYtBVCLP/OuYsZhpCt8We7XHNGaz46bjnxQ05rk3wR387Egwdyx
PjQBw+vwYlbcqjxgxLviZ2XDYJ4AGk2gU8ctMsdT9mWMmFiWO8EsIasuYX7BWN62C7q+3j45zvVq
RHV4vsaRi0BVtl1Iy5ALR6Pi+Buc5nuLKmUUXHoc1au912uTZup6VljBEtCr2hw9w1ybd4os6jGC
Cmpe0AVdzssKIm3+rW5QiuddrKOmXSSmWVcf/D620+XtaXj1tJ1SNZnhmzUw27YvSBM5BTZtSV0/
Xi8jqCZWSWKZZrvWTQ4AIY1Rc8PCo3NdMe7DCdo7ciSRamp1CLuJvYxWNEzG8NqR9NwWOmjYhoAQ
Eipfw0uwxWT+71E/LfLhvrKzJVKXa13Yo4UnBKm5aW61s9s1e3Juy5XXc655s4kzKUS/bRgGyWPQ
JUuaHXwbEalxY6HylDxqkCXdeydLMYuIyKlbh5dXme9WZlDmKIpxe9J3Hf07Hv9pVqgH5CksujPp
4EsjberWuKicZp5zNpihLrjoiZHg0xj9NA6QQ28O9qdH5zezKTmeTvtIrSZfeEqA2IBmbPt0RjX0
3ng1sCPN/fh4YTBytBltU/OA9NN3A3wprgnYIkAGCBP7AJvd2UyQ6byc0AtPE2A/BemcvoInjboJ
K2upW3Gwihrt0q1BE3hXxdiEAvclTU6PEnGeaERP48a2rN8gs4xGwk+MriD2bTJJJo5OCNvG9Z0z
8FkoY4DJa+4jjRmCDMZpj2BfgZWJzOBJNR444HEdS987hC3DWXtP03gGb6y8kFkcnRGD4aV9vDC0
SoigEHn/wrUw2mU6CL3J/HHkq/oZpXzFgeSYKViU+wyIsQAyASz1Z8VA9EQ7PI0Dl9piqEepB83A
y+vj7K5VwHmhmjNHAjcx9XsP4oH3PaFNhl3EggnzDtC8eadjqEjoBzRPCptSvM3RFssXIOyXXeG6
jo29H1SDHHXHWeYo4dhiXLvfAO6eQ/t4uuAmqXYCTM4BFobnXNqw9MKxpyW576US7cFec7odEOtn
SeH1MsbuX13Ki2zbcEeA9xkj3Z9JbTXoHlBuItq7fdhSd5V63NSirD6+fJnn3LnTN/r5MmcQzX9e
hsFRGoQglDwT05htljEqY1lnZKkY0owBhkCoC1gg97wEEcZ8lqNz8/LNOM9RheZueLS4B9u2a7ig
50w+Z2IUwrxCkRazbz4sdW/WEJkfZYzSjRkAJ1HYM3fF7KS8ZbTCKPC0Vtq5HfhZ5GzMH08DTTV1
BhX08l0+R11CaKaxLAxNMyY9AVB7Rjf0QiRb3BCGgp/URtYgo1Uk95GLjgFyo26JqgXMbqQjXr7s
cev+k7hqrotkSRRCtEcyxD3Klvy8IsCLr8HiT91BgLQlkMkYptaPrpQkJygSmkGHTBEF/7wOdM93
HLtmy3tEV5AyxwH3yzdklsaz+wmFIzCujbzIFw6A0Ocr1Ov8yaB7k30H6B6qGT0tJDrmzq/LrxXd
6uVmde3GqFEcpUDKkBHpu5dv4ZcFE8GowgkMrRZ8edAhOFu+PcSCAJyNgfV6ZoI91aH2H+DBr02/
60fFPD8iQvX14RQ+wm71IQ6cKhJQF+qtlNpol0hKCKb1p7H6yzf5HHTNSzPkWvOkuCyL2j8Lyah/
ALlD72tru/DQChoFR8p9zUpt4bphYceg6+VLni9RLukhfwj10uH98D+evxrIZkPWyyjeWpGizfMe
DYamvqx6R7bdTWoHykTrvmDc/vJ1z9Yo+5bulRuj3QMV16NddXZhsBFLrjVeOUPc8um0v4Bu1Hma
6w8nrYXTGZB2zWR2qbZZrnROC/g4met24jdb9UyIwNwPyRFt8Sg0ij7eOa2avkyZIT6MWxzqkVzx
hJUxPUL6KRPGIpxyJwBPRI8Z6Q9bGdTEkk6lZ+9I1mGxHfhVK0ZRypeFwlyKJhqNXygJbD5/UXxC
kUmoOC8/SmGWxT+3F7cegiAPfJQq4M6i9nr+KLvBGmkZ8CilPyGkgYMOO9ye0PK8xdmvrj+pdQWD
vsUpwvCBOh9KDZrMtT6CRQoBzijs/AreXaNDA9sJPdxCryHzGBRM2HomnOZH8I6DCZw57wWUeEQD
SWHA8h4P5Ze/1C/vw+GFeJ4TBGT0oe2fE86XZg2H7OgZJuwTQAe4ze009PCLSgI5qJjMECkwdYAi
C5NNZvXAZNqqopxJo1eAT1GMqcrbk1SGSI/oSRhuZgQVCUZmw9azSyh1L9+5+3wXE2PgvmCsjeyC
R7yjZ/R8S4mV3g/gB3TX7dIMOGRpgWrqPUqhD5FmnPQI4SVCMiKJibdDMPHtN0ObUmJPITCh77JA
euCRuY3vAScu+6W9QZnTn1/bjCH1qwpJoBJG0TKlNBjpsmLytsEleE7g7jCnsO+e3lgtEg7AwmH8
Rb3bCg9l5yhG9TkAcIL70peyA+P+w7ec2k+2ZV/1FvL9TW7CYwaQtbylnxll36TjYiO2dxnzBZ+X
EE7Yp5cfmfM8FzWPDLhhRERAoI9hm9HZ+vnAAtdcwwvrFOK19HAy0OfHlBALe0gxTwknGI+i9QEB
lFXxyFiWbDB26XflF+kwI2CNTdCwFr/Jks+ODe6MHI0+BVmh4CwPorOQ7LiN6xEEURM+sgCzluKK
WsApIcs2EQQ70sjEXXI0MIcQtuiGboZTvO0Vk5IPIAz0JHdVWqbNtZOkDoL5GfABYurLD9CkeD9H
AM5UpFPgXiAK4UP1OHt+lFgJbQ/pb/GTGuVnWg0jyqJQMKULy7Sdne5rzKQ4g7PXKK//nWzAr++P
M53iVggoHmEURWdLnuGj4A3k6Y4Z4EjwFGFidANWNO7H/H4hgiGUcyQeBgaHRVWauAnxspgyg4VE
PBaIWi1qE5ZefjK/3JpLI9HGwSgO6QrEwJKeL60BvRg3K3NvtzYFJwy9XqBxcMkqAkhst8RLF1QG
97L4dmJ/XnxgTfUhU5VB5sF/ljhU4j1V/Pmb+zoP2iiXoLFAiMNdmXLolygxti30qklfwy9ZmUIj
IA2nFRiLAcxgruUhR7De+K32qtd0ViKZ3qIYYSZs0Wm87dBzZFLw8m09TwfIGFFUCVwmQ4jeQYk+
52Gx2yOMcYHgLQHYiy9V7KGts3kCc+YOa+C6DaCD/y5TFmcrWEDDMhHADwOXVOSXFFFFoIArpp50
o2xA5SsOc2ZyQa8GeEtPw0QyMhzV6BQwZ+tkBAPRMGWVmxK6dPEGuSgGsBvglNg44QQkRYyevCvN
TARuDw3papJ6+t6oGSzjihRpcFHWSA0AjBqIwnxp2X4WMBj9b9jtAJscgUHPr8bFnhd34yH4GzBH
iJm+7+m8EBr/3nN3bJfxIGcd6YfNXjpbpYiVxFwVn8kjVx4dfhbpU/b1tEdAkBN9X77qeXQTNHkE
kTdEeglW2C9PnZG1Wlu6Swgq5Zqo36cT+Rdq6nTAtiiGmUjF6WQyMMlkCvh17pjkyEqZxa1vhhJS
r7OJhsbmBzOr5oSD0J7RK3j5Rs+UESgfCMC+F8SU1CZfDM/CMI4z2pHxDGHsNGosuqKVX+CtNSwP
hY4reCIhUPlfNkVSQaNfYjk2Pzyo76hkJnbImorySOM6MiYBM5xt3vdB/q1zEoNvX+2h44MCzoDI
ZSZDGRLdWAu8DoOk8UVBs7oK/X7d2RpUwRt61QZTjxKBybTa1jHcAWa6or6BxwmBEYEAKwy3w5At
0/cOoYmo3Pmcv03ym/h2vm8cUIR0GHwRUjb8ytPE/CrNaNsDIQWz5H3KVGGhRN3DXqp3MLfMS52g
jU3f5IJetv+bc+cs1eG8duOA8zrmlXBQnp878FlGxgQKJfkckl4E/+tYsEx4lZhC6ti/eXklnAco
+IOEBw8Ag6kcSA+fh3OaOOgXLCWz7yo1/TW8dU1y2uboSDMRPAHIhabQffm6rjlCfzpiUQxCh1kE
KHR4fgzz92wFotkyJRy/zD9S18HNFSAv8LzT+MsrybHuAH4ST6x1JdpMjq1YO1blSv4gZWHkcDEw
siYEgZ4x4MIBdWt/l3UOBgw0v3BREJcDjnl4U7f1CHhprxVJ+f5UjqInsSZvQ1Dumo7ZUoMCihad
2u8AbzeZQh6ffcM8ravG/r4tbRTG8DjnzdsYEPfpgHFIbUWOfKvsmVByaMelENX1yw/JRKnnz+io
lWVT6ocmopy9nN6vXFKxCIvSpYgRzLLIVj6fQDAvX+h81RO4qB1jpqa4ICCcdpbvJP3sLXZCOnNi
2q8CSNE7oPe89lN3MsM0ipBELUNwf/na5xmF4P9oX1ImMhgPvfD85J6Uu/QhynTMUUuz4d3ZjAQY
AvH2TycLtQi8ZYwt2fzJcT2chmqJb/MzbjOYKdLLd/XLo6ffiCRYQAJmCNvnLZZ6akY0CQCVIsSS
JiAzRMagaR9AsALP+PK1zmt31HAjsl6yBN/kxqBIn2/CceyKznfyEcMoE1jRGu3bNx2K7PqumUlB
b4PjVFi4EihHGgYmSDfxypk70m+pf9cLPI8JRANBAzuCgUD68ksUaqMUWJrjosoTMrV4HbGLFfri
kUkdSrzwAJliMQsFBJZYXdndKxeUEAcGgjcsmMXG4wbGHUoq0AAIs7gAdh2DueIC9J6BPiiR+mAM
y+NX+7uPkuZwRK+ORDD0XXR+nz/KLh/y0VE4uayC9XbBLFrlGmk7A0aKs7gv9/Zamm+QpBTLFxj7
9P4Pxk9d7e5ibRR3//YNkZdyyJpegsBf52xrAVKFh6WRhhismDhXO+CPr/pBG4jFGgQrJyj6cr1F
M70k4R6Yf6YN90d5sRIQa6RMeOwv39Tz/mEIgY8Ehc4YvV6025hcPH9IZW4rtAeTfrvQaGXrZAYI
8zh51MHMbFBYMZF40ayvNKvZefBMDQb25Zv4ZZWZJiaVIJveHDznKQi0jahB9bHenuBzYTBwpVrT
hu3/Qm5OhhJ6//Jlj+Hk56BKKyqiOQNBgOuzCM4al7INdagcD5EejTTQAGkg1fDWbMDB6Sc3Qwru
GkQ3U3r3CLyYMmZ1zc4tCpZLk/vgXzIUpEEfoYbJV9xHgWVD+vaU4Tt1s71O3+M0Aw8Bk9jgQSa0
Fds3T1S5PGAdnlbjVADswYMXARr+GAqoeiE0L3jz+va001/+4s/nDbx0I7tIdLdDB6Us8r/nLx0d
JT8vYqfbVpkRW6HWN+f9EwrNquCWfo8VATHfGEs6CR8+pckHTfNIgTzey/9+pgYr//Gf/P1b2yH0
k2bj2V//cZt/G1rZ/hj/0/za//zYP57/ld96+tTd1/Hrs78wisjH5W76PizvvsupGo/XS7+35if/
b//j//p+/JT3S/f9v/7jW0tYN5+WYr3zs8A5a/ff66H/n+rxa5N/Pfv5kxi6cP6wEYlwbHCBpl3u
cPKexNCd+A+T/ZhKBCUJ1wmIVE9a6J74gxyUAk6wU+3YNQrmsp3G7L/+w43/CLB34agARGmaq/7f
0UL/Jd1kmEbuZY442uucw8+XRD/1ed9gK4ZAbTbflc1Y9WCKC2vfVp3+XU+F1jsf9/POQ3+XbYfM
KDM17l+cxeYeyW083sk1x6H1sF0ZMWoL+wx8NaRPmKgedB8VNfkAwE2oR/oGCB1VqZhfL8USuJd1
UyXQekCdvNFMvqt9mklcwGNUwO8QGAicXTYGOXK7LvYp0htxwambTl3hP94gRRD7aBZooKd0CtMW
Lemjj9YcADnapqh4IOwkiprTd6g7cGqFe0ct276NVT1zL3jCbNIyD+etB9pm3llwfD8PSZdeKTp4
VGtrVEcYMCPJvEnyrqN+GRoRg3lMxEPsWuhlLEuYfaRfHThb26kwWocepVHt85HPBoU/uvWOOGmF
26js5teI8bSfJBXWDVy14l3ahEMBuWfx5m0FZ2LawDWdgALMnrA2FtPtt/McinTvMLudv0MQ6YP9
6KzjQ4pq4ZsMrJF7WPTgf47kZC2Y/VUCL/VKULtZzGw+2srR+aVG5BDjVjtOXoUgpil6Fv5lG3VW
/4VqLvmEXX3V7shkqnDjk4gAQl3tHHl1a7W/0rOSmChlTvRJLLN2GSCO9WNdQ/47tB52Lpuplxik
SzsyqgJp7NwpK63dS2/0pb8LV2e6K5QbwHNQGH5DW8gji/mzN9sXRspz2jbQwvBixzyRMnmJ30co
+KFXV0fYaMF8BJodWGHwkEHQFzQ4hPcV2LWFZDxQ53QflPSCDs2w9G8XNc6PeLBO3gbXlBG6UD5p
f1t7ckbCnNrsg2cDdt6Wq44Oc49tzgWwcTCLLaDLD2OnsDP2G6/AH94L5jdzYoT15FwPPaZorb8j
dwwBzLSOvnBHb/ied3aLFr3A9rsULJlXkaHabQUQ4z9TeFmMPqrFft+kQuY7LHCGdb90s7QvHXuQ
+8yp5gmzO6a0GwTOsTV3CY5iX5WhekgzrXukBgJX0vceQOHAi8sNGGgRPnbIKobys0ivuoKOBswZ
7SvnB4pYQJagsjYYAmBz+NFP8voDWo/Bl6JvC021G3chxuRJMe7KaIGcqNHpoyQKlv4+zaMIw58U
y5PDxBXKvSgRv9haeY4Qy8Aw40cPMDGEJpHSOUUrniECqgU9v587Ga4eXglGwBpHCS989d0f8ALA
BKcdHNStxRkO/rsb0Y8P8kyGe45yD9tMCyj9VtkLuicuVNr8amztbtzNDXytPbN8I0kAJAfmRTlc
c30HUkqXrznkthnNKwQ2Xb3J4PaW2w542/2AjujXjklWzqembQiXSVUPahlRaxQTiv7YROfYyXik
aN+V69cjdjpLiEYvktTtBaDA3L+OrTV9n1UKIySh4dUc/Lwfv+GTBFx9mmvbvUXKruzh886RAlGG
I+3GlSg9b8A/Bg9rYDERK0u0TWGiz827FJFUOIdDNb9FqNHHuLKPRL/zEfGod/8Pz+Fnp/L/tw4m
/+bEdmIQDv/+zH7bDuOUfq1+PrSPv3I6tq3gD5Ms0UEMAqSemAaSTT2ZmLjOH4IUykOAiSMMKM/P
57Zh5nFek1iCBnIZy/x1btt/MEzgpPcD+ixxEEV/59x+nspxBTNaNu0hEgeanPZZKqfaplo9uwhh
upTh66xYc+xtk/6A1nJ+XTd5WyG14eE00ZT5rT0F2e9yaHOBf57k3IDnkEQDwwL0xG0c+6A/6T6r
Dp/ujJwGKU3H+mBJbIXHSaCf5jX6ah5qVBxbTqGNN8r8NbUeMUGjM7FfoznK2cZ4DGlkfD7WS/CF
w1LC4NWuei/SYl4vrA7zjcPQhPsGQdSLn17z29M9PnNM+PXWI0TckSGHGoHRzXFO+tOt98HShr6A
fh4Ei64v4eE4wUHmnXEWXkT4GY3LqcJDFDbVZkxWkV+1rnbKG8oh+btm4/M6jMcY0FoQSI4zU2Ge
ct58s8pYVr3QeqvJAWrOr8kJLsm+g2iLUA2mbCXHgbFwzGNOjczmIP7N03je+DEv0jSsqQUNsIai
3/z3n58G6rN1mrkKhSOt1n08TxHs12Uq7YMGs/5I88k/hI5XIJwMhaY9NHKek8sBPVsbRm6dZ9et
32LPJSwfXa3KsotqDySmjy+8XObyRthK9aeoRbwhef9X79Akis+WXwA0n23p4t5jnh5b/ee7ntFz
DJyxUNvehzAJfhhwKBy3WG9KPFkt1DHbuMiu7QR471ukB2KvwtC2Rf8ZFk2QvMM4UMn96FVWsHex
YMMIvMAe6nel/7+4TR4wU1jhc4+Al57fZhTnZKMJfBZ2EuYnDb5l9/aAlCYcSxuOjehHB8D01IpL
EKYie92hDVBc6LTr0OawVxDUElaai7p0TxMwl64Sv+n1nA0CzBKk4eaHGFWQcvEsz6phlrlYmOq3
27j10+EN6KEOXHQ2tohYLipY0Txd2kM9x16+D5c6whE9quaDZ0UivGwmWLubVOHMurbJ9CgzBb0b
WoK6oXf5WPQFVmkBw/V3rU9jexvg5GMZwQfL2w1ILtv7ZYhTjwkQ0Oc3g4JReDEwSko+MOYFQ5H4
FWn0FEq5CyaKgd+tI1PfPFtHoemrsvWAbdHwt89eENpdKHROYYUcFQOQLXslRQEVBxiobUga0QZP
+kpslfKKvVqE/SmLZvfVgNluspvbgOFDL1Cb/M1the75rgRIGlCjs3h8H6ybd/ZSkJBRU+QtJXOy
tgqvEDLprxQ0DGzXVds3j4WoB9ifSd5MN1U9XoHEbos9iXOCLnX0FngrrCgHntxViKf6Fv7lQRbD
8BEFA/Wesv9z3PjuFaB2lW/8enKoyOou3MsBM854bJjHNxq5CNG8yR2I+YgRj831ENXjhWsPxT5q
I/t9Ozd/Nk3SbN2w+gApCyurwQj+2stS7K2kBZtqq3qbAClc8DptHW/Eyd5Vh6Fafsx90G9ACD5o
GyGknagBRylrkAnpmmdfCpAqO4FD4c0QYUQeWbZ9aPoRuSCWS/YniHhg83PP/bJUccGTts4Ab0Nd
uI2XSh6WldRWhNN0vWj9brVj/yIF8nO5drq7p792L9fOgUQrbCOfvN56ugJNGCVGEpcp8EUHQ+ir
1VfOtkjRT8RXwEEcPwkeCKXX0h28XUhZf7m0dnrpN6K51qifw9MImW1rzA2cLSoSM25yqfA/9UGq
t2WIdHHRw84HkHwFaDe9cEa7PtR5OOz6pZqwKFbqXdeKD3HSl29Ehw+dkw9UBQhWbId6uLDy5tWS
WuFnCEXWwwCHJ2OtFr0h5o2rfe2rQJGMYqPyXVMN/lmP9ZbhO/BIWeKxpau3VjTqfR8l9X2XjQ+5
iCF2TM13l+mOxDFRpxFcOInA84L3xB3iBsWjjRbbutXrOPtMxJLihxxl+GePzc/bGBrnp0En0fdu
gKS8BdtG8TVm1muvCPKLTtK1vhdePaHkvzaXWYv9t283N7Yv0RtxgHpvQ97DHoaXy8AwhO4PHi/E
/SzN79Q4qisUaJIrFyfG9kIV7fAaGaJoA/x68DZrPF8Es2qvXBkFO8qC5kJATPwIZ+wibVb3pkgT
tUfOxbtOywz3dgVv92Kas+ZqnJGNWamtiPr+3H7o+vnbXKbDxEtrBqy0/OFRKMOrnpS3HqJcNPeQ
N4vdiN2s4Qi1SwlFqM2+xk26XEwYgG/yEbpAJLvxE1NKseUwh+pG15NzJ4L1jBsvNJy3UTxRmzmO
G21Qy0QQK4CeWrCT8I85QNELh6tMaizZCo+itM4/pzCQ7qNxSPYWmjePBNbyUnmif4A0Xb3tZwXA
x07A1i3FvOOh94Bn8gDkkWXRr8cbQS9hgP90hG+ovYqCQTO03g9+PsMxHVJiOfowSP2UTnJV91P5
ain79TYdkH8A9lRuRZbfVr41beLMiy8bP7Bv3Jl5Wq5t74IK/bGj2/nBARZVQiYV+lrlwXCYI1ls
69qrrtE6ewso/Ms4efNB29FwFS9R5m9DsuQ9DXr1pYXIfAfNN8HksnTuImWEHeRsXQmYHju0zpoL
7DHjS6my4b3ukQL7b+rOY8dyJM3S7zJ7FqjFYhZDcaVr7bEhPMI9qEkjaTSKp+/vdhZ6MgLdlchZ
NHqAQhSyKtL9CtJo9p9zvhM3eMEPbGru+KfipdTb8lCRElM012owcAore6o9b/muNLd8k2tNSUI7
NjjrPdFRt2dsB6OCvWks+cDYlTaVT6OrCDB5Zdm+y2pV2GnNOuRDWg/pANIklEQ9bFilQ/3MNODe
qsvmdiFT/T3YMhn1q/ze2M5X0BORDIWl5Wdr0OtHJgHVzWSW6icxTJ29r1V2V5qdBfu01PLDCHPv
YG4cSeman/05Thei6ynPuedm3D6HouC8r8nuoTGaGSiH5Z8KAB1Rvl0+hIXP8UfDrOnoNU0eVczc
Auq6Oe+Cg+f876Tj5elhr/uMLEhCt5F1IN5bLOGmyPsnpFvbFxMCzW3lwPlGaV2urG50mTbk1clM
xYchU3XfInifHIKGeywc3g6zUXUzMEJLxMzQbGqH8SVtRXpVz4N5XP1yfcG7KO/6eqxuR8lvm/nb
WaIIZlaNujShLmviUd+5z3C9R+zA5teCueNNNTTK2btZNzi7tB7dbUdmq7/1odyFxYCnG8R/ln3p
hZAqFDrrftUUN+7IQWJ2ZZBo7KH47wDYfv2F70xdN35LiUnjDncM4In1Kp/pnIu0jQvjRbSyJbxP
oVxHGvTNht2/s1Pu57ACrI4DMiWpP+rAccNqdQwOVuo+w5h/7ag8fzBmcziWXVp1JLJqt4vwfRRH
7M86nXWbfXXxT151/aXhO83NIuRXm/ua2EUyOIVH0+Gi/Rg89VUEnXlMSVOc2PGvS+gq/vCgI7s0
B8xDHLRFeRhXzgFDLzqqoCT4CKhIT2IxoBi0k/2pjVZw5efAQTlrTeq2mMzdWoiwhOPxPFK9sHeU
7j6JzjF3chHTcaOR4psXNDuYJYKPRW7GlyNg23gQ4e9SOxv2bEIXGA5iuxHEjW4KJ1uZwhbj0RUE
i8NeEN1sGRCfrWJbbyXDtIOSvR23WLFDVgALd6XKntUiXhV1vifNyigzn721uxKprU94TiqPyEp1
BkMN64vrZD/QynOywWwemkVpFfmXjvGSaX4JtMdHDdvSzr6sLQTuCbj3i//kMCBHw1G1y2TQNHY0
bXWP3Nn1eesHQp/DUGW0vCBn2PgJwx58fbISpXqRzqrfQPT13her8Q4ZyCW8mCkSzppS50WKnoNQ
byj/SU+74aXPdOtNmxdWec8q5y8svt4dVWM+WLVmYjS0SPy73M0fprIfG78YMYOm+8WTwWNaLcO3
SdXZo2LU/xNvUPWVBSACKFCodjjCoMKOae2H6Uj3dCV8ZUbAuZej60oRFiL/lO6WH6vKGXiFOp7h
IhBxN+TVtbx8Z6ZN2gL6Ec+qqhDFoUQcDUmzU7ez6tgWwC9zsrDZXSy2b+3LZTMiSy0GvRnUytxT
XgKLmPLr4pPSVvOM4afl5N5qzg+hF9tjailpJ3JO15dZCe0+F2zwadGGFhFilSPuMIM+oSamelSW
07/2tCA7fCo+3cCO7seI3qwANkN6Jt36esdobuSo3dCBAOvDv6VZmPdObHfJIm6sOsZuVBW7Cbvv
VaOq7gGbuG7Egb5+Tp3TAn9u1sG8jNe8dzPDzxfqRsefbP/8Z6pEPJ3aq6BMYy7WKbQcNLVdoDXL
csLGU/q0sLbtziDrxhMTPwx3+4xzLGDRhk837ziOBwxvqVXIaKjs+uBeFYDkmCZC8s4PfaZ4nOMA
Fu4By9N6x9VRZVcBlcrzruzp44uZTCpnZxYuC05GIelhGmXwbORT82laUhwUh72fWe+yWZ1mZokL
hp47iJMVIIlpot+13Fbw+yC70ij3XBSJqW2vc2/q2gh81GerX9yDlImy5YGk9c6TN78SnqEfdKQ9
3PBLYav9pNvpGuuj5LmBpRoRXIP4hqAs8isEwF6jABqYbyXZ38Q8ebp3oAjekhhemz67A/LATve3
TUQtnS4zFlTD49on/GjuskDVn3K2/Oe6h3mwzAM/eOrwkPMzO+0j5bFVR2wxwXeUvpc9VYudfugb
+A9gMlqzH1JGwVHt9/7zXMBq2U9j7b2TcWXiuWiWlDB912CIcc9tw6XD0PuAGDnETf3EjtD95gKu
ETzKpZ5HejdW1OflhLRXzWmdsF2g1uxwF3cPC5tt9iS+5TahruV6i6HH5/oQhZlf1Z3SblRHNJXQ
kMaf61zM86lKW//Z6K3F2W9V4BhnbYJEQlUWNfLfWouGa27lVjvpujbRyKfWadvTvdKZCafsZook
Q/v6DPpZllE/zz7t0iSAXyj2BccEdFWZLKMa16vZerji6Ep1gEPrjsYguBW4tC32LcXZ0hvvxfGY
b4CP4RtNfDE5hEp7n81xCwSQZptOBuzK9dq7t4VR3KzzXCduUPJtYfosAe1Wzho6Jgl6bVr8d/BT
2hKnk28l8CXch25bThmekrteT82TMEvtA82mAXlob3xgZV2OWjQLZJgOjMdeEYh+hCTKowH4YIY2
ZgevkLCIbHdu3yTgToYztZ3Wx8LifYN4qH4GzCJtbiOtO5i5LVny8sEew7JpOHNOgzmLPSbEiZbU
fKP0CgrX6ux46Za7I5QNOVwbAYfGInea8a/Mj7+645kYUd/AocJj6kF8Cnfor3OZvsrVqCDNhh6O
Xy3ack4/RTZIls5A7GGZIcrVG00CPGJL90OVpKkiOV9YBa4yKcv1ILPK2y7dNDsxfCdrQC5ujkxm
sEk80Ao5vU/mUiOsVVQ56ZDdPa4ObE0wYBfkNZdwCwxsva9Pc13b2p6lJVg5qU01wIEcZTTsJXzU
y36hciJMNuNf1bH+uxHmz7OPCxsXt5WHZ9p0XIpsf/sQ2gK0GmfoEHhw9oOqjAYgEr0uX+vsZfe8
lJnUlDDus3xiw88DnWJisPMyksio17W7lrdGDfI5tAp7+XuBO74hBuRY35im+waK8e8vTu/9WYqe
Xd/Y9OUz4iwHv0HfgpIrkFLiq5lW5H0NsaUgUls63d6reziNWOE5m/3rEemvovVlvIgMD9vnUinB
1PsiK/x51pgJ06QdUzUcslYR92o4N8G0JJlryR2lPs5fXJy/SvJ//Drw1kwNLx4NS//ta7HbYJzB
dDXUPNofUlvEC7XUtLVIN/j412/sP/1N5BoJOGEt5Fj66xtrsk4rO5yPzE2CHBJLoJ/6BsK+DJR9
/Pdf9bfsHk9dw39+NXf8ahD5/8oRwkjuv1aX/k/7CSOQ7+MPc8nx83//L/7+H9KS8Q+uKBIBgY5B
HPLBxQ75T0fIPzCI4cfgUkMoYiLJpfYnRwjeQEwkWMtplDT5cf9UljCLMG3RLz8IS8VFSfhbytKv
I1EmXkgSFy2VyCvCEtuDX68KkygtanVF2jft9O+FKr07e+l4ertbF206nIoRX8IxlZ7/rFgHD+nU
a89pL656zH37oNYSWtFAYXRwtlZ169mzH9qQiF6WAedCQdomyRA0d2y8WjYs6kejD9+2rFax0tb7
FAV07+EETpaJq3KDA3as3csIHbQGEzZ7+DYYxTcOAO9i3sgudBbKTPpMyMnatXLN92k/nA2/0S6s
nWeBq+mGXeoX0TBEgQ2gbmbTbDI3r/2qFMfgFUax2THYNOWaGLjzklIb2ZQCVv1ha/oDL6W5ZkAT
zd08JMG84Ly0geoONGjdZpsPwIzpC7P9DatAUGDymF0aT6gYj6tZnuVgaDsyjS3SF4daOQ9ZIjrr
s8N9HBczh4jKafaTn6unshYPViY+00p7tVVq8kkXzk/qe04+Q5qntBpsBh3zgUMj2OOKrapoxHba
lN/+IQr8t92uvwjH+6/u5qP5Gn+/838xff3PcHl5zOH/65t6V7T1R/v555v68i/8cVcjCjs8T7l7
PZZTnqn/oReb+j+4pvHdAZMivmg53HH/vKs9ROEA6zVyMB58ByHrP+5qJ/gHISbWApcgC/qab/+d
u/p3izURQB4pl1Q/TzE07cur+/NDbLIrOvQkjI+y9RwaJoC0Ru5ojzIsZyDjVIEOG3zwgpMiEz3G
f11hUPQB3a97zWbed/inT+4/U/B4Z39SXojYwnGAIoYBjo+KlPZvDx+Cx74p8TrFRq/I7tMCpj1k
GSi+0C76+WM1p0VFJRlGH4iVz60Pc6N7TVFmPgiXmer/4fWwLGNCJ/TBH78H7sS4rDDFVi0mFi2/
Gxot1BSzzQ7h3gBNczfV/fbNE6bfh7qluTq52MW4b3rbFXF2Cev9xa7j8oX8393ZJT3NxM5E+eH6
cBll/KYA6YNGTxJ27zintX6NWboEx313tqAYTi6M77pdlm7nVhcbTl11RjLQLCn3//pruvyWX1/F
RbnUbQIiCOW+99vDYBzM0fIFDHopFV1yJuyUiLOaP0Ur4yJgNsT8H13NyYtd3c5edfi7v97WGQUT
4HK5PyCr8PL+JE5LWmSQbjcLCsaChrL2Dshw2x8KM8bUYF6j+1ZYjpzuQlKGHVr9hRBnXK7CP79/
dsXsQCmnpeQLz+Xv4ugcXFpDdW9LKj6kD0iFNsY0Gp0JxgxyfvML5W9RW+CQi4DCMClIpwshapsl
apIVjO+q0O3p716rvCqOLWT7yKjy6vyLevinjwV0uZfOwaInc16Zb5XeDUiUQrpW7GE2uhCY0QoW
QcQYF93l+pjMur4e6Zoaw8Wbhr8KLZHc+f1CQTzDJIOG6rHKsYn9bZO8Da7ryVH48dBqUG0LZCP4
yQiAkK8g/al71gF6owDHZveLvjaPzbroPWZMrbXwFtbZd2tu4EzBM2XG4gjCh2EPTthAeirGb/na
woEs4Fobj6xOtkzURE/AKVtLDQ/bJI0XnzLaNC7LySz2M5G5OcZ9DeR2ogZRxQ0zmT6q3UB7X+am
+qkrg5EKI4FmPOYsvm64OcLvYoatsNkZQAZQxcE82ZQXe3P96jZZ0MZlgKAdzV4n1fU6gfZPXL93
iOWSKYVOjA+SplZKgsVhrkiPgZklFBe7waxrTJ0R7+OmmLzHJhiYRePEc5ZIbiQ4whYvNrbJFC5b
pKRMAW076Wd5Ke/aPFtCQq/hLoaka4X2CvfGWyLTn8ufOhkqN7bHwsiiLvN56dKGyr8DM7reARDr
HqfF6vq4c9H5ePnmKOMGOsTCRdsxa2TT361hsamx3QMFanIYeSZD8RGo4BbJAh5/ODv1UEVjNmNS
2yYMc4cA+edj0QCZ7/uhAzh6SfYwsq0geJ85toxdOOduN8bMGPM1tKzRv1t6+qb2lxSRuTMZi7C5
mZQ5xTmR2RH6ga2yaE6D6lLeYdhPhSqKIl6tXC7xQs6qCx3+XyNWTQWoiEl8cZe2BuUCvbvYX7R4
BOE2b2QsBssFrbw0PzYK0U5WL73yU9eGEwbBQrujS0kkAmuQim2AVJDDMCv0EY7WtjhmTRuYfCHZ
IO4IK+sF/UIbdEcyj2YLMA0QZ8jhfYFUMjpWCC6bC6ZT6JSMiQyIcMX2Y+OHv+OLGvoEINyoMccv
VJjC4o8Ka31Ioecx5ndJe0YLoTr5WNt6vZOte4PvJuk2rXzfzFGhAiBIUieCqjUNk6s/5NrY5/TG
eZPzkYHweqsk9F/01OyrQiSLh8wq9HgF6bv49HbGxkxdTlwbcNjCzEK0i5EDK5z9QRUFWXNQ1ECB
1R6fRDAzeSprL00KG0ODnoonSKxj14R93y87pjOwQ/3a2s1ysaxjviL84wFFk+uG9PIcojTB2wTP
Hls03i1QCXHKZK1ds1z6sKDyZo/M+lznDeK3X4ujcArJ1x8ow48ss81uZkOamEiqh8CG34ukvTkn
Uu1LtV+Mtp0xRcJ39uy9Tm6IYTftaSABonrSX9C2rlcSUx+scs39TIjmQy88UOLUwTYP41yKjYGY
rT2oBZro3qESdwdh7U1QYnCwnPRCvJy3kzbkzJZt67qrYMbnDfPFy55Id5zGCqF1sy4AcaB+K8PO
stAuu3dqCBD9PGI1Eo3EITEX2dHr1zfah7RuR45VTy+a5TUVR+9durRJb854MBYbx3Vz6E1a3sZZ
HnAbH2D5nVWB7pAe+3QC+0788GCruh+O6WhqLPDLeMegF9sz+i9CpqMTbyJ1GErdJKhYAHSlVL5h
grq5ZfEsJuosQlLFSwKrvyG8uMQ0OQGIY7If8X2om/SSL8AMPd7blUcVOVTUq8721LcSFOSHl5nu
s5qa5Vj37l0w2ccAE0oRbHesDleXEgV4xE9VVbUJ7rH1ta8dP8wua0VeGx88mfZ5yYqnO3mFq7aA
XA9RPMvdgwPIIxKAwrbGuxm15kegmXtd5eKNEct2E6BEzok+2DZv19ZDtTwrKxChwGNwicaN050H
CZ5L1M/2GkJIseZlaDvFaRZpelhTwz91aR0yQPHC0liPPqO6HJYDIyrHKpOVrg3zasQNn742rsLB
UGd9zX7KXM0z7v21vtdV99qlnf1IfeqwPRlCeAy52/aHNWsfLfCt275nMXAg8xbXVAXN02etpUZ7
xv8V5DeevtTmW21Zsxdn8Lv1yFe0Q0EDNrUHISBdR9qU2e4OTzOFk5a7mFaEz6cs9iP5oy8+5+nK
4CIQSQVk/wYVysQJCdPPi+myUa8BRY4Nwy7c96E+U5KyKQOX+QW+7I8qf84otzqrTjRTLAq0wdBw
Z862eTqXdImJYoxLe94OFmVxB7zLWJNnkLI/mxTydwwSEnVHuLKPbGpGPvR2LhPe8+xT0Jk5SUlt
wE5oi0xPbib0IBZu4T/0PpZlCIWY/dFtCj/28oZKM3vqfpJzb1mOt3x9pnZd1Vx8avb3LpffXY7q
5+6sWuRG2AxK3Bh4fnBod5J9DSrqblAjcEmbzDi9mqW+HYW/TW/UNBiXrjddQgT05vJcTGkwYj6Q
jhlNPhFg0nTjeLZsZMsPapckZHcnnx+G1tm2uGcycz0FVX7syORX8UgGJdj5knnsYdZNnP88NPuK
4fO0aGzym56nMwcOnAOdZaRvW+rnJm1WKqNeXbLDix3pGFQXQ7u9GXElpvHK/jDsenv4LAfbYqY8
TK9dMROok5V1jyKP6ErKPbRLg0mFRJTXOckPtDnyECxiwMxxunLgsRh7lEknCyb3Nd5LndljPmt3
YzWs486mVzPbCxDXST+45VdZ0kwAo3WK4XqiaIGObXerdHgEwpWcXfZYuFkDG8dR7dIPupi4OzQS
HJZ9ZPFeufJxsOhQUY9D3dzRL8BDmcTQPlCbF+wM0VYHYeTyqtaWCVsUipLydl2qxHLveJrY5d7l
+aSJKogVKOvdkpXuTeeIK9wq9WS2+xKe0LNsG/Ocm1piV/aEwqmlSeeqc0nV3ehrQ6TV3lOrsg+g
NC2XUxDNjbEzXfdgGd1tbTQCbykldIuTzAFmrWXbHhBIs7jIlX7E6mbF1M+ZDxV2/Xjwq725lR+u
Vaoh1lxXq8/cYOaNaZX6q5tBQ46xAOvNsYZcaxxhGOuJckY9P/W0KdWIZxX210jrN29bohIWFTtU
ZJ2qyK4LyGXdQ062fb7TW9r/PgOnrYIsSY18CX4abNj027o2dPVqpBByk7LeMGgvOQ2H1s5tm83f
DYD264TaBRd1d/U1MxwlkTtvx5te+7cLXmm7bCtzi/L1UVPTckNhYj9T9EMVQ2jTjFl+bdDm7bAB
3CQfhnUGrNDX1F1Q+lQQ7wGtjzkEieshtb03Hm/oolwFL7hjs9duWaoIfHF95ZaZvpt6c7x14L0/
iZHyHTeVKSsUHg7/Ilavwu6ivnb723FeGFLNMx6foP/eS7P5XETNsitcTu+23wIc94J7gt7BdSAF
NUhKKLp5KXa1SM6DVEctknm6JGU3+idKy6Yv2oiI11zELprgpoVbdpGvUMQNNgp+9xgIPNLbZt4U
JQQnjQkFtBIHwa/JxsNs0gARGqgWjzpOgBdhF8FhymeVLI637Dkz1mcF6uS2ztM2aWZIwoQ4i8eC
APAe2K/abbp+BQ5Av2WFdu7hTeCWyp3qLZi0/naiNxdDZAN/sRMm1aAORW9lMLxIqC0RW02miKMr
DjovOTZGvTt6rSXPJd6YeMJzja1VAR5tLfK9WbFnidLeB49+dqxGLC1OSdSj4FASr2XFqYde4/yV
1fW8yN6Nah03im+LomHrK79PixHEI0OS0sPcYqzC3+VmQAFIn2+4DqoP0YpnUZaUDrX0vaYrezyX
Jg49c8AB+2220y5fiCs6b1/am43W7Bav9CLeGRpr/RLQdgFG/sFyZy8hO4SRasp3nmlm9zgn1xh9
sooAOI0ftd4uCaSPfh/offXpV3Z7ynN8CJSWcRjfUp1lgJJSkAsnu2dCSZm0FvOD4ImM/vDVzVIL
BcL481CoZT8F013VzcaNP+bux9JCwJgozbodc4s2WTf7OZVm0gH8jlGmz9YS4FSs1XjGWnB06sKj
e9Tu3rMuf3YMWRERLK9r0LChIceLJ8NIOTyuWbJyFOsiTLArRWu+f845JV/ZG07AixJyrZeEwaB/
nbdNzTtSHAizwogKz02Usraruqy+G6UddzpnRzSap6Gdnga/JyPod/IpXyz+d2JUp9awPkx7jqel
qK+tvLhVQiw7HCn9FWthfWCfg1PXQz8eN43eE/2F8yIIjoEvaOJWajAj883ETkFMMsPHR077OS+2
iODCtZsGxWtbQ+ui3TVObae76g37vadqJPJpB7gGlFzHxLfZeYnxlftHJrTVIjinbL/w2/ax1ZJ3
IzHi8LF4n4BH03CwxCsljTH1yFHQm37kzwTo8Lfx2RSclBwN314p6/tsBF1GZHmNLWGfXS14glg+
QqiwSU0QKr9zDbbB7rwcmzbtH806fTGDsTk4ClsFxBhzfymACdc+rRNE3zoylWbulGSzElhNl6ih
kret3l0TttIjOiKynafb/Xkbflq8+272vrma8VkFzdM0FTzVbOxTJEriTJXGpY6nompuSxNaAtW3
nFqthGD+p7jYGYL0hhZrTIg+kJnBt9uoWvpYmTob1vaE9SL2++0+Vd3Baqt4qp1j4fdnBwbgtMsG
i4OnNYlzVdZ4UubqYLcThr9+VABJAPmGjTa0pEVhP2LMdp+HzunxSZnDXqX92Q8yXHc8S51d13Qc
ymCI1NebqvcD2lzoZKNHcfnFZNQ36c/VJ5oC/ANMTj4cu16JM2xrubOKPjj7xXbP3A4bMa5FaUgn
klOR3ZluEE1QSEJq+Lgpgsix8J7Ji4CMU+BaX7tbSstvvUzeI69iV/WL4UQCfdsXVW6dgHA0lzZN
rJe9/jAGy3bvdtu3rXNf5hSblNc+rbm6dXXJItWueNIMebAGLM0OVUaUYzaJMxo/zW29q8SajFQJ
l7SOm/M27UkmhsYyEsRtrkjEsNHA2XHvm0Y0qv5UuYsT2Y55Xw8vQ1bfyAVeZv28dst13g/JLOkn
t7+sVfugFoYz38jeWrvuL6F50dyikB+HhRAIiG5v1lhejARwSRN1rUq6udinrY4Fb5GfW+6/X2oH
CEJwhOSAq5wZV+ZZwwGuBDMkFirtob/g9MLA21R2Q+4Gu3mwKSu9xc3paHh1U7QgoVng2ykDWCkp
wdKAAXiq/HJXd4uzXgnfGe3jaOeWeWBMWywHPhgp9pl2wSySLMBos0tBcNVluAxN4D71YnWxq2zU
uKYc3SAUZaGDRTm47m2y+NeizO2J3JSYAxMW3LZSy7vanta/OavTi1d8DF16m81iMN/SdPGaZz2r
6IDA4FxxxcJrp/cBR4KUByN1m5sMTEUWexgh5FE2GAX4m7j9BYcIDCpfRcqRT3rTNzvrzVjrxxfb
mT65CqLLHnrZ5mdVaDIEOQcKqr3YPnBZ8VRt5ubIUMZg78iOIl7ccvkgLYlhBrcHQ5IJlpSaksaR
6U8mrmOcNimY3LHUKTSDL45peLiX7uru1hRwPbWPzLYLOhH6Ori2rXy+5c42Dzil61tMiOiBrpbo
mHs+aiNrn4KlyNqIegrsQ3SD0gCuPZNTsb+R6upK/TtlCgtLe/44zJadZP2SE5/tue18+iPcrHwo
xWTXEc+8b4YYTwP1CTvfcO9tugSe/bkgrOuVR8WYUfPagyzsxsAx8iHm0YubzMd4iZvmYqa+Swm6
1nEpxc9AgE9ma/iAhFviwbJH82lwA/pUgm3XdoUTrRTOhnLe+kPnWYD8miIpSn0IS3vKThndp3Eg
7epQ+EApsQUyldEYN5t+49A1J6mgXaR3quWknQxvZYuV/dC4yJAWODKX7h0tFhv5/mGDxkWwJewp
Vj2Xrv+mT9VxdSYSrvZ8KA0D6zOupzArCFxYBKzO2C2buLHau9GhS4YfiApUriYmoXE6U4bihdgl
7hzTKh5dKKHhojWv2cReB3ojkZGKgelUazvVyjuh1emNrab+qsJzqsr2wLIe3GUOdQAZxc6YK0pt
OnX1uOH2yxXDSK0/Zi5F5bOq0h14mYI6DbN467eBeIgvn+yB9tEhX3C0anK9NmZKgplQ7Q3B5Nbw
9CFmxuPdeXPGAG6QYBtrAKU3q5ZrHzmZ8WSwNKQbYgA8+xXtfXY/sVUuHWNfjQxS04CHPGUiOEfX
4hUHMfp063hztHmTlWDf+dbRPMr0gdMylQ3HzXMeaquEl0G3Xxw0pvdksTtp+cA5wku7faY6JD9w
a7Emb+pByxWrH/bUKMeef8DYF5saOjsj3fUs2HLFQaFpkVG3AnJ/N1936ejsHGfz8WS9U8frXy2Y
lA8MPMfI5tRBSbti/54u1cktVbcfV12Gfo8Dc3C2/iZlJrmvslq74jo02C7XtkN6CR78sHqPMsDW
NUIlY8ez1R/FaN7LYNg1SIQx6F2Ee7I8/mGCeHkwF/ubw5Fz1i2cz27gn0EZlK+jlJxFVQFcUcwn
jT7UMIVSWdNodUXfsfZOm1m9A5TxXnv5rZVZiWonWrOlFk3CmfeOa5+BfFxC5Xa3F2bz6MymdSMa
rY0mj0/NsNsVsyj7+rXs8hgtoMUko6V44et3b26ck8JDFoI/vhRBM8LBJek3zA7pW8AaSUl4CHaZ
wE4w3mx6+9Wbctl5PGkZ9Pc4Yrk6ABF/p0s5v5iyKeiqqivXdmz+qYYb63MYYTZUnS8D+mgV7oez
Yn/ikHFuCzx4XXmgKlMk5pgFyPqBVTEgCfSrrRp2G0II48kszP0WZ/pGSMKe1a7FoM15iCMtbc04
EobbeQheLDG7JIaGtDiTSCoIj2zZnkKyIVwQYPZtaX/wyOmf00C9rgsyra9r8Ce8+S5gb8aEcq2z
g01nRFTTW5WQvrUiKLA/VLuOpOnSmlRPrkcTIMPYNX2VwFFwL4eCixSTGsmk97uNjsO9PQ75wWWg
et1MW5CMLg/ltXbPlmjsfd2qo3RLWpgKwAdqXvODmnHip2J+JqLyDhDqyexsCwEFQAPIm/tVDYnC
473nhmUDNBrznswQLauud8Cm6ryJSivvLhzPGPjevp+2b13XBETCqk8Xeyfltuseh3az09qAB8JC
bFgFXZo4It8zS6NsBRhkuDDFiAe3896Mi/kCWdyLyAIbibC8aB2Ft3fx9tE9o6exuZGIslpbv6va
9MxMgVwHHmnQ027UKH3YBX7Gh1cHp9zQ3svMqJO5mZhzpOnLRJ2fRYBEz5475dyOjJaSfirmPZ3n
/bM/DOWpzxe0QoILw67ijtsRipz3lWJpdvzST1oNnMSUDlbS5Za8l9AXL1GCr0GRIGvLgsow62IF
FOyPyrbun8p2kmwmzJ+wPcrYlJQhAWaOvcFSbJNa/dwMxXPn9yelqTtCDFeimy1kFF+7wRTwRQXy
cBa292zm21FvhhPfAXXdQh6bufIex1r+tIziQHmGxmFlsuNROGhqYOPYLBSwRKtl+6YxBQxbOklD
nK/YhBxnCYHf5ddmpuAikC47AbxqjziavZs5nUkjFQ/rgseSlo5FMA0osE/3bC5RjgwEqYzZGRrU
soc+Gpw8Exk5yLBBe5JPYcZ2SzhcjmvsdYrFzCpFxlVrPWuZtO7YBtsv9jRyGzK4OLFHnmOLXc15
KLWhj20gHImjOLUj8fRncxlYCPjbbEHyq4om4MhYp/q5LIhPUKyXOD4rpfDnB2MxDY48Fq0GtNbE
ZPoGeliIQSZT1gYHRkUnTibVblsUQ0y+UCzAerUnypGGE6Wj6BS+e2MKjkqEMpNx0fXImShultpQ
7sya3VIw6NW5nqR3dAYejDqbkjhwytNSdvXBsJnGMZR5TD0j+1KD6qNMI4JHUJEdp5m1n0CDvbO3
js9+h+5ldFSKKjA0kXcxS+gj4z5D624qZskxOzIGaLVe33LbZA80Hu6UpnuHlV95mrVqr1djdufa
3b9Rd2a7kSPbkv2h5gGdzvGxg2SMigjN0wuhlFIknfM8fH2vAO4B+hbQB7iP/VRAIbNKisHpe5vZ
MjoAayYak8+K74wy0QNdm8+i0pvjzCqVu5j1MKxDHuSa+QCBhasMF0+fi8Kxxz0KyvmrF8tVODPK
BT7i2Wq5wTNKz2P6g/6JkzVPTiZ+WBlMpWQGQ5/YWdL7dnoKCAdy93rMs9ehLsY3lEcjagwuy2ld
wq002PMRKFFQsm5tv3IiTrtR2ufKrc+xXdl7BpzqpWgQVTmovinBHfFcQYzB2w2z3Csf3YhHejnl
D2VcJKeUeXqbzJpxaNs4EJmIA3b772PZqoBxajlUZdaQ9arbS+Ut3Y5MPHVQGhYRs+mdMwcZ3x0t
vfG9TERFp4nBUmpMoHi4cAPMw8VlSro4Kt47/NSHMVL2oTa5F5rS/Y0IePpjSYdrZngJt+2R1ti8
n3YJ6YbDGllJIMFLfit8FTQqKvokizXaV6OeXSuTDEwDCfPZwJpO+l29cDOR/jS69VUoxUKrR6sk
MYm/3UTn1jwCFtHA6YaRvA44+DPKo7yaNJqzHlpOoY24fROH1Sl3pZXIfTpqkFrKToq7ThUwzuJq
uBvXLjO2jl10qNIAQoN2NDPEsmhKq8Czc1YFVWdNfwl6Ck4HI53vso7xGNOzHJ6wzQxcICPRUseE
tUMcC30xtbBbeu9+VUDvtrQaomqxQhufeqdIn9So6px7423DabV2wUJEy+1nBWoH6yBQYs3v8jjW
fWhu7LuiwohTJkq0s9vTvHonCJR+65rmfWLlad5cm5sJxVbgtQAVaBZFzyMNyRUbB3CApS5fubXP
7x3IGrkZBKY8X1MZDunW06Px3JOzISZlDY4bsKBr8x8AVdV0zdgV/zTMFTXX+ObWQec6uX7q2gyy
jqYk1+90YZnFkogOvI3Uo/KBmh5COlZhWHtrUam+bUoL1C4xxNSlGzHKPtjmjOx9NGuGHb1o06mI
UIBxwkzgsWjDbl9n8NZ0KllJEp9yJcqEzW+dVKGRTOI6Smf+9Ip2Xhm8y3q8+awWBWpPE3KrTezY
T/a8ZB8U/HTVvmga90+Z2wVZ4jWu3gYqvAdcAEnyU2eD/h1DPE/CksoXjy+JrTyKnZz22C4tg/5C
WtFE+OLzkhXNXyrY5QPCWf6ZawmfSsfJK7HNICOpg2zXYfGbrCHxy32v/o77gYOL3imXNU3a4nls
JzerfKBBNyuYXuG01DnZf0cNZNKR/q1R38Zr7+51BgSzExc6T57cajF3WeIUhznubkdrnfX3Hk17
E71wMv8SBsYKpPhBsqVuMVzCnGUZHK4lu9RT7mSztXHsZX1PE0Xl+VBDhTwkyHjOZuSZ8zIlk7fs
ESsiLoxJhKOHcKQ7+ZZFseyWeAafF17T5slqTMrZS7NEzu0WtxkOHi2IAHxy7EN1gjPEZ+85QffA
P8Wgz0ZiDnu7hHJQtHgrAjObjRd84WztyZlNgK3cdCoPJOW5ujmtWRG/EwVp2bSYKc7OO5DIgFU/
sSi4tFYm3kgzk1fgaYjV1P2JqUQFmFYWiBmiM1lNxA21zor3rPMXQ1iPZZozKsWpXfW+kdtt76+w
pNQjlrKMH1a3SV17q+keNIM1rzRUM2/moZ7jQCvIE21kkSx5mCSZ/egZJl8vvLXdhVr3VvPTSaiP
bGrHt8RBFNfHW51iEqeKEzqxZm5qrbiFr8wkGRBKzf5o3lrjQl0mWAyigaE+WJ2EfM7UWt5r3TTi
o0yZYUBIVU28XZus+q3rVGYYiab1w5KYHPn+F/KhIPROIDjlOULorn2mW+uW1I0d8mZqFDlBlJ6I
IfcYrNgbOrfSNwrmRL/N277JtjTnWc9ibseTk2gtbq/Jkl1oJk3VBrbT2MzfMWCJOzRvspacJ/YK
F6otDKwwKcYKq2vFE1Ed95J5Jo2jqvDoJx71ytNCVVbuj+hlg9gZD/S7g9RuOS4poLtplxr5wSlK
OtNfs0U/jMRs4qBmb466nnpdxdPDEn/aQU1UNVVE+zcsa41xR4ntQOYtnhI4FlHPPbjUOuAcgpRU
4bsRn3d6RYbpO3XHzgjr1mutYKVSzgGRvyInU/oIqEUKvHaB1xGF4KPKApfPgCBzlucsyzbZpDyP
k7c0nlmaAKpTFNxeK14WusJNcrykPIU207A6Ij5RO9tE/gph+qdkijjSlZoHYLhSmGQ9QR+/p36Q
1FUKSS6xwLTSrysJuhTkg6PNJDtb+sJamtd0HIXO1Ozl3mZunAWlUzjGR9pGQxrMnV6uO9Oph0fT
VOpP1zjzW8PKoiPC7RYrSY0ep7lDkcKCvpgPQ7iKSn7BdO6odIh6Fdp6lePi6mvN4hTKCofXMWdD
mpmWTVRfKPsjibmSbbtY6XwJWo+/4w7olUmZiXcWuDpCC9O4HapE3OrZCaPSE8E9Ot2UzkBuBM49
92RChXbh016iPrMCFRhMvMF7j7uEz6LksL4m3WLzNgq3fV66NM/wqtP612JjR6rrSGXizB3FgwYH
ojhGZeTmWw1YiwLfQKvMxiHvIw6Uf7Nrd+KU2y8LMJ1C5cxrNVRCg+2+RR7LYZyNaIMEQe9VgVMM
xadovNjmgtlocpNQp0csnU5D+CBjn7f+WtB5tUH7ZB2R8653Qe32HIRR7mV/3MGNEHnVuGywCC0L
TWEt47iJGRrTnVGi/Hu9Jds9v92ShXbtKGufaXb8YCtLWwPNY24K0UmdYk/rhv6kWneKAlcJdoIA
LnK5+V9NTJFDt5CSEksWvZpLic+td8w52XJHIpZcR/r4obtFlWzJIVODqudCfk/uzC/rCKnx5hsm
k4Y9drLe/mej6j8BzpzIkD0diCgYm9H0vH9YMqeSyG+FBB4uJc3BKAFeWWHaM20upNKbUVQ0wT2i
zyrebae9jRu64/QM3U7y8p9/ln86h/lR+Clwe4MZu3F9brGf/9sdSmclWKO2DSM8Ep6vyz4jtVo0
YCn0srkZDNtVeBt6MXsLKZUc9GY0Yvlfjur/UYbgPzLj/ltI4P8nFqzABf3/Tgn876Hr2/8Og739
hf/K/jj/Ejb8XcI6AKoZo/4d/fH+xXcBeIxtGQ4ZAlvnXf139Mf7F3Rk6iQxMWIitg3e0H9Hf+x/
SVzraHeY1g0d4Nz/JCRgQH76p98ZRB2wakrd+P/xj3/4vVWc0ie8zsrXQXIcu6HwvXwBm++8R3Hi
bKXTHL222+lyJ2t9n87Mveb86aSKw47bw41Lmjx71jIsG1NLsheoLaHWkImJyYEnz4uR8BRLrF3E
5vBWOuyDT7TZsuJtz415m6bP3SLNQJj9YRTspUA+2hUVbQJwqBuPhwE3jpG99x2ap/T+sKMA1Yx9
NgHYZELquFlhgyrOAoXrOZ7r40xF3cYwjHNZQmXp3IfGg11gvt2+jb1345U5h6ZYFUI7Z+80IUms
cmdEBs+9mVywo4Vae57w07WrFhSsGPR8+ZjFRHCizXaNqLeNpvy2LJAxovdx0fZGhuVoVkOYsjtp
48+KTpVkOor6s+8J5qbuO0QW8xablh9D+VMDIirnt1EbjGDJDLmHzRDwhM42nY0GMegvTV7suPa/
0Iv2vSZAMzEnv1Tr0VjcIPUyLqAZthyeZZKrBePnfPIybe+M7JKEtx0oeD/Cq1h9PB97c3qUc3Sc
cBO/Oo0EW/BM37fTtPyeFqWTBYbrar62KpE+MJFhlzFWrMpJHijn3rI13GvS2TVGcafPnwye3gMF
wvprVbvNs9DS4Qwy4bXHzgnS8rPwqhDz9xvaF8fdDR9bHzkBaTp9orbNLzoQpWuMM6pIenY62Fk2
UVvtcwLVjvdndXE1duupz1GlcR8gnk5HyzDdIFsk0zTF326TvrZD5zdTUawbRJPQVcljuS5PALua
P2szTH/d+g2w6Maaly9SbUEcufeDyu9bY/Lz5oE0Hbs8sDh5FHiSW21RsNCAhdUCAy7WOwYHJgbz
mTLK7nUeypclzzDRF1T6YShQ20YhYPW6nhOCF7tZCh+gOhyW0bfKFwsy1STO6Zo/GHZ9siNt9EHo
+b1r+onyLhGXmqiIg25I94WyHmoveq0qXtIFnEN2NHMMQRnjkQfhoioOEdZPOz7X9gF1zZeFTlKY
AletCmIIPcxOLy4AVsv5UTHiZ3Wi8/zKNMTFog5c62QhYhN5OxlIFJ7H7iDxntL8e41PuOhfjPrE
Hz3T9jmgnJuBPX6uxR+ve7BNdZTJEMwVJo06SMTMXvxEaoUxoOLnF1RuaiRmImejzw3m6OQhMvj3
khh500Z+27FDi/FPa0RHmvSlWfR7asXeaJi56DTIr6B2bhzJxRObhLnFRcxyyxysAqOOVz9Dz3qo
nYOc84MTjTjoLbEvusr245ksDvNIvTFGlpG1nPeYpGDtEKFnu3ovsvYsm+GXNO0nwxVWyUW9VxQy
75JER6iQF89Q8AChhgWlspZvsTbx+1rX7sOUV+Uuj8o+gBtthKUUz4k5jkdIwN21WL1hq1FHw8uv
TYcJdyZ2OK7Ipdfe4wx/amX1mLnTmSvXDom3/M3WxXoFBQ81A/Mn9/Xo2WJmKSn05g3DlPmIMWhr
dckx1rv9mGhn8IvY19ZN63Sf5PtueDa7ZqPyR+TtPo9Yby7aU9S7ynfUh1lMYMrKPpzdMd6WsLR9
zV1EGA9AhUx61pl7UDu/ohlUX1WCYqMLqZS/U0P1sLLn98E8VaQX83oY31zZg+uxUb1Z3bJttQS2
tBWBYNnP2RJive186bTcAotV/5yGzLnDuAmtgu6HkJYaqrAz3dt18AwOABdYGXfIYV3DloQVrqJ9
LubyH1Mp1bwXhvuciFbfKU/reE6s+vdI+w0kwtz0u7VZQsCFYdO8GU7zzpKFsSF6bwvs2h620/Sn
vrUrR7nDhpkdCV8ytR/5ctS3OQKJ9prqR7IT0J13vfym7b2P+WrUnJDNaSGeWsTjJ9zBJIjcaE/5
zTHr9G3Gx7BmZ7/KLzy6TKtlKFNcMy5rxynHmQn/eTbPORCDOcIO6Ihkpy/vHeeZ4WgfOp5CDBxo
aYWZ7awVonBOZ/aGdu9HEbkg+to7w13v6kJhHrSfAMezstLzKj/VTItOnX528wyca5jvXH49IN2b
sX1KsS1TZ2+TzEiOgCGD1X1wzfiDuTWIb9QobLdDd2eaT4zEfMB0dkjxp6m6wMjYK/bZLq5mf/K8
q2dj/KgOXXvXxe9R33xqHV9qBAN2HRb096EgdkAI1ivyIAFNl2nxpRn7nVNpZ2vOP1J2u3bzUuTt
uwsb5WarwvtMuHaK5RKWOp1BwD9Izdn5NsFDcLHrOPHNW5vV2DbMWLh3O/QujKsPBv/vg7nWPU0D
8bqv59XHF17G087h4kp25JLjc6hG3uXF+zGXdnuzI2D1Z4a3CMUkYKSGMT3NqjkMxo0dzTUDxKkP
kHRk89LhN8rVEtQmHnytesaB+MfM69PcOrgwiigolOEXfIIpiqO/h60jW8ltkrk/xpzZgRGb4He8
t17gQZ9ithN882+YsxWjRotHwRDaKdLwTrEyxQBV4kx3Vh4lH7dYE+TzVYYF46w55e8iXubD3FBj
zrR+AxqujLn8Mvr43MzqUHk41Xst3QrHC5XTvluyeNZE9CCaVWybHnttgzFkTEEB1uyydiZHFeim
reAJn1VA5rGxYL/cRljppPLJCSF4DqADRvhgWCaTuhngUqzoy5ShpyswKVecqoqNsDqQzcKRM2GD
ahxenQbKRZkdS2dEvGU7YE6ntNxxO6gGmR54iBl+1kVMXQ4wBi+AIHclgUYrlvZ3RDCpPSfwlvRB
FM1TLYuHRRuuhj0jeFfhjGPkg7K3TT7YT1nTf+j6b1HIHV5xsaBFdCcRf8UWpY6yPEzMrbM27Z0m
32V42zq+NvgiYoA49Xl0PyGX6OOr4BsdlSYLsRCrobW8lR5hC+Idmdp7K6esKEGMgOtHV4UN4U5f
8IlCq523RnZJ+Ysju3HeTt47M5h1ixi25ZfVvJ9EwuOi+FS3C16vl8ZbS72UEVl+Jd2NO8Htd+dl
b0x0FHDVPok1RzRhXakNT2py7TDFaFpBTNRdvkoko2JzuksrokxOO15UchCmc5rzJSjtQr+wdAvS
wfxGCiKOpJvcZKq96LWtDrWeTM6+zlliGHUaNFZJQ1z1YGcG17f5T1k3ezxWdDON2AVc40jU7ZCz
JKv0dd5advXiKrQ3t3kU3fm2bVgT42FIfx09CyAPcdrqxy4xjnLFvCaMNFgL7FGMqpzzA/Qrwf2j
D6OUrI8ERFiCoqlT79Uc2wMb0fai5Smeji7CzZBxcMqE+VeaSRbGYzEjKy+Nr8+I0rwXCnDotgcA
VnRHaZ1JmOgcOvLXjtaXauJXgNXiwxtxHj0lo71NlN7PlXFfEfffjMWDVbd/iFL3AXRmhfWWGlel
Peal9zkvPVsd7Wq04tov2WGqfixyb5HF4FAkZnXMccEaPG07Sz0N60uJdcNreUGr7iCxrCerITdO
5Z71vDsKSKmAcPapt7wRHXjNHONMIO7Ec8KfWFGrSj8BOwhACZ2NCr6NZswbsQ6nuWsMFBfgiiMm
Gtphim1pmNskUQYHsYFKpJJTc6Pn3dxcVIpvmlb4RTU8q27de1oWMOg8L7zkGn7gDh6Pp9byDt3B
xfWLL9Qe+xeXRqCNGvQknBT8IbNebvbeoFb9F7xlNlrs67m6th92yfmfzUK/xAX4wpFeM7hGFBFh
BSExxkPXCiJVmrjuHWPZaFpzciIgYixadg0tanswFtYhZ/2Y9tETaYT4nq5AIDFdW7+0a8uJm1TF
5Fy1Zc6uAJdItola36LXFCiZ9ebWkcxdehcBAreJFwd26W2dAQWTo68Ok1J7m90quscgE7ajhI6E
Go/1Sx7WVtZ7om7Ps6ZdXBePIZ8cPpF1RRdDq00Ctqw9kvJa95XL2FfhKnNZ1cLnZRwg4x59arZ3
Twqp3dB102Hqza6LctatMWXdISc8ByKp4jgwHXAM1THzokdUdJ3qwfqSpBVm0bK8bzH7IdL9pFBe
WAwbAZKFDJs003xVlF8CmuB9quLuR1hrt3dzFzOrzt405erWSLkSFVXazq207o5NVUniHrwPEo/f
pIN3Z/c8yNpY27h0cR+t0Xw2NMrVpO0CyGLSssoycGbjaySEva3KodmnpqEFU0M51HqTV52xlQfu
P7sadXqq8QwvOkUknbe6vEnbmlq0jb1eWWgfoMw+dLp3Lbj+JWmERXT8cdYG/hk6j43+GTXi13bz
u3K1r87QcNfky2IMyLCwwcJeaEx/FWjRdSqT61yu3a4ymXH7nrctWksKkOE0bZdWArCzYMr0evdZ
40acWvEoa2O/dA5ExCbsJRYLPtmnLP1tTPej1Yf95Dm/kA6DrMywPuBJ7qIvl3yhUXy73ms8iVcp
uqc2N5+tuUiO0ZJ8U/HxZbXdZ0X9m6MNj6nkt9dM4wodKw/b1f6qY74K4IEWL+HKPPeHzqgDsrAg
9H4KhvgTCdU0cCN8T3i7bVb2sF3ReDcVdry1uxkNhvWt1a14W2kpt/YFQ59bXzTY9Qg3D0Y9J4jq
n7WgzSEmN7ZJLZBQiAOhRfMqvOruvOYdmTCFDGgtrl+41XaNR3KF+iuxeuS14plUh08m+A9Flvgd
y7XmoLHnwO3VDrfmsYrjN+KAT/D+L5HVXWqD1sucy1S9/owpe+Jb9Dtpsbdj5Qyansf1bHNpW6Zw
cVHvc7VjKn+Ex7XtMzO7pfa/IL8cnTYa7xw3/k255ohYnaAn3Zf6+OP1NmlhUzH0O+j9a/nurs4W
uEpNVzvaZVOGZeu+t6rgBdJhkpc1XicDI4VjoFKLz1T192kS7a3VRhviQWLYTZi7QOEd+qVnjfiH
sR5z09u1Hfgw4CZ45U863hKMby+WURB4KZwdHlYwsiLANROkaUaaRfoWV8mNx0lF4HXfIg/SZY1O
K423VcUkNEzWG6JjzKZ/ZOoPycA23nG+pCz408NxSHkS9vVhkKw05gjDIiGjBmd9fhdzRV0Agt3L
Wl56l0pTqb3SEDX6lVY3PHGVq28Srq37uKuHO6dCjcc+ehjzhbabRPX9Gzei4Q7f/DewnE3PTltM
XP3cBBKuPsbWZaQJl9YPwJ2HBH/kZXJulxNNJjZpttqdHzAq5nEwWfb0oEjy3bYZT7KhOJhU3vLe
1wYhR+KUsyesTQ/G2B9U96cBo+vNP8RKKesmgJDOlzGVf6vSxPoHNPwSy1qrfctsFyBa9pSxkEIE
CBqevFDXF31BeMpJHThUvuwB3+iPSAcnfuzeV3r3VEKZBc2GJ6yfkHUIL19H0gRj2fmA3FHZ7fpK
oorLVQEfpzknpD2zwq522BnLALAW4fT+9pqveeBOiJIpTTZ58hpZVYhCUkBBtKw7i2XOhaJrdHxG
ZKmW9zp3D229mNvS7Cg+qaE421312A5ZejcsN4RsWiKzC2NHsedxlTyUs9mZyfWo7Llpa3iBC658
ASCBQGPmzgGrIDI883dRdeQB6v5eDcvWuW0pSsdkEtlPvRNE47gVhR5vdfTnJkxnPvY9Kg6xozh7
cw0WewDibuf1x7CQYY4n7i+9DdXQgqJMQdlyGaxuflmKdPnScj3+zUqWncOloe0wbeJvIEO0q9dg
2ocM9p8L9BMPSHrEZLJBDzmO+aslmKOryI9vfGp3sJ4GB9IhlvjMsW0ML4duNn8luQTAtBo+pvRh
rsqtVOsWbyMDmQfAORnqN03qBwIJjxNf4s3YJI+dPkabOLJ+wRTubncUQj5oBHeJOmlCBxEAWsPq
dqLNn135LfsR72kdEs569MpxCdAxzs4w/RhTw1O0qWj5wCLsFDkM4+hRmc25McROx/PNV4l/S6CD
rertdUny9LEt9DMYZ3jj8WhutEamb3n0QR76zugfveKxsct9tRJ4JutzZTFlWzF7znxXq5s07zTi
c0Wz9jtlleGoq6Bu8IV08zmN/tTyaRlQK0frkrbyfanD1no3WMux0ptXpM9RXdIZyt+NdAadPICs
EprYUriKrO/sPI6OQ8mSYAPiSHF0yOpvcsEsIJqnMdKY31LrAwPrgL3BJkHPBZ0t/cbN3MeUki/V
25/LbPU8t73QBkzgi75wWKw0J2U9d7ETWJxlPY9YnGNhGacn7BBH12bZk7IAgjG8j3W0KS57RjGx
RTDMQ8zUs8AiMCYUtX5x3+YIdLcVQTHXTJIOPGxqjaxq2X902rVjKY05y63hUPLggSqxg4i1sTsF
5GDlOFojLw70eJ7eS1P8ak78e/tW2WN9E4R2Wqu/9zkH8Fiuj3XJ7yuhEkIUKA/sQY+dYx3shOZd
K/XVuBu9t4zPzhzpD0NRfWZ0ZFEvQNqmzjExcRxP/VN1OyqISgBErVbLn3jh1dyfsVLsGv12OHu7
cv6mTOqz86iKjt5tlhLDuJ0W969iwsG/fswGvOdr4tuLvrOd4ZjN/ZaESTmEmfGUzH+N4it33xcg
GxGQXLc4ee0YisHw7eyjS1/YaOgFDHpW7bq5BuwULl1ubbuOkUGIi+lpMDJyVmpldyriX5Du9J4X
5zbCyxjrO3fAELQs7SZpwBpbkgubBakTTm+tXATXN6jqW4ZcXkAzPhrJZ2LIQ5kXB2yXtL1XfmYP
e5iyeEbQ5y373iqfXPmVD3JDeVc4VsZjkTPQt6AfB2PsNxDXrh1A5IiZjTYuGdIdGcyyDcqVDTWe
/Qd7nf4UZvxTkYfe4Hy9z10jUE38YI2Ub3DiNSAscndFmCgSyhp044287sZu3prxggK7iaZXIdNt
Hf/OaAlknFvjrZyuEyqgV7xWy8yLi5PcXov7FafWcTLLgzY/ZiNSxNzZO3vuiUu4RzMdMStWLITj
YJTv6UqfZT0958ZnTqxOjc7j2JlwUcuNPSeBiE6x9WGm7h4TEjkHz3kZLIoAuD/fmVm6S5v8VPXX
yBuqZ4GZLtO0fYOpWGCFR3IOnOgpVdHJwC1QzhqUtmWrrDhcM3ylhsFD3/X78r5JHPrzIh6Cj5P5
XOJ5cQ2jONtpGPefgwFt+IKPEFQss3fv42LAi3FE4xHtHXOUKU5FfV6xyyuWk8kxcw9duh60+Fhy
O05UmHFRTMOyfM3XKyapraV/ajzCFfbaIzCeveL+kMzP5qjOxM3IHfAAifjsHD2qyDCsECtrgpyP
zG0sNCGiputPJLFZqPkhJ4fUzG+0fUAMpkMi787sl6vptnZeL8JihJzkVi/Jd3nUvQkoznKfmOml
bc5WhoIF3sEn1E/khSecC9jEMiBRWFf8iLT1cfxjwy9DnRxbebLys83lU9tXPasi0mSCTNHfuXyV
3ZsBAISkgqidx6bgj4rqHKWsQ4gr5phcNVpz0bVfW6HCPkXoGAsIGKYRuutuqeW+mmooIbTotZfW
4HOLY92bPqR6WLtgKVmWOyaR9/quLHduOvish3vJwZJyRhl4tLkw6R3WN+fGXi6wyukkaTCx4D3e
CM85aYbWBHFRoP+Z8PhyGLelW/9iNh84ZIZ9xuzF3SnMqvVgCBuotQg6oUiiDpu8QXVXhe4AWCXJ
tqBmAAahbpocCKfdgFiD4z/CAtLgHziYS8dslt/Vgn1tPtx1a1/tS62+kln+muzqk+AIi8zhDexb
QzIkL4+w37gRiqzGZ9p+ZPP7qpO30bvuu8rTu7bA6jNkLHoGPx3q0MUGrLvbQrtmUb+57cc9jO2t
o3EWE9lerpHOL7186vlj2i2+qdXhAFr7xTT16+KYd0Qni+3c7WZjSTcLku1t4/ucoUM0a2eFhUrD
grBQUfMnl6+JzLP3uojXRl0kXiRu6Bu4IGHFRxQK9zYy7go53ovue5LaIa3ag+F+gUV4VCxhDTg7
VFa4ThuSOtvFMG65J0xZhT3usAxhEr0b06m0nlhyX9pCcv3uV9+wMECDpkE7a/qnNVcYKXv54Vng
ib0PkBh3NbAqr0ZkayiqcRrSvAhcRORJKcqfMv5jsjvGjlqFHmXrmyRy0m3jlBfWBZJVVE06whzv
Rp0fstNTPL3WvrCoHCijNvugUtneZouBA5AjSyGThHQ3uiwkoD8xZvONIkVBNucjW8FqZysUCvmA
Jbje6Hb6F5slo5lx9kYAUynklj6L9w2lL+zlyn3skhpSig8zmVueBxqbxcXZj47moStnCLyt9qfS
vEu5IuNqunnJMxIyJMxGuGDml63zJS+9+VGwHJq99nfom8OiIm2zZHGP6sXC32M76bc9ksiMcd1T
+ldvQYrv1sE92i0TJYbvxvpa0NlvJJyZTREblni0i4PjLeduIKlKy7QdgJCbWQkmzQPlXI+EP8Vh
sJIXD7uHzyKypp6g1vlWdfEeky+uObGNPJlwu76S7OazpU0ThSLyy8OrxBaV8LZE/bg2HEkbMEPT
vjJMVPRYT6M35kKPj5C3npQABuROnnakU0RYIT2T2dZh8x6YRbuvsWfFM+9GM5lzaLZv0+TuCRd/
edLaZgSV2R4ar7G+MoEZ2w7nIjSdqz2SByNhHLsN3ITkUBv6HSa3i5PgTVOavakMMO9qhfANN/SO
yik9AOGs7+j87u8xd55EFWOOzMs4PpSZhdO8dhbyIyrP34wB0FdosCTZdZ1pkP43lDMwJUlD41SJ
n1NSlMbG6RJ2l6QLPD1Qi9pNdh52tewpOLDsEBFHngaT36lDdGBFS/Fr5EduSqFFVJPH0sGkwDt6
rPDvEJeOnGsdG81OlqoPMzs1XpyuPsOLliGTJqxVZwJTTw5qM9b6DLaLTcVKXOoJMrQMWeiL+ynX
k9ifF5sg7pojVQ9zQebeNtLloRkbJHKTvNW2NhiNdVznm0KKpyyqvwd3ENmljAzp+XlcyY+pcJrf
8bbjjQ0BcWli0UQ2sv2lfDzbeDGd1nwHR54lcrhiqHRCmbUsVwpygl6tNeeCv4eRYaEJzlk1/hOI
MfjR0CfmECXzZ6wxsOZJbty3tvM6ksAmWh/tFc6NLYBp+YHiji5d1cN1MFb4IBTk4oubRKDXELKs
NfXeKfK5hRD66dN1jb9Jidl2X9qTddd0k/xqYzTvGLvDXy6xU0HAnJu9DlofaMreiwgobLy1YdFm
JwNXDxqJJt0s72yNnVMVEXoxaFhj3DiWTfu3H0V9tbyEwRE1kkfu7Pi1WP8PdeexHDmTZtlXqRdA
GZTDgS0DoQU1meQGRgmt4XAAT98n/unqqRqzbrOy2cxs669MJiMA90/cey6jfmwYLqWdNveJQWlm
9lpdLFBuGAeQ4GFo6YNfeA5OjXrZGLd2QWSHEWuBqbOew4SGZtugKbUIiW17CaHe72iDi7n4QUaY
P6ohah7GaurZnyw1hNjlfYiqcmOW11yTrE67sGdOxCZ2bAiQL9Mqu+9VjIl1oXpDpBbwJQc0d6Of
UxtcFamttt+sStm3V9j720Bfs2/QQJ9xZrdbuxP2BSF+TJHTUFTVXDB26OAHJbi4RXafkP7AgjJq
Pd5rqz5lQPAQqyb+tmnBdYD7wMwfdOxTorwhIN0ERUVkFY+i6383YizXLLSRGHuIW25JwA0+i86w
tuTdyfXYdOIcSWFuIFoZBwbU1FHcp7cEAE2vkqyYld3Z3l1vQbzxiEZlVtkI7wjlLbj4uSNDbNsI
YRy6Cicwrh7UFg0r5//4SQah6LZYKGlbosJcdU5XmXh6fe5PUIQP1gC1nfpM1usoYJtLAzaHdWrU
DOZy6AixM/RnFCE4ImvQEXeK+e+aPnO8w67O7zf4uK8zS+pNoIbkLCyWwVhZU6ZTuF+Z9g/b3IkF
WbaN+epHEZa/tsQK7paF/z7mQ4ylkkBF8ANmajzY4AxCKY1vMyonpgxz9F128BdIvCZJGMnfOkVL
VTGhiIJLEDM06YpAhWBqfL6WVOytXtxNUVtyayLAx4RHElmFFpROsZbWq1tEzh3zHZIvYJUU1sXL
c4VXPooIoWLYv8rRkKwNA8kl76xdnxhtMP7OxBhKV4S+XRuhM2f+vYQVtMV4mh0Jgrv661EMxRID
n0/g6gPhDul9Q4vR2rK8ZNSSaD509Js2oGmIzoj9c1Ond1PQzFukpCur6uDOSIc9Lkmbu7mxYRKO
TfwHO5p7yLR4Jeq0vXWHarqz7QGbYWY7a34teHEktuyYIQ3HNo+sP9ejcCMC2igbrfyzNke+BJ6J
hzi3xXbuEIjCoOYpcjtzDytkfgKjytAFATRVIRqalPHEvUk+xz2DqsZg805mNc7KMfBC0kM6zKOG
K5qwGMrnhEUC+n+wO0Wpj1E+Dwdf9y1vRGyEk2/5P9i3WNIIf9jUZKYg6KbAa1sanhuLSv8708l8
Zh73WSsW5r1P6MAyskgecqYxBUr0i8RzVCHUp8If8tLdJ11u7sCF8QhrZwsVdbP0gb+XOKL485Jw
YUxaLa32fVO56szO0t1Y7TSfnbmf18ZQ8I5lXRVCOfUepqjyzgAk1S1xJdOuhHj14tcZA6cGEb9C
pYB7yWFJQqg0AZbUO2N+Nw0ARZLrMHawk4e57Jzbme+WGHJ8cmsjJg6ySKaXNPOLe5iu2IVcGb2S
2GwycMv/WMwZVqWB4RCDAbblutzAmdcba+yaMKJqfA6E+gOt3l9DOWA2WhOK9+Jrh9ALxP7edNN6
A9OkRZKj0rU4IsWU22dYNyz+49rcUP6wRipmFi4ue8qF/eitFBaqrJIpEIvk45Rr59K3XrfqcmC+
NfulvtbTZxQR7+AWE9ILjfh68mxrPZFpB8CTRXpxfRsRzEPKoBE3I5bFJaFUYyXTtdRFFVIwDFwa
FCJV3jebWY37kmEeZBKLJmaJ3u04t1wObA+8DyQj4mmgMH5YFV9dZKMrcEpIqQT4XOUXLcAcVF5I
TgY4ID9VbPmnmalfi7QmXBwDIU9WhGZQyxVUBfPAA4pd0tbyE0MXykx2krdoOGCpNJ3cFnCVWfLA
GLuYNrkhZI/uokF1DGHiydubemQHNDkx3fM8RLc8bbTmaU8sxTJF6cOArpES0x/rddbY6W6g/gDd
gaSvKLp+B62wnKFDjXwtsW/JMex7O/FumApOt3auBqZGiNig4hXWXaeraZ/ZmOBWgSKK25V99trQ
IyD5agH6NlY8/eqyTW/dYvFWUMEYTefJ1DO4CKYD4lcWOgl/X0p9DPXu5PtNe5e7c/TZT6Q/3NSe
oj0qjPZ7HurlNy+K+hAsJnpzGRssCpzxuoCd4ncEGOLW4CTf2MygDvY4YrGG0ZDcGzNUpSW2hqMG
GxvqZLB2ODz7tyFe4jAOsBZaGAIfAtWmZ8ZYNTQpWAwJcVm4R3EO9XBoGHKg8XhS0bT8FnlWnoMo
Gjd1sQTljW1jCOiFxPVLvGi41FMHJ5SpBeG8SGOLZF7CDsNEGpba726nONhNBJ2tGq6kvefjmbOx
naBEmqpz2zdVmGbzfIvH+NR3qYTx1TibCb7KG2w76FGC1vWoDFUTJOOtOyNZ3ttoap4IJUKdldVs
XOU0vJg9D9XNBLSXGd0gj57PUinT944XMzHs0SKYc3cp2szZDpWtbiczYj2NtyZ47jzV7GoPVzOR
8i0pbKq/d4zrxTCNBbeQLDlJh4W0zs6vUC8ts39ZKjRXvDPGKXEs97OL+TATx465P+OWLXvFJM9n
M3QTAUC7X7Ks57vzcFjEjZdVq0lyROQis145TD4VS8U9W+HgBvNHs9bamDcV4UHnCEiAxEeW8S5o
segPj1yhez8+FxGbj+QYiLuoTMpD3AX9dzvBtGmjU5svIONIVvUGSoAuWog+vt7mi3FsY0aVLhz/
YDqKEdFhN5A+5aKoLY/4vSDvdmA+6KgAz7IyceKONRDTBgoU8cVKwn3j5sCxGisk+JoI6i88AVcT
eZXsCsYZ1/Q3SFjEw5sGhX3mhbKxXBd86dXP67YdyI9kW1rdLs7TF5CgDZ6pxYrvfOfgS+Oooorh
XkdsHclpyx4GHGOamEEMVimGjs2bEkBe8uUU+erFqPkvTsJPsxnki/nnL8X7v6X9/7+J+/gXa8D2
/5/8gKs0/793BtzU+Hg+/kaEwN92P93yg2kyrT7+OU7g+uf/0ygQ/N2zQNET+YHm3yKk+R9OAUv8
Xdo+YajSwUGA2Ys/8w+ngCCYXgibxAAcR7gB/necACEhwnNsiRTPt13b+vfi52m4/9UoYFvSgTzu
kD+P08T2xJUH/k8mE5TQ7PtH6NjIgHochqR8gfugtD1b5lJwzVUNp+akCA1aRCzZ9OL8BKnQxtf1
6DSAI81M0O4I9pX+iAdtPfeJHLEwzkuFwqqEnrAGNCTRHozCitG2DhPcVbto/T3aQqZ+9kjeN+6v
kq508qK+uwhzqpBxAz75pXsErQjFAcog4FGQwV5uFC+G6DmF8FjEYNvFdYoTEYwJc2AwadCY4r0E
hpu+dnGSn7pABRTDhS8etU48fj2RXxVdeOYQXTSK5ZmQ2PdqOt8dlGc7YwRPho6P1rM7DwGUj21p
993RHxmsIVYvvHUMff2YukXwCDESZfiMIQ47Bn+tU/njRauIXRVDuZbt7kg+7OKMJQW6olEbctNe
86/PsWLEHanPXDWURHOfr9Ic6BzG3Rn2R91aaHMNJ2sf0MkMvz35AdGxcPncwzY3mFwEZRqkoaOL
DlzFCOMIFk9vRici2NJxNQszWlutCT4MmRDWC0nO4Lt2TQmKZ8Ar4CQEhq5gZ4ur87yIz0bWe+9G
V/r6Btzr+IWvTn4ZbrNgeMRBfxwE7IWQYDgYYlHGQe34wEtWYxElz5LJSXej8cfTypl5fin9crj0
dm8ijfZHHBhXu222SvxBw+mhMzl5eUNF1cG7xNea2i92Z5j7HGftdWSKOhqYiOjQWixEiy15pTwi
Ot30mYkxNQLvRfOcyTL+rFi8My+JaonBD/fAa+l3DFjKGN7MWs5wFvjRJoj6AlUKcwzTFNDD09IK
60Z6NrNcrs4N3aEdHT0Pph+giOtYxI8868ilzKCiIQtP3EBjhHCbesnwyPyPf1orlU08Y5Dtiw5m
zL6ZW/VJoqy+SG/JP9PJHC6T51FilmNsnRZdsOdQwouA9HRX7GzVIzqguGajXXSWUx5sQ7Eu8AB5
JrxhVBxDZZjP/SAhtZEbod/7+Lo/WaYeF4hblbO1Wvw+eTQCmzgJlc7+V5qNxqtfF0QYOIqthF2j
hlCIBIaVm9ljEhKpWugN3NJ5WyUgvknhxUcbOkHkOegTcbmzCfGsF9Fyd97kYz88+ZjwiAV053kK
EZxJa+WWCRtv5qV1FgqzarpVDBMHeqKeJmc1W4H7jWQFWVYQGMtdDkHqNQWo/BVEZffDzLG1qEOx
kRdzfs9sSP9hyq//FKadP2D9BfA9MmRD48feXm9JVUa1YaO6fohG6MysQbBA31hiovGfrJk9DhmU
HXZWUhUZIlrY8rU3UynqeDGhj3gwEa+L9H5YvpJeoq1RZgoKf7YYHbI3IZ2uFOO4TaIRnt9guu5h
gLuBQrmt3G/UGu7bEMRNsrYhUyueZy0BeDhdEE5FGbmrIBnm5w5ONXBYP0+W0HP48Rt/xu0d9tCN
Pou5tD7jHN3qTWJOJkBTVwGpYiAELJ67vvKPAio+HpgWoGEFMTLltwySlxIaTnrjRTnCQCOpPCQr
auJFs1smFxnLsy/uCeOagNs2M1o63B9GwFhvxUsg05XtZUWyBj8xvfa1jTIpECnhowOUVnyWekoZ
A9XJLJiIE5a4IqXwagVmgVZesPJXqLb8DHaB1up+Cph6rHL0ag+o+M2ffsqvzdayWMB3fee6nR4W
sKEqWBYRpgwo8oPk05hWsiEmGbEaaJybylxo+f2GEdoqaALBmY63djdGuLxX7QS66KbkjHqxAgC/
20TanrurnNh/NIocazLmCZa/GGHNCw9WGazwuWfNfZtipAll36fdCl6c9TtXuNhwS5SIRBd01gWE
g8UwnomN4P+ecGEFK6B7g7WWthz8Ix1B3IS6sbB1Ky7t90BLB7Eh/HHmxPg7JThPw76A9l4e6prv
NAwM5K1YBbzpU1UVwRLKrdWuriN5jFyrQFBFdOnXkKT6djQQY7G1k7hnxgBSlgJoSBEPXzXtc0xu
kUqS93+qSO54fzF4/K1S5V2dVkP/VyrZPweecK+7vksopmPiHXUg9P7rve6ySeEkpx8Khqy/KwEX
77m3JW4KbCF2VomwGIPqSNy4/F+pJv9WzfjfukD/pSD8H12l15/3VTdzhz1g+H8jVer6If4PVeFP
8YFH7V/KQP7Af6ZK2X/nMhGmT3qU4zjE9P2jDLSdv2MhpQBzPTzdDsP7/yoDhcd/gt1wLRPFX5bR
/zKMCuvvwCtJjOHVsqjcvODfMoxS8f1rHWhigLcIoWEsQz3ILvb/qANHZgc5aRSCPb+du0jeC1jh
WPS3BSyZq1rOR+YsMQ8okFwKqoYo4ltYLCkec9JOjviRAZq51XtrIhi0AhQfSy0Qn83GPli4hO2G
ZbLNL3KjehNwj5p36CiLR2lgUimQr159JYc2LykxQQiip+ESRh3OsqFXRigI4Tgwot7O43CVeYwq
JDXbDFE4Imux0NrDeIReR9z4kDaKpQ2DwlJyXCdSlPcT9sTdWDZvjdvfU70k4At6Xry4v62K5UXk
2g27KDFPMsJ8FDtxvzHlwMa+e0st2d61uJ723Nr6BnxqwonY03f674UYzkntm+u4lr+K229NSDeK
9YzuznfaxwKcPMLE4GzDOD74yfwm+ZUb1/oYSKoHWu8fNTD6DJpYaLhjebEZXK8qM0GCnl8hJznU
jA18W7WtdYROu3MWg/vG9jB/t9mL5UcIH5ey/gbA4200rqQdKHO59cflZDVGEpYGebazRItmy8BF
TQJoF4Pv/ORA9z3EOBv3pE4o/8bTwd7wFFUcfpFmpWrcVwHu0uc2d78J0YH0Lft6w4LAQ6WCjyFa
gg88/7e4c8YVVhB7M7JbZ32Rt7cJ42CWnoL8GKEJulrY9g5Wdzc5Y342ZP0Ooi4gi9wpgv3cgolD
XilXE1ceigq1dwqmkRG5NDcjwP2wITYbw1vRUK2mx7Sz3oOkNdaNgUUYszCKfdAfM5OMBSYkqnuU
q5Sn3btlkkOQkgyxS3SLfAWWRIaYLNG4uEaUjd5HhjzsquCfLeMUAwN2izbMc4qASTkb0fQnzVqu
tbxTUotDXJWvnsGsuHlDiIDgD2dB1lnPU3/VWgmW92XC9rcl4T52d6PrXlXazP+A1y07BIqwwwUr
ETiyqIdq1Qme9ABplRW5/cswFcK/IRXCPBSpbo+JEY1PjVr2EW8KrhlE53zqLEyAWsnFQiDApCdT
9nbsNJ8eg38fFfaOxtW/7WEyfmUGj54B54XEHwXyxFTNxjU1a4GknYdVbRvDyTIn59CL1m1Z/LRy
XbNsXpfXHeWgV4gj4G9nE0ldPSHj5yxyvPti6JmWB4n3rfP5EpRg1DIU5KlTh1XBrdhAMAlBoZv4
a2iT8BqUz27N8gJScof4Nc7uyqYBLm6L+aCxi6+ikXEmcLhpmy9KIh9T6D0XMUx35IGcZG+rx7/A
2R7Gr34d9BmSQJg3fTbshkxhMQ2c0KrJaXdbA7Vl66OQGiE+H1RkId+inHIKrbdJzDYGISc5ImPG
pFZ+SDiSx3FszZ1Mc0qluZvOXaewPM/Sx97gUrwpq2NpCmXwPrUB7g9jxsmSAPdL9ESmb+o9e7zT
S5/Q99n+NsjLaB+Pcp1XPhsuP3jwaov0u0gaIPZFFU6ilBsE3Vf24xSf0t5Ak+RHwaFls0x/GFvi
UjcRa6SEcyDJRHRXN+gEmFtR3KEzTT0Dx1Hw26AnLBsch2Oav4vOcwBQE+3JwXA2JSKKnnU6P3cU
J8OPkFwbJQ8sXTXsxVGp2xFp7wkJ5rBLphQjSMuOZxiRrwR9e0nII3pmCOyvDMtHMkZCKCpAUKBd
IBtCKpxmSxIUDY0t5Nbk5kBEgyZ9DddeUVq76M2Twl27mYMXbpwlbOsKFCTSuLHYFFGPb4sBqi7X
eWLdlkH5Ns9qnyzLU86JH3fyMDUmcB1vZQXj2lWSy2heZYEHtHxesVTDE+H1N8rrPz36ftbv/LPT
U8ScTrn2pZj8uzhID0KgahqBn5T1fZn73boFvrVlOE13izXBIdm5TI3bYXzVbvJ4pWyz7L932Q5+
1TNdYOEb2FT53aagIEWjphjEE41rhn6A1kHR4WTNPrM+x8w/zzZyPYGPb+LtAogtE8e8DeraOVF8
EgtAUgIUEVsN4Txh8g2mGtENJ+5TE/vfdTmVIXOLZwyv0FNBjyIR1RSHlbZRgIp2PI4WcNBs1AxR
zOSXh8vfQRjM7RBmdIqTwSzX9gTnJhrcGfH0MBmvDFHZ98AeJdwZpW7c8y/vJ/BUNF9HmCtnO6Hj
Ayal4x3At/RsY4wAN+yTYprMoOqkbv2HpvbjD4BC1ovns5G4QdFHPFRXplfDu0zPk2PlhwC60Hkh
AfnPgKRtGmbnM5FzvIr7zPvscrbbPezHLdtsLn5nYl/cD7bYcdtwHucmFw9am3kHHqZ9Iu4guMzS
bG77PuOgSHJkdQRhVtu8KVset+v/xtjnp+6QBqSMvzsVYNMdfELQgf7+wYs670tPINf0x0MCp+ON
WTao/3hKUYwlvJdFp+47FolrJEdhjsb/a1nYPHAodeyXiDI4JVbPrITDfoNF8LHGqIL+Y/gExoPk
6grJLwsyH+xxsfYx24sNS75uTTBJ+TmOSXDmwXqvmb/c8BXFDCvYCu3btGDj0RHfkJTwNAuM9yuA
a96OtTExTslbGdnDfmqWt0pAjIcax7ugzJuuoz3Tc24+6Wwy90MeFDvFemNTial+LctaAIddYLcP
SXs29EhWYJEuEdW+BixMq7M2Gi4xQAjGJp3BXfAExeumGpZTzHRuq5crKA35fxbAvkAiZa44IbQH
DCvmtWPwkeHW2w2syl69QNzkjItKp6IOmj/SMarfKqROGxfnwyEaaM9Cv8ed2QMeCjMHPZIKRLG2
Hf8+H2SC4qfMtwqH/LoJAgR+xLVtlaXLl9KCGykG7qxRY+tMxy7CbN6U26ArQvzfVGvdGaZ5yyNo
qFC74gx8FoPPwPDJhNRgi8e2Lt/Z3j0WuUlwIVrtARFvz8gx8aK72IrwvPqIZBnGI2fFHrBOzPlp
WXLxqmh+yzmdt0FRZ18+W0omAqo69FUy3pFtcuvNNUv2XKDFKNPhM1sifVl6sjZWmgnlWpBsitUr
voP1l79K9svPEAWtW69BW0miFA6sBlUqvU79RHahOBH4MISpYCxVQ24K1TgjobM1WT4igCZsoW4f
SPf7ziMfi6JvbJzFtW6GBBFVFpVfMeFzgDYhtQfNRub60gVgpq9acU8j9fMw0/GQiqZ5kNOyd/MZ
A2y895STUAO46x4sKI7Zg535f9JpetWiwflg4mURlHJTvMWT5/BmUun6VzJyjPN+TupxV0bJS4ZV
ZYawgBdB3WsoopwE/UGkwcGaTXxY8J40C5DtsqgHv/HY8BSbXhvrtvoylQyRXh3zamZk5yTdO4mA
76qOECHidxv9+nn0y1+faEHWiwk4GLT62r/gCQPX3Rvnapy2jj8cPBS0SY16uKofM4QhTOAxri0W
Nl37IdZx+TPqwgtrrCSHVilxusIPEQ962bHHvnzpNYqxwnfDLMVkhHSMUimWlEYy6c9GDPgrMbHP
xeabQa7HaiqRM7gu042as45/UlrsiJ9+rVKc8L3FKbaw5Ocuxn9o1VvEIEDbxIzLEpfalXfRIDo2
K/Z9SR+HeTYXZ6YOzm5sUuuuwTG3q2TDYn4hthGBu4ESKkfdweEYm8P9INxLPDEGYptP5kbJfrFL
K71FQhw/lAiYPvTcFdcIeyznpvpxEkShDGKvjIFYhVancIVHUt/OOdCtAAzXKliEc1uW7sXxmeyw
z2IKllkfMi2aDcVT8gOyGJ3EZGafOAQvU0UoUyt5d8bx1ayy6jmAlwOaBSNosgUVdBUvo/YFAyMw
eq0YK04XhGjfXmU1a8fpBlSUXKWOieiAKWyJs8P7SSz2lvA0g5XZiI1uHXme68IHw9e0V8pJ5BzS
qv6JFFT+ZZ7tc+DEz73N3D0iwShV/WeWIdhAIYvKnkHCNrXysz1khE7h7yMtDOPWsqrREKwIlMP4
yaTwg9FRz9qvS3GlkQbrpARHKIhaY15gh+zlRsuSFQH3XglW190BKDp7ctGPmAjuPR8Rgazae1id
j0mc/CE2/cwIamLDmX6y+G3ZfAIKNoKdkdUH7reE3ESVHjqu4DP+lYakD4wjicMkyO8HLzTBecMY
Kk5RT9UWtFcA3ohcGfGF8xp1kxmWbu19VK0zvHUuY9oBr7dD+vOIOZ9idV0DEiDr6KUsBxtU5MAa
09kVDPYr1QW7jgtoWwjeah0g4lN+fXR1/Dy2yOcmf763i/TTcwlTMksytjCSfIA3BdgofnyRfwwa
G0szORLZpG1uhKCE7hvOIrSlN8TCcbPhxDoxFPOwLRZ3xK3fRpEpocI6O8v4GEtIdca4IbjJ26U2
EKfSwEDhFR8DtOWbzs6Kve9qKlmDFzCOBebNBRVECqTxSUgeYEt0/sYjhKnr2YGiL0Yv2xDGx0Lr
S6Xd3gHRcQSill2A3U/rQOaKKbCiq7a7xyCnmxFRH9zUsnmHQxfsfGDOO6bRBR0OqIs2szhciUN0
jPJZWBVCNrdhmYMAgt/nQEbLC1O9dNUZI9ZT7TLQTunjjkvs0VFR31chqwDcB7yeZN50GTgBs6RQ
Lt1nX1gFQlCrp/6yjf3QFz3iLVmdDCkA7vbX1EdZ8naruUVPuxB0444JRo/06lkqLAFlp7STu7Rh
n95agHl1Qs0xiGo81dzzPwGazd08mLCEzHQ+lcJ7Rlnd7Byg1J9RbXVPaFfsdbuk1U/HHPkwgtrb
yMnNw9mGe19C/AwDlB+hYzsRhw7hZDW8iD8tS+y3xinVB2tIRpSp+MlsxW7GL9jEYIzdMETNb0w/
iHHy+GzEErPe9S6QKTlx7dQ6aQ6mP9ebqHDy9VIuy2eeNMa2Jc91JeaGyKSoMJoHvhqUJkXQrOII
nKE5e0SFK9XiMahG+eiqjBm3B4cIxZzzMDgSzWRnkKczjDixZjVVfDNzhytSqDtnbJs7GnD/VFcg
AkyQJcfJSPBVzHmxyq/86DlDi9BOPRVIXQMrTJp4XS3dvCmkl+791DCfsKqm56iwQYoYMj9nUBQY
3aObj7L+kEUxBJ/OKMc/7cjXMEzBvAdta+5nU4BgQjfm+b9igI1AOFjDq6M5WUFG66OqbJAGkgt7
1ERlEGab8QnOAx0zE/9PV7bNlhKmgnJhJjuJN+NBJcsfxyzPsVbtxSwaf+3UOQ9mTBSargfru426
CBpsxvXvCQTZN5DvKzr7qS8ep2L6BMIPK4xN7WNBRiXoFfiyYRBHb5CAALuAfNAhDCnj2s7zT7/G
7pRVPTPo6xm6IA2Ul9mtHYAH8ZudgjxGDwS3iQbnHDBGvon/wqrXkC/fQLwSPuoNIwdUw8fmpsCM
GmS4kfkZCSKGbD6dI/UmozN3ST/ghT4m0fxmQNFBVWMxJhrLsMUgfxN784Es6SU0e+lQio6WS0+F
gn8u/as8P0OEmRtsgdzJAnbaES+7b3URk2F+RXlEoO8IbwM4O80MLYbR9HderYpXh7jpXcXej0/M
Wo4dz/YxYjx/m8fu9JDCSXv1C5NwICIEOeUizuV2YVPtk+cZDnFFoJ1oyHBrsFlocxl5CJf5ImRO
ROZUJfc1eZ4Hc8ER6saGAzLH5koUQcbmTg8/zGYiIB3TcgCnZ+8ikKNkieqjlznG1sRweTtDzEHP
tGorf+M4Ofa1aYqemqr+rSnTWBFQJ6wynSPACQDvdYud4fsFOsCgEGW92Rv7zqLn/WvEjGfQIbHJ
IEVn6klKhslFI4kEy9R1CgpOpHqVDr6GvRdsos6D7tUCv8I935qSejuH29QGDuolo5ke2ajFp36K
7I0yongP6AtyCH3ImwePpBicZddVSXcsNUJHSt87z7QuQJyLp0b09EtNyuSk0f7eEwWFJ7ImFJOt
c7Sh2569qTcPxB/gAC3S+baeKSRpQu2t3QwEmdoxXHW32yljISIBtc1GIF8PrXL8MG35HSGHKZKU
CrcCPg2ZziocY9cEHm/TBFetTSxGEj0M+21GaM2qyAvc7G7yPtliBb3LsFI4gYdY1yHiBBcgXLZY
9+5UXxE/ywZHFkzCNgi2cFxrKr32PkgHJszDLT7Xs7k0tzqgEp7NGCPqQEXElAU1kM2x1ai1V6oX
Hml6x0Tcl2yBSGw0/9CYHQJNES6R4yI32EKGrn8ZXzAONh6rUsbUrW38HWEcTNEabKrEhROxdPaN
5gR/tczgMIzugynwpOFU+YVKEqwZnFcvOF/I8sELGnoLRpLWmT6tKos2EZHMWEiuqspIv+JtzS+D
jTRglcGdhscCs89K3homKbpxHwyf8KHyUBtIgw0+SGC9yIDrDbORFboj6KOKXK0l6Y/Sczra+ma8
eIPlsQkGZet0MGZ9ccISjZw8U8aqVfPjvFjDeo7nP24HEJ/O4tfqerR0ZrRNG1mcitlGE6j9rWb4
vEuzqj1O7GXXY5McYB2o89yXekeEBGcK9ttjHsg36eno22a2qaHOoD5tnwiNRcGYFo511CXQbL8h
1vpqIehzyVUypyCYxLyqKX9hKo6pe9chGQdVnqYJTAlDVPOpV2beMa7NMFcoTUy0I4f01kwXjpxu
tpz+PMxmvemRFWNIY5nMDC5XSObmZkzKT7R9xDfXJWtVSIIwDVYz60uPH77I6wh6xMiDznKBnEnm
wLrSkbiSlYvmG7ixe6mz2MgPkZ+B5MBx4r9Zo9M34NKs+guTEWmJrd2ln0NWTQfiafRqNCyS2Sdl
09ODbX7BS1SylZ3ehxj2A8/Kq8nKGEMHJ9zBN5wHweaXMikhNaNnzMay+2TSmjxW5B6s3Mkxt7mR
m7yrQ3Ah3bx81FWeHBe0JoSloK1cG8k1EjIaFRNiF5tOlWfWRmE3ADpEm+ebcXI0QWFzGZKTEDiE
KyQZfgvYG2ROGEch3fcmEUT7+MthMQOcVpAoZ/k9wMJin18zC5t/VJqVrw0KwdPgRgf+qu7gqEpu
GqSsoIiwOwczDI2IAJjV0nGcBUnjk+UTQ3Hr9Tsq0PvBGrP90pBEGM86fsBWAHKDtkYYnEJGteTP
RLdRijRsdyM2XTb1F4erzraL6Ne5xHubu8VhzGn0rNhC0puNIVIvwMURPI7JZqkB07m+Esj9UCDU
sVqPkVtyb01m8DWO/fTRzwZCoIXrj229GNnVAFJFfBGHth4WWEhVpO5LNd+xqebUcK6lSu5d5qHT
a5f0BbQ6daGp5Oytky7JHm71M93NM8+ovepw1tSO+Zbg+IQB8qR8MiCq4J7YceeXmdc1KVxABDBb
XiAA10TUGiVPRSS6J3+eYDGa5nes8R4WI/CdG+1kO6I5+a0i9M6TbC64aH7chcsY47Jz27HPcT3Y
MRq5L5N7otFx5/BAK18s78zbSTKdqplHO8fLSTFy09toEzyVsKPJLbEjLhI8QT+tEhdlMBwPpE0D
CSMRi6GAnpnTHpvtiPx7zFvrxZoc/3auE7Vva9+7G0qtVmVUqo03xiDzmhjsz9TlG3eS3p/AANo9
x2b0q/KCfKa+NP5kBUSCxZ3Rt6CGqB7yVhV/2KNV4UIxS3tcnfsp/V3Qr7SF8YXfG0FCDPs+tYvN
SLEV5w1xwkWG2paI+aYmrYXnnAseXqVxs7TwueyU7Ule1e0uqmmoh6UNtgwBngKLFYDbUQTVqf/N
RVis0wbNubVAUYmqc+aI+T/YO5Mdu5F0Sb/KRe2ZIN3pdHJxN2c+Mc8hxYaICEmcZ+f49PdjZndV
pjKRhepdNxq1KUBKnTgM0un+m9lngAUoX23trn10cblfr79Mo8kgq1a6uI/zB1jCCTfe4gIMYEA5
5iGBCSuHDgvVBEDfclukdXmsu67b6YGYNFyac0d5/KYqsk+8Rc/eVF6M8ULhSYauqRhsx1R9GBBH
xFjaF3oCSeJz3dk7p80BGxBSa2PdaZfIEc+GW9wKmnE5cycnwEDzBlTLDEfSH9/Ynt+bZMhvEsC7
L9CQ+fsyDXfuqKqHEhc7W5PMXQfp6R5rfXw1ahM/NHOKSQOZ6t4WkkyuqWhEH4JTAzCV/vPI2eaJ
bTH7Wer8CXB6A7AixGlTBNbZN0H6CCyT1mwv6c1KGJm22CTnQ6GLescqKHf26EFo8xoqfC3xybtT
HBvyJ+SPEDJXtkJKOC08miZ5pE3Ju5QFhhKvza7qGBDDWMfsbvPuJVrWWRykoc5rvgvHnB2YVoe5
SOrnNvavoSLJnV+xmwEYIUiZVCHENCXeew8bVTv5IAkj50ZEdvVZql7hqKMmHstwvsM/lT+bmnrh
OQzKG99L1GU48/qvbTrbiugh5Aen0CnYztkqZnVkWHd2FnacNUv3MsgxGVLBsWVi82pgBaBqad5m
0lxXk+VeNB494WAQcIqb8okzIiiAUTxZQAk3taruSqcD2UIIaRMFnQI7WsF6mJGtYmKHbouPR8qQ
SW/R087GxpYXTsiByZo+Mccl2FpKE1L5BF+htkr72DIBzjzrm9VHBV+N6F/Vk0tO0wbRu2ybXwP8
LvpwM127FG+ydo8vpu+/m3FtmSk5sHc5B4Sq+uJH08wmgLmsyGV3F1PVPbXxBTj+venC/dDR5lww
QN5WjXhq4mJbmvSSEpOALE46LvcR3TM3bAGq/SJaCfYGHmY2kil0kk3isLyGLSQfU0Tkovtwpz3u
ssygTmA85D0qu7MZck5q/X0weNlF0lVXyQB5p/GS64RsG8poQZl5TajoMI4FQrB2nwekk1M0Wult
2OAjI/zIINfKWmakpfQvzMSEOeCwNCXz1wIBI+IpPXOFbkkdOVs6npjz2nKbiCIg5Y8G6CLZnMYu
dI9OnPbfZpohT90UmYcsWGp2sJi8qduemJ+K0OxVWUGqpJ6D7rtFvymmg5dOR19eYbxDR0xl4pZh
zC3xX7EX8avWpWQlBkIyTPXJNZWHSa5cQUF9etMkjmG/hBGVvC0dnjN8QrthEmzIxJ3qwrnDF9te
9jOvL2o/cooN8zXf09k+pGTXfBAPosyYkoVxXe6yEEgayA/ki7X0rSgFkfwqJ4BO79VlqNsLZykt
XIhMKzP/a4fBnp8KjyWWWbLaYQ+gjZUWOo68Hpd8D0XkFMXtt46AUkei0EzNkR7jB03UJxsumbZt
Y4GxoeERT9B9HY88Uv3F4ReU0NAQpPm18nO4fs6XvGa67DePtKriPp25Py36NyhQ2xhKPwSm5lEw
am3E0WDf9AaHKlt/PEAjrbYiGGEetxcjCV5qqfBf1OLMuJbp2rC36RgrhnKf8hyVTbavSQ9OI7XC
eLT2jBip3slmyEp0uRUJ+9KalXrpIb0W4lzDhUws50On9NbxpKQ+UmFEo2rb8VASv27IwIJ1A8Rj
muMyEuIKhm3pQ9lbWoYN1kVMtQFCdMGkH7kwzI8O287zUrnOrSh6wz1TQB+o9ASz3DIALnJQTUxN
7waOzscsy6eb2ICAGev+lCq0ImZMXEPbfl5G6xhXU3lHrQklZb3PcuX68a2AZ7CraSsESASgVZie
cFvIYCpjxkiXp3jTOsEUUjnZmWfDza6SqGjuiKS5WwMP5GyannNAxRsNyMLHRCf7kaXxdsERTB7f
G3mPu89gYVi8kjj/wtsCt0BZ4fpOw+AYtwBhOxTCuolzeB31ggvQ/u6X7nyb6JoM4tT1HCWTeeeC
d2N+rb1Xynl5gHNUPgbrUKyPXkWMKtUcyOVXyYEFmuoxEAAHOW2UPuMIuXZtNWCpmEJvM5bFvaqc
U6jppfM8LoeffOMUs2+b6qgxBJ+ipLsgMtnsfXr26OTpcbZ3IYxaT8K3lwzJvgSzc5aJQKIed2mF
kVitDlZHTGcIMpj+1nUx/T43wSEG9zYOXsxSS2/4YstrDSjYJ/xSdHh/caGoo2ggKLLDHq49zz0o
mzE/ZBoaXJz7jjMeZx3/IQOzY7kkg/OJES2Wwy1RV3Aa8EE4AAV3/Cas25pjw1fpdBy76ez1jz2J
GHzuXSJu8ELyUzDOqu1+pzFx1T8khzwExWLyT8Ngd1trnl0s3ISiVIwMMNHus8rBz+jil3RpDnvh
8FpL5cqbyP3oKrDyx2AMCzIvqiGfD5KaUQ0ntTCx2MkAeZH5ZcR5v0rDrU0H7oqo1UnzsFjJC+Ck
49RFR7+lG9fVDyKhk2thAginjdxV5ASPkWgQrwgP7J2UWG6i4uWydNe+aZvf12ZSsf1DO36KLdzS
7atTASaynZgsvZJ++lw6vMuOA7Vc6QFZug9wtTMCXxp5Q2KPhH2k76uOQjZCzUXdM55xeOsF9hBB
9AQZTYrKA6oXK5uJtG6qeO2kDyBYDDyRO8yyi/cUrATPKgaE0A6R/TyReEp3nPpVsOPDeZxVhe9Z
5RlPuu3VB2WW6j7zi+iC3aQ+lIFcJ1pQC7eDQ8FgDDCTdLi/mdtlV5lckB/KoE83Lp3a65QT6BD8
35kNEX6zG9XpfNvZzq2u4Mlix6EQ0gIhFoSPZMDXJVaabeeK6KzjqL2OMTDClAAUMZH5K5I5BoZj
XvFnc0KQmJWqtoju55xXs48EkYKrwdz13QZStYxUrlFhM+9l1zDxXyR4g4CSVd9Lra3oaptIlHpi
t39nswwRLLlPueGIYbUXdV7d2BMh0Kx6Xqehhw4/29klIrOVI0wBWyIVEN5G8KqS4HmephbepnXT
ZoJFwWPgAHqtQ05vH7CZIW4ue6qW0bzy6OBGy62fRdvFW4XiYZG7ypEPjkXUVhA7U3b+RHNCfbRV
BQ4rXNCMITtrMBykkhsGXhzgW97hjM+KprNu6s7ERysOeoskJdikuJo/CnzVOyAVAbCPPtrKmDlb
apqrQbNfLZsFwm6HN3rUc/XAftK71L3d8/YprSvYAeqYi18fKZjwtdsICKJptO2DCagfhzljN8fE
n6a9Dm3SJjFx6YHEBbuzCEV8wOhcrd1UudNjhZcJuWcoe4c5gbYX6Oayrivr2GaVAWxKXVIi8+Jr
1MeCmqXav6IOd20tHb/UnqRb2rWBrlMzB4MMSFC/tMsR6c6/IWj6fUBZACIZjXvi2cmdNXSsaazP
oKbsPZVDn0XZs6eLI2AmXXeyhmA8FMO6c3XZlTGuCa8Ce3xDhu1OmDV5fZIp2VlyCHZlaUeQkT0G
9ctIgJ/pLNBbR+2yHvElrFz7BjNdu/VEPT117Fou+KznRCb0YmFEPVJ7bUPWp6MRIJbb7lXK+gDb
yD54esie2OlP25lBMvFAGdy1cdLeNxWQ3pm0Jr/V0P2IWnu8xF2/XBP7JXLkkf3b0wKozq5XszUK
etASDoVUilTDvcyVuOQ4NF7XIvDlZsLtAmdu1mbne+T/mIPN9wVJ0G9joWqO02noP6lB3LGNXPxd
aQbY71NiUEyJ1Vr1lzluAeBkONxo7Jxze2chEaNdIIjuLH56Mu4KcD5ghB9VLeLmrQ5BN2xzfL4/
xNAoFjU8XZs4mCVQfOViziXq6lx2sqvYH9XddWviITmYefWA5NyklM9VMrrLRLXc14K20Q0ZNjZj
FUnWmLBHXK/wG1AQbDcSNjLJUthQ0+n23OIk3Ney1gee55aKyuWzVrMBoU+uui1w3cPhY9fmxml3
AskCHMi/EyWQec15JaGe+L73nG6HtdW+dFvEsr2blASnM3d0Ak6TuEMspn27IJsuQyme6irI18aX
hFKM7Gp0g/reGajIgPj0XjXuLZguuUkhBZAlEs1FkYFwJDfP81oBgBcRQ7TY5V/2GCmSN3auQTcD
7qsqyq+cO5mCBh+qai9LfVv6DOL18CVmTwvobC/hIHZmuLT57SRp814F0WvKa9yO427HNOAqpCB+
6vO9LZjysTfcQw0hVeMMVnboeTuSifZkdNFEoKv0pBIOObN1uRDjpXM+do/sgnxYgKO8jFLFZ04o
5ihIw5vo5kNd2SEE+1EfnBgkKVUP+T5AELwAhK4emhg1lIbx0HnvdNrjcqjD4WUh4HE9liH9rkSt
dvFMgHjXyhDUroTSbtjcxhhI2vAKZqT5wgbsXvoNQG9cIcB9om440ojhbtKiSnmz9el3yjyzPePu
h0q6oGTVfBsL+3ulSB7X1tlOB2rKKxDt001TD9tubLHzuVdW1T6GpfoA28wrunQ5N7aBhLDth9Zh
Sq362RMIxRvM2TdZSpOeaLIWq26RHtNC7eth4qWNb54AV+9Puf+etxqZQBroTu1SApEhyEb1Jjs7
egqJArVigBBv5Wc5lmovBByKqnRu+7HtRwBWsbryRgbRGw730dcYrNbGzSvvhUDessmmMj8zNQHB
AZ54F/JO1KO5LWJbPBdZzsY+TrD+UDtPy2AAMm9wwoO0LPGVoeuDjTJ0oXMeDw4I1reiVxae9qQK
noua2ySrZoJftZ+eJlWS1Svk8iVOBGMPBOTv2Cmqa7eY06cE3ywihWWdS9FwPWrnfVDisw7Y/frA
Y24hZX7t89695rgyv9pChCcs1O095Nfu2OFp+fA4I5z7umlubbt278bEE5ckhNKrjot7y6qMktHm
OfNsfpNZW45nnWbZB3loXMHYNIKJrI/bM/STc9tflWKJbwprLvZR0e5mL0r3besEIOkC+zWd9Eca
D+ZyGJk+ezmubvCmzk2q5gCQpntfmCgbTxntt2/R2lSoyQc98rxSVlhAt0g8+4w7+iorxh+Q6s+L
iczlDPkUi8mQzqe8r0mXK3f6Ppb4wZJ8LhkyzYcq7Nud6udvlh7Mvkvq6j7oa9DPmaGEe3Hyez3M
jBptH0RWla/tis3sPaYV/zCgGTD1dkXZhs5eMW6qN+NmGb0TEDg74/ffNAscHg+19DQLrOUYQ8yQ
qluc+phoIW7qkY2rI9OPKrLWBlQXzlfcfe/yJDSwLrLiUFm9fuQEJgBDRtAEUq5OktRv6YDgOFoJ
j40P8Lku5ufKItQXMB7aBkqdheVXN8yD3EtmbCzH67M/p8tXYOnATO056PAvlo/aIVEP9sybT93o
vcV9EFxRpTwzKS1L2j48lxIfMBrLwC+1zPChaB2xfifD98qTJD1FQXS2Yia8lLY4SLOCyHuQP0cZ
mmRXSms5jJ2N676Ic30ylWL8Msmu3OMdK05yGBTqOhmvUS/6K2cP9GPjnR3ZX5qG9Dr6qdufPFuF
lw5YoqM2FlBzDrJMP5zwPBeERHsHhmgTpKALtU8kgoCWH1NNkI362JU+TaAUSxGiJwNB8+3GS2P/
LlyMg+8E9B5PxYIotYRPImfbUfoBUJcYoyVbhvy0LHTtjISujzabrndcgXgjBQNgzaCdvZ8zXzUY
qPaqjXkTRs7rAMgWWmWAv3dk0sjaTSELcxM2R15rPxbI+TR6R8G287zuIaf4nOKoagu64LrS8Wey
EO9HnkyvkEc54EEu2afYJ2CDlJx5pG69E+CNZV/jk9hStPlJFuSFKqGPNXONca7pzx3B25Ox4LlM
i3IOVQfzxvHnlym2brFjM5gG4NAnAsxMZX+l5ZVXF/uDbWKvduImOHt0Kpe5+xgETofBqSspQCs6
krtrp+ygiMXJ6FiWob0fmupB8Kq+H7usOxZ0ouydGLKttDw6ony8UaA58/FZlPU9/gPa7Jki4qNd
NdmZiaydzsFKT7pBVdiPDaT35tcbpCwVyU5W+aSbl30Vs1sTgikU9RAo5sb3V6wvle82bBlYeweV
tN4u6CX8UMc2Z1ydyYn9NkuPt/gvBKyoQagbRnqV1ZwaOP3bwMsAVYfwG2IaoU+qTdUVwbJy70dk
DfDgml+hobL8xFCjTwmhzoj6qe1QZde2ldg3fW8527hxQ64LxQkF759DQFxxWyl2NfhE0HhNz5qD
KXeSTbaLyDlyp3LO9WhriFOnvhtFI287H9u9jOY1UGmm/gUj+Xhqh3q6YvvVorFZn8sQr/MhR0KO
rm/rrmG/M6cFs6V1vxUVExghOV5B/p1vfs2k/UfpvP/bcne4N3/9kiQC8XXv3s37f30vTQKE+734
/t//IA0JiuH3ubtf/4PfgnfC/cVxlS19z3a1xBf2z6ZGhz8Rro1VFDqDxzH/d8E79xcSeYBubM7E
kj8jx9dVvYn/+x9u8IuNMMEabNuu7/OX/pPg3Z/qRh2tMDOAF5G+7RLoW2N5v8MvUDPktJC0uemJ
qS57uaS2OdjU3FqbfvSIE2W6AySZMWy7Az0G+yURajqKXrT+7ncX7S8So+Amfp8YtflRpM2VUq6N
YUoq748/yuBCXOtQBLc9cfZ9lOtw33Ninnl+fkuI/vbr+T/4pJ86VjXze6LRdFsRfFD7lrQGomeb
3oJOtPd//6X+6gJLhirSx9Xtk21fv/XvLnCuKZntCiyDEVGr4zJ0PK6OW7PBACuBu7vfzatO6omZ
tMcyToSLg/Dr3/8Qf3Vlf/8z/HRlgc0QhLD5GbAXJ7dSNsGuYMf/oCXO0b//qPWf+i0MfP723//Q
v/4SHddTnoMjxXGcn+4nBbF9DGvuJ3+Z+6tKy8rZevil4By4gcNMopjG7vj3n7n+un7+TMbXisfB
gebr//T1yABmpN/4emwW0aasxhr3wrIo8CYofYOZgGU6TpbT33+qsP/iY3070DbYkoAvzjP6+9/s
HDF9yfqE2h0xVK8+p+8rGoeWdN8NoxcS3JhCuW11KTAgMFvduQH0wDNN9/7wNi924Z1U5CoHVcdr
qcooS0TWpU6tRzAB1l3p2RErc5tBekuLxmoepNsm2fbvv8Rf3RlUMZH/Ja0NQpN17vffASRFNfgk
fLea/ORMY0mYnVLiCthrJgAhf/9hzk+sF9sJaPIIAk0ylZuD5+GPn+ZVDCvIITK0Kyf7YSENSbFA
CZVKBdW4tyXvecNFpRKbpOcNh4Xo0A/CekpJP5C9WGLn8Pc/0Z/uVn4gMDZCBXx1BVf/jz9QEqgu
yzJ4TELOXwfKZwnSVEjXPSZqvSz23X/8ca5itXdA7ztc7p/WgixqoFxNXkKnUZERUJyd3RCjDpGx
/uGrQP6b52K9nH94Ljiwgvyh4AaKj2OLnzp4XVFGIrFVsoO2RuqtQSL2X4qorOifj635TQyl5M3m
5cWevKP3bxYdX//p180jCRY2oIWY54P8+B+v7ry4cI59P9jGiwG4GfR6Ym8WxuU9V2cVighlhbvB
za18O0ZCXzFrEaDyagWYngiRB9SUSOWItNSROXBiU185FjH23QgQAdKDKqU5DVLLcte0hnrKlNqn
J4ZVAGR5yghzkL8onpfExd0bRD38iFSZ0l/7XobhROSx+QHkkbQFV7G8K+OCURY27AE6AVXE825G
oa8B1yhfMDAMcY/4aTPUOyz1ZXLXVtpF6m58RhYozU6OqQccIJVvdX4oUleo69bv2xgCSGQ9tgCj
P/pCxfUhlCVbt46+em8rm5FdJ21Z2AIWy/90IppCN27j0LLe+STgHMo4jy0qJqRQp4vJe8SN6XeI
x4aCVTHS9TXB4P3CHDa462URopq1bv2sBLuL6xHF8F5lDaG6uerpjyzyRT8HpsY1o5KcmXbbNV+5
TDC9/FH03wgL6fnQuxFe52IJc2baOlLfySjiV8cPtPZY5Xn36bmzfk2K3vsiHQ9bM24A76JGHfjs
RLrMzHsr+UVl5XLTpmP03ZnFeD/AtWFlacLsLZOYF2iG4Di06aIZG3o2gUsuKqIEM9PaiuS1N1Pf
XlYg3pfKfgSfEUVQcShX9LPaf1j0wIXKBwEPdEqpkMfsk9P9qCq8/FjQ+34z2j7BtJmgAy7KVjcB
BjIdkQkfBv3plXRhUGNmJT9M6uLDTF0ru3JX8ulmBLU9kPmAVXSrok5cNGkCTZFG3/yBHRJENMjI
AjRHRaZ9eZnCyB6OnjW53kVcVuBbwOeTEkYNGof06P2q5YQ4frd+BKZqA1UYElCFlEicxKMNSWeB
ixpOEzsD3Z5s7EEPHVoXCif6VkhrGIltLD5xANH1NzGsLMDE0lKEUIalcfV8FM10H2Glo8yPfUWz
1ici7DukpqddQeDzE+BSMu0X8MgpYyY75ZEEZvDGzABJY22jsrdm0GqmYmtZOzpcnQboBNo8S/Yt
8FLkTJJ3MYOBtZIsGYwiFur3vAmhCzWuwiOEBZCD0ZKODHECWJGwDEN1YiI80iroRd54nWF2gicu
ajGSNOkpFvQxanvINyG3gvFnG2Er5R1CccCoVPpcNZrJhLGGngINb3U3zbhigZ7qebTWGsJ5pvxN
Iu7RX6gaysrMNMFej9PpHI0x/2PCMALMn4We8g+SzJQmB2Pe3VQQjPqXzgvj4VYYkcW3djuqCRGn
J6YSzQzHEtLv9n3dWPJV2bjs1qq9qj2GY47KZ7g7SQ30dYHzJKC3cCPsgKgRtwCux3qmmSBtRiiL
ulRZugUgROIQbYhBkKVT7mCYYvlO6th9LB2BOAf1yjUsN628w7aLhyzO7IZW6GRGoaiawGJwEeX4
LwbHZgVh0ayU84oLPr6Dpjt+OKpfhi9hUScYPjDjh81b5XktkHc6EXEoX8cM47G4C6dVBbNrTIcg
FxNv0FtwjR54wLptGOwRfwDvcgt7tJ/VLrApm2M+G2HgcGjtLOxhl0SJ95T3CkJCMC2aPU+pXPJV
7BzGa9FnRXEc3ZqbsBcKJC6m+N7fjs5knhpiKzEl1c60Vnn7g8GGx7+8cTEFvM7KhpnozDXFdZbp
Pe8wyD46YvbJimu3qzNx6mbTVY89LlMOsIS0X7LeG548mNlXFviza15DiMpTttZIL8qNLhEWJ6pY
vZhecJltJxiVdDkM9XNXyfDRjSc6cLDFqt24OBg5ciq538M4Dw/T2DhQHcr5oUNteI77uboamG/v
vNEfXkJrBpsYRSEDeU5FojPErqbrPG6mmzTN3ys3RMFpQJ/hscUW0Jl22RDCSfZEU4eDK0ZI22FE
nMFYGqpHW6xuM1Tsjeod+xLaCJZqn9IZ8sbLmH6NUqQKCnUgUWFCVqeq6JMD/cXBl6yn/YeStfuh
dkGrFtK/yoIgvLZbA1GBIGcSMEpq+1KSf7LfgKB6GJzG9tnHJbshtzaecMgN74w1sWi5VBWO6PWK
u8Cnd8FF0Dvgx48PTOJWy8Frs8QVi049+QTpO58tU16c+tL0Z5xD+ddgElSeVu5wLAxL1DQpuARR
zvqhHWjjtTt9lkH1muHOgd0b72fZsNgLKskAEQykSdWUXmP8qkl70AIBCJeCzNQJ31wMS8eiGisI
Lr4OP5xgPDMODE9ZKT79sVYZlAHnDfKmtTUzSrLuUoxjRYuDpUrxwNRh9RoC5n0Nu6V+kqxvW84O
/r01r/26A2IIPaU/0pjMqBXEl13XfBJibBGv8/uqVOcgqtKjJdJXUIt3YwB/PYc/h/WHawUk1uyj
DOI5eZ6eMbrd4jnNy+Ecxuh8KP8XXeIwEaSXtKR5ZxuUTXMY047OFzdUFww4kSGSBieWRdS+ZxdQ
bPBG21+gJ5gW6h20bKcU8ibFXIJfByMvEuKYARcFNbXBr/rmgg5+LMUAT8S3TaMAyky+AFpLxY83
ewfTDARd++VJKu1gp1C8W0RT3vqec4EB41Qwh9z6XfURj+ImDcIL0S7WxqROh/GxWugQpAkbUzDY
3e4qFjXGAx3AhSjXBQRQyZzuONZc1cDXf7An9D/YQkM2YxK6jb1g2trYtS9ThO4V3CtgwQ8+3BLG
v6DkmFbP5FTI0AziKqZCjxpuZn9ukZ0nh42AGuUtdoTvOBmw0JWzOClawYbK/jEyJmM7Zm5ri36R
ofSPg5DEBq3iExs7ms3iNxvsrEh00fBlUuRU0B/vs6VhT9mkGJWESCw0KH9Yh3v5QXa6PVBvibBD
37Humn3vTWpDF9CWsytNQZahurAJzwkD2R2B0WGflPM9OU/iaLp4Q6PyHyUicObXI8PE/ljAuWO8
7F+HiKBG1+9uMHAmtbpHC4e4wc7QkeU0MnyCi8YIvGkv0dYgGcfRO35pwmSMF7DjhjdFbu29pMaw
1jXxZU1azwrZ1vTG+eyahcTFiCVUN459jDP2w+hqGMP9if407F7ASwR/eYjc8BilKY11M0WcX3DO
U08/zz/snBLwuJx3Xc8oOGk/6kKqjVjtygDh8HsSPk30/OaCB9rHXr9frMBcSR9CYcwBzWXHC9si
QbvNEdCffWR4b29mqz2WrRymne2NxNWrxsOiNrUUW/dRYNiGBiZbcDBU7ZdIQT7axG48f2DsWmBf
mDm651qn/tanJuKEc2q5T7wwesRAUL7Go0cPjVYJIVRSJFgYhQRYvBlGJEDMvg7odK9PCEhyq+Fd
hF6SMWUpSPnzruTSl/lICKaovfLsxJ3w8eajrXwJGr0kILAVs+t60eYmHeYQDDq537vMbrFRYwmW
p8JeS9R5xXJwJy0DXaHFP2VnOfHbScfYGJc+5c7pSpB/bhDLj8ihWG01dXTJnslz+4PLmGveAaVN
MJ1u8nb28dy3Ye+SqWo09fZL5I4xc3gDFI4qBEGXxayGM8q+c9MxuuMywhJ/Sm0gj7s81uLBnxPs
bNJy0hvbgPXctRBg352xdJZHijr8tX9EdcnWdTyamPiWabivW0F3jgxsM1IJH7K1ZQpPUiN0sUzt
hqC2X5hkPNaY3hl1M5OjnprxOryOMkYJZVbB/x/cAdBpPVjxjzp0aPsiAxBNqFdWbY5R1UAb8HoL
D5AcqrdIEmQANypeTKCMOJDU6V4pcG1bknMlV0mLlqz7SIp22dbkGa/I1Rgb2xJohs0I4Yk7fdDk
h5TTFy+enpMXvH3cqI4o9ZPjT7y9qE7xydKjdOWUOYTtW4eUxrWaC4QH1MlmW8+6vIvxubn7qA9p
/1JRtiI7tcnf6LL0V0ymU58ckQOJMcJtvodCJ2/FWA73gYdhxK/c5owaiMV1rRjAn5QH6tW0qFXb
HHPNMeucCg6Zu+hpW49MQPHuB7j2AE0Bb4mT4NVFy6eOREUpy21mRcsOfdN7JupMnV3LjQlUEojQ
A1p19Y30OgUkOmrCfNtPzXzV0zO3ghDbgfNI7+JXgKLjlkc8j9X3Fn7Cm12E6kl6BZ6JSqxGBDSX
mlwbjKrVSWeNLFzTDN5KBeX4zWOnQISq7IjSGrTcB1LDBmaZKpKLjg95yMfV5MOcDwOcq0zGW3L0
8q2hCInkgvSXj7BQ1f1sgUDFcRTlL2Elms8ht5fbTLrY/XjKoKxiEm2eilQYTrZeTKVTY+go2ikL
UOku6jua7aeKfB6d9EtEy1Oo3DevxFnC9xbJp4Xq4/GiDXFC84U6UkqxSej/neR9L2sOOa4ByUik
TC2Uz1ZNx9uF8PwGx8RcHjuKBkFnhQ4ST1mUGMh7pL8uapuHIZ84gNrAHajoZKWNMKqWNnnX2l0w
29mj3nYi8tz9mJDj3U/zzJZzWUawVoua56tEDhbUMDVZX9dgC/64xaLKj/AbmungEwA+TJmFQxfx
3ucim5lTkwpbK9vHI3jNLekIeeBou3pmxhSoPplq9KtiSf2NxRb+OadchX+287HuLqbGsxzYsoCm
5BG+wznW1uehH+aIqGDkgOwwnnMuFH3gB3ohqMZePJOaI418wXytcoQHdF6RQvMO8GBpmhAgCBmL
9nA1ttUe6HlX75rGJ6NTyYJitaBdjz4W7Qfffdn18ZFIA+XETFWsBx/CqL8hPQsrWYStzgCZteOz
RyVZtdUBX5MdNAwDZ0mAOiegZbqTz6yiQBGV+T00g8BdEbPgg9sM3Y0bSyAI0HRi0o0eO5ZzTKwN
57HhAIJziogDef4rFXMVJpaKN9QhIqbSHzonzKBm/5OoePdnquVfzEs5hLM/4kTtalf9NDAs7QLp
vEA5IEWsib8QupiNZx+tshz/jRzyp9mkVhi6hMfYE3XXVz+JFIOXwiNbP2oCHUpURmaU6fSwxow3
rqiiaP8ff7X1Swnbk4hOnv5pOImhNrfVOrkXumVxD+PpkluAh9Kypn8zmPzTVfSZAztSOsAoIYPa
P32UlKNu45gqHUEycatt3m8lEvNWLo66/PVb/Udy4/+bMFDn7xnxF+/lf12/z9/LP+iS/+LCW/qX
AJaWgP4eSB2sSuL/JoJaSIxaOx6Nb76ULm8xbvP/RYbXzi8OzXJMo13GRwyQ/kWG1/YvvvhNrgQX
+p+okvqPMFAEQJvJ9SofkWpxeAB+uvcTN0KSZiC1K7y1Eb6jNumMqck9dJ7OThzOtU9LXVIRKLZa
SpEj1SeX9gKshN1tGuUnypoSomKh1Ou+Wa2bSjPyzrfcmM2D1kHyipWJlxbLxfiWO3GiDyQPJgDw
6UqonEA3kmAQTH+wlA2GKC1JU85HknB5Mv0A24H7hdIPzowggzkQ6eS4CMejShdu3zuD6IVelTDt
H42ad0bPQIKypLOfR1dFxXFIguJytOxlLU+gaKJbGtFsGB/jziBiFF+Mnko/6dU6+8ojcZSKKbqo
Jxc+xezV/YvnaKfYxVHTHGElTAdQ/k5+LAPzFIAY4AxDjWvtrtCcTFOo7ajSoDPJ7LjElvMuWgf4
ZdGzU56bTrxPdWrewMZTwDESJlSmKE7//zE08yp5BsiC/3yD/MkacEw+2vfcvLe/fwrX/+Q3c4Cl
fpEIl36gXRv1my6Efz2E/BFRPSdAS5VarI/aPx9CCZf3f7g7kyXJjSzL/kvvkYJRAYhU18Iw2Ozm
s3vEBuIj5nnG1/dBsCsrPMgKCpfdIpnMJIPuZgYDVJ++d++5hsEiqvF8yjJZDP+WB6x/JFuIDWSF
WAWbKdM/eRAVhABfhkgG3WcdwO/6DmF4sButQ56f5tcBLojEqMpPRioQnPfVfX6r4ILZgFa0sOC5
wntPD/kB2u5J2WFGKrfjNt2ZR/s4fxin4b3bV9ftVXGf7aVL9p68MwzdZfdL5Jlv+PCCTf3SerJT
7GeHunWHOWof7nTPPi774X1t3eJQccJD5tY39UG8RNf6Z7wrz8ZJJUrS7bMdpyX1sbnvTu1B8uFz
Xjo38wsXItQ+fVRvqhPpCjfJXvPRFTnE3l7PXn3DlLjsXes+9+KdHjr4Pi/lzfgwEpYJYehmOVnb
6dQ/ovu5lS7am3rQncgft91JbNMrw6+3gdvt6M0dWDUc8Zlclwfe5ZV2NHfBY34rYaV7sz7x7oeW
CwcTCB04O7qBApawax3qA6IvBF3NxfaNnfwQTpf6UNnXr/05PuAAOYRX0fV8sC/zI5fwxGf4JMTX
h6m3iQ/CIQbrWFyo0zaVn90hM9uXW96g0zr3uWN6uVed5IN2AjHsyH50Zd0Hh8JPvdLR3W5DY/aj
CPyGE/wzXcSD4tu+5HW7/hzcrMGJ0jH4bu7SrU7aqjvdRDQsECb4xNrRU+HQgv5KxkS266NznW3C
10w5apAdj8a+d0hW9qcjmqlVajQ6JKZ/6+6wl9DzGkErPS+nfBffVMd6iwM42dc7wwWqyefC9cdl
SfbRHtX2rtyGR/VQ3Lffpav8bF3zCk/AoAmm8KK9PG8sLnu6jbcE29xqO8r65B35m/SUHofLuLU+
Z9Tkm+HJvqX7+KQdu7uGFhfjQ9QXwCl2Nm/U2Eg7+Sr2FQ+p47Z3AAi8WIf50BWOS3s0PyoX6Y77
c3DiqLjE+Q6N86Y88/MupNZN6AtyMzYyCZWbeJu51TdY7Zv6ZriOoUPiC77iouWFI9xpB0KOBFHl
fgr8qPAlAhhjpzoN/uj0+SZ/NVySIbfk+CZOeL7OnY3ulLeJj1/aJwbt3e/uwS+JR3owYXIeLS7T
dwpyzINe4GDR8lRPckA5xdv6e37GXeR3F/DBKCoBtfC8cRtRQe4n+g/QAOEbpMWJJjjRyL2viOc1
NM7uPiXVhBL9mQVHgx6Y4UzabtLO3eb6rfXBIhPovcNq5mIB7mRHexhuaMg95AmHo02VH/ln0C4z
uBZ4ed56N9pMD5lnKQ79XQ8TLZ41wa2YoQN1Cw6pE642Y8OhdrQPmUwYwE5+m/TWIWzYkz1AuhTV
L/VheYKpktiH0KtdxUmSQ/BW3vfXExEGhScGPsWh3hdwEl6yQ3wx7uvPWBW72bwLrkyWJczSB5LB
t52vyR/GQ+2p8K4v/V2FS5jwLb+9DOeZvulmORuP9HYcjusu4XApq5FfKn7BDCVpNhljjVgHjp1u
EkbW0T5kWN3xgc9iudcr0ka22n1z4AneiAdZxZrI5PJmGFxzjYKgAwHG7lxe6++0XYSHXB/p9KHG
OjntzeycvcR30l7g9vNB19Tb6VNyaYzW3lMJOR+Y0Ca9IUXEy/cQfoFCdNoL11d+bleU+RMKRQz9
H1XzJGHOcNNthRoVY/Wy02nxW2cNhdHrKG3gMZrgZeNg0xwnTJ/fMDZvcm+8JTENn5oroqOm7OzF
w+vPDdFx+QZS7J/m3HDS8jt9UqVA/OpmwVsQU1z42l2/7PLomrlvNxxUL31EAqx804+mei4e6nyf
P/VP8UJmCVPlHV1QnOXjVmYcLpzvptiaZJc9ppEvxGOXInJ8YiZT7nAJ0cGVmZCQSwci4blHqb1s
S+Gk+9l+4VrPd1rKLxzvxjvzkXsKS5ozXXW3MsJ+TJ4g3Q7dTeremXvFcDiSF4QT+/P4Hlmn0L4h
UnF8ap/kG0KxB58QHGyYNJPxljuQXdziQbq2btvdu038DjAfF+t7dZb0FxN9Zu/0z/WlxxfTQgAa
z0p4W/i0pEMM+Jviu9k/9DnNj5XiIbDGDzAb3xKHiBMO+RtzH7v0R9z4dvRmTwSMQs5k/HAj3/N7
njMnugESD6fJ5+FQ4IIdGq+vzqp9Fq/5hl/rJt7A+D3as2zgJ3QK8aTF8Ubb0kv1QL+UzNtp+p8x
hSNaxTK0gSAnPcIayr+hVMXxQYZ9/CwXz8ql6b4r2OmYu8FU+lwVYHX1ZjQP9sVIj/0ht0+6vHVp
em94qHp3mJyHwfPGt7z1RCJveBLJRt3oTyFRvOc1Z6Kq6NawTnrVebAc1naH254YnmoLHzi86f0O
6zvWGOL8YvmaDQt+ylvLKNUqHvVY90WaP0kkY56L3k3vgoSc0806zd1KNC4O/Z5OilO/WrfWFXRu
xCznGrwrI/5X/tKds8N8Ci7QU936ddwgU9/MfKmVA/v7RH3bkhKzq/aCzUX/Hu37V8Zp47F/1a7H
nX40GFkPZD5tcLyerNqtn0fjWtkJl1Aon88KhFzxwZ3xfxjPyjv6H0G0uolhIu24V8GHw5Yyx51h
eWa6reExx4dgcfty1xlPI0DE937PBGlaSPvwivwQqG46+aW5PUQHbjLu5gF3xQbFfL+L3RcLHPZG
KX1h+aMAZ3stl4cMwWDnvsuNI+t/nMP/0eH4vsz5z3+sP/PvtIv//I8vf/f/UG6aRivhf67GST8O
X5qYns8f8t21fl9/4v8qda1/0WzROQ7/kWix6nHHj7b73/9LVf+1jsQQKK66Ldoy/Ml/JaXp/1Kp
xVHPqrqNLlenfv4vpS4RGahY+SkK8lXg+48iMlClfanETZW2E7pyTt904dEN679U4voYB8R6Ifce
wzC5DNpK35bw0hG1U8pbbEzr4RCpC0r2vlTXkaQFjz7VeqKmYhm/rLBqoUC0MtKrRo+DliZWn5D8
uORKwAmzW54VXULhYTQlyHSF7mAL3GQ9yKaToZaYs6aGeQgJzreLhiUPDWuod27wg2kSRYp100uG
KW2USRUhsIsSQFWhZlCcNTsEF6jw7WCemh6TaA5OXbDwsuCoUralqjLlvWlk5rxJA3AniB77lOBv
lDE10OaxeKLr7XOGuqhafomM7llCKDCN1lkyIElBn7BzOr1D6q9cKINwBjWcvEDNvaiadkHBnKJV
dvx78LYTbfCyaSViWzgpoWFqHTnCsvZqcJCwS4NpRkQcLIQByNJOFTQeKSg77OYvdWdeBbTECis5
VrUNBGnC3SQompPOo3cF4JRRPm1v5BAZlwFD4kQgdAsjdf2LBzqRqXBkySw62syPEFsXRJJTkSxk
9tozlHd/LvJ9Z9mV4ks1NAhr2U0xrg8JM7RaK9LHvAA2V6acWUfid2nDNKx8DaHmbQT7bEiM7L6y
agdR376i82ul9/pS+3GvRzBHo5t2kf0uy/Z0+m4IEXa4vM+NeEzgqZfSt5C2c9KWYARVN9NGJ+3E
GUwjF2mCMIwyEhJB+GxhvPANxuMbK5TvIvM2juaHQV3Bz9E2JLkdRBo2XygfLtRLSH2p7YqiXy1Q
DFhTLzbAcwaoyDa1eixnRKCzfs0MxFsDEyw99kpYmRmzRKaTt0LOjubIroNGBC1Nz5WL2Z0lJgsI
yOjenLT20CKjrRLDX5JHOcsobAm4Iugg7tUHcErHttO3oZ2B8JS+i9I8l1UabdP6rbHGi6EI+kSU
8XxrsdleMwDwpsa4RYHw2evMQab2UceXp4PBcS3oGqaUeQi4L1iN3RYga6ISAgZoTM9t05tVbY97
HHwTvlS2LIgiEl7NIbgNRslJ2yIEQpRd24OcPkRjQ2QuZPcMJYRIB/BGi7Ix5cpTZekggrj+1tTn
HnbKBvahQcZB8yjxr6mSCcUy6C95GTlTNp9MS7/P8gHOlpVcQoB+Kgk4TF+Q180yOSByRSVak76a
jwgyFME4N8t9JY6PRh04Y1+3XoDpmLoVVlZm7o2o2MEFPKtBhQt27eXH1hWNIR7W+ExE9k6usgNB
etNm7ATKo2nfQAUuGaoRFAZlHC8Y2JYWkVV6Bbl+rw4YXoXxOSUcfvPRH7hDVCnfyyO00Ky5UsVY
X1Kps6+1Bexk25+G/DDBaGEyr7rDHN2lgm47NL0bAPJHrUd+BYtapssHXaHJPtBPO0QrO+qAHT2b
XRtAHtLR9NssNzonHYJK9Dlz0cBDBOtTB9zQLmK0vWSQoEDelNCYyQLZFiEqO+yYma1fxkZdBw+u
WvIlZWg50DoyzwTNbNbpXaKIu7zj/gvUB0SODCSabYbyEsnMwVRy4CUtOoEaoyLwnyO+6OspD6/m
aTlrZXSS+4lkIXzlteoQcL2P0IO0ur5TbU6PqaDk04ZzHrIwYM7jwf1EUIrlmhw2q9spHUs7/j8l
v8GkhKwOwO5GL6PnORuPejBf1JZOSdEApIOqiZSI+bxbcq7D5LqHTsTXk4pd03aoYecaYHA3E50i
g6LmaKbJeBGs0nhdGvhkmGERk6K+Q0R2ljOQbJQ3pqScZaWGs2jTbUg/mlRUT5XWUEQFoa8ycIPG
cgrkBJ0AwsM4YvAEVVRf7gg/OUe0W+g5TWtsNPCEA/htbqeidvTe8DNdOBOYaznTPher9I3ZoMk5
DdNuFtiaMDlNreVZxvRkpp1v58x72mg8mb3Ya3IHn3iB38Fwjm8gdsg22gaSeejMHm1GfVqXoymI
XMSw6n7SP6TAdgYDSZ9mvk8AIuQiRvR7bcjT4BMdSvJMu2lQGVcrT2mRPqfgDGjkwNxnhwblBEQE
DFbZ7HuDr12brkZi4zEvppcpQFrd0uBYkF0RCXc9EkkY6sR8lsttXD3ndTW9mdG008s7qwE8bsck
v8vnupNytw1ydKO2ks90OaZyYkGcSvIMiORh2TO7cUBbVAble4eP+zkau+pJbcy+2I0NIcdUrJqN
/T8ZOZiVLVuLLZTmHWdz8zgtdvaE4itjTjoYxvU01PBGF4Jjv4MdaZ8aTnuvc8FLr5qwGatl0hYn
Q0uQT9Vpx9MI39SArw3ksRobvBzZOC9kzkcqyAs7HzBC5GaGZCCL2le7MaU7rW+NDDKTIp+0chaI
SRHBll5U47jxM2yTtFcqezzpaZeM3jTJ6UerM+HDXDwRRD3qgewQvsVFGNCnYIeseMJPZabnHyCc
xjdTQ9t1hdJIEHcx10AjbNgF25qUIdDqplT128giUsk3GyAmOwCTkK2LGfaPy38DDsPtrD13ArXY
WiH9kCYjs54nndNYjJ8PV/A45OUJNXES76GGinZfdmZqnRkZGwS/Lqlyk/UNuSoB3X3YTAJ1KRT/
doTVA2lJwrhIHuCJwW0stuPU5TSKWGxhpmNSDohwwMnpIlGTdG8CmBm4Ejh0VgPY8WDDlWFG+tqk
sLgty1wf9rTiKBotgZwjdoNT5yX9NOdg1lZsrUVY1c4cFpUYgHZMCQfFcmKdhiQZY1xHOULFQVHK
8WqcImAItoLuxemsrmu36I2T4FLleiOe09joMgcLmrVsyFvDctiiGSKGdFA69C/GQvcybwlyPMNm
j1hFOsEYGp9x8UwU+LQqOut2QHUC4YVPZcJbXI9/kbfEJbRvskPAObRySY2ToV0xXMOGRuToqm4s
OxAn03raJcDWUUoCCmA2ILl2eX7k0R/haXxiZhP5ZbRkoGB8+R1NCxKOsWgrXds7U69JB8zXRn8B
i6E9BOVqmU6rpir8CrE/e+3IrwIbGszk6OoBT4ywpDjcd0G8epoLRI7bugUg8y3LCY5Hf427CHzG
1AtXsox+3phMu6+5Z5fqEIBqAU2PMujQ4fKRcFWWWMFBCXXVUVvm5InY0grIP5tLszMgwz2RKDKc
gnoEyqTaGUfuMBPaOsBPdHQdXGVAEi0i9mUC7VBVJbKEgMqdxUTu4snpUHobewJ4ewwH6WLCgRMT
GiyMzPr3pkj00Etw9NFDkWdsR3htIKwngzj2U0VLGsOAOI08mAm2g4icMw4VoPklpU9B+w/MmDYh
wj8KmJ6ASkwCQAIcm7KXf0LuCjqAyURBoOEWWFV/jbXC4xH0bFpba7/PvYl80a6CcaTCSGgzWEmQ
mri/EkX3Ah0O7wZMZARQUYsgB4hAgJLDkWcSN5Mt5Xve1sNrr8GigNvbC87IbWCcYjz0HwgxyH0Z
BHcL6SFD0Ls6nIpWUe9qBiGekqPzceUkku9SQ+NbirJVmIoaR0PdR52EKG180iEcWhi1J2jYbVK6
bTKqrww45JwycIQ7Xo1KDHM1bI9E5rUo/eGIZuhO8zjeWroh3cxqvpDeEJbhN8N8DLlDnCjX+/cO
zJZxZURxf5MOjYbvPAQNvbFEaL/pQKPpw8CQvpAC1eVO1I8qSSYK08gsMdmdpaxHys8FFndmpWtv
WtkB/ldHA68HPPnqzSKqtfGCuim1LXoe5FajHBAHjbFU3qM6bpfVzggyA2ay6VAosd7aUJE59WMv
omelvZOMhdRPqiftuzpqRuJ1umlBSp3FoMP9i0ZWPSZEOVAlS/kMxwrQhlbhsPABAKSU6wtyHHwF
Ha1Ry6hRqC5pad6WrU4j0F7S9m1q15xkc+z5+jqaU7RQS5kvSUMXjqDY5pykqTNuHAsVUGdm2a3W
1HWONCZDSoHEvawxKS6ob1rTZuMF1gmITM1Xb3xbTPT6m0XRD0OlgYmHPRgKAtfS0Z8r04rpMgfS
5I5aWd9EELwgxPdJ9L0Wjf2uIMDhWUjIgt0Ys9WA4wnJe9xoAoeGD7Nmus1kvbjh/Ny/SPOY6puK
Bzn2eoKQ0LSxZpteFAXlHoBgM6D3U2HfTKnaTKyRaMY2Zk6GzgaizaJ7iwxIgqapQrNIh2lzqUph
0K0X2NidLG+ARNsk4ep/uPn+UT/n/0+xg2DC+T/3ddyPIn9p0p/bOusP/NHWUYx1WIoFTWBBM/Br
Iib4o61jIXOwVKz6umxj3xQ/G7DNf5mGyp+pq0BF53/+3dYx9H/x61TbXvM1kEj8swnrVykMS5WF
+ELwSqpuClx6dJZ+Hq/CH4XNBSwS7WDDHlDb8OA79L1zXJe7n67JX2iXVm3Sf9sBf7yUpRg6ryLj
y0Xm+fWl0tgMVicwUVAa5yZeTiWPq01PkzkUpwgF53bEhPCQVGD3qniI9r9/+bWx9qfXN+lh4YEm
4JWr/vX1gYDNQR5iRol1LJfXOF4sQuNgjPt0ZJDlSXqC3FEDsHaeyS/9CFFTmHCiQuXO1DBshYkZ
XNOFawieyWbWa+KwkDNjYCcRJEjR/vvqkuTF1oTG+omZ3EwwDEWA0WqLy9pIqPWdZChpLERNXVDQ
l+xyuZqYnLrNTrkLO4LcnEavg1fCxYanAZLHA7kGxdkeWLS9sciih99fFBQtf3VV9FV5Zazfyq/+
8LmSiT8AsuqMsU2l3dP3eykGgwnJXBk5+wIBJE+cvZSXrBXg2hADxOOmKiFgs59o9TseM2LdKR3B
CEcZwWEtrYy3Fn+NSRu9ygME+glTqIx8mwTHQq+90aAzlC07V3cfdCpRe1GSZa9GH9WZLyFYnHZW
V5XPU28BEkFtPd8aoJoJWLKiiQmFkBLQqxZBhUk/AzwDEZB7qPvm8QoGR3Q1cJxSD60O1OhCgZGk
vgweud1zfCgoNJIJIU5uV6J3J6ESM5fiSJnRTqPNcaM8nkzHhiT/ImfgbjeFmGHttT3KozNnQlNy
21azvgcK6/4OwMlYeazjyuLHzWSaZJnaMdXG0nd36BnC8Foj6FKlfrKiFxP3odip5QowGJHxDY5o
TKr+ti2W2ku7NWyxQhmNGh7LKBtRE8upmxgxJT2tOmMN5Bj0nlMyLEadmnaSa7y1Y6qdBk6T5rEN
ghZxoi6y2xgqsOwBASwUVyVTi1rFAhG1i5XJVt/4wMI4gl8WMPHYleMbctbM8RyEkh34S2xVsR8j
eCKukrsC8AyuvmwfaBr45mBIW9Xr0H8Xl0Qhgh3SNs1bIPdjprHDKc1FFcVSulpmjrYzGm3B7D0Y
2uC1X/Qo9vVOw3LBlzSjjpdqsbIRbRLpMCFqM9av3AJIlSZN5ek9QRtSGkyxLxMaOvyNwvGvFiQQ
SmAutJU+YLBk/7z2taCY0kHuOyfERrkVEYezVrS0gojiW8BPdJgVB2YtA0GXGyvrg8/fP3xfFZY/
FkQbEaeMvk3owlw3hp9fv1OkMAZDPjhVEhZe15T6UW0Jy1L1XNmWip2cfv96yl+sgPbqx16xYOwe
xip7+0lLI0gD4dCj9wBk4Qt2OiLwZirIE2tK66WvJ2If1AWRBg4od65Rb2V1pb2WI4guf5ppVOYw
df0Fw99Rk5AFb/7m/a07wNcdQkfap9uGbK4jBm0lHvz0/tRctqe6JmSploLyurRnUEocSrxRTuGA
k19JGzacSLEZclyN5aQqjtbpxJTkUrdtOcr9zY71VXu0fkHs17IBDQR/volm9Ov7KaS2kBUNbiQM
XlplA0ZiGuUrp+ZvPvifF2GDGgFlL6JG3TKM9Yv76YMrVWrgFZ4BZJTjcG1knYT7Lhikj1xvzQ+U
2uCopsQQYLsa3OWbZY7ZrXURAWdW+hGneNrM43NtLMwLe9qRMm1inVODRD+HaWDOAf73b/nP9y6N
acZBEDq5MNQhX98xcmHDHJCikya8VK+KVrbbYApyPyYd/C6GMrn9/ev9iWMi65jchQooUJUtHplf
HlbCqKAiSMiRYdjpjzApbea5jRhXEyTQUoHDN9rmjHjI8UzTx3FsNHhiEEn937+Rr/cEpQvFC6pT
aDmKATvn14c2ghqhVApmHt2SxpsMXetGHtL5/vev8ovs7Y+XUajBmfUJAAr2L7ce4eRsjGlUO1I5
2bczyF7aW3UubuM+m996vQr8rm2Wh7nVpSP23FDDWVowH6eISVM/ErDWPP4+ugU/nd3+/t19XTjX
N8eskcpRV1XLopj6ZR2prERt9YA314zkPdeGJXkTGtYtyYYPYZ8mnkWGnxvU5KbAfGzv/vmrc6a0
ZEMIWZi/ziFjvK50M4kXM0GehV6XlUxq0liidRKFrbtMpXRmdkgcugKp2WsIL/z++3fw9XH94/PT
+pe59Vm36ZD/cvObckSNxz0w4ABenA6z0YhPsQapWNHgDpIMWNfcDt7vX1b5uj6ur2sASaL2N1gk
6QH+smFgVBU4KyDPEi1dxowXAZNnYU1lNGhheqZUMz2pJXbVyEVCe3CKkObGBu5ZGvDZUvlg56LJ
/f27+roS/HhTJpsX+6iNKBs1/deLwT0ia4RO9Q6wBpCUetjtexnql57htiTb3Hr6/eutd/5/bxI/
Xo9wdEDuP8r4HwPvn9dKbVqw0KdsYkqh2W4K68xLFZoDUmN1dznncA+M9QzbEB3d71/5z48+S9C/
Xxlcy9dPCjuxyCzm2U6dUCmGRpB6AZb+v1lZf9ml//iAnJJY5Gyuq/FjJfxpMyC5R2RG3QxOVkX5
LkQ2ddYanON1rxT3uPWadat77VvF9PW8lTZox0OIGqF81mfFPrR5me6TRi8wVBvW3zx7yIL/fPkV
ZVUVyAKFvmz9cg8S6aS2sy1qBE/jdViTaxxLE+KnQs76DdU35GnAqZCEuzW7/Mroc49UeNKBpK0V
pVPqwNtMMcWbRgMnD13DBhsi25uGg7HGsdyJtxziIfOTCHCtW4WJhj8xVaJnLFp24gGlnLZVUGVb
bvyFKBr7KQnl8GSyZQReKlmApHs5Nq+jjH0UgkXWfxpwK551aaKhU5B4h87MqMCW563cECM9VfMb
mU515HWjpe7pHeU053IyFmmqE4TYFGjhPcsiak2vR/kiVYqFcjISA74xUNTE+RKlSuiUrQymC6Uh
vqjSCJm6rRR1T5vZbveUzMj0Vfhc60i8Mu5wkY8IKEcSODeNHqihU8zzQPCjCUqAuj3XcK0SR9Ee
5nnq/DwulcylerY+LYwJaFAnUaPC7+1xU3Num9ywTYm3M7q6+VCxEeaOZuTG4laZFB+YpFBMh0Q+
udnQd/eToZXPWRC3H1ao1diKjRzijNE2yUekcALYc2/qDKbamaD4uZnGV6q2uNksFET3sg5DyxdM
c8DNMqS3NokcpKGfWGqA9qJU5kvRZ8oHWNrp1VKi6Iqz8aDd25GIn2ITm6Svx61+7iWFiVdTqvQo
Y3xsI7Uo4gonl3qImkGXkzKvTnKXesIEnIqUjzVsA8qAd8bOUFtXWaXFzxGmnStzpLFAgMJMf5Z4
b+CSHRjU2gXpAvNMmCQH4h6m56sUMw46UEz7oskQz+KVRwYwcpZ7n/t0edQDFlXsu0awp9mnMHnD
VKc4aTUPRCQZks2XmLXJo4W25CUZOpxiDKjkbyq16TtHibl2e5Dln4Lo1ecoxVeLXHlSpv2czYZG
uEuBWFNK628l44QbVDL2jZSBcMf/rCUHmMJhhUKWCw8JcbQn+gcL+sJhKckWoOdoMiPozTcFmDXN
1Zwp5EYtde1gpJYISF1S17CMUusbT62McDiCGeKIKImWPMEWnBU+y2RERtrh067cBP7uhfwWWDCz
EZecQNNp2icQGQ3UtJLGZ+ktOT5oIm1SNx5S1IYk3eu4DIOI86kiyvpF5GnXOoYZoP6gNQBReqKZ
rTjgHutPPZuiF6vEDeIY0wKCY46J9MEJ0uNsDAf6UVzOHkZ6SgoT+udG6JlTp6m0H2aV6WEaZUSc
d+z4rwHm/WljLrWoDnx88pVhg4TKNo1mSrAesh9tmQr3jNvBUaXJv2gc4lERkeey1StIERtK8Epe
NSV66/aBjAcTQwzi0lRqQ+yOKhn2mBlL9ZmT+5g4VhxoVynPIMNiuRP5ThUDU96mS0TlrdlfqqsT
PnJv96B8GZyk9lXJF2W5HKhlcNM85hVfY9ydaqlMWzcUULxx/Ov4FogJUJ/D2EJnBB+0qjlUJeJx
JOlocEXX0zPKYFQ/w9tAWmlKVi/tyZ03v1dlJ4Gsmtv8HQtmfYMZk6lfL82IWqVYsvni56A4Nrgm
8BaEFc1x0cTMaSy0RBuiKu1vqqRZnxhdg+fcKBa0eVm/XtdpfQA1u73HTKryvqHfr2lmJN5tjDhk
r2lNS/qmGCGFV6cRfokS0dBIlUe+5bMhGh18UkU9d6FOUqtYuDTA4DNGNGBY6CZUJDbaBronIoKs
lmwGTnr4M9N+vKsYzSL/GZR29vQ5wfIEMa3hBlmG/BTHikEmt9XRyk7sUj4iEViuQexndzICjnlT
ZVAGyDFqEItORNCXBPDAznR61HITw/qKGWhXDNgTJqFcYcvVpjUtK9wpy3rnF9TO74aiI6ue0kk+
xNwRtptnjaKfFeJfM4YYOZpWk+OY5FuYLR+yNsNMEabtciONavFB6GnyxG/QP1spQL6RTHXxzcqb
EVr7ksbMdoMY5UeoMcpyZ0snPoBJEZOlSNZiWE9NfKvEtliOwjbAeWuqBhNDrbrAKWtodYiXbXE7
BfX8SOohqAvO99PTkIH5OqC36+ud3gIo9owBxJdjdXQA3Laas2w3KfhsXSBpZc9kflw+WUOVKzsJ
OMrXrTXC+Rigg7tLAuJj01cyyUzjZFJagTxgOCaXYKv9EZURSjgjBH9z6Vlpx1MUifY6A+ommGKV
CKHXkBWmKM1Uo30tqvw7YC0T6RnuaDQVTZnarAhKo8/buA5z7awQpIR/GBKUQTyMjjhVU5n9OXME
LcLBCRYAMJR76Dw6kAnWDUzoB54cocHzEMNNWhr4B9JYPILSlG6XUlm6/ZLl5J9PLXtipEbymufa
9/0WPKOXjaV0YtBY4bcJ0hqfdXMbB4LtgkBKYNB1e87tov3Is6x6UurxuhkY/VHdHIDRMgf7fSG5
4lN/qWEFokxNVhiqKqvD8WslmZU8nnGDstZQUzIMCzDtoUOIPSZtchzSN5AIvXDUJFkuOO+YvMKB
oUQgA5exObfUSLtWsGJu0l63ePtm1H9vqgx/fVdLesFAW44Lck1m0pVo2WT939T8f3ES4Si+vnXa
vatm9ZfTeD0hW8om0qxJLcSCaGmkXc45ksy+Urp32azv9NhgKB8pabOnuySTgaBP97E20TYe5EKb
/u6Srna0X68pZlHaBMza1bWK/npN0UpBzkuZ1tk2q/JhkJnp7aax1F7QZ9CCtavYRhWokpxDqibx
jbAta8tRxjh5xJpIes0I+uLGLkqZQDH4N8r6IAtrQ3Mmti6tpkQfhiqi3LWzjsmdHVnNzFlPHSCT
2cVM4Yse7B1JGuldQTTqhQOlluch1KrstW7Aex+Wwq4JHkakuusRsbFJKBJjwgG6xx0yWUJsRqym
94AZoxf855NG8HKvfdKulb/BNNHjTWrXPd4aZsIERhG3O7ntaI7pWoWQxRKM3HE7EhEQfQlYFA9Z
PJFzFAVa8y1ilHSnKSm6kbwA8UKTOi62pBBBHdG6jrAm0A25dNTKBFmoEfaA/4VI4ULAGP+M26QW
K/4fo8VIUWHAgtLJEWrJiSY/la3JGprlBTJ9AqqrbKBjma0tS24RGqCU8lHCMGNlhFYRrxjja6IA
QmBV5MATcrkMvCzs66febgiu7g2z0py8oznrFK2dfQ8J12MtgawHWsAYlK1ltuknQpVA32X9oPsd
5SNL0aJV0UbjtSsnTlIoKWCHuou90ALZ0CDKUCpKRCzVclW1zE6JNdpwoK3OVKqGgqxJSiU8QRGA
p98/738+Iguh41+EiUA7kWPy11uzCRWrl9tgwEqPqkz5kSmWaOwFBcL7qkC69vvX+9rnXe99uhK0
UVWmijj4f8x8fjpBkqkiw02wWJbVwjjaJB8+wTZCcgk8Kfyb1/rzUmYwUeM1aFuq5p96tn0pEYIX
ABhJFcQKfNKJTsgS0hQxpSPN7cJTOwJb0iSRr0QBZ+X3H/XPl5ZzOGNVWg8MS3VtXRV++qjKrBKh
TJsT46Q9X8EZrbbS3Ohkrvak24g4+ZuW8F8cfzXaHazd5irTN39ZZappsca0pbxADIASuSI6r1AA
vFkULA8oBnB70ge5+f2HVNbl9JeeB2uooBsIwc/4P+ydx3Lc2pqlX6WjxoUKeDPoSSINPSlKFElN
EKIMPLAN/NP3B52KbjHJYsaZ9+BG3Ht0dZAANrb5/7W+BRfn9V3SIFIDChqNqDAXV1U0GY+FNoeL
mSb+ZlKcUMaEiAYj6xP6p6AgIgOnUxYJ9Q89/X8kV79z+2usFJAeWlURs+3rH2IQW0o9AkGObkmt
0nXn76JxHBD5epiKMnSkqDvN849v33lnjDGc7T8VJnRmx42a0h2CKmgGHTuVHn42jAYXohLsue2Y
g1vcdwZhLiTCorI7NP6E9zGJsvl71tkQkCW7QcxcApoPqVdLupeWR6REUvX9dWSjx1qBExxQ3DEc
u30pLOPZdDRbZPgsX5ZZwLnPCpfojHLelW3kXEfe0FqEFBHXs6lR9vmxp4cWXXgTTmJDgEOF2Ar2
LaxWoaZYyznxtyndRH0gWELTmjMNpMvY+JMdYr7EOfFFvlOmChwwGnQkcYXQT3j9jmgeBLWlyLmr
69r+TZwbtWFHI8s6cZ13CnFwOpAwUAs2ISYcVYIMrtwVIunjvLMI6mBjy5HCwuHRt+2nxOWEGbOj
h+Vhq/HUPb797IGWrtT6FUIPLORo/7Gkke35E/pN386sQ+RNI0o6IF0iWuMKi+hfw1AoeKDHcKl3
QyhxjztB5qDaxVV1FydptNywokvSHQC43nZ8/DlJSnNunHi8b18jTcGIJ+zQDvN9+2jRCPqWfy66
dacHDinrQiQKjGcUwR9/XW8/Lmo5YDMAH636jz971b9n0L7VWrlM4MGMVphvvtgTf9UwlSvjqa+p
eHjsyc8pVg47pzaKu48v/85a5cHY4/489mEcEV+PVhMN4GIOqDKGqQv3fU8AmdWLKa5Ns336+FLv
DBqPQjVdFRYs+0391iTquWKG5k6DZf6c9SnsNpiCpAFHHH+8rNRf//0FQzqt3BytK1Q7r++NL9E0
VGuhQSSTZo/oqz5LKCR8kYFPyoo/FieuZ6+rz+t1glxE36ZHRc+I7+/ok2yb2de+yZhRNecrzDUA
qjdMA/Cp7TA4WNqK4IGN/fxF+N6awgR2DE9HgW3XCySRt34JfnIfVX5/Aw3OJ8+3SDGhIHnv74vO
8NBs4vElGa6FyLYdU22danK8MxyR2zL0mSnAwhwP+7rPtDU71JiQq84Xqp/K2xqhMaBIDxNv4KXp
xTQaDg6nAquLPWHy/filvV3imNRcFDHeWuun5fL6paWU1vrGTRglOsliFdbOYTJn8btLsC04XTpt
fBOJxscXfedjZya1TRIowHLbx3M2qOS51wqmxURs1WahnXXhZMVy/e+vggKLzi3f+tpgOLq1FpUR
mUBdjAlpAUKB0BvZiPgHefQ/7hGsd05iAUyfgM4lgSOhffRJ810F1FfI7qWS8Y36MjRJLamMc+w4
z0VH6A9po3cUhamiw9vfFXlm3wxNTS6wCVqRwmClzBNv9U3/mD1xaPl8/Rzu0Dp59ut7HxYVybyc
iHhLjeQWsqY4C+ei/dpZYgbIYI7+LhRJDWSnyItnBkGz8Wx8YB+/gfcOziETwrqZMdHYBEeLc9Ol
KNaHmlNqL11AFfRYH3RZIyGGuBvA815ZaGbgEsVjtnCkQwXy967KM+sH+2gYrW0ZhqfQW+8MeZQO
NLRpK8L7jo6ejR50WMO6RRdiJN8byNPnDlLRC3OYll2Uc0ocEUKceBJvdw+rAIUGErU8Wnnu0cY9
rIywmsirgL264AtK0mpruWW0oU4s4SoSKLgUg3mVDYP+8fE7eOduMdKyrjps4/kFR7NyOjEpFxHJ
0WNbmncZPddbw8bdkVJSOZuB0r5wTG2/f3xR++1Vw8AJLO4UYhJ8nKNvr83rdK2X8e35LeRIw+vt
7oaNDYGkmgUWzH3ZQXjNZEQbJ2Fz2O8Kk2C1K2k33SN5aQVnZuFmTTxjD1XktpKogairryZs3M1Y
UNoU1g1atPlTX4bur6zzmL8cK6FAk3oT5kTp1sZmZsvrH7Ixt7G6pXq+BrKvTyy0b9d0ZA+s6kCA
HL7141KMUVWhaEPqiEZPGppyy4poOkCDUZK35x8/1zeX+nP0hIQHSAwp7Cqh/fv8VyYFgNo2RHtu
d18WCSouUWT7iizz/u2AZRnnaL32s+mjEKXz+kp5WM+1NVLyorqfb0cLAC8+kgaqsCW2E6w/EPJC
3zt2o/cf3+NbMQiDNbRWiRixRC6/4fWlk8JxvAR7FW6qyoTVDhTHmamNg7Noz5Z58e+qBlmgsdDg
o6ni3GhMtJ+sDA1436UBidRS3+h2nT4+/mVvli2fX0YdfU0wQZHsHw1qM6qdlltfYlI9k+ss7P1L
pOjOxcdXAVPGDb7a17DFRye9CpUDegHu+nH9tUf1yt6uZWuDDcHlGe5zKzKyGJBxBV2apu0TSv72
yZy8VarlTQqRIhEHNFCdNh05mGBP2Yw0Lys8iZRpNoS9qm/RVIYvLX4ha5c1YxNiN12SZjeWpvnZ
MORwW4e6kwSxmQXUmmKWeKVtYhIpIZogTC1p+Nm5O0obZnubdqtJmaYQeszFyXaTrqXaW0MfXkeF
TBpKtFS8N2aZUVyc3dzsNySBcjotF1AqAWnnz9qy0ILatULj5AZ1r7BTzcuvXvakdLRZlZmXKuux
+aSypDY/ql4PnHNNU5+PpT9gkoyqYj4XkYFXt2KuN7CS4IA7A2Mvg/s6nFWyXVIGxG8yP7yHSE7D
Ty9sl+Ysq2uSFpi/BOJDpTAWMv8IZ8/JleaZQqhMYN4wdC/Ecdjf6CrhDRuMtGZv2U/U6Ak+lHdd
TWA6vP06QQEdGOkvL0jntQgtc5oHvnR/5NK1W2xpsn8u28T9TRvavlwmGwkpJE8R7fw2apq4nqvm
mmaQVVwsRYnJw0eRha7HSbvPNAFJszY55lEenytoWQOql35j+nPloB3VHI+C3GfjOo0O2craFepz
46XKPOC/IDkFlh7a1rFrlq+NaMyHtnMBekcwLiEdMxiIgPDXSirSU5lsez2K29Sdxh9ES05wpyI1
f+uWZM2tl6J+AODre7usXKEHmV86+Lw408HTiGwT6PgwEko/IvvNzsg5K4HB22lzZiJLUmdUD8Jq
X0ph4S0rVttrYEwRUgeZrb6TcsZ1iKLF/k1YsNJxAou454zEFEe4gBESomxaakOsIAaxaLRbggds
+NNkFNP8rOtyTHEFNWvroG4NcS47IdIdsrZxRj3Uk2VBDo6JRyRJA+eQVeP0Iuj8Qu2yk2hv9j52
7X5WsrhqDR++U5G76kkxy921fkY6AjkDPcRtp3ksMml/6enZt3BzJkxRPXmcZInaKrqPajv7UkRT
RMYz9dgXfP3iRS/gsalJR/5TzWYNq7i0FtT0KE5R8cBjjTYylB5cbNqPsJx0Ah3dogSM/NSwH0Be
iJ1Si/zBCaA/r0vHwZlW4/DbZqR9/qC6ilNZD7LbN+5C7bnzXB7MoIkiJJE0CCVpDA21G3c2AEY1
lBYRqodopLHk8UluslpGP73Wl0/VssZrdpkDg4kYLXFpERf8ax4HCMmJnw180KSkYD3vQwl2KW8I
mqUOLIytg06q2XahN5h7TXRxflmx+7xh/4+jWRmtjfE68lL7xBr1dj5ei782qlUfiU5wHKeVd2RT
5iDsY4xpw+oxxUlhiOXUevRm70bdBW9KROllTVc6no67BHEVHUwaxv1IC1UxXGBY4qzLEiMEGDPp
Oxss/aVwxXyoslY+Iz5gzMCqJ152lYottjybZmQ0ID2KA13lZ2LYjYeW16BOrFHvrZ5BYBMbFBEx
iLb2aL8HVlYPdHoJl8ncoNmn0LkfGj+keVHQcrukCVgsm8CfpnsmnuRe0mo+b2SZfxqbtOwvVzWU
D67PUo+0RIr+xM97ZwPDKRdyCL8O2OIKYPx7aWMPCqQ7KIBX1IXz0q3ID3Jh9HPbZie2oG+PQLw2
NryImUOOgDQgX18KRUVbkV4PS4jWL/FfKPnZdYbFL8oi/m0/RfLQ9nMY0zlKr7N8ai8Hur0nTodv
l/KA+hmliXUrY9ECff0jcDo6LJq0PilOGodxTuxNKKdnx+vcm6EX1u7jvcO7l6MVQmPCYsQe3/M0
UIYMA4qhQzY4N6lZ1y+Tu5Qkwq6epyhPTn0bb0owPGQaL37EMQ9mzrEcMh8q9NITBSwfOswZOl3x
pbXIVK2I0d0yw3dnSZQEZyNpQ/ea1tROoLs/VcN476454rJdssHwU1N4/ZDbMJ1HwCFYrRI1PDtq
Cb57RfELMbj3ZC+J9fjxQ347hrlntmUUbFx7zdB8fbnQqsqgZCcY027S51UTGKjqyBcMQGecuNI7
l7IscNSIPzm/2cH653/tBJNoNjKX/mtMfyuHfoWOZdr0yvWfR9j9Pfnjg36m7lClB7fwqNKCy82v
QO+zsvNhu/dkWoCGMwr7c2ekCIRwoSz9YfCEBSHcSoBt5N4Nlqjkk0nTvd5Ic6oqonBg67PBFuYL
4eouVk+Eh4eKUttDI6Lse2LC+9kStGBejkQBXS/5EGZ7mxgbtFVdUd+FSQF1xMefCpjMgso/eVEF
V61y0nAnVdF8nwMowLvacMSLp9nf0ncdXc5rLmKZziAyGaBHDeBvNI3MOwROOvym9jzOG1sTzRt3
Y6TS6wExDxjIOkMVQDx5ZW0pntXiRM32neFlMbJ8zrM2r+H4PELTofM9R3IUmqrnuvbtK0KLgq0x
jOixkHk0J+bId67HZEFJkxMe7ac//aG/XjrhWvmCQImdS2Thtp/dxECdFUD3N5jStlPmmqfmynfG
GZ5gUmm5QTjVq53z9TjLPcPiG0KEuyw3EyvZJhVOe4NcRn9vuwyJfautbeBb855imEJ0jPY8KP0n
EZkziWNGuBsK09kWRl2o3YmvgIu/Pg7hWGKFhwXGMZsEw9c/zpBjGDUuxyFpTfmjk0WwIbshoHbl
+8uJA/abugUnr9Dko0brQYP12IjQgRXMDCfgWlEBWElKeSX6xbxEdCr5n212SJBbn7hB+703zhEb
xsNarw/Coxmlb4ssNzzucCD2b4hJqPeTywaGg7sXrj0AyNNJmu8DkhoeM2lgpowSATAPNgb514S5
z1d8i6xvc0ElC9hLXf4QYQKQckKn/4hOq/vsUXxbYqVdSR5BLcNb/p1usKMi1+8GryjlQYii/Y1S
mO5gbwxdeGK39rYYyInetq0QE5jrO7zK1+9x4JOdEkp7cej36mtOKQp0lFsPG2E10S5NFIAb1zHi
dEC+llU45tEqwpJKJl9fKRmps4/H1TvbR35PCCmOwzZc56NjtrJEEqGlRqrViBLSYUhnZkPTKD1x
oMeifDyA/yDksDgzeaAxP/q6FG7USGjSeMx0zs96y2y73Yxk9hNhKPj0oQexgI4AWr6Dl/C6rcVi
ChelrwG4TagYNlUCCTVXiYe/vfXre5NNRXAhXfbdnMa1JeM+mKdPlIymx7wyTDhaYMoJLIRJk6O6
ykCIJLQXL8u0XFxyM/32J0de61dpTwGncNNr7jH0FlfBHGV3ZYWoeOMbnU72oWki2S7GRD5ai0C8
VQaI2WK0RD78Wlkt+xm+DJ+GXXinWoJ/KuevPnykfTQhWdfpYbl4x18PmLQLoFnkwovRNVstGZy4
ZAHROSO6mGVAfhhYj1Tl7Hsi1yNA1GKa6gtRh+7X3EscsBBuk35KACW4+4T+Wn9lJFP9vZnxRm9F
GVChiPj1/S7QkBA+B+TPBDvW0lz940T8/6CA//DZVP/PoIBz9es4qn39C/8Xxr6epThRURn3ETu4
LEr/kAIMy/wvn54eRwScXzQw1mn4vwmQHqB2qq0Us9f9F2Yx/tZ/EyA967/oVq8G/7VVzt//V6kI
r+dkj+3s2pC26RLTLqZLwE/4e0m0AOlo+vnAUG372be8ZR+J1t4VS20cvCaot389mbt/RvX/avr6
riUcTf/v/zhypv9zPX75atZHP8Zm+vX1SjtcpibjesRXwaAGzFPHwk7tPcmeYKaBexzQ1KEzczyF
YbitnggbMlgJ3fZcEFJ10Y3T/eSJ8iKveqi2vV3ukKk2xYndCc/3r9X4z+8kJYJXRjuDw+BxbnwU
tcvSFKQX5YH6Jtsxu8gcGUFAkfLEvPn2DXBM5Gi/hn3jR/2zav61D7J6bZmLZjUaokwexmnyDzbW
ejYaYfstmJBqf/wKXq/9650FtKhWUQCji8bh0RuHIphTjmxVbJdUbOaCmZLSSR4T5Dpf92OjSFsy
whPv/Z2bpKbP1SyLbgllhtevvSqqGn11ruLGCYwYaMJqigcNpPpZnjmt8fvje1xJGkevj7HlcCH6
zRzXjs9KuChJ/clLDJ1LgxVF55gYka0iDW6pJz4VnPXYi/cWOLFAWNE2WZT/WVah9zMwW2wYoyPY
GKWzspodVsR2hTCakC25h2UiODI3HnRkqR/Z2JjfZO410BPsJfxc1K0lzz6+mfeeHQPEoQq0WryP
e9cqh3FKwLOMp8EMrxqlykOtJ7D3adnumt4+5Yh7O/SpALGmrgNkzWI5+kS9ohV4IWmCeGYuL8nK
Ds7tqjB3SsIh+PjWXu9N1rFIBhObULa9Jv9x1j//a+xHVjWFWNsEMunC2XDUL85ohDYnrnKktOMy
TLG0d9jkrW5s1HavL0MnzrArxWVw5027QkQFKvUkfJkGx0L+hQnKg0ewbTJv2XlVC7xbkFKH0Mz/
V0q7Pz+ErSGNeho/4Uotef1D0sBXkDtrEZP77WxC8jVjQbX3spoUHUMyxrZOGlknNvvrB/3/9hf/
XJRmDgTi9XCND//1RYNR4dWgPBk3lVPEDl//JpGGHbsdgCENVfcwmFAnqxzw9Mev970Hj/CBSdTj
uIS79+h+EcU6nsFRFdC1E2zw8kUg97M1pbK2r5TBpnRE63pT+Mq+7Ad0z2ERAHdP7FN+1jeTHqI5
xpjJTO7YFifO18/A6hPUhG0h4rLOcV3l7VWNQGGTaZ3FaRoZF4sZntp4v33uq4qNvhZzu8nifrSv
8xtOYI3EkgiCWBzmwZbEXJsexj2CJZIA9xcmKprDQ9qceOPvPPc1VoXV3OO+EQ4dDfgORKUcM5LR
Wj8o4qhW4rLr8XI7TZp/hT1VbtH74KozymyX+wpKWg+gq1d2evh4BLyZS0J+CH0R5LW0cWn2vX7u
RKiXtappLayFjI1qRpI5cTfFxUiZ+ONLvZlLuBSp8DRx/0SpHRcFq1EOducFbVw2QFwk7K8dwpxT
h9i3V2EUrWAl2BFsv6KjG0LDn7kUaBr05qY62Hmd30/gTrYf38vbx+YzY63kCIRmlnm8K+uscQKA
oJsYhHXIcbkuD5lbwlEZGnv38aXefhmsKV5EIYBuPd7koy8jKeSQ9Q6XMkhv73ejcI19l4fElRRY
gKIFOHhc4UM9oVp6+3GwoK3echLHmAvDddH7a+bPpcJ2auON0IFR7ueVPjJVSXM1WCOn/A6/Zt32
kJ27U7MhUCj+1a/mQ6AsJjqd1eXCXujPx/PXpRfP7xxZEQ3NyUoTmlNQBAzp+N6RJICXC8l7Tsnc
7Fes75Se+/hhnwa6mJetTAEAmm7tFDfuHGKjLZaigZMbNmKIbcPPUamm/gzy2WfTIfGP/HLAKj7J
3oVMnLppdp3pOtU0+2xXH0SmSpiamKF3araar3x/HS4nDyASiNEwrAC8et41DaxW7wJk9hfCUemn
Iono3enAxw3khhlIXSynKKzCuS3up34Rt0IP5ndJSCe7EqtS1BsjlU8bwFzRfbd4jCHMc/Oyw5JN
s2wwJ9wik9vJrxG7erWDZE3fzGrzYS9ZTzgkK/B8dFIT6Z25vTAI7Ji8r+zYsT+zlaKnJhZ9V/ba
a2MZ5AFQVNP9BGBzBLqJ6+ZMs8+AtzjVFS0QKEObMDcljWcVPrgqCohky1J0344zGaivE1CqU486
cTuOifljdKT97GI2qe6kna3G8VlP9MpbSKhAbyYa7HWytMCZoSkyp/vKBI5NJR/brOVZEHLxY8ud
JTIywRsxZtdBE9gPCqwACPR8oNraRpVFBaFxkIPP84jrba48MPB2gchgGcoMEVeVhlQ1BmEE29wr
c7VzC8q/m0gH/cNoCw4H2ZSRMtF3ufusIb/giRLmDBBfi8HbQY5Q32qE20TSpK3m+DJhfM8GqJ97
6iGUInLbYjVaMiluBFhGnoQNdzNmJidmPG0Wl6Q6PD3jvoBImtPdDNIKS7BD79yw/Bx2ObvVr9Am
iewNi6Kotz6sUvCP2KX4767ZPEZCLONWRYoMUXBTkMGmFK+3Qww1AdyU+6+6GncdSd/F9AiUwo3I
OsGchDLFHJ9hizKKFBnl3wOBnWcDalveZZ6efcI1OgHZtQ8xqe5dVy43c0ZDc2d2FE238GSrQ9b7
oD+zvh6WGNP7JLbIFsheakG93glPBvgCc23RZYzSfFcOHfKFJMnmdNdn+Xidj1X5Gy6NTGPHGqrH
yvfGO38x+5qNMcRhYN1lemMjminjmRENv5F8W0JDFnu8xTxlPSymQRkEZ7E4z2oHDFiqkWzUVOyG
fUQxqtiOXeC/EMLb3IR0Iirck43lbSBAM2RTtBkaT3WT/wyG3oJiK2WT7xwl7TuLhGyiPMLKT3dh
RfDvNgMUjJGKLth5ny4Q5SC9es0uL0JsAjB5TUiYALniriNIdrvMo/V7LrPcxK47QIXrAMJE2yVY
1qDU0vGRFnqWQXZmaDVbEMZpvZ0ac0EhleUeAdVDw7eeAX+88r0SYPnQN70mX8iHZNHVFb5uwt+N
blvPnYnfmzTcdNcYlTdudCfml8LxUPMrQ+Z3nbEy2DtEEt0m1zVMWz9s/Scbq5cCjlepZttAuyOQ
WEqXzF/a6r3V82MTirtfGvDEn+qRA8RhEH6axaOozwR68Pv1q3YP/txIP2Z+Gp4NV0SPeuFT2lgp
JIRN7xvpEOMzRQk1izr6FdHbWTgimuMl3kQvBR0+24CQM4n1axxtSgc6TdvPedcPazxA2xoMVFtf
UdojH9HoTbJqZl/5n3QzMif4U1PiKdJZ+0AAxZoWZpreT69bum8dJ2JC5gbtdecJH/bWSk3EZp0z
cFboqDo6cQGr6N5v8kbEaddMWGiHorE3VQibNh7HyRzOMy2T29LNQWAPokCr7QWZSYSTt07SFqG7
hwxnSIejOXUebZpdX8QM2/7gzXb/jbahrM6dbpTlzhoN92nOWtsH3V57alfbFvRwlJXyupsVHL9m
0eWvLMiia75H8S0b5vaHD8FnhPjQol4SFmV0VE31cEm71JgvOYtlt2ZIuvbOpBRrw0NIvZ9gv1QR
54awv/WlypCX6EjcFp10kD40q9THoox1bfWYvkDf1oQMD76nHXwF7hT+5nWOzf3YlR5kIPAn3bas
IRMzqFL7Z4H8ExgD42YLiyJ40IZRfVuywFy25EUCDZmqsTcvWmpgEPu7teHR1cX4xAmwJAs9WLzb
pVGQPxoR1O1ZMuRwRXLYQxW+MAduO7Xy6UqU4VgD3E+8H0MY4VNMZj4GYs59rPy5sEkPGsOJ83lN
lntwHtYtjdmlMFCzoAA3zuXQzhh35ES8gbRa2ISZMNDUJcXSXBX+qM0dRTLc9jIAM78ZgiVbNlo2
hnGw3ba8lSVo9q3Ej29QZ02Sh5nqi44niM1EmXlO9cjS1TH/jp7YCQohOJhFsrwAAtfZjhE6f657
k/ShqQa2vpmtQaQkKbfQ7GULloNJsooUf+q3eErrUiIv62r4enMT5Odw3X10DnUZvIRBUjqsBKMg
T8gdmdytTC1ERQjbvkLfY6tYV+stUBlRX6VLl2ebV0FJWnKWoEuKjJmPMqUjsul0uzw5/iL4nlyA
iahqAud3PSQ1FPVMYKjETgtGsjeq5hnPklHEZdWGP6wozbIrnKri22D1skaZNrv3LtxEAv9yp8D3
b2KespPB+hHIwPzlg87YBibbKEQ3Q/I7HYAxbkoeVbn31dLeKdPmXeAQFN52rMvkKg9756ezjN2u
Akf4rYYXcUuqMBkHS+mou6o07GvoWoViwaueA9+Y7sLcQGDr5QmR4DnskV00NOWeBh6LjOlke1oU
7XnekicVBS2aDek0IIbT1uh/tSJfnj0vc78YrTte2gGyNyqlWmW7hmzj51HDSI9lVvfbOkHDdO06
javPisUbH8fF4rzJgzOvW9oPc2wVYY/DXyzfpz7S1nkml/ILKjybedVmuaEJXM3QrKtOXkkvABTh
JdQsIon21JYrLK9rShK50oHd7gbzLB+WWYL6ViLAad72VKC24fr/iVl6599JjxpjU1uOgLA3SPiY
XTFYn5d2TpytrOflEfQUNB49efNNASaZpDNwMykAG4Fmu+imSN1P7kja2JC0wRc5ioGErEn7+BOD
zCMoRFupjvZFk0C+pjKWfO9tR/3Uoy6/ECNqCiSLvS02ZtHqhzpbyzuJVt4Tgzb4ksG8umCdgzgI
9GQytkTb4GlhUyijrWvmfrCRVZvLbTCGpFOYtuyyfVIIkewKiHAeXm0U9BcmgUTnUptTfjAKA/SC
Xdn2E+wMFkS/hq8SS1gBJBGCY74CIOCsfpPSfqFMIAAomCqPduTmFi+SCHXkaWoGV4MAENdjXsv8
0p3RCuywnUf3JsLACC6DTRYizST9uUv4i/jEs/HBgvWB/XuAbKLdon6eW8++X7u8P0Vtzl+soJuR
8ZKIMwFVyom946UtM0cQM3kGsQUqm4WgkhunMuz0LI9GqNF5iya5CmogHzDfnFuZaRdHM6oDkIEj
qTzbcEjHh7xZSflTNrNb64qeOEabjYCMWy8y7hREx9UnbTfnQ5syJTmGUf50S5NtH+Bw8Wm2EnIa
K+iYF9DsZ3MT9AMRZ+wI8ugwBQVxGENNY4woDzckXSQSy11BfE/F7iAQPwFKsVy3lp3kMeyhBXRH
OljnYer7Z35b6QOCXBtM0dyU8WDN/llLIYI30/fDHTE17NGBiArKspN2y61p6/nW8MeB0Cmbsswn
bC+4EJMlG2tWksX6RbgU3ZXMUNgsQAvCgkoltfOpTmrSNVxsvFtvbLPxrC3Haadd2PY7v6poOAQ9
ElWlgtmJzcFcaURMpr+IayJt0e0tMjnIRm+2YVDnxq6trdzf+0OfBdu0SehUEMgyq7izy4axpJIW
V3xZETKVlByQLQU+L7ZydF8x+lWC+KQunX0wTBPzgJ+jTg7MaY4NS00lxea1EAfh3/xEYtbsIW6V
rRMvYU8bo5q72d2OUnbXgTMTyZJGimW0RBdcOqz37M35fxOE5Y0JdTRn+OWnrgOQoIaUwM645hVO
alFnxUq52fP1dmzTRCUvBn+YvhRk5VyR7VU6G4Sp5XlprfGOA0Dpc9kMjLekEu59P0zjRURj5HGw
TIguPV8mIOlOTt8Sm2gim9oWeBvJdpAOgrD32pOd4hTHSr0Thjt9SgKU08huy+ALbX6DPLwWOjsV
r35JkFWMHIM8JJl+bLAtgHpQDNO9OzdMbFByrbu0XbxfndWxw5dJVmyUU9e/I6fTPzD4h9NNoRfx
DIK4X3MxgK4fnARFLWiVVtSfel07Tz3i34Dgpwy5TYjCpIlzFYFIyUzNh5PCISl3GUtutm3ALEhi
SMXyqDvlTpfg12lI6WJybqDDeVVMiAITcRUY8mxRM0e6iVHvb3QVuMlOs+UlGCUnSmwMlV3G0bQU
08aYZvXVmO1ozawwrVvYMySugHMZtlWvCyBepvYu6Pn5LkyQIePGmyi7ijQ0l23W+kh9+deVbE2s
tvlSepkfbutuKn/Iyoqup6LprsApk/klpfKXmNpm9Ywqefo0ponxi2WBmM9sNE3j3BlK4mvGekCn
3bJxvV7SdUoZk2K0dmyTImDFeEtI5pEiPNgy0M9R0FT6DMl0ft45evpJOIIzHxCbE1ah11iLLV1y
6gqR46Uvbu+YvLAWlbfP5ghmpQzBvQ6VNZY75PM8UIk3jPPyakZ0y45gHn4TdCYWxMjcUj00SB2D
j3iWgckm9MNzy+8LH7G3nY2+vqqMlKdNuEh+g/jK/V2o2f2lc1tdohcKhjP2bhzmJoR/X+0l8B6w
aTNd+ITeJHhGmuIWCegSxby4SseNbDKipfIWbT0U7N+uM7XL1tGCL2Kho+JsgF65xgGMg0s92ia9
bztoZV5QrPBCQFwp8TTgwNhFThgIzls5gfVPNRTG/VCQwkP6O+CcA4ssXOUOKS3AlAUgOdkxyric
UH5zh7jPmYbygYMz2S75wm5O/OjsrJBbD3vDTemUy7ep67ornc/GNznVxjeiBCgGulNrs8DD/3cw
DUiHDQKLaBcbo1Dyoiz6Od1zeBTfVdMlwToVkJQruhYUUi9IqbhxrQa7CSka824IR9gaNARMkn9C
IiM5qU1Z7FqL+uwZbVAfvG50nzRf8XSOq8/9Nefjci8RMRA1XblZwWlqZUe1heV1m5bgI6owkhPI
pqI4c1kyCfOPyzZ8QItUR4fcdVE4OC0sLE4TvS5XG8CKk3JRep+PzhBeRU2Z85iHLDt3FBiM2HUz
AqW6pndeAr+geQEcTTfk+gUeuWkEKV3osulF3AAK0JumrQKa2clkAuzuIAAjJ6LwttFFQVunivw6
7vEW1FtF8NANLTCAZET/ACWW3aK/JoFWtzJ3KFGbpSDraq78xt3XkjpN3NS2+pnPbDQ3C5u9YlNP
Zv+pXlIj2/ppWT7R9+FkCsgncs4VXzNrTIunf2f2opQXWYEnjM2s4ny58bTlSXaHNeEg/GnY3Y4F
CVm5RbNmI7rZYDFs+uLRhjYX0Y53AdT7dVKR1JoicWccgh87WJT7ftM7C68WtvYaAHpev7DETVfa
qv1suxYmMzYco5cx8IvE29L38nYpFNZm63YtEnrmpYRkD7grd1LheaE4YYfyglpKQYCUM2uy5jhQ
xkS9+cuVQaqAA6ScmsKmHITuIPAAQ6PKMkRW+Xni3pr92BsryiEgV6NzfA5HTti7WH+HbNz5sz28
sP72RG0FdnZNUGPqncPIC5rzogWRuaGV0GK/SNc6TuGD/q3aYnr6T2iGltl0Bi+XWuId/LHlfgzT
7uY/m6TELVWPNHsriOZbk0X7TFXUSPYfl8rfKRwzIBwa6H9UuMdUfV8qnSzjGiZSgkIeqbFc/R/2
zmxHbiNLw6/S6HsK3BdgMBdM5labalHJkm8IybK57zvv58nmxeaLknumkpmThH3daMBAQ5YjGcuJ
E+f8iyTh8QtiQr+LGmPk7a1iZ+jXzt6PzWalwbGAetPIg32LDpIh09WGoWUtauZ6lSF2laFQ6+gt
BEFbngaMmdMaMl4Vb2Up9Y+KiixbSmnYi/JR3dWNM/3V1gQ/gu6l0IbQaRuYi66WZNhNoQWI4M1j
p95EVadQq9aMh9QY84/X5/us1yKGEgK06MLSkF42j9SuNqVaJ8JhBWTfYiVTuFXYlce/MYrgpgN8
pZ+zVLxoDLjplUW6rwXKvE3bQnrJi6ReQXmcfwvZqMOjAoa2wF+Ijs+7poOt9T6uo2Q6lS6Pu1zz
kePDkwtDn+tfc9Y5QrKHdVGgpeqmai8Z0XkIiG4I22IDFFk5VOJDigBEZCbsyK4PddY5En0URUO/
Rqip82mnnzQlPqWPSrSwZTO4mWc4CFKQxreKlVFgnVtn28GSWmkpn/WNGFSjVg2aUbTf9EVHWQO4
WircCBS7ecl1PVn6gIjVvjby75WvTF5DtxXnRCtd6ZMtcJ1vp49JpWGkAdeDt7lYQVnyRW2R06ch
Q624QTqkoUtntT2qxfQL9C/tThpVamUmqO66rLvbgh6NvKlmzKxm/FtXZuLNxWXZx0KmW+EUGljO
qGKq3m0pA6GegscGxOoAm9pmtCJvDMYMQbnRd4cRlmE/9HdgzxH2gXOH0GvbH3u9Tg+ODosgCXnO
CRWRWzmrq+8IMPrPpp9SSMAuaiVynu1+NPzezhZIVBrwAh73/qcqqKH6dtsVqByO4yekjpDJ0uTk
cH1DXhpFwG4BGrwRFxZ7w/CRLDbLrNjomWrf54X1ZYyl8ulvDGIhJkt/HcaftYh/fce5wiSNp4yW
6IdBqdJHlFzttd12do6ZMRvoEqxyYR+w3OedNtZ9hiAc/dFOf9CECXFPgLkj2ZbchpaAqzg1YliN
Hj4hihlvZjxI0ZIxYhXjlTg/ZIYa3dpQtF4xH7a/XZ+EBf1KYEpM0DgGzF3U0mV1qXigItWJbE1c
bMrM+EOOguprV1bP5jAXtxqCWTdpMxWb2egoh1iD1d2jwIPwqNUND2YAE7XQR8qnOOr8cv13nUWH
t58F6gKwFJgfeQF1qZ1u0qm5F5usVLJdUERUt3rE55zMTG7mqocUlaOYNjk/ro97YbV0sSUEZJN6
p72IDTxFoBwobIrEJAftfZsk0qf2OsjZGjTgPAtgR8BOA8BnoGhCD+30LFHl7aW5irhJkoz2aokO
W5ZO2jZL6SO3CHUJR11UayGlPBgOHMzUmdf8Et4wySexhx8BsgdBJpCEXNOL2J86Eyl3S3ug11UU
r9VE3aagfVxLhvmcsuxHZRqdG1wds29OrLevCZbd8PGy4OgEZflH2tQNDtih+pjVKf0mmODmSzgJ
cUmNxzUi/wp9PZzkfhll3dnhaFcXG7OS1/CoFzYMSv8Q3W1bBjeyXLgMINTgl13OwgXjVwPx3me8
frKt0YIVny1fAg8O9kFy6OBe3zJimRYzaFgoKYibhF2zhOjAbmlLmbLKJlP07vtg+/IeupH6DHZH
fq4mZ+1oXAiOqBVB7YQmyCl5Q0y+uy1yeq8ISavZJgVP+Ay0rfs45bq2cildOAhw+VWkCwww7egH
nm5OYB1RrKCdvMnDqnpBErQiYgXRR+TRlZXscKFI8xaDYFrAsAC8gmzdUkBuhAJMhIFOUbdKuFG0
DCUAZF9uFVjsSGuhA9kOskJlX+asRGq5R6rpsxL5d2Qq/q3aVyvB53yGaSLLgNyUt8RrKX5CiQ1m
KY7yG3Re4r3egO1CoTpYuUrP9w1AHZC75JCEATBCpzPsqAFtbakGG5JCE8phS3iI5g2HHNTuQ5FT
Prm+T89XlPFglhJoNHDob+pU7/aNLiUI86mMp6t5tGtgsaKXrPiCKbWmHnNxKEyCuO/gAIKcO/00
fFLTtMKVemN1XX00BChpTlApQ6k1XtmnF9ZK4NJA1wtkpLIkrDoJbS0rZcf0aYRiaWbq+xDZ1pVR
Lq4V+hZsU5BVurn4IHTy5WQc+CCfLiPLZNS3OZWgTTvq9OiEO/vfWKt344kJfrdW1lhhql5XfFXd
zS+Vafcu4PJ4F47ZGnL30lpp3HVctBqKWuYi16qdBu95hU+DR2W7OnyiTdOm9S2Mfn3lgXZpKC46
g2enA1twqUcSqEM5Kj2V9bhs9SPS9r6rjZnyUMit5F2fwIUmiYgpQOJ5VWB1RG3pp1HGuxlEPJ32
cQuwIFdU5XtlFoBjkSB8LBG5i3dFUZubDltWrrOZXndTT3C74vIRQ0B/ExtlhSF65dteC96cBklb
4iQLhnzlSJ5vXvEj2VQKODaMZhcpqNySN5YdQdYcE1RqFGS1AwrNK4HmfNphsEOAQAKGpBrfrNPN
ROkevDYanUhylNk+9LP0WFXm7OkYJK4MdfaStAUfk3yXe1g8WxebqYg6M4WNkNKknfPEo69ifR5t
epATOv25K6ew1Ta9Pa1lsefnUwg/8oloZAGTXar/wDueJ51ketNjbOu7eRA0VPmV9tAr/i0TXzyz
+M0NW31+UHu9v4XOVuzDsAm2JeI07Sa2+uh1VJJH2eitT0o1zCtLfb4IQuuXXAuLIHKF5cwETjuW
+DODeFDt7kWSg+K+k6kihPh+rASr80UQ+mXsKaD/LIK1WO8qS3D8GKNkk0qO86uqJrbb073G+lbW
Jc+3agrtU7hWTjrfy9ASoRoYClESDYFFxh6jb4V1PSBlvG2bV3vQpme7ns165ePEjz/NtsjuftIS
2WlnZOPSQGfaTkbg7xReb+YxA9LWUf8EcYa2Mdg1+ok9WrFHzMhM10lpll+PLBe+k7IM6bJuofCJ
6OjpacJWAAFeuIcbcmln6xRdvE3CMXi5PsqF7UI6SQlIPESEqO7pKARK0GhNG1MA1/rnduqf4ERk
X4yU++b6SJe+x4GQosDl4aY2xW56FyinKkDUReoBfsiYS/pl1n+3ZKf8dH0U5dIHOVAXQO5T7lGX
ysxzUULSSbt4M0o12mlqS/MEYZ7Rs1Ax8qLECbZmk06errb0ndKp247m8JuC7eYOUoO6pVkOiDCe
2o0Cw+RvbCq2lXiFobHHC+J0DoC1UOkdGiFSHDYfG/BTmzyhv8GTIaVXp9I1Vk0fg3gzBX8HSWJl
/LM1YF7YNYRmuE6sxCJsEiFrv0N8xo3jPnkNJSe5R95y1cfwwjDoowkCo+BwkHWefmaCSXvDrYxl
BZiGCUh2GO6hyoLYy1Nq/DjT2bhz2EBmFMBq2yycv+lK2O8TcHlbKeraLS651mtIN8Z72x7/Zpz+
U8RDbqsrpNMm/f0fxR//uP+Wv3eo/vPv/ck91T8Q8kgGxBOdPiW8hf/lnuofbEH/RziThgYSDEK6
8F/cU/2DIJ1CTFWBdIhy5/9xT/UPsngl01yD3A5fQPnnf/7HiYZos/j/78mgy6BM9sKrgpQL6ilv
jGW+X8OrI40KBOQ79g+t/w0WFM4siFq62NQbT1YQ7+3RCQGkl2ssyLdC+PsbgcHhhAmjbME/Iws4
3dWyKqFjNXB4sG7JPJ827i4BGgrCLyKVimSO20YagR6UTekfm0pGiizpKoMDQHPeDShRe1zC9l1D
ITDcFFkCatzQOwdD9iS9pfHLgTHkL/2UBWhYhRUmN9SPvJI2BMYzif8YKdn42zCAVvN8ucAxAXOI
bVAb7S+g3qLJteOsPWRTpP6IlB7iTNHQQdtFfQ/jXYpUFI5p86rCJPQOmLTzhJRhhI6ZTpskkGhe
uk0wjJ9J4nYmSN9vkpyDaMYUBlOMlMcyCmOVkEpQreIP7LCMe9vAsffnNfHvE/pPUfL6/4/n7ltd
/P6PYyOI4c37Ayr+2p+n0/xAPUbhdHICuOIoTP7v6bQ+kPOJCit/KkhchOQ/D6epftBoI0Emp7fD
/hEVlj+J4abCH3GQuQ1Ee5Aa+F85nG8FqPcHBFoOnUZyFiQCBcxhcUBgxYRUpnLAQ1bUPDXAmY96
jY2J3UZb4W1yhFPSoHU/IgesdP3t7OQ17L6uvcGmI6dkN3h2aYYv9mSH+1JpftiD1d4BQk+eRsV6
fDe7jz9/1vtQsryjxI9FlVRICCkkesteVA2Mqmpou1M6mLtnPOimB27etQ7smxnkck6YfdEoJHJx
854GDRD7flyAWd2MvgJYIE8Va1Oi/PoJFRmCQqGDecfQ6qiqJV7Mg95Vz2i3ZuDprVg5tlHUNFuk
nbJdHGr2QTOIKWlIy9F1nA5vQZ4/HcDLCfzOGLcPcpW1D6g1+C6OFCgCqno8P4XAbTH/nY0XpE8C
HA4cCYRcjAgUiL9Mnm08t/wWC9kMdZsoLLLfC3CX7Uatyv5XTBuLaCUTvLBR6DiqEO94JmI7tVTV
aYd01sFyqQAtZdeI22mX11b62gRW/2CSkE6eoZfBvsG3I8ShYTQPUYArtAuKdnhOwRtXyOfqybFt
k4dWUnMUGc1SfYrQ1sSp3jAyb9K1NYH8t4T7dClpXFpcijYdNLTEFgksmkTDLPyqgO6j/uP6+VBt
8wg5fHTM9nJnzk9K3DU7DY8AV49S9WNqWGB4HTBTQ6EAropKucTycpp+qDgJOG44zsNtU0sfY3/4
yAtGQgjFtKJPbav2JYpTJVq56QDSGTNFa15JBd9+7vJzyMJZCYABvKUWSZqsK40NMFeBPxJIL23u
pxBrDPW3NrVh9NeRAVJWLf3XyAgEUqcD7W7OQb2z4i5g/oPKwiUHuuRnudLaz35Wwk3p/GTAfMpv
wmegHuPT2HfduAFQpLjj1E8l9AYHWdJBG+NfaTCaNQouqbRteWPabiqZFcyOTkn+SMGJu/kUS5Rw
8BThQY8y66YD6JjSthzLJ+Dc7daXyo5epjQlPDmt8BOiMf6XTuPJ1OPP9NwiDfWtk/nxMYJ9qjdT
AjnkiE2jH5thYhcCFzhMit38aFJw6y2ucXxBkdWT18+mc08PVXpETaz8WKBFCn2qVaKn60Horeux
XASSZLjswqjjrPotVVld+0gHb6o8qH83gJkfrJhp0VIbeOwY1GayHTDydJGmsbe5EoBOQrXzOR60
1NhIEmtCUZUWbf8YWbGlb8nhlE+YmY0zPBOt+hhwkTQbU2tDw0XuL753yAAwC519EOkDUM77zi8O
YN7qgRZ0xELJunAoajB5HJT+bvIb0hIj7QBHVxJ+rLzo020YJtxjudR9Tvtixi4FwJZbNLAV8dOc
QzfAQOClFXLGLlyHeqPJsQ9zvA8KWAuBwEPqMEzurCpxFTS1oD34U7HVQk3eanKTbJJGzW5Rlm3u
hf+FuQOhXT7M0oiubo+wRgF5huM0tmnizVCV7sKMf4EHU6Q9Rqr5UWp47+UQmsJDlTypHV0g15nD
nVwCdctL3/rFBIXf7IANhS+1LZSCrUi6lVS/BcyPgFedKfZns0rHO6ib6bM6O9jRrSw9gX+58jSD
kfGw6QBQMzu9GFLkbmH0tuoG51GcT6davkt4OD8AGJf3QKZMD3vL5nsxh/IKkfasFStM5iG5CmQS
jzREJ0+HzoLZ9rMhVjcNdMytIZXj15i097Y21NvG7tOj3nbV3jAQ5pcHLCgdqfTUqAtpalX6Fjch
QESNnK8oQr49PhczYipgdzgGfDlKb6c/SxmxMSNBVTbOEGnbULf6fVw2SA9EVgf/Zph3WqnhspOA
JDd6KeHkB+lrUODRUISN5ppaL+87pFs9pc3snRK1e7PVgcYCGLuDKQEDNM2138ihwIKAvVq51Qzx
eF/+fn49MjW8r3kkLTpZU6dndRJyP+BRGt+ZeTyNW19Rp/zgJ8pLOmtKC7DOjlAZa6tDmZWQdDqF
oEhpeDIxVhzROCGWKYlb+TEbHNiy/oBsOrZoUdc7HlAF5Y6jnuRuXdkhV50igOP+GHk5OqZHLdb9
ZyNNx4csj9hO8gTWHVexAuexW8mcZgkfW8e+hUWuxxsyDrozdjwf6oTwoWvN9EVt7fAl9WPlSxYp
KMNHKsL7G8mctWc9wWHUqo3xmPJr7ygxvlZm1n6zptTxlAkLSP8toPdTGK7dVWdFHXYs9WRCJLIA
Ipta1E3imRtiQigGM45o/uTTJD7MFfbMKAJ2+2yGcWnlfN04teO+s6dsP3SjsUU8zz4O/EpXlmwf
7HZb35kSjZvrJ1m7sPAC5UNrzeJNSh/gdOM2QT9pXYjZ7QDb6hcQtvatJGWuFujKLo9Nc5fKjraX
zQJPJPRyN3VVfa2AWN84NgQ/dY7AVPKI3iDvSD3IxC0aemJ1Oys2tqRBvFPsUH+tptnwmrm1tsBn
p8cyjKUtRrXGV+DC8QP8rnCfWV12gJK51pQ6n34dISqV7gFjUyJ86+2/K91JUeTbWTXwgUqiPuIv
YG8AcyiIvPS5p46tc1fDJwOkX41cH56Wur0zorlp9nxBZ8BF7swfMlfM2pl7Y96fnDl+GcVgLjX0
54Vix+nUlzYy47KZKRsl1+NHdH37Lb5vOJda/TEBX3GIQNW6rf3FlLm1FP1m7Ia/2vYgg6IOTctD
pi1IbWRx7qMI3lOFpBDSC8Nv8GjMQ+/0yi5Tg3klRJ7vNIYCQMRjAkka8co6/dyxESmRnNI5C0ZQ
RJnlfObDqo2ERtsezpj2K5dpmGza3CgfGywIfi1QCP1MLS6oPX9UQZoYhnRLFSdCaBwK+3coqgeH
kgriA6mOevw8yfD2s3Tex4WG92nRa0m8N/tyfrKLNP4kV3ARN0lRf6OUB4pXgVtyYwXOaG/hlKw0
7I1lMZeptSk2CXVLesn4yJx+L29NCCZ5JW8Gcg8vHyfK76qZ3w2hPb+C3NG3cDGrZ8jb2nGOgxgd
10H/WGB+kHllN8DLkobwpYktA8Zc1qPg78th+RtF2OklmutbuauLT1mdQ9NOy77A5Tyz628UOezP
XNzA86UADiW6tmS8Rt+Bwu8jfVuZTUclEzLzqKczyjxR/TL2RftNjbv596KarK9BYdpf0iGxbzVJ
tb4P3EPkuqWZ3Ad9ToNKAWhwZ3VGUblNmByVWTC5Mqi2hlvZn8y2G7/QwsxT6v6vvPDwuizDptjr
SvxRyyj6AEFVo589tX9XXv6JOqZCv1BkPECgRI2SbOv/L8X893+JIsylWszF/9DP4oyqfADLYaNZ
Qy6nUAdhiJ+qfYpDUZV+BHV32qMA9Hhp/as2I38A9kLLFDQx19dJ4dT5AHYCSRdSCUTceaX9ldrM
ad+SyqUBAhvVFpmYQfDQF7mVji6lEvWwRtRiJB523XBoWvOmimvMI3Rz/LmVTuq274srl4YTpSA0
YpgOEMyn57Y1IXwYDlR8akDhFhMYyONtiuS9nEF/ilVrJfcSyfL/XQM/Pw/Yt4pKIFB3WC2n4yUN
kaIywLVZhEdvGJT23pjS7pGkb/KmpkkzeBVTe4QAGuwcdVYO7/bHajHp5/hUhdHa5xfQTFuOn3WR
YkPb9MywNI+VzBWcx0a6kmicRsO3UUiAEDE3uW+ECuPiK+ughHSpsIjlkHtQ94tdR+Fjk8nRmmjR
hQkVbW4gDQaOK7zTToeqy4YXQQkBNdHt9tA60rylXCQ0KYr0oAitWhQKjW07SDCh/KFY+dJFhejn
p7L5KXEyOiCpRUqlCz+Syhhmr5qruResDuXZ5CeJijqHDeGKrN5XdRdDA6/K+D7TwxlyYzF1lZtL
VfhCU0/rNkmiJ68QMKAdBb3gKmadFDzOqj79iPzO+k0us2htLy6ypT9/uwDSU+KixvX25++ypZiX
ZgdBis1Pir+lElFvKnRLtnS8pEcIQLyJZenez32eJmFcu2YfG0fHdPJDU0jpR85NdKB3n3qS70vH
6xtVrNvioNB+pZGBXh8yUaJM/L4JO0awvTFVn2H9hw0aBla5Dzo4OT1vfti5tVdFlu/REh5X2AwX
IgIDs57YJvG/ZR200CNwMpaGYUZpdTvBbSbJVdHr6eo/5L55uf6Z4rydfCbcOT6QjBxojklgOP1M
eaCBlaej7k1kjbt+MH4pFeN3FMyc23iA7UVvpV15z58dzrch2fQof6IUtNyxasODzOln3Wud4QaX
nPQjii/7WlWtlaTobCYZ6C3Q4RQoSC6LnGj2S93Esw/Bo7alzts02b2T2aULsW3GUcPqttfn8vJ4
3BmieUDeudgyEnKjcV/HgAYLf3gcyHvuex0SrJPUqAblSvPp+niLnJ7zIz5QeDUgbirEKxeLlyXd
qFcmA0YZAmZpCQ+8zoLI45pBjHpKvlJHGm+FNNBLxuE6ZHmjbSWD0tnf+SGYhUDiIKvnZjndRYY5
ZNNoS7pnzNJ86OKmug+wddgOqR+5mVJmN1IntbugSQt3NsbqiNtuvu16Ltfrv+R8O4P5FRkCmHBM
Jd70yd5FFLMsUaLKEsMDLgY1P5L9faG3Wxi4uusgQQbAYVWHb0EWEcvAoCAwkOgmLzmDOpkgcQEv
ObqnSh223rYPWqJAzCxHmMJM43Cr4W2/DyTxG7AilLOR4Myi7jTUjzamD6OgHyoZXSPtQYNyfOuY
AdIdjtGubJgLswPMgC4OVn4QppaSkV2l56YE4sLruvTZNNP5KdD87Jls+2vRRhgPo9Iarox5dj9S
qUKgEc9jJgc8x+Iq1s0o8AWdwCuSqrrtG1lyuU4jryC6fpLD8bdCYqM4dgXQjm7xSqw5vx4Znr4J
3DOYC1yTi+vZVNHazxubyZUb69CWlfoJYrQp0GXyEd1SwyWCqFsUZpRtBCwOyzJa1m2sF/tJdkBg
YHO8NdBB28HwNb164FZPirLb8hZrXacc1lDzl+YLXAGuDYi2CiHq06M0TeiipD2+aDElSfTFpPph
LlrVU3rMuNBTPVaBvUHw93fyxmTl1Xx254nJssCBQsSCd7Y8PT13PBxk1srI7PQuofBNxS0Lbu1M
/RooQbILuBQ/QR4dVyLn+ZXAwAJ+qpAJ8DBYBLIGaLnaViYbc6gTKvOkal3ex1spX8MlXjoCBsge
QO1vKehiP1SFkWEm0sneKCT0q7oktRgtG/NmJDzh5EQ3vopq8/WodGlN3w8q/vxdVHK4ZFs0bWQv
srVsr+ildYB+9Nss649maemunaBqNga9dTuH5V9NJ0SlGCopTy0eEhzA07G7zmrixOfMFyWEyIrw
cgfpMD8mud7vkEsxVvbQpaUU2BdSCgy5uBNOx5uaAUQWdUlPx+FEYDGSPT7A33E3ctzrs3rh+uPT
SM9smAGCZrIILRLedkUNJNDLs6wFsBb0Xp73qDc1erYHfwqxGt/e/WhTexslI9zGTmdtc5gaK3O8
oEu83QB0OQWuXqD4AXOdfjQWlBktfVX2apsyvNaXiCRGCArkCAZtLQyVPmLsWW5sBLx2KdLv3lQZ
/o2WFPIOdN14U/BgPq7Mjjgzp5kdu9xkZnjNEvyWXCYIP3oUQ3H0eiNoUHhQj7VdPqnTrCKsMs80
UrLhGKqR4Vl4ZW6wrqspkxL8cgV7hOs/5jwz4reQHOAoTGpLdfp0fhDFqtHYQlM+UFMoTVYc7Xw6
pKhR9BSNSjN+vT7epVP+frxFEI05wlUFO82LMOTboLANpzQvddEXiA5gAKwnOq3tSrp56ZRTesfk
jTYVCNHFR5pdH6KYoeAgRF8SLnJvH8xsupda4Qgvp9E2NwZkD+tO2ipVm+yvf/ICXv9zD+J2QeGF
LUgWsohsdoTGDYJ5MvoruXkEnVXeKbJk7nQhByz5aYj8dj9ucvE0DBCuvmk1f3zgX5s3aeYMgKfK
cgflzTyajY7kA4/FlTB4aRcIOJqD9xXJ/7I3oWKS0KSJxnlVEuP33kllEOHIa0DgQFASb9aVXXd+
nanEBVo0gkcnEHWnu24gFZoS3sz4HaE2gSUJIuV1Ph6xiSlcdFPuHTPfgL8MPl9fChHiTk8e41Lh
4H0jDA6Wgvy6r5rVXPBoRXsweg4cOFKIANkrC36+3RgFBLsOzBhDvLPZrKTS0H3EATuqLI/AgayN
o6HrEKY6OosJfTJU6BCINPwf9mjbK2H+fC3F6CJD0Xk+gvs+nduuj5E+BS3hYbzlkLkaUGMTO3hN
81Lzgipec3K5tJYa5C9eqCT4Z9rQfjP5gZ82qqc7CJlVFWJNBl6VZNoZWGUjC7ZoeaDzNKjDyq69
tJpI24v2sy0cD8SF9+7yRk2gxjGZkWV0QO8D0hevQQJoZRTxX1nuGcCXvCIAqaMaLSLau1GAGgd2
g+GA5/BW2CqGcEWopu4Yp/bsXd+eF4eisW0rUKdUcvLTobR4iHy14oPCMp48JSv7/TjLLcCnv17d
FOBPXvmUp8jsyCtOh6Lf14V6Oqlej57qDpHZ72HvB15ktlTEJrQ9/8aXUcagvaSSQi9pFrPpz22P
BLNXxSDHG8TpDqoTB7hx8I/rQy0kC0S45aJHOANnRlF4W7LcVAlVYkQCVK8Z5M7r7dLeBNyeO6kd
ZujDo7PlS1GBlLRfEQKIvojniVdmiEEqdb2GVr+QColfA0oC5W0L3bZF8FeRC6s1o1dRru2SHQDy
fhvaElmuYk/uNNAAnm3HekzyovQCJ8BYr0S6CP1g8B7XJ+b86gUmoQAUZGcBWlsGXcxvtZ5yhIKk
pN0fihzdPPpkeFzcx5mVHLLUb1fC/KX9DMoapJlI6qn6nm6yPEaZp/IBwKPdDd+kxP5vwlrWsytC
w/WPuxSFEAMGJg0WlKt2MVRkKklOQUlEdqSTJXyCb9DQ7PdYdNZPdA56lyq+vDcr216Z1kvxlhDE
FwpeAlXJ04+sQq3TjRJsFopwCEejwLbNBvSKu7AIt7gcrO3vi5NKK5ESJG9RXg6n4w3tGAM84g7T
/Cbealln7HBiCXeKxZa/PqmXdgzJ+7+GMhdBwhZAjshnqG6KoqMmjz58e7ybqwS75YTiPlVgtMev
D7owS3o7v/SgCbd4RJGx6YtRkyiTyyBUSY8bTbrLnAmTXSWZKaWZ1XGMRxyS5qbdlZqE9Rf6o7u+
CdJdjDDhkfJW5cbI+O5TyE0QQvv8FrBXtw2rfk3d48I6nPzMBfawx5QgmUeBzUGi1QO72TxRjCgY
Kpi316fkwhZjKB3aLnMCl2qxxfxUxVO85MEwUK+5sdP5E3CX5HNLuY9gMs9r4NaL4wH2pd9GJkaw
ON1ishX0viwSGAQh7SfUsNtD4zvGri4DdY/hcb2yzy5OJTsZUietNgLU6XiYl9pOi2Wp19RKcB9P
GFDBxsMMqpn+miXKz83FCwDlAWE9xgvsdKgZbA6SmA0gvFivD0lufqnSDj3zrlI8G3Vit6cRt7Kj
3/QUFikEURD+uiziAwyT00GbxkeSOBooosBW6DeoBUq4eSFFDXg4jl/GWNHv1aH7NCRj7xlJEh00
X3IeorQqv5TKiESh+nvcNcp9PTpN6oKbQW+YZn3jVlpt3Ggzzlme3wIguynL0dlI+FhSkSoR/U3k
+s2qd9gMFrppwCJGWiU+an/GZjT9XnVbKZ8x9oCO+FlucbBH2Nc3bnypGi1ksDPk7VWkAx5HJ6pv
HIREZpo9WvdSWZQpXMqV1kMgcP67HDG2j2mqprKbBqr5DZg3+K/J0JTeG4wirfaKhevPLrRU/M+R
2exs15hws3QNnC6/Oj5C93Gq1JNrFUaVupUeOb/oKoUtz8rN6UuGqjcWjrJa70qjK9SNLbXqLxls
g3TnDEbdERBLNLoxxG1/RR2pepEnQ9kNlcpfa5RUx1/AKr86U6Q8tx15lTsgykkBZgZ6rYyoerRA
TMdNFoTNj8DooI1M5Ni5h5Lt2LhWXzS/2JZEZmvXTf96/YRfOgGgPrid2X8qTnGnO8SIc/CeOtsS
+bv5qOEO4WoNXqQtRfOVw3YhqHOsoR6B1bVRMVgcbqOCqq32LWWnjmCSlzJG75GJlK5hfzT0Vrqb
Z6bt+uddeAKrgqTFlcXYQLC00+9DgTjvurKXvcZJLCBvrYH+UqgeysC5awqr+9hmiIIgDVLtnClQ
trU2ORvkkI2byYbzG0TpsK1SbT7GTOK+i8J2f/0XXpoV8mBLNN/plKjiz99l+TOaQSrrLHsI6BXe
BD5zw2vA3BRtC+wGSPhdH1srmeoCLfoWjESWD2YCnQTxID0dNIPYWZWKL3vJHIFVbvqxTVwEfp3c
azgYD9xrkbnJVI1evDSm8UOo4eHi0j6IvuRhWf+BoGF2F0QmtKeg0eWHeawTF8px8zWEl/tUziHK
jLh1D98rqbFexzLSf3TaBJ//+uxduDB47gLq4lEPiG2pJmfYnLw8GymwgOLaWdH0a1Mifjii2rtz
GkNdWawLVT3h2fxmFCSouEuswtDpeJv2mBZzGal3iTV3vw1Rh+QzckBs5VKLk1fDDlCD17MxeMVU
cPw8TZn/As0BLH0QB82tTeN4bUUv7CIUydCi43QBTl5iRrgTFH8Cy4l9tqxvU6QpkCnDesL0Q/Mx
SXAwUPNVh+ELsQPvWaqtHC/oqoJB+X7r1rPdV7nV8oZBp52qJRZbQP8detN6tb2+zpfeVjSLVPA8
b1XDJZjNsqoCOxQ+EHwIesJTUEI2JoRbQ6u4wMR8D4cvf+sM+AXOmX07DnK+k6op/tVqMFW//msu
1FnYamRE9FnFpC+eVnGDvZZvYAwe5g6SE8JoHLvw+aaM8gnt8CG/7W2U68xwiLwSis7K8OcgCTQb
6O0ijYka2HlZcbBiQ21DyopabVo/MqWLXmbEeW5RTkj2TmbgUttCf4EeXL/adtK9lHNZ35RtyVSF
EKdKDDVgP5m8Ghp5Wgm5l44kvT3xBOZNhPrR6a6YRwcMNFwYT8oqkHdyfK/X416V7PAmDeJpJcW5
9MwFhw9ynKRRdBMXFxhma3DzJuoJY+OXHg0j1U3KudpHMu4JSaizAtRQXKvVoIGoXl4pukc5Lli5
3MTltci0RPxB2II+mUCwnX61aiD2q1NI9wIRejDPURGm7dXDX954Gi8UC/odoGkADKejmFbaK006
qJ6RmspTMamTVwZT50LrGneoFOReAjnqmOtRcOwqhLevD39psgEICRg5ODgakYsnIL2SMO2nRvNm
XJC3aE3PXi4XlgcfLtnpfWp4CH0HuzSsvoyVTQOr7X60CuaHK7/jQuTRiAZossB0AJa3eKmFaWLJ
UUe9ChEj002r1LztZED+k40OXYt0yUFUrSnKgay10zHd4e+AILMfqLhOm4LhDPlFi4xnuxzKlUl6
K6wstwLoPdorYA4gWi8WSfNldcC2iDJQI433ZVsdW1mKXA3rAy+rwhrmQblLp/wIhNi5n0oZBLhq
v8p2Ke0oQcd3AeK/h8pu4ScFA4rrFFXdUDElFP7KnTaP8WGgZ7KX08L0ei16lf1AO8hGqLyq0hze
RmWb7AwsYVwIEwPW8iB3m9QBidYAQciRHDhUnTAzUQHxGoM9o4uMC0kArXQlFFy4lXhYMQugpoB1
LiW6IgHpKQJN9Sar7L1wVpXHmr191Bo6TomGx800z2tlikuDkmYKXSEHZPkSXYBMLmAp/Fe4JLYd
7q0PWpfPu8jSokPazdbt1P71Vh+oWNIP2P987VkTI9adsB9LRnQGzQHbl8c7VR4Lyl017CorxBOD
TheogjDbzxPi/H3sjJ8Sp/6WOvEA57Jce9deiMHIRAnlOcH2h6F7GifSTHhUVLDVtRF4tWSZ3V7q
y9emrHE7ztJ6JQhfOo4UuUHsUS1AOEQsybscNgko1mjQg7xIMTIMXw0ecB1ptel09srRv7S6plBi
oqRIzF++V8q4NTBsqTRvHPRkI08zzDtw6G5SSB8TOYX5CRZ9ZcyFBuRbuizeLX9SB3i8n36fQdxL
AyfVPBrZ7W1klHRvQmRfhlGJKSziUFQMjbGJa3D2XTa3xzI0879xluiTgV9iUcEGL+65KDCaJkcV
ASZmXhF/i9SVZ+s1l+Gx1Eosbcq4+H49zF6cawo7+KWDFaAbf/rZ2C4X46iP3DZz2D7kCopRpl8D
cQnswkMhEGXRdnCalfh5KbuhX/kGX0VuBWTH6bBFjXF1gk2KpyWafwTW/z/snVdz3Miapv/Kxtyj
A95E7OwFClVF70TK3SAoUkp4mzCJXz8P1OqzYnUd1vbcbcT0xYnQocQEEmk+85qGKonqLrqgbi78
NjWQQkcBli+GqEIsM3+3AOkLcQnDhUgh365ntrudLG+ldvCB3p+UY1uLfMOF/04IZhxiMWWxkC6X
iRXZysi3bme9pH6N5KkDB9LOEOF8f7gDvuGfaw9gtO6vrvGEUwezAY+2t5fc/PkR/HMoRMvGzYx8
h/Z/s4+t5nvq5vNFLkpx2+R1fx6XnEHN6FfX1YzfXIDJFVH6dP7+Yx3b8fRmkeWgObU2b99+I6eZ
horylR2hlP+6xCZYtlUXSHpWdWK+jy1C4g0aRR5YVJq2b0cSQZ+m+GaBU9GEd+XZGKqNYvH20p7L
qJWOfims9J/Jev856T74e74xvSr3UHzaRnI9iVt8MV3Ek8PUwLIap0Y7Kg23374/k8fe7/ehDt4v
A6KdCpuhNLuatmoW+wXD4B05uwl0pH5ETO3x/RGPfbtV1p7UATnhvzFYEfcrsqrLgD4I5OamFpOj
ocfGKIceeOJiOIKDXBHTnFYg/hAoPRQrSK1EOEhTWBQXdbpeMIDOwMleDpnAYrFBaGqiU4MtZ+bv
ETEwNzPhzVVVKX3nO4NkQ+HFAyGgOW/IZbbVYhRRNRJCKdyw3p+VdcUeRm2QJLku+V9aoYffQfRY
SvTSinzMrIACiOdqMLqLpOvaTTzm+cXgLCMurYmxBQ94KqI90kVCTATRILAQ66ex367yqrarQaAc
T/qgxh0SFaBCen3EX7Zv9jAN9Gu9zB5df1b/jY28oiE5ZgnT/ta+SibqjU5cMHDiUP3CRvUSc7Ap
IleUJ4Y60ID4c1dBnSYyQcF6NVV4+5K4MkLBmNlGtZX1N/iBDSDm+2UbaMa3xK/a6zkJsgu98p6t
fsDnzXXUxlmCeV8sJvjGYavXmr6PfUdE0reKXUNJGL9dPXSp94BWKqZLwW2xFy5yF3USI5Cvwbl+
f50c26/wvkn+oShwSR2cfApxrUWgq7D2/udd0pVgeSu7vWi9Fkay6Eeigu6UBOWxCASxPi6dtVDr
0Ml+O3WWpgYMDCemrh3SSzpgFia8gFdmr06jTuoK3qj9cShxl8fxt7gc69o4sUGOHBucGOgsrbpk
wMXXn/8W5CV0+dD556BqtKkHrlQ2t43vfcFlOL16f4qPpZlvhjpYKMg6jYMeM8ewO/Jz0DgIzcSI
JIzOBPWqD5Y7BEy0K6okQ+gZuR8VDvJ0ZYrH0ftPcuRQoJsPPZkwhHjiMJWbpUEXHzhdJNvA/1L4
w5OwU23n5rXce8M8bPRSUYVxNQ0Em6WduvtNpvTgTFqbyqv8MHglUP1vpxzljERLcwoWlTXoZyBR
ms2E6XpUce/D4h8h9ROgbScq3OeFZXWbxg+4/BMTyapS2ScmY531vz0NlZ1V+5lo8FD5IEgwuoEM
b0e4f1ZnEKzF5aJq7Ro8u4anWnHK/+XYgjMQu6eownJDGeDt27eYR3YjCHlsVYUf+qaWn2dJwI3V
WfmJVzs+FAk7wCUqyf666X9b22jn4KxqdnbU6TFHh5NwCjrIyMytZp44BdedejiLaJ/+a6iD8lg1
FYouGdsoq4MkXHnZW2xkT/VajhWq6dpi17nCbVbF1bdv5PlYK/kTAZqqlHx2KcNtHENHRgQrh/Me
/jzmeEZ1rgur2vsWlqyBRqk6HUB8Iiyc7P0hz04FA2tX4W+vTrsBZAyETvLSt8+UzF3fzutdw/O6
ALZAEyZWQ5nG7Nqd6ZbdC7pSdiiXarme6qY+T1CIQ/sQYcn3t/WxlUyNjuIMfX4HIOzbB8msaUjQ
gWMlV5I2hVd6UWfFy5aSeXquWURF7493/GusTTYKlRwXh33YxkIQFds0zk4drQhcpZxq/iq0ydmj
3Y+VdrdU100ZB/sM8ZydV0Bdm7oEXby5zz8m3ZScwKUenQDOM1rfa/vn8HkcBXOxq9nKSdZMtGbb
7NoaGneTEGpwc+bOiZPs6HgAPMFWrBrHh+dok9ZOsdQ9i35BDi+I3WXfF20btb2HHHjiDcWJtXZs
Q1N5I2eiHsvhebD88datmx76faRbQlyURTVFcFy7DdaPp+7mn8XGw2WNtPkaUpuoyR5WuTx7ERNO
k2AcqcHj9ow/coJ+0zYpIM7j6txHbk2HIMhlENWK0LEY0FwAga/tOg0rRNoJYmvmhnfhyKY5r6q2
vPLRMgv9Amx4jvdxNNFtCEck4c+mBElEU6yuYHZR71unRPVitvxdonntbQGrc5eklQkyxztV2DwS
o6LUvTprgCAHzbp+5N8OycX2VwPIxYrKukwjk0J/ZCaJu2+pZEUNthJ7M0/UOVroMnp//xxbPnS2
uHpwOQDpab0dGeZU4HdYS4Jr9fr90NT9ncBKNxzMLCZR0PX/xvag1PLTcwtu1OHqyUeExEy7ZXv0
iJCZ6ezigieAlzaxEdap5Z69/37HZvb38Q7OI6vRFwwn2R51NSBeN3YWGq7JFZVbed7bU34zdBYu
Lobqbt4f+Fh84662YsQOJB7WQR84cTK6pyhoRcCT8x++U/kXmSKO9Rc1PdEiz68xvMfKs/UEvk/B
KQTbse48UvXAlQ0kTpE3PRg/MxAwtFWLvJhtZmfuWL1ac6twKnH6PUXwZtN4/hTGKivBt2Gw5kv6
KrCo9aveROhrUl52PbWNdaMLEvMRB5AP70/Q0VAUqPj63wrdOSSMGr3WGkh1rI0jLa3CGcUs3GrR
CF0stZu6ZokAmPifCpG7O3w1sdr13OJWj5PuxJ117FNRFSPl8FDJIal+uwecXCLO7sD6stGzCyWw
w02p5fa5v8Tiwh1cdz+M9pdF6vouVTOd0fcn4tiB+vvwB1+qTJxOiYCmxoxz8FNMOr5dKuqCIUC6
p/eH+tm0PzxQCblX2YbVi+6QtpCOGTL8SQ3qLBdmNJmq3A44WkWd7dTnA/yUB4TZ+iuzwT+4bTO1
Fzomo42/oI9Wxc4D0flraWYfAlK0CyfXHPgPs31pT0l3RWNLPWuFCxQ+c+NNiXJTaE65vEqGxfiC
KoofLfqI1HztcUs7eb2fg7HZt6aormKavjsEEfxdW5XWlUO4cOEMZosBqDlsEQCaTsQNx3AazB/Y
WfqaBtSBg4/ONNiVMYCD5BYY7pMEIm+QGh4AYxFv0DG1rsZm8C7MUrXXhA7Nzsfm+3JJpbtJLXu5
rb1sxAhVr0Or9bxoaIblYzu55q0YmmpvuVllhGmmviOnZm6d0TvZGjl2sv3+AgfLRus6DaF7AH1L
htRmkCZ+RB933KbSc0NAV9pdTYXtPKn8aSN7EwHe2Y53ky3NM/yR2+fYdhB5KQOxQ/J/oKXa4146
dcXNmObViVP42BL3QfOjDkRHkbPi7Q6jwTwZZukbkYyZZ1Um3R6Edb6nZNSduGCOFBEQ5fGRcgf2
Q8Po4Cp17HT0h5H+pSrzfGeANwq1bChvGor4oTcPVaQgDp+Qrjv6fquGOSU54pTDlADthNX7iKaQ
4xXDzhqd8uM0ec8G0LkTCfzxkWD4crLjVvM3MbrSI43SGKnrJnmuu/YFOGzzLvesU5HBsZFQcCU/
pxrPVjn4ZlBxWwjDXCCTLJpzs6zq7YKbxNb0plNCXkeH4p5EDQciAVnD2+WxtNTPABXyzWw0Sl0E
DndeTyDEmm5PhMtHlsdKFCL3pe3iwdZ8OxT2uJQdYzog2P3KcykssXeMutsASYYEntPKxqj5VGft
yPtBwLIsuM3cxvDX3w4a2L3AvzYwI3fyg20jbDyIdIT+7CI4VWs9VgmEShyslSzEg0EDvh2rR/Uk
iBVNlDHoqr1ygZqm4He2eqK711pqdVtEwcDvaN30NUuqNkz8VTTBT/KIBiwhIP6zEdDkCV0DhHJ4
Hwd7dM2/Ajzp33c0xWmpW/X3xpQUKYq42tMyEvu0b76+f1cdw4wDKdFpkjEwOJSDT2U0Zvon2gXq
U32WwrIIG60XV13RiYsxboiRh6wKvb7Idm2u1N6d9fwqJ6jYqAnunT5lEsXMybq24KBtcWjttgJf
phMR9JGP61LWBuJMkkLuvZ7Tv8Xu/phmk16zeIc60S6SpMAZnLrNWZ6gtff+lKzr5OD2fjPUwYxQ
uTNWdjHwBwUe3fbm7iJL9PjEEXOsIkrF2l7FCxiOL/D2jYqpTB1JkRbsiYOLspeP+64e7kxaNHs4
4kPYdIl+RXybPeDd3ZyDUi5PbNNjk0oixKeHbmdyCL19BH1QuDgodBnmrkuZ2TS7WGz5ok1dv39/
To+PxI6hZbOqNBwkQIZEc06smKqkFvWH2vKmfTcklM8ta/rz8/0jIbPb5nv1QXbfv8vr5+Z/r//0
pW5Ul4pE/p+3f8R/4Ndvjp7l85s/bCuZSnU/fO/Uw/ceT/S/rArWv/n/+sP/9f3nb3lUzff//I+X
eqjk+ttEWr+xYViphv9ekWzPI1T9d/W7Lvz6L37pwpt/rKx0pMJQ9Fmh8itF7E/tMc1EFx4PDv6j
dGMjUci/+iU+Zgd/rF3g1e4BMNYbYXh+ZMO2XQ8FyqSrkvtfb04wo6DavmfacJCAOAzgrbw1ti5M
clb8wc4FSy3nxRNzaFAQunS1OP+otUN241FTuBys0sL9CrxFLBp5Heh9f9Gh+0cJM/V2v03aryf7
XZbsIFn780ko/JMIrYIm/iFZQsZllQExm+G50CmLKsqwe1owzrdhmfSPw0BHTxv9a6TThQwHy3P2
nTOJL7LXKF4IJZ17ewHYJMexRFbENdIHDZGsfxRZ/XxI0BFoDaylChK3g1tsdNe7xWK62nHIdlqm
WfsOjcUYQeYS794SwPAJ2usBXuHPIX+y6gHGcWcf3tbIUPtjbCLxXKOAXS7JGfF28kGDaR3qrqp3
wuXW1uLhc4rrZVSbwgqB+1th76c56ZNqwmHK0/2UO79gQP9oL1+nL13d1z/k2437c0n+3139/9uO
/3ne//st/1CXz1X6/PuO//kvfqkNsnfhR6/GDvRUDDivf+14U/+DgrmxoqbwRARdy/L5a8P7/Ahp
KqRQaP8RA3JG/3KCsK0/2JjUpZCyIWqjqPpPdjzyJm9vULhBq14szD4QjijJH7LfisLXkAjSzU0K
I6f5Yo5FiWdrXS/kraHWtkV8S9vAKO/LJU20OfTMxmsG2DaWXj76lWa7Nx3GxN43XZUSPyYX5/MN
8uVJHNEt1Shg+LQBnmd02Vc1ImG0t95iJcaV0udFO5NZCeQ/HEQnkkfM4Qbtugb8EIgQG5O6vqpc
K9MfACUWzt3aZ/TOW7pSH/xh8i5zOs131kBX9zwdcvtT3Un0r9FmdsROiam89eK+9aNBgFBXYVsZ
dfnNkYsxVKG0UKC/wra9g6+UWMasP+nKKuKb1tdVs7cDpPV3lghUHzaOCkjRE4C4UaAn1Rc7KeNV
6Hwc57OKVAGVxgwY8la5spGbZbAkWudz2+HcoKGJEFZG5ebweHxN7Ep3EtpOCDQ5QM+TWV8XMgiu
S0wPPzR5uoy7ru2nK73APifM0zEZQl4h/SrlIh+UuyJ9VdrPBlKmlYVmQYbW/KrRY+/sLE8TGrO+
gfKTBfE5DUHUjMU1UPnpc5O5jRtaaeel20J0wJqcAfNw5H4H+3uKWv9HLMMjgWteGWH9YTOscO+L
uauvFrdEIqaTLlUA8FDitSpthGa1WHsoC91RUWH3/XOMPcAmqEW5WTO1q0Tayyfl66HXQg6geAFR
tYTJvomzRF5mWg+oTsN59Cmx8vG8afzimvaXBP3ArXlBp2T4JqxFUYCYcbxE2f1Fd9DUD9sSAgZi
gVlw6+UOkXysqKdEhjFAtUGJ+yvmwxhneNkczxvui4bXmWb/h0gHU0dcWsz4aNNVR2tH84Y+shaz
/1COdaJvu7X0QgtjysI2t/AXEazQa6TsR8Q70HbH4jhY6wpO5ujGbsB4CHFznA3TDWgOtV1aWqFo
KkutxWAyl2edM6BrWJilfJhlrQ2hAXbrE/jBVm56n6cPhdmUt1Zv2zFuyGOO84LnVjd1ik9dqM/+
sFBhGbvHqk3TV8gwDtpeVjZ+mpIUupRsLPU49KC0w6SLXQOJwFZqZyqVThlCxROvQZAkT52xeElk
oihc7+M5GTKwjKr50UK68aMy7rL7SgssyCJNr923lZN524yqiBfiOAHHDcfM4ss0QhcMg6zmA5ha
bVyWMusTLBW19DWuTamuZJJPJhUXy8VZIxdPlARsiKluFu+TNBty8HKx9dlUqYpDUB/auNW1NoNH
p7kQ4yQ+42WioceCwyiI1R5KiR023jhdCfCmj2mR1Q/d4A0ytL3eRDooAG7hjHb/SYOKJXEnGABh
17athUYVB9dpWTg1yhptNkd6OXT61m7zMd/Ypavf+loTB7tM5vkYmmpqhguztWfIHYPWvzaTNn2v
rW4pziuJA92dg5BbHqJJpeB7SE6vbxZFuR6EiBd/qb0Ggl08LqLigNM6gxZjmb/4ogSt0RkNTa4h
1bwnOSMAvTFNNJjCbKxJvdrRyJ9AWas4AutVfpoDa8TfA4rjS1ep6s6fCiMLC6cV6LWBda535ZDg
GK8ZrfZVOLHdhyoomkdPjgmNXRizxU6LzeSH6c1Vu83Lpv7sCiH7C+mPsty01hxfVVQm/V3jGAvu
xZiZJ1tULXR/hx0oEpN9b7X+xs8mvpELyOXJwkYrCEWhyn7nGGMJLysfg10Czf8snjPTxhRuzu6g
VFqKo6WI73EIQULTtqr2rpWt+OyaEugUuOlAnDEoGajCswLHrcRCms7hg0kw5XAVty0JdBLZbVw8
Q8S1vE03capFLVvYBmPgZ9Q/pimG5qI3DmryoNbv3cUAbD7GtduhsELQvbEz8BUhzrXaRWPXzbxh
Gy8vxGP+U20O8jtcneW68EyaZn0g8q890Bp8TGq3jjdMOM/uIpMqSJFF/qGnlTlEnWkDmF4CY4Sr
mDfqwzTkTrafHC3HcEt5wEAz0FLJRuvGFDG3oIrLnVX7UP9xGKg+8tXGbuPgffDqox46800XdCc6
i6N04/GUT3VbdZdD6nPVlPOCz7qc/AxXpT7XH8RS+fPWL60O2mBmD+dq8syalrYaH5agnzpMO7J+
CVU3ik8FbIhbT3UgZ1VZjklYpnXvbwCHL7c2LCI98i0xdZxO0/JaCDFdYESiERCq3pg3cEPlsFE4
HtxjVrJ6dOS297ml3ffFcKkKbRwZ9CpMJh8/HH8J7E8DPLAHnMdmToU+Zbl6I8JiiAJASGsyx2oj
nUaWS7Nw9UicAs1ON7iG68+QAgAt0WuqhtCvSveuUqQl4TJgE3qlRNEQs1a2utNyHmfT0VEeolqY
/cfBTsz7hf9Do+0gqWMqKzWeuJjq/IKKrcmt1o3LNk3wy0ZLKo+bsALKhR0R922zq0WnksiAk8tf
BGv6GU7ZUG4b19ZugjJYyhDNCFYNpqWTirzS9X+MoqgnmMmEQ6G1YAoZOlo/vPA74mILeQZdOjtJ
75pBxwijmBo0TJtkMS7KOScB8JsEjVYwZOkHlNvRAHLqvkN+nRCho6dZ9Zcx7AHkkPoAkl6CP0MQ
DgAnvqFRmd20s7liazBPldwPfMWoySp5j35+rS5QuMB0o+j9dqNmt7XD2lcu121sUtT1M7Ob8ZGN
888GIkspGrJOe1UMiusr9ha8YUqpcWArTDI+ORgGjcQavfVU5wFKqOClFyespLYMux58WRF2qk/s
rQ25W4Vzw0hwnTLk1mmnVQsaG42HXzGbpo9iMH6PbrrUVtji5gFmDBTNHTJg6bglbEztq9l0xbyl
EEkXw+k05EEml9A3jJfR/DZoc4WriB/7z30uxFc5D0Z7kQNLxourLGQZ5n6vPRTUJ/Mo8bFoCPGk
SoedkWe2D5ByXBsXGtUwTCc07xw7Z3e8gju4biVlNEjNd3p2ZSjbnsMhHR19U/ud0sJejcbDpJT1
QEUk/zqB0pC0Yfts72DGnIH+84t+kzY1q7Wcs0ptBJI5abmDEDzrO73OJ+2GizRpL1ts/dpd0/tO
8qVYBo3Woa2EG9wbQxHDa+0lzf1LdulQfRzHqZu2WVboOgYRLiSZjzqWYtq3WZdLfl2b4BYeZz0m
9JSsrep1HnMYRY5V1tYXDJCk+eX9vPugnkYbjBICc09pGRFT1MzfVpnizNTcJkMutuTHcOlyekC1
V768P8phPW0dZm11oxircyJTUH87TNA1VU+0l0eNDSWdwKGYP9D55HgkZswwTjPM5spt6izbKItY
T+8ALcVe2j3+fJD/yVn/g7jnt2+yVsF+VbdunkuqW1epTIbDrPXnv/mVtbp4iFJtoDkFHYNSFQno
n3UqslbaBCshD1D4KgDMT35lrY77B2Rl2usUsFhF/Kt/Za2O9QcNKLruP6tX/7BM9dPx7/eqL6Uu
8ANr7oy+IFnMwfJBdawoROM0keetRe+mMuwauVvbfNZ8QfZVl6P6VDTJ+NjN89dC7+ONvqRevoPU
WxhbhRlPH+XEnZdjj/T3dulLrwmtmhRta45wO7ZD2o7BXQWFtL+cZ0NTdEfc+eNvU36kyEXF5m3y
DfSaV6C85VJpBeF7WG/z8Rf1FiIH2iBLEpwtok2Gvb8k9nLRgjwk5ciL9DU1u+DSK/X2e9pA2NmI
duoFh1EqOJo9eq/kqEubRKPZiCdZdumdG+OGtVnqobicafJnkZyFfNAF1bsQ3Jibns+O8vNda5Um
oYvvF+IM4tbcntEWVW046aRKsBeFSELV1sXnmJ74xVSOaPT6/YSdodVlk3kXkGV/tFU6e2HQ60WH
6EfbtSFWHMVLg8w2jnsk30WUFAqJR5oCboJfnRyRr5kp+oWLQD16W6EQWKAHOeJfVmqW0YYjaj3e
BtitQuwcMf27xMKKEBB/juFd74GT3fUinlrYt8l4NcMovHf9IhW48JT6sMWUjPY4UhbIiOC3Y/Rn
bgAAbjf4U3dVDa3yLxynipu90ZuQA8mhmlc/9cBVL4FzmXV+uckzaAvnhTN2XzIv62w613TGzsB4
t13oJwbaosgOL2dtN4gvzjLJO0ha1rArZjMdo9L3xxsfhW8j1IdqIgHTFs3dGoVHGgn2Ds83TQkE
QtwYn5AyHS3wxkG1vMayg/NUJpP1A0Ut/OCgXk2PuGSPGsauifldmC3BZpJ36VYqLbsxoIaZt/Vc
mVf02iecZvGuz6OJJy4t0WF14xGfov84LY+5JazpwXOFRH2zL5W1m1unv9XLNEAFcyJRDGtrNK2I
4NS5omyDjVMCFLqOfHIUsTPARHysatN/SSfiFijnmAedu5lY6g0dU1RO+R3mV6+sUGdJuwSJKnxD
59ulSiYZaZWewSXLRsoDmkb7YU/hZ+wu2y5bfuBuzjIOYvLGjZ4Hdb9jCepFWPQDrpc2VnLPU1Mm
3nZ17/hCpYXku7CXpQ6rcXXdEkYziWjKHPuDKce9SRenCokfoTJ58zThCB8X7hIuekKNlFwOqYk0
VcU5C4+4G9FfZ6/Zg55vilSrs02xxNMn37a5nLvSH+6C1sBTSxul/ITllv9gWBhCPlpmn33Oihp0
AU7z01e7HQtkbDRs2sKm6gZz41SVm5wr7PDInwlBf1BNN14GLZHNZkkqdUae5vt7bN6KH5Wj5DUS
ZfWja4746g0x3E0OD25Ddu+lHnfTtzIR7oVT4hW6hxYXh5Xvf5G08fqzJVHxo5ItXznRWHZAWuVL
0ehNcB4Q4C9sbG3sL0wKQciT6E3cbT2vMr6pIcOyhnqM/zkYhlGeJQkaOKiYNSV8roDm5upg5G1l
n486EiFJDd3SiRH1GbQY4ex8NCx1rjp0m8IWxC2nk6F5P2jRGNk5MtJJRJRWp7tBQ7th2zuD70d6
18ENJnWvqw2VR6L0vgacGS6BQFWhszHTM528/+RUoiIVKPT4Ai+eNt+Xuqe1VPttWUcjGUy/4Soy
H6WWs4upjsHx8EyhiY30FKGqOXnqWw6BBvb4XKC+a9rivraMPt8ajJdvpp7YlcMTs8otzow2egoa
iwatuk5+yjlTg01uprYMk3iYSb4Bj7pbmY6Tdal7ZbntUyh4gj/HYeLG+adU4ZW4c+ditMJ5bksn
bIZCPCSBzEZIquksNkbvV9VlQJGRPrMj8Rq12wCR+hkFMmdTWxbyAZ07U14BRpcadyI2bLFLShxT
QxpHZQ0foMlgwg+j7e1kbpRoj8C/vkm7pZVnVAJjZsibPB9NsRx1nwCmyrNpdsmjT6mp3FRF7r6a
Q2DPW32khnnlcpKXr26KF1zC5nZJ7mJJJQs6igiLzgyWC01LYT/2mVsCKjYrdSkm0y8jqg7zc+7n
xjUGj82w4US2X4BomCnZCJ7xKg44q+rU7fVwCKT5IUhdeYk4iXpKKLYWLPK+uqef4N96SW7eU6Xq
f0BDM79NWC91eFXCfA/ZvTlaTn1PpQtdHUTJE81i+8tYut224MSmqDIl4hZ9P+6IGjq8HbqsrjBv
Y2Fc+Y3sn1W6YHtWDUFPdmSp1Np0TSPVJpWefEptLwvCuV8cFvvoOeos1rSF1GACor6DIyW/tome
DaTZWZ2FZpKn+AVOTv6SOA7ViAp8DUVDJEGyyMec6xFkOX+bQvroX8hBWWJjsz/uXAtPEdwD16JX
OynSKM2UA+lf45CtC5ZYRJED4SrIjiT1o2M7+ZXZ1cHd1En5OJd6grWWnOI7xJLJt3MrgcVmUD/w
t/8TF0t1/vqf/7Hi+/59K2dPG/rl+++dnPXv/6uRA4jdoHxtrn14INh/hcSrbRSdU4cAF30IWBD0
WP5q5Bh/eKi2cJuZaP0BviIC/NXIsew/6JusyBSUXXELIlr+J63bFYLwW0xMk8j1HXBkay+HIdeO
0RvQRdzrA+5pWog4T3kRz+5yG+htcqbNgdwivjDc2N403qeDG4Pwtoxznwry2W+TdSSgXcc4fAam
gSifDGBF2r59htlNMXLrWrFB+9s4qxe9vfEMrbvE4tqP3h9q/VWHQ9FzBRm+ypOQBBwMVWq9M+qB
xrZBMhxJO2phVduf5JH85J2/GQgoHjpAwYr3wlrxEBW5yGlqhMs7NZoJCDf31Tnw/DZFe3F0bygU
ZHboxC1Ja1vh2YNKQOlq5603qBfHUdn1OAvtSeiFS1jldg1FIWSLHnNlzMYZxxyuzi3yCdpOxmOP
BocH+3NbU4R1OT4Hqw0XYOC3dondbezwJNu5MKx+K1o5vSIY5237eRLo+WWr6Wfie6lOUZvgfjuP
BW2EeFomWlgipw88mvAbN8OESMQW06PGvkAEiSv4H36YVX0DnjY3LwgSeIQHH8ZCLcTTUINKxPzi
trPYxTjAngDDHBLV0cVacUWrsC8ZKAv/YJS2HSYz1XKB8FRvnGnCni5VPNsbxT55ImrptoZGPBW6
fTttndRK723NJGfqSjOcUWm7nTL/VSsFU/T+6x9uAdMEyQ9CCNqNB5/sUPW+M3NZFA0PtvSmH8XG
NKtwHOb+DBSU9vj+WIeIXWaBxW8YroUUCP5JhyS5uZx5tZjylVmP6ZNR5j4kJ30pzwQ48ReR280S
ol9YfvLMpKkRi0qWF1OMcwbizRkebV/6zdYw1PilKtRCqAV0KkUbsnSdTdHZWrbJikY9+/FiUpA2
c5WHgD6Qvtabpj2Fzz9sRK8vs2qzgwoE4YQAxtuFMywVPZkFIdlEL5+WrpD71AYaO0j7GsnZ1/en
7shnCig8QQvGtpJyxgFuTMNsFJtffNFtZB+uUUe09yVzcFtpsXUCPPZTyfX3E4QXQ70IKokBlsX6
m0RPUsW55hItk6qkeo22bBOku7EN3K2TU1k4awJEo0KvbJKciqwtvi9OF9xhvu17m7JqDCfUC6G3
O1s5WbA1pUcvsfES91sn4iWl115VNb5rtS0iiqEyieYsb25GzZuxY5sFrhSoSZrPNj96tqwZoVl8
KdXCyVlUFzBtO5DpvTTrC2m7cXA7csHdT4tyvqGViF8SHc3moq5wqw2p8HJGSbdecGlLE/0GO3aV
nI1Jm0wnQGiHNZ51bbPDof+uajeYdR2AbXM/aM3F7fhCSU3fh4JgSeJtIqUf+vPoPFV10X0WpRMY
4dJLdw8St0noI3nBLZ6h2etc9LjRS9uS9xywXknw1i2f86Atrj0XQSn6uFNu7opxUq/zIhDxbFs/
B+Xxr+jhyIV4iNj8+RYchiZizdR4vEMhFVl0OUJVhdjUVZ2VO0dVIz6jcY0Idr92QxKCWqAZ/l46
rYx6m4422npB5BVr/WasMhRCxeheQAYbniwXbXtEkVvox0T+pySJD6/UdcZ/f9Z1g/4G24z9jg26
nqlZboF1zWjoO72XbU9Myfrh3m4Hk7CHMvqq3A8v8uDD9p0ax6RowEgVY/mtsPI86gwzv6Ws3j6K
zvI3SvnxvZ1axQ21K1y3NUujhwH1dLh7/1kOoM98HR6FNJ6jmsdBVfDtGzdwrUTc1mRlOM1v+qYf
HqxucgMgApUeNZRLPPwq3O7EsH8/6Qj3qOxxea02NYdShl4bOxoQFzy+E1osSZ+1Vw4CSrQJKqR5
9cr4h8KVP98TxhVy6ICNIBwcTPm8VONo6dQMTbVmEKp2z6RLHauee0AH0itPXEx/X0lUhrkB0V0A
T24dCrZIVk0yKLl+4naMGmOsNj0EhRNX7dFRHKgqYHI5YA8j3mIO1tyWt0q6wD7rJx3JbN3wTsS0
R0dx0XYn11yNXw8ijcmvPB8AkNhgRk/PWsvbSKNbE72/Eo+Ngr4cYTu4S+tvmNsyTseRXrTY5JgG
0AdHs5ekvjix946OghsHJzgCaQDV3653B1wCvBNOI1px6KE50irOJlSCH95/mXXbvN3hqyohxxaK
rywB8+By1c05pZfFh5nyadrV1n9Rdl67cSPbGn4iAszhlmR3q5WtaOmGcGTOxWKRT38++txstQw3
Bh4MBrBGTBVWrT8pa9/xo4eS2Pkj02l5CcCyI7zsrTMPuCEMp5dGs7bpTajC4LCeXLpTs9UPCWvY
0vPLAdHaJ9FrtGVJYdu1a7BEbSkIXxRTs5/sHzjVPRVYkmAVnbdnCuHtZZ68Baih9OO3s6Jvnm5g
jgIUz2wUyLzs7lvatx5wtd1dBPaizrBCNzTm5FoACd4mqoQLgjTkZJCScTco3a4TWKFr8MJsJzkO
/az0oraD8BsRtwFNnE60eeOA6cHuqYrkurbaxAoNDGRfisTMjeNIcMIYKXuqSYdHWa1trJOyiidk
tgb2eTlMksAakRjYcpGbt2CZQByhvE1hDG9KtqDXnfRg+7h+n5ntf3lEKjXkPTqqbkre7cv/z+6k
hi6DmUL3J5U6wWGpBQcuFdPFarnnIvA+r89UDRRsHOR1XFdPdT6GmAgkNcD6tbrTf83EEV9rIi1j
YQa/YWucM2X+/GSwyhAUIStCbYxVwccnC5y6tgAQknBZ6HXDyCB1XAgio7TRwIzx33PzhOLN1Kf3
DdkUSZEBrkfX4OPVaukldjkWSYjd/hp2utdAERq7y7WrEkKxGn0/V5b3Ule++TCNwXDUrRLrZsMp
j/++k8+rxIYg/qG0Y6+J49jHG7Gkn0u7Z8x6culeUZmPh1zR/QtBkKyJLm+yHisIhjsjr50zNfnn
V74t5yaWtpxSNxTu47XLxTbqemNziK60o2LlDD8S1RVBcD33wk/X3G0+QuYHsTSxFOPPx0tNSZ2V
I3q7qC7gjTS2Bo59NgL09HkIEyB0FJtWixQL6LgnF0Fv3Rn9JHtiJdfyNgVk2S8q066l5ZwLfP5z
DvvfdQ2DR5xLuAr0ZLjDp9Y8Rem0Zt1iB9StG8lI84LksBBQoYVyUQpNslU61sWqK2c9enCgEj5l
A4CqpILGkBZ+kBP41fsVQA8cq6gbmv6aPLKgg1ykpPeF1caZ4sapYGeIRstfZRU0abgOxEPfk5Hp
VYfCNbXXfw/Hz9+Jx4JzjWO4oQNeb6/4f9aXwra7tF41qs2xFhdK0/BPkMY5q4i/vT0gcnwrEdfg
anPqsrNkNG2mahBAQ7J/U1VGLnbiz1qxD/TUfOvwne5DPZDTI3Y09hAaVlsZIV/D+FqmFdnP0rbX
cA5yCgR8iHZVbhCCMPTKDyu0EKzeBLljW0PDAOAt0QcnpKEuBIRSCz+BAE72OauGz2wOZHxbXj1g
/CZpPT3kBHMu1r4ohkhUxZOBSfK3cZ5cytncu7RHvHtb5ZgPinTPpySTPVZKnXVGifH56zHPmF9c
HyidWf3x60115ckKo6JoTmS1B0uhr5HD5PuvYwSVOFU77QmI/Bh+fLxKKkVRzG0j6LlnVtiZpnMk
jlvf/fsqpwYuW6IakgGTWnDzKsDw8ONlylVSsBtqiCgh5tfeq4PfU+5VF6QM+U9TbpXxMunEvZQ5
WB5kbXUzA8VEnnT8m8JblncDDP/xP9/UthmyaaCjhLNzqpPPDAhyRePAqTQfyiSMwJDhMVJLnjXZ
3oqVjwsM6xibk0NJzzA9teTsFk/WhBXLyAtaZ7pebQdmnts49BTHIdtgu4zAoWjw7GbZdebkFrE7
1Z55D//RfPr3Y38aVxQaeLpQkjsB28WpVZ5uDXVX5GMVkeCdX7ts/jF9Wrn/91VOnQuRW9Hm4GCG
DAThJJKQj1+80zOZJ6JpiJPL1b4jG2FPZ2X4qXV+8qzRDgKkdOFVGIt+04Nnw8Kwfe1dH0ztkYxB
56BaU9bxmmjrFTbxmJ9XeJeMyncebXc5l6b5abfZ7hZ7Hbw8EKfo7knBkrcmIKbeN9Gck2PCSocj
V8e5aHTGc03Bz3OBzhn9VA4Tmy8p3mQf3wxAKBRJz2wic06arQdOsla0QvOxY8goE/JVMYwXWuVM
JJuMRvY8ByLXd4rqzo/QqOQvBNFhYCc6bTpTRPxlbODe6Gz3B2uO1t7HWzOL1WiTIi+jAN3nlapn
dZMUw5nSnjiFz9OB5QZjUBTMILynoXJTPRkiTesqWs1iBMpJVgcSvd4RT2w2k35Umc0HqLbQc2iz
3EFos6G8FQICe0gag/ZW54v+LKbWfCV/u3isywXJc9BUz9VkrhXJL3b+rVs6qJg0XH1jZw2LcWNW
mdWGFNwu4DRXeLKTUUvvcyXXn7riEBNRXcJLcGbl3KAtst7L3NB+Q1WG7AvUMFU7eJzJi1hayPVm
13h464ngB7W1T4KFtNWfVCdYm0SRWFbkY/mG/TjVFChIUBdQAGz/MgEmIUDObA3qxMrRfuVmPz+u
hbCTna2nwP5z77Rwt0Cgv87BnK77xsuad3gts6RNbWRzOOHUTLyPO3hyb/SL86P3gkpg3+7nEx5R
7uDu4V5sVv5tgF+YaH2lR6MD5HKtJLmpkEQW593J5nnr1WXNiw2gAY8pdXV5GWACCV/J3ObkjNqu
OYhRGOVF0WMIEhJKaCHuyCZJUMTgr68jdqPaIS+K7mGy2uF58Pr1nugSRCMcUSk32mQqb0uVixeL
raWLpT+WKMtn8e5nS3Hdwtqfo1Sf/Cx267X5oSu32WHJUS9HG10PkUPEKI7xEDjJGvdtq/1CFdKr
aMib9QWFIgIiS6YYzZFXIsgNNF2BXtIm+zFkEqUlpB6oSsQSzd731lnVl2VOgi+ON83zzl8MmCnA
UjALLdywQwYk2DZkZlj7TtNBnyjW9aYp63E9IM0Wt3SZmq+ZteLG2rQWCTfLYEASSwGu71E/tFmY
idzO9speODCqtYXAZAB45wdEEoHC/8V0p1gPEpmGy1TX0LT70ccMxqKqwJJ+Gm4nZKlokEpUTRFy
iqKJHU+g8in8HqHNkIw8se5C4N+ZLSg+dqBBSdrROHm/2tXRZGS3JnqAtikH1ESbt02U2KT53WHj
VXjsO6NhX+BwjIkLEo8yD51+gI+wgBbEfVkYnH/nRQN18xMiLqbVRhFg8rC3tQqG7e01664VBklE
6IZWL9SXfC5jG/HXldYGdr/Hs8RTe1Un4qnLNQmYg5zgazt0wotmRBPvdVINfuQiYsv2k+slN8C3
lnmdrEX2LInmGF4mqS9a5FjdXJCFZU9jhGglRUKH0em0q7yumEOkPcTOZ6VBD0QqN8CNv5i75zwH
V4oMWF9MytXsvlRexpme2m35paSPyK4bzergNbN8KutmGCOtozzndurmTUgjS0OhvPE69f2u5PfU
2tFAIvxWpdn0VXW+pWCkeVCHAC+2jAFDIE/y1qB8mvTFta/IiYVs0gm/uZZzF2SHqpxAF/LCJsZr
sW3QCjHq5hgT66XeWidbSM7q5MJCZOtdqHvDZBMHBtZ56fruXFz2ZcKMrUzZHFC7WLAkZNk85Hye
9jh3mnJjpnBgXQVN4LWRr6PKCJPBJoivH0VwgEsk1xBNYjfvYXySs5r1lhywoczam6VSQosU5lTQ
l0aM1eK8SPRDYKSGt9/c7VgU/SX7qdJ+TXeNn4x7ze29S7cJtGvT2nSE+DF23zkPeVyVhu19lUoY
rL7Luh2V5Nz/SDME2pHVQZEj8UW2aEq6bYWFjrjXUmfz91c4GO9SxDcLyGeDKxlOZVl3hB1ChY/e
p+4udEh9z0KYdhY7TQ0Z0EswOIdFo81lSDAVPHS4e8RZLDVemiHuGDpmT6JsgJmCgXAhElqtfKe6
afyZczKB4GfOFtzL2hX6hSIasd/1ltM8eGu//KoaHDn3nhDWV1ssCB+m1GLzmMc8IAZVmUG9K11U
3FU7rJAj66XVQ056oF5izWUZT2Npr/eNP2TfMb/352tM8OvpQvg6DreOINogzAOOm2HBITqJi0lv
t+wRKEbZlK+/19adH5Wpcfg0UwfrNOWCWxnLGqeaf5DF1D+uekEmG5HLLe6AIOvyyhugAvW1zjzN
d5qXftc673vtaIcmBUcqEhXXTPdQc9WuQ1dWl9NTk3v3SjRPvmTMgFeGa3OX991bZZdHTpW7uSx/
6fmWx2AfHalvG+Rd67i3CWX6JIIKO5E6rhnLPpqL0FXBARTvsejr15Ht3e7GK7gbxWNb5LfzIq+I
fPteeJumpb3BLqqdnjBe3/nWD4PjXI0S1uY3jEuOg3O2y2sLZyi1xVL5ZZzbA3GWIzHgq8UJMBM8
BgnkifWeZmxdTUc/u0v0u0mrIIdmRjY9JI0HOZeaT12AQFzRX+Vn4R9A4kf2V416DRfNU7HeE3fj
jU+TrPd6ysSY6vYmIf3FgT6aE3f5xVbVUWicUl1ErfBZEbc1T6NW0nUU2fyuN95woS/eoV3Wdzdz
dv0Y3KSmc8X3f7DM+tnR2gsnl0tYCpPMlPRL4XpHp3z20xvLqYd44iAYwnJOMWO3xK6bf5d9iure
f0pq3AjqVDwbXXqDVqiDZjwjaFmz44htIZjl/FiPxmGWmhF2tnccdOuZfNFvBvqqXphOXKEBpUu6
T0CcwrZq9oA4X5Vm3hsZrbkMzEZv9UczF3EQIMfrfIeuthZ7PCZq6dU8IHh7tFDtZoWPwlWmBWTe
dddrVcpt3Lu181Ua86vWf7VmI0q14kchqp9EKdXwzxpmubpOi5JkqYyCqL5LKmx/K804Fqlhvfs5
H36L8LO0WV0aWYNgd7kihAradYF1mf6zZQCRILf+zK33Gcx+dpa7OXVeK+ZTOLl5vLr6RTo5/cOM
+QMZjZrbpsz1eaf77U+bumVR8tZrsADqeye00oJcdjG8mdrYxm1e3lf5cEFuYegVqQ6nfvrOxL9D
EFQd2wU7pMljietb9TAh2AgTS/wop3Kz0tKKEopxPVAlKQ9laNvczKLTr7HA9fZszP5rxtCxj/rs
3MC1ukANd6Enyrrwu+G6hC9eQ2jsHWj+ohV5WFnarVuUKxs2BUibq4uEcuaQjeXPpoBFvtbDr8Ks
n2bfePOGTEUolKV0EbuNXefpxzlVnGEdYetJ1LRtcl3WjnpxG0t7N4PUwNCtSvFiNDysXfRNsRTW
YwFboDLS4Evgd2YRYmWOwdRiNUEQi3HpH1SQ9cFxFJnZRrq+LAi6RtMYIxfHhDzMxgrSYWmK9Wux
1kYSLdlCRvBm2jNGQybLW8/HpoLQbRpelbXtLaOJajDSqduh1prK0yKraGcZBUOrH0SBAWi0dtgp
2qOR3xFcmttRzbQgJ8O1NJfP4LJPI15v7pyiyNgrdaRkKN/H1UZSKJchhFiTlugfc0ofPTEtGNSm
1WM87xvtsU84bO8I6xu4fN8i0kSFRaNUCH9CpGk3X3ozUw+2O8tiX6YolUPRFAPCXLvsEoTCXRvE
/eD7P1EdZ+8onBNGr9X2XzzJ9IrJ2vDzaPDLmQVMaE40o2iGBk/H6JLIsH5k/KxNFXdLUU4IzsRQ
4Nu0Ji01ctn20VhVCWedoe/rSLG9PPgo31Z2QhSnWjDu1jKfjbApLTwBpt6VIvTnCYanYSsKEUcZ
w4+O3gk/UvvuQ+BgswddwHVFOLChwOBeWiSeaBqNZZ/N3Uath4/0e0lsC+qrOUgE3H0lEV9ohK3G
1mw5BRvJTIE7m2WNVJJ2mLzqvRVu2GJI68Gq4H/c9iyxhMlQpXk74Kr0KijQ48eWPo91KLXJ+V1g
/why00/pqy1pk4R4qGXfDZzru51biuFFE4a8bhf8uvgy0wIsmUw9j72OughHWOk3nl+zubuF0Iaw
TL0VGu7/0/SNwmL9DpT5fQXW7He5MtbnqvDrNKZJkbx4/dh8d7TcNIkKaoxvZpIF/Oekd5DQJnFT
LpZRH2u51pRkVgVRKO83qC+DW4tMrphletn2eIfF/pQGE4Ozh6ig4xR3jdhI+Bc0kcohQg+XP5Sz
UV9pfdW+emUnb2k08NiLJni/IJPa1v2lsQU5XPcrqB/axpVbAauctiFuZYLZ/c7CTRx1Yqzs6pjc
UbrBpa99UD69bcI+6dJjUcv8a6oaS8ZakXsy8ms3Zxkyrem7bqftvT4UFpPaJs/HNQt86soKlm9R
bXgvvJtNs5swE8l7bfyvRQBpJ1wXn8Shqunm42gZ1VYd6fUVToi5HlkTxh6xUyT5Fy0dpwC2JZrW
Xe5OxV3izgEqhALR54WzDvJ2sGo/RX/QzN85Y5D84VurIPUZUcON4fUZR/pay753/A9f3dLyavZf
38TLGPfaCUlk61M/jLjTerxtcY8qtfm2BhXwn5w081vrJu0NzIcJUSWEoDbUKLp/aBTNX3KjXjkV
eGQfH+qR7AvOSj49x2HKsfdACJjxRmeOYXuxToYXDjZ5QHutxWQjDCDbjLtulY5zkXawGO8BNgfk
WDMRlbRbdIFixAoeSRRr7vm18g3FJuf4Ug+WxyygxMX2cMIWwB978RsCc/LQt8X4JgbXSHfLWKA5
LegYcADq7Aw/XM6g8qaYRXYxDE1W7VN9y2QcWuxqkdCUwBBBkNPuWJZx6WKcyDEqKcxVFDt8YPNX
I82q1ySABYuBgOLvlq4cgLjc+g4vCByyhV1RTGpdCiu/oU/gIdJZ6W1Zop6vc+xxyYFZwHgjKdK+
jLD8Yb5ISoAjejOn5hjRNTCl+lX/ORMW58UoS4fXFnm3iExhEKOz6F52uZZJQ16oNgs/JlaR20k1
1GVxadbuofaQHo01zZNBQpuf80a7wqpXA9Ohr4u4OychHO3yD1owTYOriIPTEUNwvBp1zcEsYMI9
IexZQ7sIGtqfny6Hh2ZuKP997E6oaks1vVDNakQq2AkVVorQmA0lc7L7ZWnSp1R3x+d2RLbMIb2e
7R3tCsZEXwg27UDR7IgFiSVin2GGaEWzoYIjY65UoVurzgmHuURO0zrEwx2c1tcvDQHniLREz5ih
qGX+iEQoSO8zbyG/0ywWDdRIlEsQjtLhHDIGrfTD1dbEFUQIi3BRTEP6GJGXd6PbhZbCVuy9t75x
mySEHqp/W3pOrXvZDfrb5A7rL5Tx3fckxSDhiAeLdyNI4EO5j4XplyXLA/NQLYN41Kgi6LiMOUMs
GdyuigvbS/sDB+ilCmmiNe+Ju4yQsZTsUFONtJ5CP6/n7wic4RizZi15bKs+yMmwndA3OGISB0Lm
UFzN4zqNO9+d1mVHY7obwkQjGpVtqym+0Aqw9Uuk9N5AgFFiDIfeI/W9HO30Thi0wna+nlDYZKlE
w45HWeUwrti5CDJOsaMYOgYDgoo+C0v8NvKoWFYkI5O2aaGywai+1mJyfho62ws702RSL1sdJxwc
u1nzEEAe7NVt34syqK0dFME6Wipt7S8I7S5/0Pd3byxVitt2dBlTJfWwu0er0b8U3eg9NhJVcun0
LGK4Umj1Ga7NXxrLhD1u6tGt/w+g87GjKotctH3LmdFPiHYrRYORwCze7NKpzoDPxmcgzoWbDKnb
JCvQB3A4gUwJg54EZAlqh0A5DZNsMp46L12sqC61qgkzk9MwI5/uVjQ2pf4TMyH6HAlOW3No0ZnI
cHVI1bKradK/ukaBV5mXDKg3ehxJez5jm2gsI4vBAauwOS0mQ5X98PIMWdCYN3aHM5I9ukdLwQkK
naUv32iLaV5o5+WibkpS7vyI4s+m2s479PxeInyuERQ65rplp+WQhZS4yYRH7gwhC96jgRt6FgEE
uzW32Jj6Fama23plsViEwtSpFgNXT/FPC8zf65xwtioy+3XM+1yGCS3k32Ozjt/rzenmAtxFIW4p
YbtH9VC7v+DzozrBMVD1sc2aGLzKQbTg58SEIIfUN89A1UwIkBx3zt+E2fRvbIbivmSzwlDBsavX
bBLU50tbdJtTEK4x+3YEP7zG4Zr6zsRNwYkMgkezOGlwnIiqyq6+DnkJYaEdCNakyGEFvpg5aGgh
HMgJId8qcS4njeSnTc7AQ7oAlu46o1nfwEJ1aBRkPBh7fZkpjU1v7BM48zLn7MTigt6cZijc0K5/
1Q17fjbtFqml3Ra0n3rpGn3s0daW6OkcVtdBaX4TVtpY8Tma3Li1qwYkFhcERUwQk7WI5JQ1jyXl
EQUg1eo1T1f8zjtJQSiWWmq7cbLz32VVT4+LKpcbkarsCW0pBJty9tOrXFYjstaBxtqQ2By9RdCD
A0+NV303Rm9FsuTIMyjXH9e4D5AbbD0oCpaOYWcAmnECn+JeUPiFlQN+K4EMraF7/OpDFMHbVjbk
DEylZUxoPBGm3RsrQjY622C6YdVjg4JJrMLniyjE/tZcaWeFAwzyO3Px3Sf01aPGFl2vWH1Ai39Z
pX7WufpP6MGH24cwt7HuXVSmgGenFvqZaPOcly+i2lOcCVJ/5u0LzL0ebXCGN28e5d3gq/Gh83J1
ywlRPXfKtfC1hHsNOAE9BUQNt0OcTHyd1B8Ext1BIp/83ct1uElW1KN7+KyJvh9Nu75PBjlz6q7M
fCHLBOfuyDXL5KtdYCdOuBWVeThBN0a8nBni1Zy8JQ+ncsoEXlFK3Uxj7fjkNpizyx6aJjiHgl8c
cZJQdZQ0vfxed9b6o2pVTh+LKQTagDz4GeP3JmaToJD7NwD5l4UX/B72L2AdFPxT1QKHikYzFthd
eds6V0h4kp0rV+j+2tCfU0h8YiDBsYDhiKsjUUM6NoYnKHowBMOAkK+NgqlY1d5YmEGq8KffDpmC
1dHrQZfoEvhzfxgmQfnn0+mbdraRaFf4bUEF+ffDn3gqegxbEHdkPnCRYBHwhT9uO6ZmZQMN+S4a
irS7WWDaUbOP9mujwAvMrDKuOhxM7qwGSBGcudlpVf1kTopuLj2Myx7fvxhTKBpymBudubnPX2a7
N24LVY2LZOFkm1JNi0MOTYtocXIjNJsh2ztt8tD4hdqdeQ2nhKztNWwIo2/68GAgin18DdDcCnPA
2pNCD4PrcBkH73fQAvQ5NZLowJJt7GyH8LZwxd5lOEViKtM3spl0HGzA80PpCcISUossXFU2lz5R
xJFT0BpuBzN5PnO725N/mPTcLno66BEWYiBkQB9vV8EyqtgpkGVjyHeRF70IPS8Y9wT/mMcpz4Y9
u2keF5SGly43v+PYN13mevIa1GkQlxw0HwASUtpPln7jjylK67W2t7xmHzKNMvozhNCtevl0w+h1
uGs4jJ8yzTocpmaB5BjiVOvt2zxNoxRROJol90eLgdC577kt2ifXg2EPiWLjfFs08D++oEnXaL4Z
qo1cJ5G3BQX1DsetfjfXznCEaefs+2nVH3CU6iJa221seXI4sHTW9//+VH95cABslmb8P+BRnI5h
3Vhq5YEtRY6BCZdWIPJe/bnZu/TEj7Vq3MO/r7d9+ZMHhxEOsY/mLE9/mpGjEuKphwVTgmAamjvX
HpuvtSu9a0J8izPw/N8uBZ+aCWqjANXtEyqEr2X0AWeAJD1NW0wiTB2TPnKl7LDJg2D/7+f6xARg
WroOL9L1URPxUT9+UFwtUj3tmaC6B36D9hyVllOu/7kI39ZCvF2YXghK/xTO/0OE07o8p1eXdZHh
rU5sKqXd5lhYUvlO7su/H+jzwAD/3jxmAjLDiNvZ/v5/LtU6wdxVPh5f6zCvF1Old0caJPWxt0Dg
p7z8r8Re23VY7OnFwOlBP3h6vSJpEzyojJpw9sU5zFM6gTkjIteD2r/LVwR0Z1bvz2sUPmIwbrfz
DISZUyttKYzZM0b21QqJAkdfM3ksTL+/8QbDO5RjSR95SsXjYvgrQEFTVmcoKn95wRaVHRQXgEzy
jU+GJ9F5nc2hoI7qvHFurblI48bsh8vU0gEPLCrdf3/QvxSSqDG5FkI+DJ70U7ZrWzRyMqemi+L3
48Ovh+PxEO6iizmMv8zhman35zT4cZp/uNapBHhJOSLhrtJFV/unPRc6HA6/H6++nLnM50n38Son
pTFwT60Pkquo8VW1NPKDc/XHn43184PYm3UJ04C0z5NpMOvpyOGhi/rd+KyucXS7lxfOVbXHii5q
ozFWB3gLRyDjNF7vtX3w9u+v9nkR25ibJA5BDUe9ap1cn4M+LkJ6l0ekHMPCSKR/DMy82w9i9f/z
2+RSAeIvBggsMvdkCeuQNFNSYkBHDlP6OrJrsR0F/5VRzzKJO7JN4pyLqAs9+scXavY1aB8W8xxn
8uqpTxvnYbELkLEyO0fo/Ux+3WQmJkG+fLnNm30bP/+zhq3uDHnF6fNILe50SRYS5o6S5ngPmaEC
wtDT96om47ZAcrAvGhMj/dzs3P8Wt8Kqxo5H78SEJ7bJDE/vAnE6kiynoH1riB2w1Xy0i+YlIJbg
zOb6eT5sV/JIV+acyGs+Yb0hSipaF+PIqNDy+QgRdj12arXOLSSfVy5CKznVcTH8gmEafnytUEZ8
U3pjGXGUltPBW1O7RgtP/yq0lFnvTELaX3A6So3IL2v9Le90/7FGQ/uoUnhWdtoHPxPiGYoIFjZW
h8Y6Zw3GVL0QZ271L7OHlh2lOSp05ISnL2QsAGDgshRRVznOrvBmPQwyzCj6op/ObCfbcv1xocDt
gPcC/raxL0+/8qQHo7GAUYD3yvo6cRvvS2bJccehuHgmg8S1wMzV+N/HluGatHUY5+TDnJr1GauN
9a9FV67wcvgLBTFZvq/oLuICeqb2+Lxfopba5Gk2SwT7yMkwxpK3LT3cCqIMYWwdg9IWKkrtvqB7
ULtjQK2MyzLRmZggQPBoi/t57nFS/vd6+JchbloBqkKTKWWygX4ce6TgjuQfQDTG9am+WtrZ31WY
P5wZN3+7CnkOfEqWXf6cjHDcPfOgzjNEto4a8aQzzZ07W+aZZ/mko2ZlINcHTQP27jzSaU81DWQN
mxJKFbFdQzziPfNtoSc14A5LOCsdcYzE1gowxffXPZFwOEyA3EaAdN5V4Y/qRsAHjzooTDjljqmO
N3kKLXEIOpyLB3FZTdhq9lrbx7UErPj3l/jL3OJwx15By46a4lRJaMHlVEZm5JE5et4eL7E+hH90
Ba7231nnkLw3M37OZpxUmFwfPzryWOnQSmUdt1ZK7BXnqx2q4O5O46T2pZB2ejTXbPhSDqt7hCMP
oqc1wZmIxNOsom0dh2ruuWQiwTYnrfDjXXSugtfi09pVonTxeIa5euO0iw31PRm7WPOz34PKLNhf
pX7QzDn/wuJj/1S+wnOer8+/+iAeMUCMWVns47CiuzQgePSHRFrs7jAvlES0A4hbVFW+kzCJQ51M
1he1GM2ZwfeX9craCPzIWhG84Irx8WlEA2EJw4ESc2QrfwZR8B/zEg5NzekM+LDUnhzwzzM171/G
DNrTzZ4Kx0n+OTlUYH8Hs3dmQ8b5AnLEZBTX49RDV/OJ6Pn38MQTlSc4WZFdjvO0HP8Q4U97WYC8
ZVZnRFITC9bS9zYk6ECW0SqWRQWpS5ct2PWI+g8jA+LXnvJyDXYEIfdfmoxscfhZ8RJM2vUwNTlz
NMeaIW6MtXhaXTQfwEoV3MkAV0W5s0bP7LG2++ORl7SWc5lixPLNLFvjW+eu1veWNlK908Ri3krY
5BrNeMdF5puA7SGz2vLDJqPVAZTMOf3W52uDe0Tl40bl4fV9LzJjLiJjCqpbtKTuV61svKu27Bz8
zxNd3Zb9StNO+r1xCws7FbEtTS2LPNF3vyY8bNpQ1WY7hNXijRj921pX4X9WuE+TcIxXmaruqwUr
u980qd3ysNqVbR57jVRXzC967VLMHeAfi1hxiXU9uZM20OpDRdqmHaKWh0g9ZPMgQ7oWmnPXllh3
7LA19H4hg6mGiz4llzDj9NrHUFy6JMZGYGQK+fMcQAOpkyxKWwOdlEEN6u3rpIY2F9SQkiKE87Di
3KChz+aYaYH9PpRqbDHgNd75qeOkGASPhFdhub3cTu5SWnth5Ppb3fHbEVWlxcuQ1OkSA/kO39y2
xqUC+86y2HmVlpHEUDX80qBRK36EpjNcQ0XytbhaBx2b7oRgaOz0hJnvSSAHKGBEdfCK7Q7HdF8R
/XBYhxTKHrzxtY0NNCmXHJOTJSY4QT6TEgyNSaNH0cezKkhnd0iZvq6VbC+TGtQ1LOmB/ARywfe9
H/W8ikvhZjdERLjtDqL8dFP1wWIeRkhPkMtIQvcjyJ7+rwzgiu/Jo117JNN3O7uaAsanKkcHSqCU
0BFVj02jmrUWooDdERC/6KX/k8aMKi8HcxkwQUSjFjtTt2gxLG3l7HxtXt86lU4qErqcSbWjlQc0
31BCh1mT09wwFUxIIHyffuPsBOmdLhYLIqOdWEBz87D0UWciu9i1ulv9qGXPUb5vy0YL13l71a1r
SHHQ8lTUO6M0VbdfERf2u6kb+/4iQcSFqyQ92yICw+3XLZfDxgm9aaV7sdLWB/0ajc5itGdwoxh8
GJQuWWtdrVLDtL7Xy+V9GIxEXjpmh2+6VrqVt5uyzhD00J0qQOttqIoAlQanaW+o6NX0WVquh0Wq
wb2QECK6W3+CXX4AenbLG3NcvGdov4SMYe7pNce1k/BmU2bssisGf34kNCS1L9iY8LjPh3y+biGr
v0r2qG+ZVrbDrmRfhN9UI8KOYVp2xk5L3cm6C6YSv6pcmSmyhDz9mQu9eZrbklOJNxpOe407PGvj
oE+MlcIFNNv50p5gR5ML+N1eFvGCW6LpwweZvV89NRhoiRzLeVeu2tzGwzjJ9E76tMtD4FEbz9gp
+T/Ozqu5bSzt819lqu8xC+Agbr0zFwRIipIVLNmS7RuUg4wcDjLw6fcHvbO7TZAlrndqLrrblg6A
k57wD+5XIIIBeJk+eTCBr3xWiNsfo3zIdij8E7OB04TwpDjZDIzBbLVrPCnxIk5VK/w1QV7/DOqg
fH7/wD5DJ7KpbsOUBXCkojO0Cu1yV0k4drvMS3hQ2AdN1LQkaWmV7rG+KOnJo8n4fcjBOVPBa0FP
0qv+qkTCup5EZXT7UK/lvshivs6FRzuNB3EDhV6IdhtVbUpvx5dlGTldPSIeBU6iMT5PdCTU66k3
O0gUevKzyQ3j59At2viIwXInWKHGKkNQvjR8srVaYKXuFi8ZCDhk/Keo+P7+850JTdAophVBN0Ol
X7ymwtFam2ytByirYYBQfEgnAGtoAoRu5M+KpJ+FIpcJItMJbLTMRZNpyMDhDAbaWMG6pE1E/x06
Tv3Q982M+KUVxDpASfxhTaMvgCFEI78QHZSswCzHxFbHllKRe8WN0kNb0U3boKiAgpnsZNX477/d
6ce3IN4DBQAUQHK7LsGYRhuZuMXEHsQIx0M6Wr/LFTX99f4op6EJ9L5lAQrCEvXEqjSeWD39yCiI
oW50+SFE7Uomu/cHOdNfOx5lvZBozQ6xxij55sfj5vDV2378eGGISy+yirHqyu7qcBmC0GGT+a/A
7rav/abYPKW72IdydSGQfFMOPI6zjt9pVci0nBBxhJYBJ2/Yzn7rV152Kw6I2fjCL3by1r1DxfYx
vRqvop3iTTt3X+6yrbYtd+YWOtSmuJ2unG3tqxci9tOFgxyFsSRZyC5ysqxCXK0VLeV+QrcKRuTW
lj03jXAvUQ3PfG9wUrDoWKIuVabVlCYN6MQIbSYPaEp9MFtT3VnJmD80VVle2AmnKbita6AdKRZQ
osMR+/gYSs2CZBJhHbDKJYguc2hJ/OtY/dIaXX2LxirHdYfYyCeJzcJwZSahcmGyz7BhFykTB8In
RWTSoFX5LnHddhwsBHenVq8GShqpuC2Cpv9lDWp3N6G8GuAJpbudZyAP9bNoWBh+kmjZNZrAMF5m
wIsvNQHjVgyuoxxMLe0eI4saOBnsgp9Pa7ocl7bdMtOrJQpHU7eAlNBCdtxlpfytEEhtUXajS3Mh
W3qfeuvOT47IO0/aRfrU9N0EhFXVfs7pHH+DspnsprTX80tPcZqQ0BhSaasgjUVJai3x01UI4IQI
uFBBSfvgBrlcFwMu1DzoGpkNHU+dlMRLDbsA55Y5Ndj8ah4HIoXI/liHwni9cFScWU+UR4VpkJLR
WFprFPYZknppgsxkkKj9fjJS9ypv8A6pB7v3Q90YrxNR2QfNkeo2LeLpoU2i8TNiNzBitFS5t4sA
wVJI/1u6SBPy1F26c7XA2oNUMW5bOm4XNsBydq3mkVo4WxrCAeWZtZqBpkD2HbK28PpUGIsARYu7
HAe1mObsk6Fnl2ocZ04Qutf0hjCNMellr/Z230EzRBE+8yzqQXeAZasr2U7jH1fWgO6hp0clFRlC
e52oZoO06Ms4KXhBM8InmPRJ0o9t02dkE3SCvHl0PEM2yKZDlgwMb4Zv+fn9tXD6ZZ0FpENdT6Mz
q60hd7OdjRNduQTcgItBpVY62yZrp2dzNsU1wMj4wnhnOkTkwhQg3uABABtWZ5ndiwJpQorIEtH2
H+7sJr8427SPMiHLllFm3JqWkGDxjd5vEzM5BI49+EbqmGjRO70OJG5KHwxk+g7Yirle3hXWBSXT
txrI8XJDzYj8f+ke0CVcd5DdrgBTJqjPOXWplQ+JgxPENq9d66clqkLf9GAuHlQtbb4JOsruBtwi
GEFblMbt4l6I110gygbigxqAKywXFhaNEfk9xBP6Y5FF8luNB80i29CY1xFMuejCfjkTb4B85uhi
Vim8cF4fH3xTUrt6iMuz16QlkNACZgWBXQSizx9aa6FXDhr62A5o9semG8Jn9BS0Aey30d+6U12O
F+6PZcOsvqjOE2FfjOSOzdc9fp5GV5tknHQ0G+iQX7VwnKA+tcYNXYpL6JwTfUccJuliUf4BA7AE
xfrxWLpA8l2rUUps5sTaqaPTXhezlT2Zdho/aUi9dBsu2XDPvdDhXaQ195kww5tGs6orvMP6A83+
4i51WxcHJlkeFCWZrzSSsvRCerEkNquPsggVoHbK7cDxtopT2gggaIsSJX46g/pVjE0Le09tb8oE
dSu7USKorH11cNF3ubDCz+1CQgmiBkfoCHusL8ZODUQ9izJHx7GrNPzj3JhcFfwOTtpOad9HsAKA
YSdzC8zRlu6PPumHz67aN+q2B8LsQB8rmg9K43SRD5pAwsPqJyCuVlhr4sJqPj2NEWYkERP0ywjo
1qex3fTzHMVx5onUyT5Q3Ah9S6sv1f7PzQYVUQ5B09QWONDxsnElqTuaALiChmX/lOY2ZFcabr/G
aLQe2kaOy1IyWspnin5BKedMCsydRnMUoREEtLl6jse2zUGMxsBNMDeB3JPz4scJz89rcGCEipLD
YhrdMhh3EICn+8wFzoLvg5CfjdLh71MoeTSbqL5UKz73XCaq4YR7uAuBP1ltpVDHFUrRy8yjhpIY
fg7p5qmcqbvYqSuA4enJD6PG1lHPdWrddaF96lI1xUosd+xDIPMK+lvY/DkkHRwD24bGCbcIO+j4
a6EHpleYnaG+kXTzU05hZkv50DykDv3I96/HM+cWOQQakwv+xkXp43goa8KrDZpG45U4kfp11eW+
Hse4gA3WpZjjTfHz+DhAusR5KzO8df1XHxs/CyY/wlhurDJjuoeWl29dWq7JIdLC6g7+dYcWZVRB
l1LKll5PbQVQNhtXvKRJTd2mxHv6kwQPrG1itYsehFOGoNixyil8w8YpBRO6GS9sO5leZsQFyo1L
lGN6touJxx2elMLatXSjvoFI014QkmheMgiRz5qi/dTdSn2G4qZ+q63mmlZotpt7DDy3QKGT507G
zsvcSrZH0GYy3JeJ3ai7IG7FxwYXIhPQvApiu5Wsf4qriTv7iZYjaqBkCsGwUvU2DSwlj3rM7Nzg
VRvgI+7TzB05nOjKdZul9Uo9pchdBDlUBLMp7Bfp7CGpjgWdC4DtOQ5qXcImCscfQQDeeUPQOI3U
jPr5xZxGdAe0HGIUPx4r3MutRTMYtt/4O9M5T/a4zEIwhWmffRKhZV1K4palsppe8Ja6usiJgnV6
S6f/lovAL4cUZVAk5XNit9lphm/U7rCrUlO/QiskhEI4NheumDMHPbZgQBs5WtgpaHEdL+B0GLu5
wdnScyc4bCYo+w8mvPSHOVEt6rWjbfkNxEm4Dkp/NdDn8mOcjfYZJlQfa9Wdd2DzjUMIM4rMTpUu
5s+aeSFfP3PMvAHcbUSlbRsw5mrlCzPIlY7yuoffa7a1VTf1KVEm2wKx3m9xaPd3ANsxVYbmhOOj
Ke5LZVI+ZL017ufFLCvFRbq+8OXE6dbHBMLAtwEJM4p16/nqgHQbMXw/iMttfatFY4K0FqynAjdr
NXuFPj1iLNQ4SbxLmqEq6GqUsb51NDyRPadLR3eDDM+ILZeZxwCmsxihEhf/vE8RXiSYTakDi6EF
GnsrtB5Zk6CqFcXXTBQtoByTidL2FIPpG7KL3Svo8bblQQWdYs+JXfErngeolTO+y/f1ZAU/m7bo
ul3oWtM96srymr5k9VWya9oLlaYzC5n+GiBEMhbUt9ZdWdgiIboqsvGMWenQsxHtLzJVbXFoDTYJ
7Tb6WlFyIQY4mQ2bAjGYk6VvyT+uEZBBE4MmRu/Dq/GzPQR20lzDics9qOOXYtXTAJIB6B0uDUsy
QI794z3DvUqThdPFcwq0mvApUuQv2hgaHjJR8g1PKiJIE1/ue6TShidcJjF4oEZp3kb6rP2qde23
VWNwipnX/MmU9vQaWU37kX7B/PL+7XRiuUA3egmMKHAsUT6IwuMnbYPGNGMpKygMpkNvfMIadtsN
02DuDE1O8a2WuKXtk2Vhm5QUMYCJQB8HGp3EbdTHkFScvTBHvB27gnAY7vEhkBd29xug8ejgs8ny
yG9VJPdRJ1NXD1m0bcXsCQjGVBq+j9SOf09mDvnJzfXgxcZ71/bs0Zp+hlWSPPezirBQozeEOKj9
OAbmVVDkvMzOJHwjbcjDg9pXIJeHDuHCA3qQxO7ukqEZbtvfAzBHFoiCmd2AUqngZSHnkvY+okMY
K+g0OCtoJQAu964oZ+PCMj1NvGwKdcD1mHqmA7zM8YwYdlvYQzpChe9z49AnWvRBlYaxyyUqTDXI
Wn9O6Rt3GvJaUUdTwYW3uq0xPvj/ehLgYGzQpU67hn22XKAiKzhioi7/6tAe3ehms490BXesUNvr
/bgDy3Owp2Lw5ZzTacvcC2nG28G9mnrKllx4IKSBGqynPuCgKht7eQa9Ge5AM3DTRH2ifrWQtwrw
s881DxQJemM2ZtlQADJ/UDXsSQA/PCwoE7+JivkwFIF91YSReosVfOwHKC1+qAez28VFIFGwGcd9
JikMTQG1PZpsKrz5NNtiv1DvAPuE21zWsNibFueoAumBUm1RDC8d/cbB2u/5/U15elLxonRjwPkv
ELQ3Oey/3fN4FGZt45oENY0bfEJzlRip7OxdNqny8c+HIr9loekCeSlzFZ0iG5PWbQwpojNo+WmZ
hU4h5uMbSILl1ftDnZlKki9KL0sRkzcTq6C7tTFHlODnvKI1Az/tpsJXs6bcoz+tb3UzHHwTdQax
sYYAiCWRoB/A+cYah405aIs6l4LtCn1KG1ajSExyBiW8HomDvH4o5YsuoFNCusc1WYuyp2wcw8eA
YGrbpjS5m7QKEU01khvd7MvdmOYdjdyuUA/CmuShwNDjg5zK6hKY5KSATOF9ueSW8Am09jpF1yaU
LykT4j1pT9arGhVZ4SN4pDzYVVY/uyVIEw9MZq/sM14Fti/FtPiKPBkRziGraCQhI98RG9SK3u7S
2XQ/RrSlK38cDPWq0hzYnHKwo3xTAlV81ttK/Hx/4pZ5Od6C3GTYBsOXYxOS7R8fSMIl0Y/mN9ps
H99pXTDey6SZvtqTS3Fkji+dO2eWP+OhJwCPF9jUOjqAMza6sg9yT9X7wNhMox14xmAhjGLmSXMh
PTvRlkeUlex06R4T4cJRXkWORmzQ206VwoMuF+yctuluwi5WnjuUem6g5qJLmcIe3YxKYfvTIhoz
qBFKEp1WQwstHG3//tc+KVW8NWq4kFk1FN/WqSm+lIOOH14ByRD0iqTtv1ciXVwY5dxrs+st2k8W
XS5q4seTiqVEmuY9xMRyqp0PSMSHnyddZh5kpugAkd30gzQ37kqEwB4mbGc3qJ6MH8xR6RG1G+uv
77/0soRWS4znoAcGU5GG2FrpvsODfEB4DMoIsriboRuolo+Vvmtq2V3JRri/1dAlSHl/1DOf+mjU
VZQGjSMNUBBh/7lgTgDhqv4QjfLSpxbnXo7ABX1oBNExJDn+1G2WgjtFIMXrGvGMD3j4JTFltAUY
ZXiBGyccu7H9EsMyfGraKd1OOGjuMgI21tikfXaiQLuA/T334oTCEJu4U1llq2IR1sRSK0REywzv
2m1oKeaViR78hQP/NHME8wvt1CW+JH+Ekn/84rYxRzpmsmAfSBK/NLnTPEa6NjwjKx3+GoNJ/6pX
epttyzwv9no+Q6dFdYX7gRANY0qRZo+JBJ28yYZJe6mN1rYJiWNsGv94HbxdfoD9l17KGoAddZxD
hc0EhfTSkKJysxsrlebh/VHOHGuUrpE/RtZb5x+WPfC3Wx1ezkQ6CAxiclAqmvt42s5ZAurbcrUL
kduZ+UUIf8lzDPhysNiOh3JKdwbBwRky2WH8oZgykItogc5P77/RKcWWFO6toUzBnChxDew2w7gq
XAPNnBFjjidgZRquEjrSzp+Aqgz9LulxAfXiPhqA/XVyRJWttKttZjWx4itdJWO0//JFNwlDrGoj
IXfkflDhAfPnO10A94MMD+xYnLBKsX5AEa2FMVXOoGPpUbg3KL9ccrc6M8OUOSn+whmAnrVGmJdR
qTt4cWPbpYUF6mpqsxWKkUuAufOlLXzu2yOfTL2Dmabeu+4w1SaCOlGWg5ioBrKBJWXJa624L3Lq
vVmpobo3i9l3itK+1QWWhWlZKF4QGu79LEPF79Se6Ld2248j2K8LYfu5p4P/x1kO1EdQ9Vzdqlo1
uRHkOZyAMW7pNjNQ01cdX/AfhOqaczsRl1mHBM2BuyoRRrlts6J/tIQToMDA1ggQSFLzZuPYI+K3
AnJ+sYGzrl0CJZzZKI4OKgvNRlooYD6ON0oZopm1oJc86hT1odPhzc7iYvf+zAVAhAdqeTlugYEv
6+ZvO98oafEVY1d7hVqj3ZizG0Y3aHwdNz6aAXGM4z3ebknZRHclOrSIN7tz9BUZ2pdZU4QP+Ki6
dDYvZ+/qxsXIUYfFvawdkuvjZ0KCtAbPSre4L+3hY2W0cNxVmf5GIHneGcPUXYEW2SpJ/tqSTm+N
0a32A0WyC0fvKbXQpnVlEIbY1K15mNUdgegmFtDdjMdFXMjHskvKvQySZO/2ujy0aNf/MKpM3fRO
Ej0n/TSBgh9+pQ62wgP6NzCkEXjW8N8TKInuSgd+20hCtm2NUd92cxpeOFlPAxXazsjOwKAF8WWY
q3WNjqxrYgKOKLECErbleLtFrNS9ycSI9RB0u72SDc6F5s7pKgX0wcZ4+0ZUk1YBxDCEi7pwJyl/
qO3tVJrGHSgd41IkfBrn09DTIQdTEzJ0gu/jJdFiee2kfYOCUuBmP6pW6I8l+KcvTjUYd2gnok+B
ppr73bIi5FqpqeiaV5hISSHwEmTPVtRGPxqY+HcSoSbAus2IDCEORPbL+9fOmeckDSGdAnJHK289
B2XWNUqrVpLoRQuuMuhhOyXKxeehaMQ3AOuXLG3OxDE4YUD0BUGFVREdz+MPg75rFhMqkyRXeZZu
jB6YNTcKhn2ZZsxfHL0OQeZYev6jMpLpAYsTe97ZZi/KLTXYdNtIwX8oCXOSbR1F1XUdJOmro5kE
A+9/mtMbaLncQHOSaqrc/auofum14FNKxVmDuUB1NYzuwpbCRZdSm//zoXCBo3oLzYlsbfVRejPu
klhQmOnRBtoiQ4ibgZP0m8kaL7XQlqc+Pqsw5yAjhGxC3ZYu5/H31xtrGo2SDkTbGRkoy1l/pG7g
/JiFHl4ruK6jpouaNKFUkilfKqbwwil15rMCWyNqW8Ipi4c4foDQjTPEA1UEFbRabsOmd/3CKNKN
a/ThhSjxVMHKRgmVgVDtIFREEeB4LKdIgOsYy1hBWjheBf76tahhEG6QL2/bTToKJfdQj57dHZmx
OWxtjqH5qsospOkVBTnJDXEmdq6WdBV0YumReVbuRKGHwlytH0KMA5GtDju5dUNdBr7iDsG3ykKK
etMDpHdxGiBDuLAyzxycNIBpiwPIhSC8Jg3FSo7zZBhAwcqm8asxqeXByQeUJ5E8/gheBGy7NqZP
76/RMwcnXjzAN4lS6ZitvRyckKJdNvMtAWEE24pC40Ykg3ohmzoT7LzJHSx4OGhm+H0cT9modUPa
aC7DoLW9qXOU/zdqhAKkgvrAvInpvR7IM82Da1TyulJNWituEm/RVTcAJ6HlAX5P3bR9be+tPg3l
pZP9dP0a6oLP0lhbVFTWG8iOlhpqBn1HqrnTo3hsuSArKxPcka6BvU6iAXh/lBeWilmEsHdTaA8a
ApYSdq2lB3a4KZrM/oY6PrIRfQQEKFLT5/cn6/RYN8Cw0YKiE4El3LrP6GQG/alKhWOEq8E3K4ug
SaBs4k8WIq6bNrOi/fsDnjYNSUz5PyomHGS0QZYn+ltclsLt6VsFo9C8lGKLEJCFyHfSe80k0q8c
oNh2VkHtbLXEkNdmNg67usHhsB9F+NipjXVDy/nP0W30MOHsm9RkLJpV6/0vZidKwk5XNjXNEAxS
Gsf+mVZR8jVgx78u28vZwq6Ki11slLkJqkOVTxSn8nIXBA5WBFxl9LDjRgteBCBV1L/wcEiu217h
vn7/C54ezLTROBEJoSmkMH3HH3CQTTOotaqAqOtx6+ibbPC0flA+QXjUkQBQEWNXQ9xuvCCCmLXR
tNrevf8Ip0vbFBZYDorKoOyoUB4/QoWaLeE1Oo5NWH23FVe7cTvxcxhl+6caB9gWWUBHuVRBhIFM
PR5IiShEsJgYqB4CT9PShE4pHYj3X+f0xOLUJx0xgFTRHV3TzpVWQUDUJs8RaUDIIFv0R2NE1/90
FM5EVhhEwuUoXpMpzWlQ1bbRUs9uSm23wAt3iEiGF5LA03ehNmDRhuKzLP2F1ReTpMOLWjseq2lR
3FD8k76DecD2/Xc5c/rSEyRkXaIDInNnFR20bjcLTQaQa4fUvY2rcXgNKSrDX0L4Zegm8wU3oWQD
wRbb3w71tkzreh/RUuLpop4RFU6CmyykzISWm33hOj9dniQJGjhpkgYSwLW/FgeyFgRZBpPUkL+C
NNNRI2vEY+Kk7bcL3+E0o1sqHNyutOtMduVqMwpUEjksUmWDs1W70+pZSzeJpjfXHZK02zaho0ij
xRSepY66H1hR86lr6vAZ6WP9j+UkkE0gr6MExbtz6a/mJCmoCgy0e7jYAC4Y6jweLD1ML4Sgpyod
vC8xOcckqweKz+qVQ6WbglTi41XodfrZ5b7fxA79FRSLQaEYakLhAZX5tO27X4LE0Uffpv/x/nc/
nWHAzeRM/A+KOWpzx+cCnGSIjDHcsx4lsl00kQJSs+iQtZeXvuqZC2vR38Hql3Abo9Y1iwMzPM7Z
vM08B8hv55tlRgVtjrNWu8FSBOz/EJnm76yc7XhDncq41eSCiTFtWcwbA4dXHeRSn+C6COjEvnAZ
nGlcczRycAFpxHBcrGn90dCGUSAyUiHTiFsPC6JyDx82+jRrpvITKVM0JLMOZ4AxafsHo0hw+DEx
090svYg/VntYin3sBX0BYKP1s5oWLBqySGnT3GvGLgOTZuQHC/HqP719FgQhnBbKiuSH4KSOJ1/j
TVTy0QIWhqr8qLK4vKEPPu+cyFT/9DRlKID2Dgq8BuOt5x59UKOi21R47iAiv09EuCcj/+PKMdK5
qGmh4gheE20Q/fiFikCJx2lA+jyMs+pqJEL37Nqx/ff3zEncQEGd0hMFKDYu4NDVvo0zex7RAi69
zCnGzzKNxWcErsNnWzTqAeyytQkttb4aETOHzTCXfz5rFIEXZ0m2rspDHL9kHPRuWVhkUURYS+nU
LVinHVYqJVLA77/pSdrDfDkLIHjp4y8793gowGF5pDS4yel6iStPvil0DTOna+DSyJBf9NVbVvVR
pryouTCB6hvqDJ2k4+EaBGTcqicTzqGFb7j8C9/C1/UgrcGhgzlbvp4m/R5tO+EJB1MbiF7kRA5g
Bs3Fdm1RE1jUrfvH9z+D9hZSnD4ZXQIgADSc1reTM3DpOBJbD8oDGD8MHWLJnipr1QBQoQ+uZ6Yj
JhBjLsJ7HsAqvQm8+Pespg5H214Yv+IQlOE+AifwfW7FdENPuttLVFJ0D0UgHSB+XnDlhZU5oSxA
K30G/ePOLZdDloMtDrXuEUCF1UJKkar5hCdEB1QAAYPco/yKgVakTfWnKED32DPCwQBl0A4oFNv1
MOXXBJ8APwsOYA/aN2VHNVSwWm4HnF+2RWuksR/xre8axQ0ShEb65qZDqCrdlC1yJ5toVoNyH8lk
Rs8elCqU7N6q7+hLOcmmQc59ADfaicgLpK58T+x4uHEjEHuw7WPBIg1DDLG7wVa+lVZbvIR2oONp
V09fOrsRv8KkVL5VamyCExBmVG46PbWh2mqdcocBroKkgjFUqDwTHckP/aIx5Fd9i/ovsRUyyqk6
o6AEeiZRDrMaxfvRQPton4dWNONSUqFo55QVigJ4wKm+0ujutxyIOTL9mdC/VE2BSqJVtNMH6Hh5
shGdGbT3RQj9y9O10AD8PGkVpM4+GPRno0pyXi5Gtj1ULdQUdEPivpDQ+0Q6gAv7vpK13mxGYpZP
YIF1qNCoF3yuiyEv/M5tcRwBz1vbfNp6ln5QL50NU5tQjWpcG+WTYaq65xmLwk+56kSOl1SypaXK
Kgl9B/QYaqD6PM7Xc0WEjXBnkdN26LjYsBqghu/3yLL2G1aZZeLEmtGuwwgIo6qxqFDYI0/WR58H
Lws/hTj5K5mbkd1N1VPfhCPmNEIrXWSpXBOjIIBZ3XPn5jMJftgTZVJgTkEwj0P5i0ytG59ctZPP
KepfwAUBVyl4jhl4J9epqnmt1gDTjgmgInBWon8osPoFw52PyCGgPB4uHdEIYxb85lCrYD9FmzAY
7M/IhySlJyLXuavmuv8g+Jqa19kUz7DpMIZxOzNX2N3KeWB6ssVrgMVoT5suSZ3thGLwuOkayVn8
/lFw7ogySRUhBUD3I90/PqJAAc20jQ2kZ9XKuS+LbHxqGtW9MMppqMRJ6HDKEyEu8pDr0JAagp6r
UQI9Zci2yTDvAsPF1lf9ZIbmzi7MZyA4HxJnRkAJ+tWEMeJGhup9nfcXqkMn8SFSULjMQlyiIUjy
uDqSNb1y2kGH+ROIKfgBB6/xi3JubqQVTBdSodNPi7gadR4HSSUuHXdVwB8MOWSEfYt1aWXvK5EF
v6vGvuRdemYUbcloCHnhU9LMPp5Aw51Mu8Guw9OsNt0NRmh8iuMmvJBun/lsxCAElDQ9gIytW8to
kmNcU6GjWwd9irNEPe8w4lpE2e0LidOZ9wHZRJcSuB0qomtZwVrQGbexlvZMh/sxje1pF1SAWt9f
9qeAG2aEfih4iOWCpuB0/Nk62DVNEuNEjkZ2jatPAT7bm9V0drZdUAQVGgljJxE6QZt5oyTT8CKF
NZTeaA4JXhOV7A6d6LL+wkY58/YEyDQCLRIK5P9W/bcmkpmB7DmSHXVhbSHyOdtUQ0jn/bc/Mwrc
b2BWoF9oTaxfPpjHpE5SWjZuiOcFxQcCTBfHlvdHOS0FLKRLgFNcmoizUnQ4/sa1jQdTZtkVMWsw
POgpRjWbXnB8s/+ERw8t2k60Vz9igylgb1RyR0fWvKMQ6H5scJktqa7Pr1DYkoK7M0s+v/98p2Ev
X5kslYKIa9LJ0I8fz0gca+4y6g6ahFjoxYvsN1uVsz6OjY/zaE6fQfwhAGVDacxprx3eH//MnqKk
6CxaFQSkAHKOx0912eBgSRkYcKG4KgusW7GgGj01Q9Xjj4eisU7JnYoZCdIaOmx2qdUPiVZ58Kuw
M0Q8ZEsdGfZZbV8qmZ1WARaGPYVcegsLgGyNsMTtNQvwVSebSKbmEOGz8pzM7vS5i83oSkfk/6Hr
tPRjGIQxzWHdegGHlSQX1t6byvBxgMtTCHDKwB1cKKqryY1oO6lBDBbGQhssvp6CWf0SpV37I3Mm
3hlSht1uBjkUzg2qXuI5r9M6v1FpBaICB7z+eVJM/clprOwBmTO99rAflYitcNiKTT+b1KVFG9l3
9ZAb5naeB/VX2g6jwJUzpD6P80b+2wmGWvfLsIyUDVVD68L6PV0/yKHR6iCAR0iaa/V4/bSJNVZa
MCHqggaWT3ZheIVM9C9wIZ0LQ53mTUs914AFBtMELOTqWDLVSkDTQWJ5EiLWr2tVn51NlZTGnSNo
iV1Rf6gAdA+mvKTnfmbkpfAOO4UiIc3e1chWLSdESbDgGfWhfS4SPEEMbWx2wpbimx6l484I5B/3
PkCf0Ni0YNFTyj4B5GET0rB6EHp15obmEVoY5gvKXOZtE8QzIUx6iTj8Vkg+Wq4LD4bznmmk8+Gu
27cpaYWKUlvlpakmn3JEPy1Pg5cpdjJ0OnGYQhHWuJkJBcyeC8XPSavsyXaLjtO0zaKHeAhIKMpK
QZ0rI7f5ZLe54cOH0KU31ijkHrROyp9lU9SPEbea6udmFH/F18hFzxSzjocGqjJGjYWj9phGKR1p
g5Jk2yos0/TDGKSWssEwUUJr6qq63khHyTUfGLCm+GQ6xm/FnpriKsExGXtp2aCNK2tkCOM5nb7U
Sm1HfjUnQXc1hoQnm4JTqvvTUw6Rc7Y6rUUwNGQWy4b5WwOpNpEdQS8JB6+5aT5QGuvgGGAxbEAv
8N8/UJer63i+AI8uMR18HXbfun8aQpJy1LjvKGHb2W2qQ3ZbtLZqrD3D9mrBTMF7sPW7oExR9nt/
7JPbmzIJSriojUJipTexujdgailgQ2ZET+iLXCPOKz1+QPz37fQ/fo7/M3wtH/77ZZp//xf//rOs
gPKFUbv613/fxj/xzSx/t/+1/Nj/+WvHP/Tv++q1eGrr19f29nu1/ptHP8jv/8/4/vf2+9G/kJOj
9PWxe62nx9emy9q3QXjS5W/+v/7hP17ffsunqXr911/YORTt8tvCuCz++s8fHX796y8A5n/74Mvv
/88f3n3P+bmn6nt8+vdfvzftv/4y/kmhjEoZUT0WWsQOrIvhdfkTRXP+yVIAM0X8trQXlpOqIOmO
+CnxTyBdnJ4sShpWpFp//aMpcVXhWex/LlfkQoJj8wtCvr/+94sfTdH/nbJ/FF3+UMZF2/zrrxV8
CxkfhCHoegPcogpqI3F2vAMG1M3CSCLBY2Y9fs5FiAjgla0UFvdShf3dHKaNSsly0uqN3Stj549Y
0HR+mE4BTYkOE3TcfPER8vXAdGukCGF7b7s8duot17dtLPj0YOHb2Hnlu/kQOY9/+9b/eaWjV+Dd
j/YWLwEZhR4FPSS0mKh5rl6imlQqdFn/u6P23n9kUGo88MEwdx9Bwg/oWM64XVpcC1tFk/1N2rrD
lTPoxivug1n4lfC9E3urzkXnlQ4GO5Rn5LxYvRZ5hCXJvFioC9F971zD7QAyalbq1WIqLc+sbEgr
fWZ21k6LZ71+qpTA3SRGJsoHxQ41sR/hflIAGg24V3MfZAHuBlKFbmeh0egVc27huYXDGCrVFgKx
cT5TdUEpTD4oOuk/xCll0jCYTBDZjNRkbHGqDDrDx0ZT+RzBfQH3nEN83reOWfwWRROJlqY/LL5Y
i+VXR08t7aZF42UfoJoIlmQoXMzeqe7T8wiSKtp02HV32xghU3xdS0XVt/ySDwEQNX2bFcP0OKgV
plxirKavaAEgvjCinKQ8gUMt011i9i46fOMwTNssTeJPMTIagNKzeNhHRUikXjo137FGuTTym3aU
4zd+WsF7qRr74RPgBkv56MIX6HZ1YKoxKiWl+pjkUjNv+zjMp51omyH1+9lVsFKEIv+15YhF3rFv
MByMpr7+JfMosJ+iAjYAWqVmNV85AGRHLxnG4atZgP/ZRc4ELReBy2h+6Og4pjsHn6xhY0oNxO0c
ay5S+60WXZtD33aoTtr2XagKKRY3dY7nIIl5C9x4Kky/ZeQe0iHQPw4UjUuv5Ky8rlpQ21uj76Nx
NwGJMTwJSV3eofJRVcQEjYH9KjSIfCvMXpWHDIZ5STkpn69tXcZiA6nY+dI1VAf8vjeCzBdmF71E
ZLfIuRlVamzNAJDcAUHJcUDKtsjl14F63e+yirIQZryBSXJp1uOD3UJY8Lq+pIKJPZHxXZPAEq9p
hA3BLsD6wvFahyxq2zRdIn3CMxFtcYoLo88Iyw4/9DLBvrDEN4WdBAJn9uM0qFocbYNOv58XaMN1
OGr8MiMuG/BbNT6VzVbGSo2iiuTF+Lr9/2LuvJYkN7Ys+0W4Bi1eEUDoyIzU4gWWpaDhUA7A8fW9
gpyxviz2XFq/jRkfyGJVVgi4+/Fz9l57dZOTWGCbcvDMvrEllHm5NnAwjajz5kl7quzRtw++ZrDY
RtI2phCNHT9UKqPKIqNflutiAvW0N38uxXHsJ+LiimLiRyAdGJbPRSSOvc80tXIlEJm1IAcZLZHV
PwDRVishooFciNvVSkK0irAFsxS8LozfFjvK3YW/eA2W9sMfiDW/r7DUJKhQb4/rirTKeZeG5N9r
rWRr+POha2cnT3d0L8cxMoe1ac5ZOXPfs9wKixtMuC/PTic827nW8dBPqfNu9r5wDw10AfqLitZ9
6xTDA5+JlYd5puwPbUzKs1N5471rzFqHVyezvxFICkyhScSPoqz0Pffl4pSl7LrTYDoHORDV6RIZ
X0Wpb077tG5+gW7toxUZTLplOkJ2dWWSCGCXep5tC9HDOiPs2YJKpKM6a4pEf1smAyNzVZoxLHL1
sbS+dyc8vXmBOlHejoNUfM6Vjj4W24aFga/JZsSI0tzIJqmjXojqVScs+9A5s7g4MPdnqpq2uFrz
2AK8JG59n9L0QjCtvOylWpwnP1t6g28qz1NwAtM4PvjmLGUU8BPo08IZMPl8sIzyV5AKs3G5HwLG
qoI0GhCjrpuScS3ZgNwcotbw1CPtGC2LSBh1rq5Ri7Pht3wHliafbz60G6HbOSpvuaGcfPx57Yih
PnX6/FG13Ab4DH11vzYS7iPw1Zj5LQSIanwpvbG4U6b6pRdz/0b0tuDW5iRasSGfu9EOUy2SN0j4
TxIK8GHsZH/m3VfR5Ev5sQQzUUDo4A9lMJdkEEhGqSWP7oS9byC8sGiOq82CRow1zqFG0xn+cgDa
Fm8xK7cwpg6i4i0YQ3eq7JcUqn5ixwYV3ibIirguDt1OD1Ky8VpGVPcz9u4ynruu3zrgVhjU2i6i
7IwzwdwUXV2c18BOia/PBvndz6qc0Tr5lVp0c+p9iTWw9gZt8U9grwJUFbGk3/Jcc/U4SXT11M2d
u9Pz9Mb4IVqnjDxQEv4msAszFoAy7taqKg86DqEdO4k813OJVoPw1CMy5W5fNd76OamGnD1pynrb
ZS2ZCKleiG8cjXTHSrJH9oUoxn0t2j5K18yowtFvbPOYU754iIQL0pQnyTfGWKGcfmhisX+62fQr
0UkCTCtB0CPV1Iuyg+TD10vvU/MXjML20H4jr7ppw4JAuw3B9n6N1RgEec5zwV9VBgD1C5LkTno1
dY+2rZIIh8OSR5A52p8ItodffjF0V3b4rsOFYzp3CI3G74Yxek/4z2XUz4YGkSRZvbNs7BUqSwXm
ykpM/6E1lfcFV717KDQ3f2TDrOMhT9e30pid0+hnBrtNm1z8qly/D/pqvEkqrq05QAtAsxBsWgWD
qtGViGq3TaePMckb9g8v6Ack3dn6zLjawsZf+rdybOjbaV+i6Ag+BEUluYkVZF0ChuGkhEbe+32I
Pk5dMpG4H2W5stjNdQrC1XIaYIM4mckTTmX1i5a3bYfF3A6vfu9y9rMd+NUmz9eV8yS5hdrmo7lt
spobjTnaHMb06LkYEgGM/JBwzYVeUa6Vb6U7TjBlynU62U4zMbYCHLMbxsEnEtWbcJiQLTvqD0r4
w34ca+cnURbiuGZs7qFjWYuL3set1l0GvS7brKbKYeJQjNmQW/gO/JcpMEg39qmC0YswUmebSwvH
fzc7XvRm0Z3C4eq6uPY+MW2ikrVhyoaYIqiMhM3iigyjaYOIHGDtp+nJTN8S+JkjkK9UMG0cQAHR
FCzjdl6SdCUecsqJ0lQtezd91mAKdcmkgrIEvGjrCJlHJXmzMho609UeZ3JKh0hMgZfGPufmQFy9
URmfIreNT8m4ZrnKQOlMMWy73Tk5pRBngA5JuIHJnsXwdVt5damU8rORLMxHW3x34zF1ZIBun+28
PAdFMLznym4fOJH96WjnM37XhKqjAK6Tc3Kpvm1/SDU61U4XyHx35QJIeustFsdHRQTOHlltne6K
aURAmgV0YKfVR1I6zw63+MHSqVrtpHCNh6qzK+BCwTRdnRlAfFhmRruTVhmc6lYGfmxS4A2RbGZ9
r273DjaT3D2ppHX0TV4uxd5K0uKRuRnnqt3azi+Kozu3LoyOz9DsvKNhDQtDW3dtJuadwbDwSCI/
3mrJUpzmEtp3PfitvdNlIstNlQ6lfRI1CaOxpvsTom5t7gmEos74ILQkgSi+zt1dyRlKUPgiHuwk
q4tIl3oAmKXVKTqWielaBCxBZ76v2YQN+6VisVdc3WLuMxTrK2XAV9+k41NVrBzLEHXKS0/22s/U
8Iat0jK4Gg7VFpmZrnZHkGz7GRhpwO0oq/jzSSeZTqIfnuswH6eiDEvVSGjy3LQBGq65SzDtgPJ3
3zRCEmw75RbgpnpuSsDca0fCgJeaViiJHj/rTeF30SodxstcfEZ301oyfwWYMzj05Rv/fa77FH67
rXokRbn/2lk6BnOaHBy6oxu0h2LKrCOjLQCkAeGZctO7DS8zs4T56reApDE88fkra2Qc5cnCO7vT
7X6X6tJ+scZSfNgky+64SRWfdm5RzOP8XH6Yo9E9+CDfFe84AxuEr806NKZFd0ev9KbcOFLqn8mQ
Eqc7/3EJIMhzMc+qLF+J2/WTuCdWYd1OdJz8/ejPkLVt2OUaVxW6auFsJL8sZ85Peq4vB85//4Ao
eTwHjLCLTadVso3qDOccc2YNPT3V30Auj2mtbxmSuldpEMwRG6SAPxGr6A1xFtTWiby+/IdpJQBQ
u2Xxr7PPEwaI1TZotbNZOEZvmRthT8O+N9P+ifKbtA6Wf+iTX7xvk9uFMBNMi/ngywsgNXEA3NbH
redlh6zNfjjuSKDHmi8HFt1sIJxJp7DskXOHzqi5e4BA5Vbz2+zBzp3iZ2/X9i9JcstjDZbvM1iy
4ClVSQoZyYS65mk1A/NmRXqg9413dVm+P5N5gZ3ecmV5H2VKbpnI1gwMcz5X3a7rlfdh9MKaInfQ
GVDd7l/+bLj8NwA5dT+ZQbYxMzFu/dIDwRBUt8yIZYJubDXWtJ9MuzmqMV92HJYzLhHj5FeeNzIW
TbU2RJN41ak8dkXQv+Wel74YmumezN6+kcgsc7/Wy57qDTKR1pnvTjujb6m7OTsZYlitmOKk37nK
bK7kvtIs5GkvU1QMizwsqhrQ5RnTy1KRz+elFPCdbm0RT0/3w2jKLEwGKzivlfdDLIa2hmWS6SzR
YK1PPvkd+3FaWSNJKkum1rnpH3OxmAdOn5/ZnKY/XK2b9iozrNhnU22iQGjuWS+83orQ3+ZiMzpF
wCi/GrNHdsnqgse/jrGvBWwRLU8nZ31A/i3jw2A7q8J9R9GcbuSQFpHVGpS2CC03gABqiKdTf63z
vIkza54u81r9dEb+1KRG7dC7VnWyC83cI/BguiRrO+4Mrf7pF60V52Rk3wfV4K5UeIRubwtm3c4u
K5vxzhbD8ACRt9x5raEde5CBVQx7hMpSepkXcgvRnbAnEgRrabBaWwhK1NcAcbJN4YviqI/J9EBy
wxchO8uR8mLcl8rtz5X09BDGjX1v1kP1OkFn6+LF73POZg76txmkJ5KeZKC8MFGg9H6Qz1urynmW
eD4PAK1ya7+g4/lmN7l4bAZ95Mu3kimEEFWNJ2OuyGOf804P4tEspl9V33FxMahq2CcDCAp9m5e7
WXPVN2+2q/uhbVt5ZBY6XQdPYxFBXGK719ai/6EvWU/BXI7AOuvReutH7oR2L41mV3oeSDgMOehU
qDpYvSoVRN4Aed3zGK/U5L2d6vC6cvlk+7V2oBgnhyLToVpbtLRnTkTdiVvYtTZjVnvadon5YXed
cWoKAdW9MYCrdTO8UZBKn/qiewB2PLj8RbGcskRLb+GuiJxGjYh5qThbe2SUoV+CgutUxt3AGBu1
7z3LeFlGD9Yl+4JTxu7Ia16YsLy1fpNA7F+ChXZUUF7TRXSfTtq4FbfzQTyrJXnuh3S8rxYXN+zc
aywcr7Rl8dw3E/n2XiAJQpVuMV9ze9KSe+VM/mYixPq1IaslxsA170jJLtftgn7K5baiq6hbiuqR
enDdGgRhEXtvOP03gOT9FznDPR2zbvpONHHZR9JaY5Vr1W6qK3tH5akRThHM9nGZOgAuxKzfcQB2
36ShIQlw0u4mDhBcwdbZvJhc/cVOo1t4mKtqPgguSQ/1NG09jzDSyEtV9W3Nx1ZtOHqDg5HVp5I4
wRDOa7Y37JqNQq7Z3hP0UGaKdTrtrvR/9rOubgpaLm3RSAIfNYCr9eNu0d31gba7fO8cpfZCmsN4
ZbistiIbPzmO66cCcWNMjF11RaJzkLzbnQQ4gxXfLeVPe3Zn57gW2GsZ+PrDHJNvqH2uvdO9+/WI
L5o8PEH/Foabl7/naaM/9j2CFmctTRpoev4RlEO711JJv9DTnkRCJklB70HtqZmRs42WRrXNPVmE
2uzW5wk/7IHrZLOz+sT91GoCXMrUyi4F39JIRkoRjW4CFjFbneZAr2eM5sFUB5nZ2uNQcBJR8zgs
BevR8CShyys0yYxjagt1zr4kNvovkXtaFpvr2HTE6lgeIUO+gdDBc7B6631gfCSSyo685D4hf14T
p0BATI2mtvn0MosarlK/DMRR286s8lezsiSFVZJHY+AUxyXI+kuZru6d6VUv5AU1m2ZqfnjCR9cz
DKygoR4a6KZziMJpeB3tJsvPmt+Mr4PtaMeu8ccPv2FOy9WgFOa1oI5YPhvHT2nCelKvojGRhYy4
D7m0u6AZ4t9qa5v3SKuv6a75WtNMBSQGcDnTu+HZq10qQKvn+hKqWycosXO922XQHqwQvSNVajBC
rgzzStNfVGfDuyOGtwrTbLJPWqPzG7jYu0BW5vqZE7eftm6TU0uJWaROKKqU9gBm6KmOjLbv2tM4
iiSLREZRFWZ+OeexsxhLe6YyCYqoG3u2mcUGywnJgqAbypm6/CfVyP/UMYdsCM0JARAart9krZ2w
EfJZwU+0Buro11J39mq1s3KjwCxsbCETQUO/V3deqbXv/7lhf5s2/fck7Natx0iBm4TZLPKCv4Gg
fReLsiHWL5/R4gWMIektyiiilaYr5El4McKqUHompV2jPtD0f5Cy/H3kgcOK/DPQC7eD62/ghcxz
Mm1x6SSvuoGSsNYbjwZikOfqe8JofnpufdvQ2fnJckJzq+vfiqKwhy1prFR0cy/pz1Dz4x5GZQg+
LZGaqk5SpIm5czKz1iK7hBV8FUSwu6GhCkv7B1Hyb9A/PkLqDkTkTJXQyGMX/m3goWVAhJVhE8hk
MGbdZT3wq1BrGlPfTBPdOYhZhlFRKpXMdLLGZxhDNuNtVKMt86s9lHVNdpW2TJHxx9RG6zRkC//5
a/6fXiR6ObDWf3AKeJ1/HS1ZFputl5Aa5bY9muXE0lxxqqeU18XB/UAUUv4zwNqBxqRc+ZD/mCIF
IuAiR46Z6cb46JDfLl6fKdqHDgblf3iFf5UKYCr4w9iD5wyuMYxP/zY3/bfxL41tlJeo10P4IsH0
+OeigztYLDujpUd1x77hDFs3p18fgWRWLubbYa3ugiZbiJHq1IjTa1hKyoeqa3hchsXiSUm6xVCn
Ou+sOUVgPLr+P2gSfyOT3l45A10L8x6+ah06z29KwRaTWRVkXRlCM+TptUpV+Z9V2rVTrCkW9lfd
8X1Hs5bZ5SU1zdQI2S6z4i5VrshOjmelzh6necIcy8zyassIbEij2Rnwqjk9ouG2uE2D6ARkzmYe
lfnqOInbh0AlXOiJQ1HaW2KApiWC/UNEsjd1/k7zBZ6AniXwixtT8QhFjl5r3jEz2Syrr3212ezP
D/OQuc/BYjkVEvqxFf+wOn5T8tw+HBthqg96D10EWpDfNreVwUTtMdQJJ76m7E7Lfa42cszXZJNT
M4m4cYRtXYZ+5ELV57mJFj1w0/Lo6A3/bnNpu6f7P+S7oGFEi2kc68aeTZScet1VPihHTPxayGTX
JFG4lIxu/Drlj5oLAFgqpEYP5ogUj8InArAu1wNdl+KdBr+unv/zM/zXzdRDxYOqAFX+7WEAGPC7
zDKbDQVSk1C22p+bWwWNtjhfqgP0lfbo5j39AF241BL2aMZKC2Cy/OcX8LcAKrqqNlIi0qeA5d6C
nf+6iNYM2VtTDPSTs3wQWwKwbIrI1aen8OdIh4/Zsw8IZ7P3HGr1ElYZFmuad6n53cmgcUDAcXI7
MmnOJhuzole5ra1Zfja3BA5un0ly0KY56WInCOwd0jTgeR2X3RzG56rVE1K7RIsdm0bl7h/e3O8f
LxN28K8+8DzXuulYzb++OSdzkbi44w9uJt2FTktTbUxZ8erpEAQXbpEywR7uWceEqMIvxOW0Ez2v
L5MYoW9ixXPQjAaeLTe4V3RGEaYXxZO5LKNipmQ4T4FUxcmVDXsK8qEG30FjNsQh6bNxyRff29AS
pm3uK6soo7ZpZEsvzxliXCL9o0326D8h1f6QR/336Qy7jrvoTUcLRMSEgfs7RKTShFfhS/sxWre5
msXUgzuEuPG7J1QJKNxpPU1bnjFxqQiPzHeOoO9KTc61Zuys7J/YXr8N928vCC2KAxH6ZhE1/+bb
JWAtp4hQt42U4/wgZKs9FUXQeGEqDdifi+Wql6mbyK4gljPJ49lRfnKG2JPndJvgAYYzg2rI37hK
fzWZX4xxUevunWeVlrGVbVn/6nOHUaXTdvVFwrOpnvTZX7hf3QacbDQtnLPBeXYk/fpQ6Trduz9+
VZuclma9PmmgRfEGkJyj+WW1HRKNRwSXChiBaeD65gwC+KqDxC+LVG0MkGsZY6ebBJ1avqvFQohs
NzV06yqK8owfOdtqU7OLjO9BI/hh1R8TSLO2rXTfeLLbW9i5tz5jfy6STgLBQ/jcaBlzJmKJraLq
RNTA4rMPjSISPJSaWZ7JrTVehkDREXYEdx9kXPAVQjxHl0pvXWgwJul1sTXWlK9OBXMrbPl0tVAZ
OAn+XFv/K7nQs6j553cF0F+UQ/9PRdH/hzoh9D3/tr/8TSe052741at/Vxb98Sf+VAqZ5r8ATKG0
pDTFA4Yk7f8qhQz3Xwj2+XUEmaBXqcn/Wyjk/wtYGSBIm1qW/3Erdv+PUMh2/uUhOULEa0ADclgj
/zuh0B8JFP+2M9BY1JEaUiZRdhLg8ntsD9PzQTLBZ6Lqa58JJRLrJEvWcT+Iytlb5o2Mx5OzJZ06
0s3kjuBmfY/0pou4elpsIoazKRvhR0VZvySmcrfYfO1YekXN/ZZ89qQRFt7SdYaNnFqX1jLHfeu4
Xzej29UrPA40AmS5FQmappX7AeP6x+Ttapl89QPJzwIT4CllDneF9NEd/SmxNmbfZCcz17S4haiQ
E22yBEd2mfS6pHQeaG+bO+Q0JBmCaWdDvDpa8FmohkZqu57zeTlrxlKGoFu1HVFvbZzQvNhOmmZd
uENgy9K6ntTEhgDYW8TitqqSepfpQ/m4cHQsG650/nOaiS5mkFjSItD912Xyk73lFLYRWUM+zWFP
hWlGbi7151YzEVCMQuMWYuU1SkzkPbaZTm/lsLRsD1jamL44FvqWHmiyT+g6KcdSXw907bRnye+4
fZxMuePFIZKajo+jx0TcJk1Y23NyyjWYyphXGKYZ+ojPOHVTQnnzmWD3waEFoWWNeMe7tms8ocWZ
UO3nWi7pVmMTHsK8sLUhdCevfELmYHPtEKtE8eXX5lHpRRqQdDyUVANJrp3RvQ1hMlU0G701z+Nk
5Kuzc7fUMeXBnNpIA55f2PrksynpmW+TouFbZKo+NH2u9nrSfLeU9VNUK5liqxtXmCt+Vfj3GDtp
ALVEUXR0UdeT0T4Y5KgaYx0RYVPQlKqmTVaODeJTiWHay6R6V0Y2nBaEcF+a1E+Gw0SkXRhK54O1
WzubGkrZT+yizWGYnO9A1Xe0yT8Wbz2YXvJNlOk9MeO7ZtH35BM/9oHHG6hGvlWq6quEn/mTytYO
e7H2x56MhY2bZjYaNH2B/W9EGOjb2EV/ZhZ+tZMkwl7teox8jonF6WOV7IPck+e0teqdb2hd1NBo
wyG1XxtL/1oCzc4hvfTpGmJTybf5pDcHRrbBHaMygggqaapXZUp+nKWX2hZ+ZHUGCN3Hetk9DF3V
bhin+M+qG+qHRUmX3otD7jK8j/1ol9Nd0Hs1KVUmOea2l9E+y9SpbEq0GyQleZCHsLylcYHwOK6Q
Vb/0HXywwhnzs2zBkML3Sw4uacUHM6EHN2nCuswokNDryHbaICV6AVH04WEAJOEDmTTho8QFyMn1
IngD2qa76Wfs4p0ZGbIoVHa7oLD8qLaJf68d8TKtfXeno0kB9MfBT2pxtREjPHGuEvnZow0JKBN5
nOpv3LJCUfQzgeTw1ely0vGgw8q6HnOgfUGlZyQCGzoMP+FeEgTGj7WjzWdn0PR9JR2SVLPARTxn
P0Hv9TaDKJ7yrDlqraWH+CKDjcWcjf1jYiZQOXrk4Y880G/BEUfIZca7LkeGYCVilvGyWlkeWUBU
T9CBuwsIWdbwk+jrIC5sd6ANmoauDbyPjMTQ1GZ8iZOpb2lrifuk089Sn9FfmPZysFbPe8wtw6Cx
6vvHlr2fZ9BOY4e4oks3DshOXPbZlLTNBkHIzO168veuMC+Bke86v9lhcmeHcKeD31iXZGS9DfP3
mwNvg+tlq+aiC2uZcllak4kaIjs77UNG5AH9wD5G/V3GsDa8zeKXLhpBJ7KU8bPzZ4A3dXCcVI+a
sZnTaMqqFssnSAd9cB/rts4fgmZ1cHGW1bGFdLNdXAsL5YIFsmrL+UpGRrHXp6Z9dnTEo81CV9vN
N1lvbTRZvyobBkI/cZF1nGMzVfHaGB/K0DFH+95prBjD6CJncmQPwWHBAhFajps/Z/XC7Lpp9BGN
Un1cfKSujE9jE03jRi9vHXVoDSqiV/+yNA0/3s+1GN4030FZLBshkUJKvSEJeiZYtaySve2s7sZS
PwajmJlCt/WORbfsc2aM0yRNTgeHq7Tq5JsT1BEUuckJp3mYeYiD6crY5stJZbpVYmxjJu55PK7O
Bg/XcswS2q5eVdOJbOtwXM07pYz9yITtisZBXZMOJ3oLJBSN6JOfZCdiT3hhOoKcIb9qSfsxW4yg
2zFT2HW6/J1JUcWGW/Mm2X02aHA3poeIyJQ8PNZAWIKrDSMSyi6yVxGXfNh3ZAVaOzVb6yUojOV1
SruRVsF68OeCOGYQbTweuowgw8ijlemxAd6xlGdi3d2wwE9Cx8lvjV2iAjPMOghCLUcwBuc9nTcz
LOr2fRqYeWtj+1QPvX9slLeGmcG5mfYLzf8+H3ZCcvMDpTlHVdE8NEMTB4aD6sFqqJaHag/nTD+O
tCyfR+MOv/wcAYZxI6daxzizC50Act8+D8XHCu0/UnrieWEhxkdrBJWcKJ6tftTeyCDMIh5CY+8x
f7rKEoAxonNgX7Zv7yu2EISdZrCFbstAi7fg7tyZiyheO528HI35nmsxwrH8OlodedFrvhqUgS9W
ke/QCMWdPeAUNjrY7tl9kNYkg3gRvBPOjSz5XvFZhJKOdpW2/N5imTc6B83WXfPkvePK+5gSw30h
odMBAKeM3Rpkyxly4si1wu0+M9FP+MxWOvEehVgeF2w30Qp9vl5TsiVmUloDwdNEpvuWbf1t7sYt
LasdM5rT2hbnpXxPaw7M4j0YqzvXqe47NcT2InYOkfZhn1mPLsCKwXpbhHpqCuchLb8FNcABsp8Y
w37WPWk1zLvp73vWoRTy3ZQcrtMQTaO4t6W171A004yfeRIWP8aTzr5ojY9zsuh0810olEsf5kyr
3CJ9swmIwivtPtJhH/fZHIjQ762rWFKOKhFrk6XH4zQNcd7urDnYCrdC7PKuOmfLZKPfYS//Kpfq
Xh/MqGrNJ8B4762OoNeWd8No3/eiu448MOucowvtAxEN1jrEg0fyHeHzc4gT+KBRttLyUQh+J5Tc
gPXTO3za+7U122jQ+I7IAt1UdfPpl3aJDsr/ZLRgoqTlcfFHjodJkHDVsdaWsNS9estJhnatHJKY
WblzKDrX3N+mOGWjf6wd/Q+uv+smWZJr52n53nYbI5JagnF/sZ9kxVdZ6krGnpV3j23Pz3KZ436n
Gf2ZkaQRmwxZ4rQvnZMjRbMLJFgKr1EbN+sTAMHZpVbaTzQ9l/4m/nU1bPxd/0NlwQVgfIi0gAFH
ti1vXi0SNGIr74eNdXtZXte/U7DxM/RN2nZR7lMxaUum3itj5HsspvqdBw28t9a+VeV8J333eyP1
p5przJ1GQhLVWXsUuOTfrd56qPWRV1WZSFJQ42tPdm08+DDHtik5AffGMD92mfGImXbXsxkMQt0+
RGsrnaWhoZRae11PxZcCDfMUVOlyyIufUtikSPjbRI3NZa2oeuhPbqQ9qE/dzuoLeiCgGG0b3AP+
LFkrdffImrr6dfVjNopY2DRwicfUDxPwgpheIkq+ybTsqPct92wluAck2RBxp6cnhuzlirDSexpJ
VtJDp1TqBWKt9w1GFzp9MZfnpCuyKE054DvF8Mzt/DEiMIrNXHQyMvD7hTRfq5B6qgmDkhaFcN17
Xa0qTsqUEiPNDpMw2zMYVPOOm5IkOqT8kEnyCMI7/+C+f/Y46cd2CmKC4MonN6u6062nsOVE7lH7
8hoNAYhCzNL+skRr7mui6kKAE9pB+LSHQ8z9bIfpxC8Wc3fCyfus4ejvQiiV9ckMqumUQ9WKDY94
SLN35FHMbf+0ZOtwPyW5G+qMp55xJZSgjTu4cEzJEKyhzDhwWnaYIoN0iwjEYPqh0U8AziWBpgSf
fpun2zE1xWZgT9+tsy3ALhXkSA1gDdHfiqgMhDwC4qG7bptfRjsHPxTrg14FqrGmIo646Ipis3go
1Qhy+GCCZm01uo4H2vzNsRZyNRB4yv5AbW282FmqR9JuBA9p0H83k6nbloM6NW2KVKApjeCll5zD
U6C5yJFH72itJtM5v1axjxUk9OoJpQSv6lVjniZo3DjePYGQ6cacDW9feoO9ly6qrglrpbb3mcjc
+uVvs1qMKPVahjQI/uR9EbRqn5bLR4ZJr4m6gD5UiIe8uzhEd933JRrsvvLUTrFTxiMG9ksphyAy
1rZjJr9an8EszK10x/lo4JNlr0EjFELXwJ7TpyggSkIYJ3eORoRzW9kM3XEIAu2IklueEKq/eEap
v80TEEEHm/jrSrn9utyYG/MqkXoXTr0z/Kbee2nDUJ+hwKO+OOSLEfqin9CvDZHRMBDHADxcKrhd
0SIL474LTBpEBAz+wqg9b1Ahm5feGne50TwuwVvVZJoZjvWr5wnxxdA+iUuvI4AIeeze1KomXJvu
e4BWeDerNMAmQZA4Iqas3Xn6Yp3JRU427mDY1zx3PgCiOi9iMnrGCdCyRtbZG3kyXGwctzknab3g
cWl76EOacyH5+7nokXr0s+0cSIOqeVrrj7Hm+Ur6JVKQ3I5uRYoMwhefvqrun8zbilzK4LU02vJB
WjqRn7BNotbOr1Y6/GqWkdLOqpuz8Jzlwu18udJ6RLsim/fJGZLdhMr63E7lGEHFWdmO0vnk6Zzb
xZwUU1yXDsNrsRYvulDrXaVuGJCMWn/Q2nnHCbJmyDsIObbvbgm27yjWu/3kjC5K8cTZBoIjR589
b8+Ulcwsj4bk7IKKdfzxqBm8l2QCkDMxLjjAXXAfrDRQexCLyS7QylLD77viR+gC9QBfxHykUHO+
WX4/3i26zCVFoDXfd+zp7ESZ/UNr+o1r1dMhtdou7pKkfqjd71m3Jzjg2o3G93QOoro7mN0jyrGN
7+6tsfmmONOPWMKyTSDaek8MV7f9L+rOYzlyZdmyX4TbgYCeps6kKmpWTWAsBa0CMvD1b6Guddth
Fo2082Y9LoFMJBDh4b732gEJspSdI9COoHGM21xWzirKsuHJstlqjSYqf/BETjQSlHEAchpdGkhp
bYJ371KYQi/c+PQCJUX2y0YngRNBOXs/C/KH3NEsrCl4pkbMD7JDHm3k4fQUF2bwUo4d55ZRNl+n
ISmPmtihb8rufUqp0GTZGdQECtwrqoPuEVNUGLGHvsl/VuBdE3RftmhZlkwMYKrXvdgaceUBcyAZ
Ov5aWCloPDfqLjD4RHLr+oYw9x2I0WxtT0guJopaznWDil5sO0JIVzh5/zWaGmD4sZhQQ7ll9SXj
O+7zirJx7USaJq0Fy2TrlI15U1P6HROLWR7JgjicOJzH5pWcauvZTdLiesol8TbYBw30/rkdA6gf
w/G+R281bywuCSenca8FeY5PRm3axwJ13F2BuBzZjJfXR9gZVbCZ4iZ8iEcgHvjbK++LPWfOr7CP
p01OScwmhkJsPbaZ264GJ/UuSCZJ9pXsNXO/JvY3HETld4ZbIJWm0NhlcFgOrEv11mmA32tz9jgs
4JWz0AauRq/qTnFkQLgT+H8zkjrGykAj4wTfo2D+UsBPeqwyzhZF2bQICENaNhytVmxzgUeTzGkw
Ons+UJ1FNUX2ytzuZei/Qk06Dn1QrQVBo6z2ZbG2aQScYnxgayuv6it8KdPR6YfTxDDFS42LMrYe
lDLXdiM1/NFm13Ec6aM2vIVyVx9saq91U+KzgbPIyX2ewP4rtdH+vFf2VV2IbJ2Ay5PYwPgWRwQ3
L7brrZBib1NmBZvebY6+KtdptTwGL804rFPP3BcBHhoUfn7iM9TAYxaoO+177cZhqOiAPlgliG4z
tnWwtunaSXK2mDEp5Yb0KZLihnQtpidAGbe1njeyGHeJ9h9sUWyTJhzW43QY818ZKa6MbMaVm7h3
zow8jJPhsOC36EaUFXudi6TNdzp71VuL+Gxo5gs3RjUTwH5YJ2m680X0AyXVL4sZ46WdZAdHO+Ma
LBtsL+w2EAryJ7oXSNJpLBJGjF488PXemZJy7/jBRSl8zoqxc+Fbzg+/XWo63FuQt/2ACl6s8+Xo
abMn3GbEkhNOKH5pSfHtVUlxxw689WqN1C1t9MEDf2Y4Nf0OSccytuWOIuqmWBY8J09h8wQp3rrS
hGLlUucJx3+16ozwbLmju8e4jDGJD7lrUjlOjcXhXoebnnxYHTl32BI2KS0UzKlrOkE/5cT81zev
wD9tknIEGJ9ZF2aS3sDC7O8Vx0Am/PK1UqTRLs9kZSLrF46+riLN+QRuNPAtngzGeYn1q+1vDal3
4LsiahjwTq4/bXGHbsmAvredagsvmB3IuZiC6JvnH5oEO3oz4GQIHmZj6Y/5qCTDVdDLTVZQzXr1
xewP6caJ/UdU9XeNwahbqYSyw7ixSJrqq+lVxMz9U751x0waMf3W1tM3F3oVtcNuyj02+OI6DS/B
2U+rNglPY67uqFavM5tGcZW7RK+G/tcmccbNrJd1PboDFI8BBsUOHgR51BqjUOWHm2R0urW0ZyQQ
xr5M8Zdl+AMJWKeZUqnGPrLzP6XweUK6j5thai8hsd9NMwYLeTQ5+3NOxB/sVCsOecE6YcqxcqaZ
Nrdt8URCkR68E+0aoHAItleDwqtulNmhi7qTCwiQ5mFIRlwNLQtzVucMBPRUh9ErL11RHLT1he4j
pf9IMl7FjhKO8UqPJSg4bg19sO6UE43Wum296lryVfOxnA74O1a6xug6TJ6DA9f7MvrM9VCWbhi1
rJHnoe+i10az7DhENqTw8W62xN5tjE3kvo4jQvZQhWzoAeq2fM/4tlvl2a9a4UeI7Lm7QmogblWr
EZbENctrM+BVSWEoEokJhsGWi6yc2DjIBTUuAf2ay55XZ6FtVsaVW7Do5RNUt2HYqGgbzrTZ+vIU
Y4rTgf1VqSfTj9ZDENzAM1o3SbDzGhtXR5/t5nyjMFtY9n2YXAaJjzsFAe1ohxu3PgWjuRmb59r8
5SfmKwX6uGrNBmtF63/JSis8Rs50AbaUl77p54tpgO0Wii9F11ylDm1XFvrvpZhuOIUci3F8bid1
KfRzINu7sgnYL+fK244tZQHxUM9pku5jjipuzY9Sxy3JFeqUMLMFw2Y8GvIK3hJzjWmtRH8hULD6
xbyZif2Wots4Ba6B8oi84wAGOLpQ/L3JHQ5FhIZz2BvqEq1eTAlkn3wIkWH+SNcBbfhjM14PLuuJ
N9+bsqfP3+2SYD/QFa07YBUaFyItFgS867DwrxiorOL+Im2eWYhWVBwrOhC4a/DDq7uEenSyRxjn
ei1n64vrPPoYDkz51dHfs/aRYQtHPQ6D7AatxYs1TxcKoqFX71r/pRXGuqvNtUm3QyylQldedwYd
tx57SMmKxmnyeTJac+1X+cUsem+F6Hx6wEiMvwHv9VYyq1nn0n8Y4sDelZO8s71eXzWt4hQiw2o9
d7/syTsVWbXFpHVD3kWxw1GQneyaSQPVy8aIffOiCseHum6vG/iBqiGyhx40PxbmCI6MHQ4Kr5ov
7RB3qRVZm7T3DrHgECqJ7xbav8US425dQ48YATpOd9qNLqSJgsOxMJwYqveurKJ7YKodHfzO0Zc0
s+z81so75O/kAoYedYwd95foS8QKuxpPeaf9mzDtpv0IQY8MP9oeLLzMM17CKBqAZ8zt7SgeYRVc
Z9ii8hEaEtZ39yZBzHOEX0EDFyl3Rm/Y5VDTQNr1/th9w+il62x96RGRS2XNtG54qWu9IojAg6Vd
XUr5ZVbss9ikkkwDqZmCHSnB49acPBSebDSBdSFScVPXTyOmfHyPDxlekHbAEdzlPn498zSm9m4s
mK+V85+WqdTRKRmj8eDkfrijEZ4eSvKUMNK16MzE5B6zrr5KhEMrt0aaGt/VtHFpsiBxD8rgtiBr
jJOMM/FvKcQM+u3CQpUUFnSUgjFaVxyQ0L4z5Whb6iwdpPlVFF6k0ukP+aAjTiFhcwj6St2agfeS
JlFybBcVo6mS4GYhqJ0SDxcLdwG5dO1d4Vc4Fkl1E8e7xgKwiFDme8U/WzkyF3sx583GkeNdqbxy
i4A4v5uwXexrL76w/Wxrxb7AZttuB6wo4M/KdFNV9nGw8+PQ9NvajsN1bbdPdLIfuk7j3R7j+WlB
wqwYKOTrKSCdtiGdEYTtVlBp+H13HVFFPyCk8di7EWFwnLubUsRuo7035XA5un6yn+3yWefGNb2F
R1AqB8OZDmbt386QUjed6GlhBRiKB7TbsX9rUedhpd6EeW+t4s5KCIrtHosGooZEfmPNnU03GBpy
kTXjldmionJs8rrIzv0dU1PDYvDVYa6y7zEWN0YDbF5DRqHVi+QV+Zc3N7eek2T0IHjDhL5KIvvR
5+ho0I/fk79C2wOM0o7D/bHJyawrJkmeA7dnrermPhwNvAWeP+enFhjyPmjjH7nPbC+meWCyLUbi
nsCBY0m88xp3sLsWKAFpdZcrLKz0fKqNiLJLw7M0q87IUKHAwn3CdHui5xbuMArq/dCE7gZnSb6O
bGtfzZgcXcXf0dXadfvxmFSNQezHLB7JicaLMLrXgxCUOm4dEGmUXQ4kHMJAhaGJFNxZJ/4yg2tu
2Xbx4UEQXwc9/uGmHH/VeFpWGBCqdbiIb2YsMmuVmWSyaEfhmrNuknTs4DzyGKvOL46dqotT1Fgs
QTXwkbBXYIbQpR9cs/sWxnNN1IUpNyMmAIydBd4L85738YvCagTAkxMQgFNz28wdw96Z1lgosunF
JeOJl0mPHN1UczHmIv3pKptIkyZWpxmmLJ7A3qalp+UOioaxcTJU2Whzkp1y4/HYTA4YBhf/VVAW
GQh6skQTKzVXMk3hUsxBt7EmWBuQIhtgR3Rje+KxtioC+jUlz0ZBgadIyTIX+4O0xnztKgORvF+/
RMyQvhDZUW+whgR3/mSXW/pI6Zp0T2MDsMW4smabAUY1gGRKJwSoQXqve/UApuxr3gtjZ6s5uKRO
JNIB69I6UaB/MMhxWhHuVcWJGDqLujAiQ2Gec9PHah78y7avnaPqaXCbrkfLWYsvchkuz3V+U7my
3Cfo4H92ng2QSSpxiUY3+K7H1niusnJ6SUQ57xGOaxqhEeOAovlmgpHh7DNf1258o2N5Zwxy6dLy
Afxqru4n9LF0QxlhpBbF39SoTWAGP7Pa2sTBUG49qciI6goqoSQL0CxQPxQU5/Oqgq9ytHMfGYEc
3bsoseWm8OpHN6C4SaWP3MAOh207+fMhKgP90E0qOWDlaB+l0V4Vpki+MVWBUE2CAA6S6apwuYeV
le6HJKmPXgIwC+LhVV8ibQm9BIdAXezoSm0ZzFnboiuLY9zhJFDWmByrON1VIWkFtMGuKpA4N+PY
v4ZOm2PJzljR2lm2a4yYVPN1224Q750Ccakj8drRTogNc2e0oEUsHJdq5O2J7XmSYFkszI+Bc9+K
tt9XRBgdZJ1Y/wV1/isd1v9vQCY0gR8Jrdaqeu2S17dCK/7Ff4VWZvAfUEESMRWK1T/BJ/9PaGX9
h7PnwrgkuwlM1oJd+r9EJvc/5Jfzp7ibMAuZHkrQ9r9EJlv+B/KouYASfU+Yyx/9CyLTGasLldUf
SryH3lQSI3Ousuodu+n7knEjjOKB4QDjGr9Un5kgrEUD/VbMhWpYLERToHUoW8/E+TnujwHDUbTG
n97fucyQnxpXGIJDV6PumqlL7hDAV0uvgIFN2ZXYinSkcZSnFAP71J+0sU5mTzBEhSa40uXA2wh/
m4rGlblx4ZQudhh06di0HHdqVwHysutgHDjtknSAJLHqp5TcPzkwHYTvZHwtQtO8H0FTPA1ZNvXM
oD3Kk7jognt88RgR7QihRci5+oKeLM1MjAz+DbC74DMu3MIwPrs7YDZRztnCZPf9o3n+hzGA5nbp
EMGJHDec16oMrj3m7Xb5GDk8dP/n7Nf/J7zqTF+8/NpvLnT2M8wx9L4RHQGkoP5Z19V1w+5Nx5We
pbVl9WUXn06dyj/h3p39+nwvRiaLks/BSIA08EzWHCVJP1gcm1etBnjJqXvckrdQAbJl/GwPjKXp
ZXmfKMX/lhZzVQkG2/ckzengHEPXEO0aBlAUwE30wboKhmSb5TgkobPLLw2Lc7niAJ7txkzOm5jo
nP2k7XqT88Z8Aie2F3/EP35ghHwWgmJwvih1vACgLX/+jx+4LUqHYDX2zs6tnHoz9LFz5ViShkBi
sS2tEmI2QLG3dnDtR9E4bew2L66aJHWSQzTkQbETXS8uTcfsIP9glHpOqjG8g4NOt6evAn1iUGvS
YMvQI2Jg14be2ykdUwCqbkeQi7+MPvpxEampynmaDAsd4NJRJmSp8Zzvy3IjdggKmHxZynb1VlWp
vgMBwkB+ki1Cl2ZcHHERfI9FpB2AZ8vFtA2cNv0Gmlg0m48f1eVRPL9lCPwlmTCObwnkpG9uGccC
+Lq6xzOLzBILiNs86dDQ3+tJ6k8eT/Ov55OfxyOG9w9vG5bn2bWKrkYeBmyZUpGjQB10Pt3Stu8u
LaNOvqQdLlbEVMa6xSBxbWBR2xZ5o24dio2DGmCSg9w0+kvHiitEiYo5L8BYhIE2OUIf35WzleLP
g4QyF1Q5z5GU5zR038umTFdthNrKGPdFGmTEj82UclVNkwto11htP77in7TKsx8CPS/uFrC52H79
M/MXPo88awguXLepCG/ou/u/QlmUwzddqwiRJx4vbJgizg+FhkfJfCgLfWB8bf/KFD577HLLoTVk
hPrYzAk9UBgTxLeMTjE8Jp4kDGUwrLQ4fPyxz/a15UbBniTpR7gk2Jl/1MX/eOPA1/XIdfhJxzq9
r33N0aAalqt/fJl3nhzHlC4d5YUkjDjj7VOqhyoDFkOs1wj07StYDs5Kpnrtqrq81cof176Xfhbv
+hfAmO/Gi4EGm8Av3ArO8pD847s58J4NuEacyImyJBo8BEa2d5hzkSSNX+GrTZ+eMAuVj+MGbNcU
bLLYUxoXt6fvP/7+79xmh9RJsVQjIKrPo1FsPeA6FDjbl0YNTRRrpgGOO+Djq5x5+xZniOV4Es+c
s8jCWczffmMGWTa69NpYwfURgOxoL2XZyMQvtnDCrDjk2t8QtOXHUBKpiqZuKlgLi/gHRPjkGos2
CuGesGgm9bG8/vjDvXsLKOKIsDJNAdD57WfTVZ9ZMUIvrMgxXUIOREeqnejfXwUOj8T5hFpi2dLe
XgX5gFE1gTJgDZndF69CASBrNFYff5fFPHX2rvOKS94atPeUn2fvuud3rjlP3GfTiiHgMGzZM3Yt
DmFjzdeTm0UHywbGNhdeePz4ymeVyfILU4IKBscE7OCUPXMYymRi1ocOfWWnLXKmpIp5Y3nejNvU
1sHG6DAAEUxnvHh6HGkf11F6+/En+IsGv3wE25KOcBY3H5/j7S1mIAdshvMuvXvYc4lR0rhOGTLN
vnJuSNGiy6e6aN/21nAMqTtOdNzrY2a60wYWSHcy81FfMVMN2W5b3C4ff7x3Vn7eMD6jRYSUZ9pn
j1lPbCF1Ok12w1PmTUan5DYiiW9Jl5mHS/Tetdp9fMX3HoYlhoKFjQLur71mKpmDlhYMS9bZYtUQ
5XJh0x/6XkYBYQ4mXLnE8qwr3fr65eMrv7Oquu5yxMGNZeIzPHsYQILRfK8I/7H6hoJMWTyQ9Ths
gshmdJC1LuGsLUPkf31VHkAM4sKjREUW9fb3nyDtDPkEoyAzmt/+SOKeHkOO9djxMXU5ZtKj1Rjm
z0x/f9zTZy8dDm/MZi616nIWfHtdV8ih8asGfXpe8ywx8GsPLdQac++6ZXOKSpCT8E1FbWxJhDFP
dZ9aw8kqeuO37rTBFleQ3HxoaJL9TiR8+EORRQD+cGPLYt2TTsDwOtDz96RAbERLFi/YyqGnTY5R
bjf5lpPZPO7M3Pcf/MjG4Egjo+0Ppt07+thKWGHkLM3tosx0VXWxtBgQbjM1PVgRteemcXz3UfoT
Pi9pSO86RQmm91K1OcFCZepiMPH6ElN1kMeEDaN3UbRfUzf9ZM//K3ibt4MjMX5/XmPQ/ufB51YA
j8kRM29wILuLMBpH1KWmAcZqjKB8LkKjtMjEJhny8TLMJsbMXoJSPUjtg84a+nG6h1UVW8F10wl5
M1gjp8yPn7J3tgtWb3DLiNswSp0v5FpCLSqHGD2XKN2f5HaMiEua4ZOQkneWU5+EA1YxbgewkbO6
xA4UDvYIdy7sCM4bxDkXG1pXqOP9TiQbP6w04ErOTRu/8ydAaZ5Y/y++J4FpCKWRIyJ/fvtUdwTQ
J1ojBHRTw3wxJVSUNJDRJ+br935yzlMOryy2dIcV8u1lOMUBVHAQTjhpaV0SrG6ssf4WO43wgsFr
ASu0sgWkBKkSALxT8gVtWnCkwycZ0jK1eYppR65SMaNrM2NGqzr9NN3i75WU99um80GzhoXl3DWt
A5ElXca2WjD3WCMZirckQ6XPdTVG17MOTPD5TN464X6yq/6VIoNVnOp3qdu58gKEf3t7YttiJutQ
NuQCAVMuI4fm6jju/dqIDjRF01UcDd5v2j7ggKOoPXUEFF66IxlHYe2iefu3DwUfx+bswt2gMP/z
cf9ZuXronGlMUysZ/rApKqKk4hKL9sdXOUNuLOXikuTksBpw08mNkmffupX16I2MrKZYdlsrG7HN
K43jLm5FuWfAaR4ZHt6NHPq/ziZAWVJWx5QoOBIm20RU9i4XVrnF/x4QCIlScWRWHn+X3uztyyZh
pFDY/idv7LLKv90F+Mz8FgEJSUTRnCMWxiwpqq6jRTCO1XebPaBeMf5xl8Hk9Fkt8ff+CnhfiuU8
h7mCifzb+xMVdoW7jvszh5xOAMrmOL1y67HRwn3ErkNRgUr0+ye/yvK/nn9DzKZC2CAEJCj6t1dt
C1pvagJtI5tYnBBRDNZKZgLhdymrl8gwHFRXCQprgxMVgiQma8xe/CFeM8NYREroBT7+SH/XVEtP
BssqWl2LV+Rs5y2taupHDlOrCcf5zhhrNqzWW/R0qupQWyRT+ElN9Sd34ewmoEYncUvSEWJlPnsh
rdilQRBw62VpWHf9OOEBmftZMzNvx6rbDxhDUQ1YNuThCjZdtiGHKhhRQOLXXwO/QI0Q535HKI90
pnyDYyzZA6+MpxdE6oS3knvepTdBU2LZ6+aiSIiEcWPzk632nRWNIAvaMkRugQaRZ8tuYYChzHq+
hocR/naAWHPAEB6g5BnUHqVSfiUBI60jGnSfESD+7ustKwi9jz/ddG7i2bWZ5gUMMj20a1Yf3yVz
6/xK2oJ06i4tOrRqxpAYtx0DxkuVRo7zCyrI/JApn2jGyLGa7cfP0DuncT6ObdG2pbkZsA29fay1
k4VTPaDrR/adPIwN+FdavQGzl9lg0k/kLgolsDzoQGCLpk5AgRbWsfiE0fLe5yCX3qZhxhJCgujZ
k5WgH8rdKKJPA4Tqaz8Sv4O8QAJ2GIx23lMGheW2dKGX5i0svD0umSg5IftHC/HxLfm7xLH5XZd2
Nr61BclzdkeMsA0wuUS0s+1mxQNSbhB+f3Y8eWfBdPGaM7IwHcJ7zxcxMNq68xdS1ugFUQ1WP8WD
IGF4YBF2p0++0rsXY1+hAUGekWsvK8k/Nq6ycIPO9h2wXNVQrRLFqJ2Z3MsoJ/PpX988mp7cNfKw
2bjPo88yL0scM1rerDJsjjEBottM5MknHen3tkhYPtKBNsLEgXPa2y/k5cmgEcKx9AVuggBpRqHf
Jdju4Hmary6sZ3n0MpIB9AL2IQw1rVeREf1c2OkKUF/+6vcMqldE2P4uIHXDQcRQvuY/s9A0Vwzh
K+2J/P7f3xzaHxanQ7iE1nkiGZ1GBzYJRpIcgvkWYKOGj1Hbnyxu72wLNA1pH0pi7mgInJWuedHQ
BVnsKgbpReQRuPE+ka35CObfu6SubT/bFJYV62xTcOmh8TMwHCMY/Oy828SZ0VIcL09XxeIvhvmr
lHGzwS0GrUwt9t0inC6FiwKYVlN3jM3YBbo1zekqAZKI5S2Zjz09SExCfnFwWz9CzKLkKuDIfKwM
69IOuhIlJMjuTyrwd152FyeK5CESEJDOE13kDAO19oBqVpygOKYy+DY0ao1//8MzRGWjYY7kWWKp
aP7x/sWdMnon56xLFKZzUrMTw4VU3SdXee8tB/1Ck81fUHXnuxoo9ARkwSJxqMJgoyYXKmgdWOkm
Nwsz+V8sKZCUyJBhNBq450O/aXZEoXJtIEQsYtAPiTpWLf0lu8LX9O/vHu+5t6B2BHvE2cuO9JEc
uYbna8a3gZBHtce8K+zbj6/yTlVJHplv0pSmg8fU5u1vlMXaU8PEkjIkcHo5BKhdNXdMltu7qS03
6ZB8tvf+/ewxtOGdIZ6QJE5xTt5yGEtBoubwh1KiXmX2VN9AN54+ecL/fiochyAl508WJyfZs7oV
XLtJx4PtbAD4uBOGh1iIhB8Pv1oc7T++h+99I1IJmQMLFgMOSW/vIQ4nBSCTa3HCERsizJpV1LTz
JwvcO1UoXT2LB8JdHnbpLF/5H69TpmOdAKCHCDS0xg88jAiQzCI6zW4zHvrUTlZtikBbYIK7RooL
CIQRNb7ROSAGRUGpT3V/SD2j22WpSxa46n+AuwzuJ5Kurmw5p08ctHCzfnxz3vkhXBkwuHctexl/
nBV++VCBKAl4wNouXo6QqMFXXoclKMfd9fXja/39MNNMgIpjo8Lg4Hy+JNtOSMvEXLIWhYeuqWQY
qA2Sk0pLTctOqDBP+mPnfPIV35l0vL3u2XckrLoHGccjbUR0OR1lvaZ1ne/4KPOmK1J/D+j+cWgn
x1wRiuHeBEP2WmQBCQkaR95u6JAFaSwurx/fjv92Id/uUXywZfDE2QV5xDmoq3A1Y+dgTtauiJv6
ttWzYTyKmiSOE10XJ73HBkgMhYwi87cP+F2tVRKCiPWgIte3Tj2UwVopQ1yXbp1Dk477huOCFfn3
DAHh0PPD55yuR1s8LQtvtRpDqx3gS2Kuo14OHKRQaYVDHkSZhFJL9s7Kx7FkrH0/I5Q0RYWanYZg
np2NAGUA2MAnnWflzDO0z27KLIGF0hW/MPC4dzTNOfPO6KZu6WFBwSgjVf4YKjNpL7reqYGVOzXe
t3CyJmfNp9TOGgZcUl3mHr1Qdt1ltttVsiTuq0n1M7q2PN4GygQeEhFYgZFNyPqC1mKDVDvw0dVk
czb+mCQYQ/RoROfwDwPn0sOHS2BESmsKiXgQ41ysE96/vsGS4IaB+dSoJQTUGckm2FKzMfVKwD0P
REpUWEzq3jS/d4ZZfg9oXpbUa7Gwdxn3ZN4AqDYQPUDbfWBQjFqzxRy2Nf0Rk0ERQJNDyxfVDPQh
5n/1mtL+2bZ1Di3YGexTBCsZfLczQOapoRpMpqi9Fd1Dla2j1oPTQrDT/KOx+vrZpVGBl0+sxxAN
Nqf4prpFfNcv+jKrDdZmYWFMB4RBKoBMFSagApVBsDLN0KcNw1BopaYYR2Lix/awNnADWmBG8YQW
IL9fWnQcL5Mubq2mT48qcZW59cNC/Wpaaf7IhqZ6DgNj/oJmuYIpm3bOT3+cyDo1aHNVX2yACgqJ
HgEVG6uIkdI3xEKb68bWesJjb+HhaKOoezCHntDV3GvNJzoj1nxKMb1Y29xLCXApYi+rN05Z6L0v
UXTuxlhD9ZVDhx+lGGr5xePdvRXKheSbmL7x3OGT+pHWCsZl6UfxvcW/JaF1atW8FuFok6Mw1+O3
1qRfjp7VEI95kxZXTufCSUd5OMltpkyrOPWo7HnO/Ai4H495BCkbgNy9HnMpV2DxTKTILuSNdBLd
9aCT/HuWFuM11vHue6Z0lR493OcIfqkIYfe4PJx4iO6hGeHnbEBSOpjINMy7zJrMC7LcFY5At5f5
qsbQHe9cE3z1VlhzlG4DZGr1GkiigUIr6ONyZXcJ8ZVjU4ev9jTjQCgKGy3KrEOX3OqB8Le4qOP9
ZEyZizthdu6dwQD7mwZEzDCWBVy/sYG85/sJrvLPElvNt6ZpcXvPtejVujLLIllNWVc/kctTVhh/
2qFZQcp1vvcAgwlZKxPA4HVkk8/eFpbt7ieGRPgr4CGq7eQmurhIRMOi0gSElh4A6WXLS6it50y1
VQIzQ1tkhjB0X9Rkw+/M9MoHs+fsueqlM/Zrr2vHE+RZz9vg18Y9Qn5J8qsK4MmvPGGEL24ZVZel
9lMYGGMYfBNVObzYRPvyu800wyFLTGTG03hrFl2sAE4mgr64MfJi6XjRp3yADTm/9EuzolcuFq8Y
G3kA40wCeYy7uXsSDaaD1RA77c1sOki5w9mRXz3k0PDVLbNfx23S39EimG8DHSH4KZGR6FXSzJbe
o16A1ESovD2cGt9Oan5yhS8nNkvk+DDVfnStGQ+bcQGiOXVqA8tIjPEW2r3zvRny9kaMFQav2h7E
97Hpc28D7wKyViqaBcjINkXiVZL97pUjnvEZS9wEdhvdIvdKUl5ppyUTIRhBQLm1LxDVVrMLhZOZ
zd3oW/QczWkgNStNWu801XOnNnZj91d53yEXd+yhGS9CwDzA3tIkf4issfH3dLzshyUJADNLk6V3
AkH1d45vdNnD0PZf0a9mz4nuu3tbDtN8EJ4laxoGvN0rJFfdMw7H8M8CREwK5qpr5bk91LZYYHDy
LSP8XYEbfe68yIJ8YM35Cyt34F8Km2MzGKG6+gECPQMD3xvNtBpGnWs0XvmjnzczwVOCzQrPVDLc
K8HAbsvhlZFLo/vIuDAaHXpbGPImtqoRaAGGjp5wR9estF7VZGFcLvS1S6sL4yujCcVra7ZTjz84
1z+hR0QYPWta0kdI50m5tuzSxdsWxMG3TGQE5SD/UAQBKJ2fnKFA2Qxex93I0pLXXa7YtzrHas0D
YLyQlcMKsxsm21huEB6hIQtgdiMMpoOZojViLUXnrMdqCeylHsrAOlQrrGMtM5bEC165QGjxzbM2
JviwM6utp6z4cSSDSO7DVu5Vincnt6L4BHYhoViB5rUGJAsgtodpIRmrG4aJtzEe4Bb4s3HdukEc
r0HERT9mWxftZrZHeW2GyjS3zLeqQxsSo7Lg48Yf9myj7c5YKysGCsEy8BQKAEwYGfaIQUARYQYb
gRgIO+z9725VFk+AhQN1GUTVvM2KBCycwPL8Ms8DvrXetScmsYUtbmUx06eeo9GK911nMbpkcYjc
I9YL+S2xgjnG1MfGAbRSe1+IiGJMO4mQ/88om5hQw9ATl6qeKmNTC6O6ibQdJOtkcjqxl1qN0aE3
h+CFFOUIYUXStqdeuy4LTINMnKVZ4P+mGRxe56VZbArZFVjgc0lCceuU9g2MNO0w76zR80XI5YAy
kDHkrjDE9f4mNJ0lfyzomnDXEIyUYmYlg28btX7eX4b8cj8d5Y1f6WoCjtApmZZLHhxuUJXmcHea
BniU5SDJLUaSkbCiEaG3Mp3RetVTXqAmpOYzyAOdRII9ZqlKU8Nn5Q37AHyNG6Ty2m374MZIu+6u
DuMYeFwT4fExAcGXLW+v1Eh+KQfM6U6VgDxwQqR04HHkD/l6AU98o/jjBEJOpEw3oRgVlFMzyUj0
aCaSrKhV2lvCGuTXrBEZixZ5qjZWLNe7ztuYQ4vdj8y8Y7AcdRP8TlvXeO0l408x69hBK9mQ3W2y
h4YrWG/lTiajGHYWpqCDkyrMQDES/mxP/jUmYCbYzR0JGsO4rmvpzLe8H3G9BhaA963iPczx3Br+
11ETpXeq07TML3LbHoA2JQt6l+g8haIlJ/1i08Y4iY+ZI2xk/0VlkrLWEBdhmHTTVhIdgiLgsAE8
lzdFVmwbJw+sTdM3ZbeXhoYp4MkyqSGMpaA8MpEqkIkh6WP7YFA28ijyt8im6qfHXBnpfZXIAJgG
U4d8lbewRQAxlgoqhJWJtT07gM4SMyvSVdOR8gfLMc30pif24xntlE1k1P+wdyZLchtZ1n6XXhdk
mB1Y9CbmMeeJuYElkyRmOADH4MDT/1+o/q4Wk2yl1bLN2mpTEiVFBAZ3v/eec75Qmk9eKeIHT+rS
PthCJwephTXjVcGr0OXhxDGbR+WmJZu4RaUaZDtQX2NGMmY/nis6aNSRGsHBAm1HX61GINTdAsdr
0a/xwwpnIdwmHPY87XpX5QEBGk4IsRX2oiFOuTYtLNqFKsWpkE6Iocade44viRHGyxHX3h0x3GOw
kdMQfRuGLhabWV8y+1oYgtXO7j10z+SBJj8GkUV8Nw4r56KazCsvwkvJhyN3WJEYbr+ze+onXiYP
FxqS8ltJrjgdk7q8qYnwj/Y1rIIvZh1W12i5CV8uzbHZynHIUTfY5eVYXVvAYGODHI2YNPqUSr5I
rly376idsWWVJzwyRryezciC2tTpS943gacrd+RQgMfRs+dNoSZQX6RMk7IlUa95vGEXpJALUbtf
ZeWU4WuLKtyq9OZ8Iir7gjg39+JrQ2DfXFmUO3rNCYVmPzxmaa5zJGMMI8aEYMgAxhoBwtYAeCwi
MqyEHOa4085zJv4r/4jnNndIPMbo53HEWnBUbJZxNxjNkomMsj9pgf6utGcwLlwGgxfR5ofe0SXz
pWqBiDF4tJNtbeTquyAsDyoR+Saf1Ni/tnepZAOytZhNBB5dxZ+bH54TcarFYL5E8YEfcggV3JKM
sBXD9ha2Wdqf1M6/EZZ5PuYHn5Hrn0raD81Lp0FrQKIL/FEfW7bZDRW0qItpi5hO/Q083PjgexVL
j1U2jzlUrusGU/W692zqJ1idYL50Y/QEGGi9haLIAPrvq/vfNTt89OY0V1GMANP9+YogoiS0XdWo
imO+pSZKkcxPnWGDHQLjpqvRRvSVnD6555d7+qGjQGWP0soM+Vhm3z9/qojZlXiS+VRH9kfjAhNc
5F0WrhjwzRslfNregdPPy0bq/JMO2K+fTXftoiQVF2AEE4WfP9uOwygH4RgvWzi0DMHGYKeGUn2B
+/vGaTS60SUFusJm+knX9zeKDD5ZwARBaobgS3x4GHLSZKfBxkCbT16NSL/7Bi+HtsaUoCAMrIjX
PiBMBxLuVxSs5ImYgzoUtY6++75OPmlt/nrjxUUcRG4z3U2b8eHPl0GnRuhI8rz5pWN/oAgqDw62
XcCzoZMsqql4YXqefXLff33/kMoi2WF0i5DVCj+0uAzSGop5RurpxJlzwPpCuTBzGpJempz4g2L7
90/3b94/rjfge+bVaCvou/z8Kw0z7XVTI51UhpQb2WUFibOkAc+aMyc7G+HEK6Fd9kvGtnQtc6Nn
Y0H6mdyFZlNtyFo0D5buETO5KWyH0XY5G//9l/zNRWEz5MFAssJE4KMIcCQ1tU5sHXMUqf3FmNM8
R4iTZM7GbKxvf/9ZvxkVo9d2L+8dChlUxZcu9F/avyNZeaUmP20pBvznnrZN/DE67OYl9kLCa51L
dOayA5IHH1Yb8dZJzJCYkyCogvUn3+Vyt39eBbgx9O9DeoqEYoUfvguaPM+PL1oUGHZed6ogxcUc
1Wb7aiwwbayiLhAwAqEZYAsbDHc1OTbHLIwZwTfDMMls/OQL/dqCD8yLWMoM+M9fVJk/Xxw4mEbd
kfq3hBRsr5tidhG3c9yo5zy4LRNJu7skLiyWDcbnBns+Vu5m0/TRsMNiO3wZ6Ayu+1pFq7//Yr8+
IZfvxVgKCRV2mI/a7NbWIa5qnpCsKIuVnsGci3TCSRUHxq6Ym8+Eir8ukUhhmUVgN0EWy9T15+vQ
GYPZ8EAyVK/G4Hm6uGHTDn8pjMtLgRBPnLWznMgQxwvs8ZO78JubgEYIRwGPxGW8+OEmsPJAawpn
8pAaCWRrIO95pOb75OH7zSXl0eNdwFHj+sEvujzfz2brolHEAOs+5Eivb1p7tjaqmtU+KHxiAv7+
Hv56zGGfY0jGm4KymTHPz9c0p2mBzImNtm/a+NorzWBVZZVYuh0StX/7owRzOEyiFwec6XxY2ofS
bq3uYttJip4Qk05la42qZjE3ZOn//Uf9RkzAJ/CwcNpleM0P+/lnxQKn2pCYHB00mDz4IvVz4pZF
zbyxCs4J3I5xERmjOpVAUnfjbP+whxTiV5uay7qjn9yT2XNwWySZTW/Ma/o3JIf2LvbPPBfjoUAw
+8l3/s2dEMhkyFpm+8dUcXn6/7IEQlhGNEqe35JOVva90sa4UQCkblNznvefXJ5fHmYG1tzrEEUi
rzDn2w+fhcMuL4Iq4QBnmOV12+cqAKDX6G/Eq1ewpP2h+FL5VtYeMu3GzJfsNBneGptAeYjMLSDP
oEQ5tnIYZti3dRLG4SfnoT+VEz8tw+gpSC0kyZ9jMV6vD9/R6UwVFeYM8ZqR4fQcp/qS1IjtI1wW
9LE1qJFhKrbk8ybjtiM0YnpEb0R0yJCLaEVqEfAB1BIXHiZr/KapG4lFkNCekUOuRHDOTMi48rOG
cZ0melFCsGztaGFjZKoXmhTW8VB6TnvuyxRwQUfg6loRX6X3Rh+ZjCQM5NpXipmF/cmL8udu9+Gn
Yyq6zMW5AmDOPqw1pAxSvErwKC2Hze0InIwkOjPIX+lEOJKA477M1nQTRb7KJ7eoN2ytdMKQE05n
DEGoyJtUGhcAny/uFXwJ57Vg/HDvpNn0LkRGKzELCSJa+h23fsEprH/NSsmPNwd3KtaZTokiAtCY
3P/9g/eb586m0Al5J/kf842fn7sG4kHOKThZGiYFX9iSJFW30/iJiPLX4xW6Aqo2x+Mwz2nS//Do
cKXIboo6JKR9VJ+yEqjtVlUTCQNF6bbbFBLX/Ahn8xIIkRL4iRJP9cu0r+VqqJl10rHzQnKsNKHq
R/oekb0eArgcn0iefr0amOWQ1jLBBPDjfVT1+DS+Lc2AbyksgGtxr+aFSdn5yZbyu0+B9ecGuMEu
b9KHh4kOiZfxstJSSgRhRwgBYeTNWVp/8tReLurPDy3KEYHDmRVMXMqon++tcXFZq5K8+rGuk5WX
+tYiom+ynsiKkNss1v5xuMyOlkq76gAdIvc2f/90/XI+wF/A9cTQjUrK/EX4M5rV4DQz38C1pbFR
rikXAofaqROaDKHS6fTaNaxwazM2vPn7j/5l3+ajQ/RSVG+oaJnO//zjNUN48m4MJq1jMy9H3Cpn
Jo7RHYuOdaujvPykaPvNTb3UxiQII2ykafDhYke85ehuab10dW7udeF+I0M++OSOil8/5WL5piK6
eDovB/Off1VEfd4VE2mLqV96zzlN63xDzBa9/ZZTQ7LOVB7njCsTHDop6WvDGrx1N9WYcEc6Tc2R
ttpwLVPVvxuuVZB1ODE3Fj0pKbuhqopnR/hAiY2kZx2Qim67IjL2DqGbfXVBa4uNPaaiX+hZOuTe
8U1fdW2FBtzVnNy1+YL35OUxxmjZkHlDieQJ2V8DbDEASaGcZPpfGcZ9ilgw+h4UDphr7DZ+vCEM
zwnXjGmjcjEiJy5WuYFcYNWRmTyvaUOX7irM45hIsSHRlGHsVM+EfREX1tJnvXWZNMkHSXU8HbWd
z+jT9dBBhibznDpF6cJaVHVHzilTbvUyI9myVklce3qVJYkcuKK9tLddPoecKGZHXhtGJDrwaIox
luJluY0RY2GBAN7wkBnt8KZqv0ZIYGaj+kIaf7Ino4p0LWrCuf3nkvFvJaL8j9ipn+BU/+tyUy6V
57/yKX4BVO3fvxdv1befclMu/8Y/c1MMi3gUF08mmSkMJy9H9P8KTiEdHA4VLyLK/YBTuSl4I/9/
corv/+FbGDgxLaIJttCh/Ss5xXf+wEOMkRF1H8d9/uRDdIb68Nd/jdL4U9f93yswGnQsjlTQVIjo
UWHFXV7nv54gBwLv+9RN1n0RUQRmKO3LGt1HN5O3GrXEKreKpp2t0e2bnVbbJIqI9guYi3ZlfIkb
mcaVNZEgO5pZRyrGWK+VnKKXbMrEXR4iuRhzepNhaQA6n5iF9W7nbR2jQUNQw1FLu4LMoZy4P7Ou
x/XQhlQTHvHoSWVnC9W4TOj80FwVys5OGR3opayJv8io11bhDIxVVGPyXM20mkMY0bx1qCT+cj9v
/nk1/nqRPgjNLhcJPauNMppDCOffy33660XySGLRouKnMFxorlImqj1z76zYk0QdPY69GB/zwG32
AIHiq4H06W9qQFG2KBEyYQwhfpWUsM42buYycx/jOKofTeUEN5kljDdJy+7VUK33pvPqM8Xph1CI
y1cPEdRi0cOkh7r/o1fJmuWYIrgyVmpygiPwlCxd2F0mj4GVeQ8h8PG7aa6yZxQvjDhRP1+Ps/ag
/6V5++QX7SVurfHOs+X3u1zX7TZOtHFtxmX8WbHMheQy/vQssgUDZeO0d3EUUrD/fJn9zJcMmEZ/
5btxxePRWY7xaiHtKb8JH5fyDcpM2Zztnv7m1WUQY2/sgS7QvqjHFshFihxrramRw5suKgoGngbB
JMQv9ipNXksgY9ZVImD6PVZGqIDMeLF3wp3SB8sGEUK6dzQV3C4bRrd50FFkg7uyBiIRyyn1AwVP
XtXGqoFhXR0YF83BfsoYjPAcD30EaDLIvBPDaPRGSTpV3nMRCaaNTo/CNxO64/jYB4qZkk7kvZ1I
866szPoxGxMTEKExzvtxNiz3nkN+YOFbTYJpTSGVzTsCTOSjO2fhvTtPDirHrJ2/pJUhv8eqHu7h
H3UEcgWQyPM56Tdx0exIxItWkcqiHsRow/uTj3Zyi+x6/CrBRduLqWnD59atzH3o+DFgltFxaZJH
/VupFOkEUWB+x74u2U6SuETE5TetOvaqaM8utMeXFNHPru28OVoPY+I/5l0Qn1J/dO1dB0jjtjDT
4E53wrjzOgnyourbF7/xuiPRoP6u0k7yPsA0GJcQJeeXmTTkq8lJ4dFRCbyaoQZfgcYpPhiayTNr
CymWSZHcA++ob+fZx2Xl4/rYEeXZXdddFh1YRedjWrfJtTcq2yTnnokTdUshl54ZTVeFYRWbHmj2
WTiqPJvwoK5K3FmozdkvyRoUZftI4LB3FLGtifn1QYqKHs/04FdHpt7hKYtS11uRza8OIsjmL7Kq
7TsfxVq/CukAHtNeaBKuJ7uDqhQ2W+A/KTyOqeyBcnXu1h8G/1AnSQ+izqjqp6jNJZPOqGyIhkHZ
o9fa8YwWnYSU/m0KSPWZFDVnV0O3OtJhFPB/zOBtbOV4jcovuBGIL9QGAf2UHKOOAOW7olXpfcIQ
Yl23XXDOmMTdj0KZL102zMYqq1RCoDn8+G1rxPYOTjTBbagW+kUUp/JpZjF4kn7aEpqqA/v7PGRh
uMLP1m9N3i54Pjk9GNx9gYnTEFjzxkyC6E3Lxj7IzCAiXCqrOA5o6beys5pNPTljd2rdqLur3Ei7
iw6xwCZUU75L/QpgWIgFfonRsRzXIdjPcKfwTAHgrA2EAroKihPJPu0zS9u06tpW7pEcI5GJTOvY
DrONgi6fqx3Xmd2ngynkryJn9INVG5QiIeca+OJdU4fJD8w7vcOUUkUM0WfcpNcRMwy16jh+A6V1
4jvZe8NxIkQO6tys47URWdkPuuaM8yMZl2cSl7xVp5R9O7Riek0o/r5K7sM2U0n53hjKXleistiM
NNoXJ88BG9TawUNl6Pa9C0X+tXF0fGsRR+tuJi7hAcmBc0VpgQclMot6R/ZpdN1lgTyrpp6u68kP
Nk3jVqc4abNXC2xcg16tJj9AM3k6UMcSmulb9Vc8+bwSXjJO2cYb9fwSIUHeMaYuHhxdmUQiFwUE
lZY5ykTecF7cBo3nPAAg7x7nlHYA8YdFuh6qeDi2Y1aDphyjB9kQB4GKITIOVeJ3ZHkrddvJKLiC
MNG94TINTgUEh2+AAeoda16ExW8uXlNyhkiJHDhSs7iUr81Q982ij+GFbcesCoddQcqau3JB4jQ7
chrrtREohAzAMuU68WsEjOAC0htfJRG9G4SD+yilL7Vj3x8f09CqzGVuDSUXWHIA8dGBwz+xvDff
aszHceyIS7Qb0zs1QxqhePGag5t76XFEorYYoq6elg20ABudEv0SOBIOkVEu+rC96evmnjsUwIdI
oTAubLqOxWaah+iumMnVp2QsV01RMVLsE/kAHECfBjs2bisyRscFIUABEq+IsHA59F/TqgrrlWYo
dCCDUSzsAdgjS74FQbGL+30cF8Y1q5DqjjOME/KWoKR8iVvb3ajMEOMyl6l7MMa43lR26/BaxjnZ
tW5XGWtFBtRVbZBNTjLA+BR2EBltZJlI2KIxPptt3Pgr2t7DNVqU6oAiP2u3tob0t1Juld9rD07w
YqZE2PZOXDI96XwbCHYR89sbqwbeIp1LnKvr6GuL7fO+5BeDuPNcBW0gLW8bp+5IhB1s8YBAU7At
SnqcloMcQdplBDWxYTuqW7JQJtPLictM8qu5kfWzl8SARdn1qsc0jshh9yw57EQ3GrdAhdS+5x5z
XkKx+Oy7FOGJb8V7JBhkoBYBiaFWG9+mk18GhNoawU6nZbVuGs/aa1jQd6DXCSIz++Kqc0Z1Xwyh
8x0vJtI1r8hrOknG9D00oopgPj0glkZuHWxa18A2EFXJTTIX1gaxa3iwEIhMRzNxDG/RsfiuilnE
5xh51Gk2HFTWYaTuiOTnlEGLISGpyM/7U2cxR1lGqrGqtUrMbBOJEHJRorXhr3O43VeZ0xVbEqn6
M7IWd214bXrVtLI6EqDrnJwcwyMmT9tejobuHpzE8ucjGU3ReQZRf8ix3z4QBBGReZ628YNw5nGC
3kDcvBKQvkZnmBDauuO3LjZmeaq90Ue9EVVhskCi4G3KYm5v6hEHedVzagLHDnZbeZZV7uvMcdu1
P9LMPChdMtBHvKJ2RmkwO+uiWppL3n+WobkK84fWTMVG+Kl7nAJtP7US3ogDpmQXuV37bAjGL3uc
myn9xxJQJZESpK6kxNY9mK4y9jozh3gzWFgt+L/9uWZD3ARdbJmYhLP+2Qnm4UhcjNxbPSITBH49
G7Im6oPdwpDFWUvh3tullx6AlNTHfKYfu5iIqyV/ngzUoz+oaS04Je2n0nOB0V4S1sMKJii6kvl9
5FDwkBM69hqZcfyd42cY7A2Rj+uEIzVt/cCVB3YMvauL0BihdSbzIbFZgFHLaOeOpJUICWTtrcfG
8jZp7cVEIM/OjstKLxW3mvXctL57U/Pt1l1kg86DIepHxL/E4pSyu94wpjG2RmoZe8cNQ4aUXryh
MTFc8dWL+7p3td6UNB9/hKiQNgwgm3ssnHJDYp57aps8PedD1L/msXJOHZSka5cd+koOnI+ZL6qB
DyC4b2uP9vAtba36KEPAbNKhhVp4TVeC0IqAqNFOPzZRpgk6tzxrNVR5CuMjJUc3wtl9XXVp/BWq
OsFyViU3bp0bZyuvOEwAWUHkagVSEfUvUo8WaJC+iMCQN3YKWyzCxA+tN0qhsUYWNZ1HXmKPioSl
AE+S2NW5ao6z0+VnMCburnJlvYeX0B6nyc7fDX8Sa6By8mD4Lr0RA4PGg0K0HyC1LUrznsFYdWVK
tsyunf1XYg7mL4Q2D/4xc52g3tkSrqM2hvhHm/Tq2k5Iw0+zvjhfgquf/EzHJydI6keX5IqDq8xp
NyDp3Q8ma/BWxFD2RBero9uV8x6VnonCZQDpk6cyaHjdjeHcSCNatxpf5ZGY/bTlJdbTtq9Nfces
WXzNVCayTWaOxVcvSevrfjKsteRogGhe6HfdarF1PFkfC2nQf5yljLBFDqQVdm2avCESTl0Q8mL4
khtZe+rzxtkMDKGnZRz0zRczAghjmqYUy6YM872Wrns0DQKvifJyr4u2hG8A+alHSl/kS9+7yPzy
0S2Tq9kpwhszGfIBwnriZJypY95dW3TnPqaQ3pCF1zwlUwDGZIYHGKDNN9eqMjPn1HstFFG0bfd+
FmTP6AhZXcARmF8NoFl7L2m+lw6/vpsj8y6N+/BqzFWGcUPY6SFVbndACqpuo7pJAYY0830x18ZX
1aBUXYdRHQcrvy+0c0BtbX4hWiisdlISSH+PCx3wDBibV9/sm5PdoxSmSavLW4YW1vgQ1L157Q4R
IYhtWbYMDlSQvRsQfOvzLMvwXY6EJCxAoImjWwhHXsG9bE4ZRzmyoaUXHM0xTba9myBfr0aC8Lxi
0tGarJ5h35tN9yNSon/LilEdFYlfXypeXgvQovDNXTKRwN51lFWUoPpeCh5dpLVB+ZXI1/Fgy7i9
sRILwrtrVT984qGP5diWd4DQSmjEtEVuscV2x2DkVqwN1wiIlzCCbj9OU+lu695zWA1s/16LiQgc
fE76tTElznhvIlNb+FG8HylN5VVmc0BdxQh38Rq0ZVIx0qTIXajAHtylrkIKegUNaBkz8DiMEsYV
mBC7OE1tW+pdZhvDa+XDki6pGayFT7LSK5F09daqQ/ld1HP1khqTvOptUjgBW9ryOmWEvgn5t58i
n42Hjo6vnGXZmcWhQ9mCFmcExWPlQXNr+2UmtkSDR7ue/qW3nJSovjrket64Ld5sB5z1LRYi/Q1N
bf2QaWU/XqzCzTKKzUEs+ea92gZZaP1IYye5qSgGQerNxfBuVMLttnhSnTdbxC5PjUsMuQCKiQdG
2Xfot6XcmhGC6iV8Wm8TtyW7jOyNq9mPLhpur97lNlGqa1PNwVtPDypfenODK6IeFHRs7BsKCHDm
3pE+n258w61vjEShAucMh/zO6Dg8L5ivwIOMp3JCli+9eUNZb1y7TdsGy1xV3n1Qhc6wahIff3YZ
oyNbluTQU2MPNk0ZwjPWWeUX9T2BXiho/KbJ2HWFjoqNbC9+UfxZfbMmrtAoNk6ik7PM2VUXF1s+
jp6Rbhvzzqw/sGmpJ7by8OxiTMLq4bjGBgx1c+ztxnpr3MZ407YzPdn9JB78tI6vhEUY4YXqO32n
PeXdsBB1m9h30pPZJjkfPSCGjXVR31XW6N5FY1IcpT8YZ+CK+sYCJ5Sum7GHDlqZnacQhnn+0ZyG
4AW9MIUdCVvhGfPw/ETeYLFDw9je9G0q3odkah/h30JAxPU9oxm1rRE2dxBHuyHMnkmxy5+JH5mP
Y5wPO4Xd46Cc1H9pUYXGi8CNonvHlvlL0DX1ru4qCHxmW8pbfDbGvkbWsvfKInAhFih6RlUysDhm
QkVXCKsb+FAuWuA0cy8aVNsVG0mfL73VjMrS1eiF9Ce6pnzxjXEkX8VB4htE7kVA3bdnDoTDV/jk
HXxvhsi3Mfsmm4yu9uR88JZy9H/xqrl8LlAhg5QNjY2I03ZT5bq670fZi1WRzBQqSdw2m4QWgLfC
DqmPtatkt6in8aJe0r5Dbp4TY45L69PYCR4TordMB1ouLZxDlHGyIPZoElDK0cyXG8kko13nbjMa
q47l66vouHkp4oVry1CUbBAsjBw9fFM6q9ToGuMq6eEmrGJp5TCISQeFKVrkN3YbaPz5I0cqayhs
59qwK57UQI3hMTGoqdDGF0YGhhWz5Pe4wWd51w0+8BvA80CV1wX5AdPebsvZPpZeHeY3/Zg70/WU
lREE7JEQpGjnG/yjYH7jDq56GiIYjjNoFCKdjTMkN+sF9TQ1y+IfAD/lRXdTr+cG6t821HX93JBp
WK3+QYYI/MDe7tdT6+szwfri5uIgFMsx9by7f5TwOaMSusVaWZ6xJpw4vmlVxm5JtXLvu726V45l
4xAz/m9QAt152n/7z/8IkeP5F83F/zwsAffKNvrXWcm//qV/zkts6w9BHA9SNFz+DBEvSrrxu+r+
8z9s849LH5u/TcK75QQ+7eH/yplnJCIcRiiIklxxyVv+17TEtf4gvMN3OBczaCZLzvp3xiWkKV0G
Iv/dpCaVi+4T4ZrEbqMUQGnyQSdQILovZx8fucm2eKOVg/DWKgAbuPhKo1nRAStWBJ5AY5p4zQdb
FU/Cq7/BFH8dJudg991bZlbhmv16XtcT0CQhaVVLDwWXnoVzG8uEvBkFIElQQutWhBt8e299XbeL
AN7ZwmjG6zjr5o1TRU+jQP/u0+Ap2uimEka5o29sIHqx6UvH4dKMrWu71zelOaX4kFmRHcM643Gz
79vxwDQSsB9t1tZIHnXafbezGlNiOvZXlT3Nl9M2beReCfZ/L+cP2n7hJ9FXizCnxG+uKu2dtMhf
bGEdiECPj7HbOCtooXurLmMAscB9YelgRarviPIqQZ0V8KXM2N2mnXU7q8beRwaYpkm82I6UV7g4
b/vJva9mmF/mdKHmhchdscVdqxpKuw8WY9NKdVMajnFwSf3r24mWveFt8Q8Acs7KdZCrrZBYY20s
ljRMnIW2/adOmYu5xb7tkIOZiRrnJoIu7Tj3KKiumnrAZCPvzHBaN329S+HJIlrapxpFUO3swfqd
BtNZM6A4jWROanSTUUmEdZmVBAnUDwUBSoBCxSOThWqZRs7ThAVtaTGfWOA12IZ0l21tbzzyv3c4
u6vz5LrIZkwDTFibQrnmy4zxe455LhHztp46saLAsvcJqt9VpuZ9lUT3ZcuQuKTV5zIBJjEiX1XK
oUdNzZ4l2RrKMUTqvlgRFozmKN7ZVbNrPP+cFiCp82xbiUauYjdPV3GujnUTH8c6wmKcOeHC4JS4
EEK+WFYtlnnVdQtjaJat5W9sJb6nAeY3t47W85D3CyiL5aJPxTbK+vfBtU6keMeEvaE2zG1G82W+
dZuAf87Ct2GzJ4o52WXNBcPowGUzp1f4S1uKR7WZ+uo0F+UTDqWb0u+vGxx+uRoeIrA30WXMrqs1
9siZwVW3Vpm1TesM83pW69XoBl+botxqsOIbv7KNpQlvd5mNmM+zXh5GYe4iq7vTg03jGDa11Hsf
8vhimMi6ynu2zdp1sg3Pz1NUias/AU1B798B9eWHjPJkpE28rtqG6ZcDjc+s1tPMASi1wdN4PS62
zlsygCnXtRvf11VOuwvb4BQ9j9C3uRTd14YZQD0n765tPE0VWagOTKVpcN9nId5aGn+xnbwLU1Go
aO/BbkXx3vvpvddGe5xJJwfyl4N1OJ+anR2jepimhqNIus1867qtQP7m+hbELx3TKTzJQj8mTXYb
N/Y6lc59Y8e3tWXcpRBeY2x/Nin35BtVDza10iLKrU1QTFvfnHHkFOGzgzC4T5wrV0Vvc8PjPTvN
bRvIVR11566ud3Mm3YWZhUsPDaSV4QmrQmAvtfwmumKfBd/sAmO3qeT9aBkHFWGt7UD9rdq2HzZB
xQKR990Sc3i3w9lZLf3SfQ+Y6+2Fi7e+1k8OzPAoBjJfllzglmeKQ8YDf0GWXi/WE6IrpJdfeESj
ZQHtuxRuCd268RYWiw0SkwOjSpoOdnHdZFa191tv48v+oZnVoz2W1wMDxWXLIDtnDrbszK7EX2h6
2zEk8mmuk0eauPST02WTh89p5pBNJ8+DCKwVDthdeRzJsvOfwuoxCR7LQM8X38cGQ9W0MkbnFi8Y
C/88nE1cmszgnvK23dIkXBEv/C4n5upuDNVjatxNCoGI8yv2eAv6Oo065lDplZnh2IhcMl451B4Z
2Z9LsFSyT8lv4NXFsQ1MMbAfPVHdIN0jEHzOeEvsGgtrRH6BrZy91/dfUuHducUMEKXcWY5/Y7v9
c+8pYFCO11JDteECqcg+YOyWTPBS63n4pqRTb2kEOwtHZre9Hl5LGftbTGmX+xc8kuBwGzJq5ZOk
Rx+hfIPOA2ynbG9lY27K2bggMFhyxTQ8jz1/pdxYYkiU6a4zwq8kOxWLnpKeFvoNS4FecK2f/dya
7wedPNGT/urH/imEbT259k1cFi8s5/s2YhxJJMYCsO4is/ons+0xwqEcB2wFJxMTME1+0k/BThX1
1AOPg4YN29pcNPBaluakD36TfjV8XP1+gkdwFuOqLrrzZAfvxaCr1UAKO9JC5wn+Ctxdv+jWUVZj
S3VPwVS0Sw7SP0YCkDaTXfas8hZNyCqNGev6w4nQ41c9mi9BVhxmt9y2kpxHNrYcy6p4R6JwJGvg
OnVMeu2VUW/qAW0sxG82/rh6rqys2fhxekMa4FNpGt8HC79tCM/LnSwa2ZdcM1/solDcjiI/u7K7
AdvwJmc2VOJ7FkEwXLn48Glm9Qyn9DEISBYP6KvJ0fIvW7lalzpkKOuvk77uOADTGMwc+5vI7Btu
5yMLV3vKc2pex0iWQxTU2EL7O0EPjRuEx92EFRtOkG/J+/iOova+i2CRIa2n/V1fsXUAEqw7WvyR
ucY8QMGv/EVjyw39gVs8uHoxqqDZUEXfkCl5AIVxm0rgCf3F+RgOwGVnt8FNPMZflYZ+C1b+2nHz
d2UHhyQE8ThVc3bmNJOz2Fjcw1A8QydHyDYrIr3HaS1J2YDyKO/SunyxnAZsW23vWmmTQBOiGp39
dh1Yw1V5OXJ1/ckuikf0vD8wDpEfi5czqZwfpdRrow2OQ5DQJK5xkfajub34XldObBECbff/j70z
6Y0dO7PtX3nwnBfsG+DVhIxgdAr17Z0Qaq7YN4c8bA5/fa1IZ6IyEyijPPfEcKYtKaRgkN/Z395r
G+e8e3MJEhJ4x45FbWg5HaSjX5cy2GVyFhviJ0tInpTbw0CVoYor5XlRFnDsJH0fGeX6Ey8Bbd81
ang6+iGo5xvlsQXu2CcnvE84qPnWENS6ueAtKd8H085OllpOGXvGyAyme8vs1lAW9c7qfJPrfuBy
hhsMP9KObA3cVzBCt1jaGuiJyGiSq513sAxEEPKZsOiqbyfXmeBkDLvady+N3hyxBfXq5KwPSjSf
YnKNqA/ys0gXmjZpE4x6me9dq4GwLTN7Uzjlo5bTZ+YkxY4b2YhEa1PSukDHQl3Jo0zvp02XVgVr
Fdo//WrgZuvYV0Q0CZkP3DUK46gmGjezJH0hGTjGqxIWOqg0NxyVixDZKI0zcGlQvmcS6CQ3S1Il
/N5+NDTtdeOZ70ZHTWLPsyAelLzmPnearOmKO7nilpifPb959yrerlyzqfTwB9qXFPOW5Iyqp+hy
UmpxXeY47orF2YqhugF7Ym8rx3+SprqHovA2r+ps1vnVMBTv3shesvckr8YpqTPMaHR12LptVJCL
yGUPACyyUhwNvGJrpN6vzhrdLffFfEMQ+WbmiWuLYj/a4gxnRAeVMHOGhsyGRf1OLtyY2Wtez/0S
SttCA8Q+sSXc9YDzcKcWlELTOqatagmmW1+dZxsnb5kf1s5/Gmx/22v+97zaQeQujhOx0mVRG7NL
hUDi1G1sBOx/J83bXlgdCCqtFdFhsmDZ8qrNoLfcdNT8pkiUjjb1clkwowTSdsTNFCG6mzY58KRD
UUGaUFPFkFwM3DKLd0qnruCwSHQnn9pjc76GDhiA0ihsIljDGtdps0eY4vktxjuuvixcEvNLivYp
SZoDDC5SwCzmJwvcmlofgbMlYVGJx2ZIu20J0mQw1asGNyYEJEud56IeSS5fLYX1WCfujV+u90Mz
nriGa97W+ZFIjogKw/kYguks8T4SYV6OVlHtlTOf7Mw6pNCyoD+C2tQ8Z4ucLDbYS2/J51CgWGu/
TFxGdcMwTI2fClnS3BDqqkOcaidwRSWltVyQqJYbHUV1o1Wgc1j27x0tuDVBdcsh/U6sbNxB59/C
/X8uABvBGWqdo6hnPLEp3fVsxUet3Dp9cNDsBhiHL+sdHv7xWGZ0m+Iuow2UVEVGF0lZnDvh7Bm7
tlaXvbbewl1H78YDCTi5x9M/oUHq4x6fA3FTPXMOFJLOUUDZwh5sCNM4t9Uj2UxMUkkFAqZvjquz
PLFuOSlrsEORA7/Ayr4dKsmAi1+PAMixG7U6bMjZx/moVYwpugrpVZ/ITnGpDjI4LpZexr6NEK3P
6nWoOhMgvHOb2WOIqltsgTZzAi2HF0vWV2abP/uiOeUJNKKEzfK2c8t3NsgFf33PjzyMIQtUYb6q
ZwycnLC3mj4uNLfbaAWt46KvbifgElGeJU1kzCK/67PiwzAzOh1G55K8IO8muCUulnYhEPaYVkYg
Ki5HUS/Vr6kDuc0y511CJAtzr6A3GDmUvWusOYJmHX7i7Nx5nsBe69MvOzBvSb4J9Rm9Jra6376a
BhJ6UoNq/W1fUjiUJLscZtwJobvOn/i4fuI5vsnYCVDpTfW4r/qvoMvZOq/Zg9t8Kqt6ca2+jnur
xnXht5xgxRqqha2jBKQTA70wfmZG20SspbKta5iKC1GzIlV21ZUZGO9GhuuMuPsa1rmro7lkD3Il
49bLbA3Xis1JWekbV7Fg9YKtMAojqu1807lXytdei+yuZhCUlUHfnIHnIm8eV1lHHEPAX+D8sRAQ
DR6dQz59+S3+7ALCHiOIRWGIvP2tF1zC9U7Q1lkd3SNIBk0hIoF2E5pej11uOHSdOtqtOLo69DLN
ZzeaDCu0CPcU6LgkDLN/bdIs4TbtcFMcqepyNXCrcrXvpP66zCI5mB1Oag65a20dXNB1oe2LFwpW
8igR6MaeyxSjzgl372SmRn6wevbs1g3bYGrSvB0do6zC5rumTJzIlPk1e7VTPuhnstRnWAVgYZqn
oe0f6855CMr22ZiN/ZBlkmzLsB9Xe5tl6hEZwYaeOdzCM6OkNjCZgsy52kLqSDA4hQQweg6742tR
XNeDeOpr2vbSbCj3pqu++tU+ioGjKaSdfTJfjvGww8qOJbaOlhklq2tGTrdEVT/nHIybIxr3HK5D
0ITEhhz4E/mRZUKoJZ+W+YILZDut4i6fVLab0ur1BNH33Hb1eaJRQ18qDtdTcpOxMDg4fnJs+Dk9
fVYR7OxfgyeuOt2H6FbvyIYy1jniysOKZntayJj5utbvYrx1unc8sMBAymbD+j6WHTMJvc0RJkoe
pEZyqOX10NOq7STt/TKOYMHyut44S/agLE9jeTbKDXXVZSymiVnf06+VZz+2pf9kYdwMwUwwAfS9
sS/Xy0hJ12z75ayI916zXrMDiFZznHdj3+2J3F53F/AaqVS3Hx7zrEUuV+9O4bx7wvMO5fJdVMuh
QEnAS3kjunG9dnDZjK32ZfCKXmxsasAwX9kvtntE7a824bfwJzVdK6olQht8mUk37cYTIJ1wkJrb
iu0J73hixN5FA1cZSl1B8TmM/giRXtsZaHx4qnjtLR+UoMlNNstE4Rdo3SwNZLIz7bY4T46vHZ3B
K05saIztYiADzGZZbuxEA/A1Ov/MSf3HgP8PwyTz9b9rysdf/fBL/VlT/u0Lfvffmz/om7pgqEn8
cW8ERPOHoKyZP35LqAQBeSqDSiJU4z8E5eAHmhzWexofDc/4s/3eDn4YkDtJ9NKvY5mo0f+OoGzy
M/4kJzvk2QKfHwHNlpYgtO2/Ja3w55YQzGwQGZeQEECNdgCGp7Xddpwvo7DHAuQ0wKkEYCWx+Ibc
zXnEz/PyNZSzeFt60peU4ZaPyTzWPSDFonnpdfJoRVsFb3YZeLc5udoHQogsTUjuvtuZl3z+9gf/
z7X3D8pM/9W1d/Uup7915l6+4Pddhv/DtAKWBIDdSXKwnPjj0mOXQR7EAv4PtxxazCWW8ful5/g/
yMUDdTEJ7RNkvTj2h3aU2X/9w3F+MDqDmyArRkqZ5ci/c+kRnvzLtefpnJYICJBIsQMgAVRH/NVv
X2IhaPAxeyRyneabxWXw1jAnrJuWYEdlaemvspkEjZs4et6StSrxz6lxOeuCWAbnicp+dvsVXJBm
aIwNSUH95FZZ3bor1g5jQU+5zxIR2vP0rcEedwhbu6qaTQKW7S0hCzBuCzJS7jFYRtR6FEJTbGuY
nHlUOglCzqh0zi2UXZsn7EFMtBfozyN/NeTkvlqxzthtr+1wdiFVcwxC4Wdnqc8UWcKwi3xrYTjI
nFzQZSlyIy4zW0cZWhKdGQKz5avFJpiHgDsF1EUxX3Zby8osHruUOb5X+QIND9AkEZS1tXt9b86l
dkywN4bOMK+3U5A038OaaUfMQMiIk1juPZx1dyDdiE3q9Fdj3UKJhG3b+lTVGmNThhaG4rM0a3Xt
mEqV4VzY6hmEp5Ntl7HLDkGAszLOe994w1A7QbkEVhjEoknW1544WLYhVdMRFhl6N5SlxoMTKqwv
N9wAK85tmG7hihbS++pnDRAO8Gq7J1iWO2dvdNGkhagQZPOmH7/ZyubPqc2P4SnsuyWUa0/zkM/T
DMCWPuPxymBdHgs8o0+qsxmbA/xVL1NetV3YUABL9+uEOSsaQY70m4qjzzPTAol0du444HsKjgUN
327PrcltZ4nzx0o46OEhZfteZXRZqtLQUdbXxsPk0sgxSqfC+BrHwDpanVb7IRactGR3VY7XHDEy
cydMfh3eXkxTkKKSxYmRL8cj/mxkjz4ZkYzKJJ/tyDBr9ldy8Jx00/Sy6/dTOxqvgfTB9uJ9t+Db
mdOGcQGTmdGNtR4qm8z3RjeH8WqcLIYgYNC8hskTKe5Q11MfeEGbV5uCM64Zv10+tIB5lNMJ9Y6b
0bYzGukx7dGQNKK1hr3KmWEpCG2uehCbQDDzQZAF9MqXwljpjWkrp/yCOEs+KsM3/YTx0c22pV/o
HW8VcAryFaCWZpJkr3Iq85JG58qdIrpDeOtbPHCQnQPOENuF6eTFVqJ091M1pt9kmmcFjHjEFA/A
Ni9vFr0EcdcGbIU2zdKpXSZmfL9GYlpV5Jp99pysaUDHlV0kRH16mHWcgKz1GfwXwaFcmeh0UmEt
jLS+n2murE0vi7XSHiuOGIYlw7HA7w93ey6iMp3pbHJFIH8uo7BeEr/vk41lrHaGwtgnw9nyS5Qe
g5m3j0tXU5gTa6+xcUW3SLsEtusizte0/mBPnJd7XxuG66pgTLuBtTICYUBpM6JhWHnfDfCjSFl9
InxgacGKpSj30nnTC7BNO80njRN1QUBPiKA8azkuRpY8egojZKiTkso2eZdPdz4HMuOIXkSFPcY8
e35YOr00fuKaKoxtlhP2jAhqLt1G9Ovw2nMx2GEGNW256OlTHZmq6NGCsNmjU3VuUfZF2NGDjAKM
CSK5Q8vy8jBLtGHamJLj7tWoiKLs6qmxs+vSCvJvCSJpCrMymAJuPzgSQiu/aHWTu+rPkIECn9Ps
Evwy0zVv4tklKr5Bg8jH3dSz99svhcYBHJymd8TvWpgHjSqbLPaVrqcPK9TAhDTQUOp72y3GMibk
5Xy3mjd9Dms5tafRwNRLtZcjX5oaOYuLurcBgk7jWm2XgdBL6BAPx//SstfbQi130ztTsXd1ra7Z
cgpaP5ykXlBOZh4i0eLStrHpfGb80Gpy6xF7ZTpEo26MONN0D5J0W0wkzcxKT44SUK4V8mOHF2FX
w4c1lxJ3ZSvYQcukZamQGDZn40FqrQqxcfgAIpdkNLZe5rZ5PK6Yn7BHQQrWoNx/d4NY3CgvEsS3
YuLefQDoG1hbZza4S+VJhm1yGMpJxzskvK0fTMTe/a4j8kTULaC+M3Nnue8b23+F/jobO41R7qPX
u6TnllG4+qbHKjccszWR6z4jNxccpraTn0Mv0LcXKdZHzUiSxwFs0rCvff9N8y791rVdrLsqS93j
mvTzhzO26WmkdMcKIQuwz3DMKRrbpX3sbV+e52Gov0eQav4O3KtioZJJ7pr8iM+ucLpvwMQ6bFJD
93iEUJFtRnjGeX7NZDoXWl3T5Sc3bQ7NHhflqyNtnJJaYfj3q+/KF18YQxtN+TLe4qLo522J7PdS
5lrL2d8eaezgDXJ2Xs37ckm3VQfAyEKLlJ6pNu6FC7UV0ROwa1Iq09yQtQdWashpZwMufGhxcqab
eipxtiLpYnIVjeayGNf14I0Kx8wDhppk7+Uwrn7YdgVL8xWcxRD7iW/YEV5Zi2N4X6zf/D5TT8AC
E8lOwZuyrxLsqCjxID3kxm/6hfNvptKtWzdLALUAwClD3sSNvLngKxxQecshmxPl/jMm+p8hmCEY
r83/fgC7Yu1Tf3BHTv9yCLt80T8HYfcHXSTUQOgm2VnPArLxxyDs/MBs6OBrJ+VsAWi6tCz9MQjr
P9gGBTZDMpwuhEK+3e+DMGcwDuZ8LybrS0MTg/XfMs//KgMNG+ZvgzAVT84lo22hzDF860zwf873
qo40ijWmNttTBklrXNSWcHMTBm3Vf4quC6KlmzHWFLVxp/AmR47QLKwbRb3ByltQ0rzW24EUC51K
vrljuPefAxO397DK3WpQYG1dXChBKt/z2n0nHPfc9vbbSr9zJizAYE7+bZnuo67YZboZzGsUPgAC
PY4D2VzJzAmOnkrvPc3/su0cMqfdiQNmWOJAWebhAuYWZ5qAR5pAwYXHoCOWYH6TBn3Zy5rlD8uc
K9DiBWnQVPfO0oBz7Lqq2TQgA0IwS+O2kSjbS0djn2pQ7X1CGJusre0bsnaIVyRCroKeqkPErWKD
C3bnWerJb5KfKTHnI3DIuyy58J+5ofuUbExiVyACHUfApmHJYBPBWvhJWe6dmUEuIUL6CcW3Ogay
YtcztAgkycnPLtvv1PLjpq0/HFqBsAkxjzREmeLiUkc2D+4a66QFULcrGtsx5OKDTceoRXjjVyId
SYiJJ08uN8xR8rgsuJJIC/zsBsCczHzmR8uAyrjee87eNmvw0sXKnfOyAUln76nRUbgvALdzpaQW
dSZccNal7O4YeUJFuRRpjKs5H4y4Er24nltlbKRPyQb0+XnDbHWf2Quy6oqM3rFQhoNknitnKC6G
XSPE0s92dBmwDXXo3Mrk5CQUbiIhR/Bx4skqFDpSqtgjjc4zzIdHRD0/8p1lxSA6PXedpLHEoKV5
HqAbdct4bSYEcnqpMBbnHnzaTAHC1dQ+h8AILLomkWxML3Ju/Y1tiofBEAn7C7YjsFzDtiFzh0eW
q7dTMYvEmGIUYNp+9Z50CQ9d48oR0mb1DhxACFIDU8LGKDE/dJW621EU/PU6TBC2/jaCF8f0QtNx
TVcrd4JTBa8iTFOwhOxuP/oJ+Y0d0I2WNk88eeKyhRJtLpoEBP1SCS2JAaUvFJ/6Yisxz5H2Xyjh
wAOyrUlSP86dvvch+xEosb/S2QEH0OAhGGwbwYPS8mxYsNHD5mE3Nb71VvrYZUvy4FBOu8/TwmKp
ku18Tu0bLAZHc/BxR/ikSugJPbTCMxdeOSfFvGUPwgEXema3EApsjCD08/5toGuYUZwEmuq9ZF+M
ipOOnI76NC77SVoHvfD9faCsXUdPxG7i+nrRZf8hKb3aEJwZN+3lTUgza2ZlI1QMqPCnPqaf/iSe
Jot1wQJHcONXHAwGXhNM7DXYMSi5mMJ4ndVUXXfBAuDK5g/dDt6pHA3mDRbCVwuHw+PQmOumgZjA
ihZ2FVlzkE5G/pN7AtM6ZgZSaKbO87l86SkriHO7BBs5zA+WU7zlOSuItVvxvEwWc05fbZKsKym/
44HPvdHc4UT2IiISKztlAWcfsIQf+5q8dvp1qxA6UPBZ1PlY5vYOVdMgtCrQ3R4+qxmL1r3yBucR
lIK/4XBQkcOtyF2u3P035HtPtSUPQ2GyBtVczO+4oanWHJrtOOV3ummdzAZCcUFWKmre7Xld7kVa
HRKLrZNWsXfA0JuGwap76KzyOkjVR5/M5U6Tq+tHTpJ8ZSl2FcF+XOT49NhaR6mgBcFMExnm4/o0
Elch20OklY4HgfeFwZSsTZKIlwrzNVnKDKRzkGIe1z/WlHe58lxBt1qRxAnVNlVPC2yrjepUeJqz
mWcGeJnwegyIh3sIMb9KkD+hTvAv9K3pvJjLV6uooLggtwkqtgcrZfT22BSE/75A99iSKqn//2We
+Ww7Rf9SJn97bP7PP/3fAC67X+31e/1r+Pu3+st35gn8++R0Iab85R94lOAYvht/9er+1zBW/3wV
xOsu/8//6//4/3799l0eVffrv/7x2Y6NvHw3MurNX4eQfykdP1Tt9F7+XcDjS34X8MwfQJZxIV8Q
u/alkPKPucVwfyAvXFpgkXARig20tf/Rjl3uGfw72lEvkwVf9Mfc4jHuoPYi4AGEYep0/525hS/k
W/1JPb6g/1zku8vsgrro8Br/OrigC5d9VWFdTdg0Zm+XwwxST6BPOnEkYy15evXIbimFhjnGV6f6
oj8Um9vIZ54s7R7KB540Rhpj4CNk+ruVGOVPNeXNIZlN8YZgwzOpRnlIqe57rgviPL2+Pjodykvt
sLoflq5+XDVqmbnYF8xwXvkLxnhxmuwye8WcvN4XfbFp/Cm9qilE2OuiXKhVmJpP01ZkKpqFJ9o0
OCF5dI00mNSuuoIuzND3BhE7HnOXqSMmKuH2R2LPnLyep4vAk/6sMi8mqvFJovyWLEFmP3dg8O5o
whZbx6qnw8ox0x1n+4vpq36wCWvdzPqITwpnkLz2OjwCKRjje8CNK+GxzH11aBzRIq+YWeKkgdrX
xexCuqcpIZhceSx00IAO9XPHzmJh7QTkWxYEM30s/H3SUrXE/c6N+5SimWBsxX4GS/waTKZ9TYmo
wTkGX+My81zw8ctRLxLqpr9eY296Gr1OQ43ijjZtKadarizRzTg+5jVup1JyCE8zMndDsktctJrB
+TRKhy0ux1hs385y5unRUAdvslW0weO3dn7rWx2jiaUvMafV4g4Qz7PJiTdaep2YUT3wK1RjFbop
fQ1t0i+bzhiObl13RGbsL83n1857jEI+flHN0ZxzwOKZ5ZpcdgAIm6vFpC7FsQoMPOQLw9nFFiDc
wX0qcudN6Klzq8kkiTThWVct7Xa7hEAXDwIIBjwiBnsHpP0Tox3oL1Vb+9JZtSP5zGRr9Vb7PtbP
AFd4wNJgcOdqo3mewZdEUyC/u8CkcrDqRuOmVrA7GreVZIHJiWuCwI+LxekExmbiEWnL6t6Hzxst
01TvvTJtdtNKwEwp0JCTXCR7X29+xiDMP5ZKf7GG9QkK2HTSPSbHqRnEsaMDKjYdjKEpNJHuwtCp
BfFgfxacSh0GLwBJ5nxM5taMXSuzf3YWT6ohU7Az+k4/g2BZtpbM1x0AG3Nr01ZyU5AfPSOwFTKU
FCY1eByWt4bk6N4xKoBkpNjw66iFLK5UL1jhCd4veZoeeErW4YCdcJ/gEd9XOXj7STjeDbQm/PIX
DOQzR10VlT2p8Mav1dZcTbJgi+kdx0BzKZRauy2tHMlT3aVc0cWgTibie1xqAaAKGnvQXN2Vmilp
PNmp1R8S4rtGSFtic+yrzjgYem/FaJNvsyd1kMYNrr8KDGGVFvcLS7Up1Ls5IG/svAcF4SIEt/GY
zW27sQb/YtVshkif7TYayBHumJf5b3qL/4ME7+pn+Ml0RQQMlc/gI1JkcU1O60RxQ3CYHTzFjidA
RMGBwdyEcfhxLQno0xkw3BD97R/qPGcm81rOV21ZbE006pNj2PUpMW1CdLMRPLrFLE5WikDJis/j
z0QZDE1lpkbCifnVbDEQIp3a7xmOpai1mgtMPu2jyhi62MkqcfJJnD1ouWlu08q+okL07Phu/gbl
8H5oyzcNhN22I5Z47eHJu8qyNDtoJQKcWhXOF/cmoxAq8j3AABUf6dAEL0cCYBpBXaGKOwJJv1ce
oQvoD7yelnewnS95Cpb4BCi8D7tU6mkZllwPa9t7aJCx1rC/+KeTxNkWJLVCwYPoqq8Dm8+ETOHW
UbmzbTtS+crVbwmGfeTm3ra1Yas8k0i5/TPV9q5bZxu3NV0YJl68dOLjQsdq4zrDEpaN5T6jy6Pg
jJRr9yiA643lK1aLpCRKMvKQisF0TgRFdJnKTZlP3TbrQcJPWIcPPaUvYTDML1rp4A/S6yjHyNnQ
o+6EFKZHfVrcsn7Fg+FpG05d0yk1zOYwunSljrIx98E6PBDGu1EG0MbWmcwtxaD1NRSI6XYe8/RF
h+6xHU3tJzqkDJfU8W9Bn1ox7TnbfEpeG8c7CPMi6SkzOM52sGfjdtQdUz54axEbWTnutNkj9S1i
XNn6yaN4Jk5UqrqtnsJRSJVo43TWcD8F31ZR3Dps9bfQDTlTLek7uBhoJphJrotcdEfbzQVBHgcn
Ru+vn3ISxcYf+JwW7uWIT9QndSFjaKUumUQTlxocuIWOUN03JOG3rJtSws21+ahxCI71yopKucy/
cjtdqCEzsv0EBH6/mprzlru5fzV0iGkaewqshjYgntTftmymMF5zr1ryyTm2PMpx6nsiTtdSXBGX
PsMEUUePTUBvGXd8yGIDTwQ+NyRrchvXBu0pN2NVQmITkug6p4ODWnEPclY30Ogmn9azCZkwdjui
wuiM2XcwJdOTY1jdvrLneeetFkyQufrJftvapXrqHdxhxtiT9d80NVSxnwU9CN2g9R/KLrGjBvY+
Kd88PUGG0XaD9PCp6R7sSOAqzj1pZfs6DcbuFuHJC1PZKMIkWQ1tqtR3LDXc47jK5Izc6sZQSDoE
y6o9ZcAXD3iiUQLmQSLZF9Q/ThkmnHaeY6UKnnZyzTkV67m9PgVpXrRYrLvhl+2rNb849002CrMC
WzWsH1iLvNDTpH0MLi1nQGHkc7GO4y01sRynpZq/OAmRn1w1Oz2haqbnuih9vE7gX+bpyjMrK7Zr
dw9lSI+rShcHHRZm7Jnjxi6yB6dr7a9ytvnD8sg+VLpVX+GTnLbjYC9bwijICfzxvbCq3Eu1nZbc
LIVy9oIhawOnymcR5Kc/B21l1PMPMNcgT6qT65HIJAPs4tonhRdZnYO5FvG9zMeDKJp9HxSn0Qc/
IlZu3rNm0YdVVGeno4aKY88ReIGNI2YZNlZFZpTOlquWKEEshmZXjstxRSS7U5Pr3Y2Y7+Klnls8
7uoTRf6QdAsGp4Ykq7pV8pTTema0OVZmWjaL9I29JuL80gLoaq5p0sMqo6mTdLQCv00C7QgYFC5q
Ihl09iH6hK7eD6Ga+2jtJVtd+R6gQEdaOWk7E3u40YrI06t9rdng+tZmgwS4EUHwmRkBVv+Ci5jP
SJzXrPq0fsTG7aewQucPof2UXYMlzsyM5czh39lYa1+HfaDu8Q7d+0kfuwt/yWUwrLgq7CuWKU9l
AGUsCya2IR4TVwpoT1XdLm9uApXRArg6uyEltqHauqftExinVHqNDDd99YaJUDij6uvAwUILeQtm
3yb1mL9DVsoHP/U/2yl4dtyjMsczvmKGfcsotppe3/f0y4H8PFmiwNrK3zippMUHhptM5vFsrIyU
HkSiBVibCK3Y+c5OYZ9oHikep9usnCVukkx+ZfNyWjI5QYmu3e3sZc/StmhmGn9aTfvQyuqL9s3v
hJbsWS/Ar3GU7aZ+1+eX6i3cuog++V2CGSWC6VZfabrbxdbE4DtO4xVl98HG0OujnZpxNro4T7Mx
3w4zs3XFGx+6peM/BLzXnAYm1mcWearpJWMPHHaGIeCTgYvJ8usUN324YBj0Wt/l6Vw9Na1gldyJ
59QzAZBvpoX7qXJqebekNG5BD2Ir2x4NUSw3GkVokFm5bWqk/roPTVqPE9kMOh6N/Erjkwy349gB
OlPLuO978Qizh5yORIGpSeIsRVVcN07THzH2OnuVpTbbTh4nr52APzPUmvldrYXzEzxMSGdaBMzg
yLTPm9rKrUjxlWJWAv/aXZdchpwtFujHFYXFDesgqGXC639NtLLF6ShQuAg3udAEYkt4qCx6MTG8
NRpGcYDM5AU++O2OUNnPCLHuxnOH6UafsNtJ32VFDWLs2usdooP56m+FRm9mybfdIP/QtlSPw4tR
DGD4gummNkYjBn7U7iYp6PZzetoZ1qA+iyB1n/wSqZjBpduZrdduZXcPi5CXHXCj8zeOgSW4oNPW
pFi6kO+TxEEAy3PmLVx1V135M3kgJSPXNq9x4R07YMckBpr8OPj5DmLwm+ple1NIB3t9OVGpcrkz
qamMyzndytm/zgEbnAZ7IhzfC4OGZtsFWzgTiLSW2K3as/Lg4OiTi91yPQ9BwgNPt63DVFRyP6xz
cRiFf8sjwAy1NTnJGcJDBcD+xU5o+pzE/KsZCav4bqqHtkyO7N0Z9HvsqnM6EecS/bKjsPfMBv9e
CqINnCJdPs6dzeckf60mNpQrmdCwhlZ5M+nSfR0UGbqE2yleSnvYZpr8qPLcxbuQ8ntRDRLj2I4H
lnw2AchGp4+2CtzvyQgegBjc8zTcNDlNSXxOD75LP3JvuvpTxXUejrXN57hCJk7mmocuC7RwnXmd
HUGmcJbrXQ2kAFNl9W6mmHTMTGkbiq4ZIHyZb/V8NT9Z2+waTvFs1CvSAM6OvutjU5Jg1oCrbUHA
pNvU6eoXahO2bHJgLTgOVWljx1PY58ZaeM+mkeYR4OQjHpdIVMFVZqKp4d5YDp1BWam3clPFJHM/
KXwN8JfPlU+OzwSZCQXaRVF3cmzpHo4g1qUza8Fz3+IHnnLzU5rjM4PRDcaM5NZb1zsThhuFgW9m
IexN1TD91I65ITEAQZMF/S4z9Be7BH1Q2SjGqW8mW0FsjaNQ+0wfE7GtLNPPlosKzcALgmv1u19+
XqvjYImZP+JIVtOpas72zvg1sh/lKl66hZ7CoIL32WjFa+uzjnWAJu481qppCBidKx7gwnsD2GAH
7mlqOA2V1dGEa/CqrZP1sqoB05Cba6e8uAQSMmfeFOnYXrqj153K6uDQ92v3ZI58xsgVE+n13YXw
o+4xYCoyYTyqCHAvRHleaq2a7XgM8teskIgCK3dp+ltBqvCfSl27wlJM203z5Ar758iq4ZAWbX0U
relEJZEhkNGMxo2GuYi+xjQyM+8SdLXBLpIW2Hiy9e5MPSG6V7aAbPwmf2wct2DfoWvXwap46noS
l7yT2AOENZOorK9r73NSyrtRBk0kbel8azVnvnJVxjkgav1ImrTZ62lFO5njrE0o+JDSAFyI/6bu
TJYkR64s+0MEBZMqgE0vANjs8xyxgbjHgHkGFAp8fR0js6qZKVJsqV51i3BBUjIi3c0w6Hv33nPf
c6VNPMZbyQZeq3tuKPbIpkw41m0+itjo1smzJRKDsC58gZ3smv4JCGbxfR4lGaRtEEeR2QVX2Wg8
YTvawOfMeWSPzPRD14idU7uad0vi71PULLAxIyiMNq/2nkWLXtgRz31EsOPgOGCCCrTVXq5Qt2h0
Rvk1dICCrHkMznyKlMBmHvxhd1T8S7eRG1E5ToUKsvEa141b57vOX5HXaEAD3J3aek+0dNj38+Jf
ylL7oM0UMtpoQLRgGe/N5KJK6x6vf78jZ0qXU5OMCkyqkN/kWpu3QzpN0apEhUm57M9lSs3AUFvj
yW60x/uoTIhg2MUrrorPnt3dI76+T2Gw/Wuxdh/6IBtOAlEtpnqRjsGMx1VJS/b1K3R3ArJ/CSFI
pnNMopu0KYkWmrlZQm+nFp+Fok8JG05Uo7uVdGVOInsBNknaGJYZ2pP1U8yef+aQH8SkabZjbvT+
UXRdd4CCAF0Wj+O3pp+joqGsCnbiGBqpw6mSXZrxAENhCiJX19nZMMf8OBgufCaz7Si7HIyvDm8M
MSZ7PsjhmoWgzMl+pRVaPlsjcd0C69W58fDeNE3qPG0mmyTFeiZa9JA+GAn7BV73BlVH/nDsSc3Q
bLpgvrI7DwubXb0HpAleiCEQ/KZl/NCSnn1K5pSHQAXX8QnF0T1tuVW9Nb28s90Ufj08FyK49ZIs
z8BiONLhTzACzlc2ziKRF/Ud5iDn3cHef6v9nhBRnrqMX21SmCewMtY9VoYFv0O6ljclojp2O9co
Dh5WpIeUtMQTaSA4Z5Wo5m9L6xrXvgmRfoCMZOvp8kx4ziTxuwh7uWmxY3JSewdkE7CuU8j/C9ng
/zdcO71j/86s8Lz8+vnrTxrBP/7AHwt/9+8WXXJeQLKAxigG//9a+OPYxSAQAP/ALs7QiBvhj4W/
DP5uigCXArB20wI+8r9Z7Th2bR/HA1UIpudg87X/Rwv/qw/hX9gj+CfQFUheBQ6ObQzqfzGL9zX2
WY16GheB6OljaR2qCFjCCirOoQWTjAVt8APgHbxx2QUlFq18Lt9MmREI/JcP7eGf/9I/MdH/ah7m
dYIvw4IF6FILGVhXaeJfwPFDn1cUH3JPQn9e7iGjbmnsGPTSRxakYMlOW5PpanHWkQkDAfBV0+Ja
xUwf5KohYeFnB/lVku7Pfc4PWduNMShXFoHFVEj7BFoRUUJpCmoQARcv3ZMHxCqGQ63qIjyk4Mbs
oVERPKnB+T/8dn/pJTHZ9nhOYPK9+deP2vzrL6dx4yUOVbB5tpkHoyryYpf1dvBzYWHggs4I+K0c
xmdSy541GLyXu+n47z/hf9iv//RtU7VJ3xLWRvaGCD1/Ic0MZV3rcWqn2KqCymRnNXEISzohaxLo
gy/uiNOAidVJob5v1mjx9t9652XpbTZxztCy3/j3P5GP9fzP1x91A1eGjm9etS3+65+/c03ip02m
uSYdyDH0uQdBWTAMzYLm3G5SAJihV8u93OzEPtPTvL4CJ/HM85QLpnx7CZLhtsPPSRTYGN02Xods
c25Rg+Ubfos12FWTTxk2VhfzqxlW8VwmzJYxog5zt+6zQmJ3uEpSjXL9LkxngS0hy3zrNV9yUx19
cyL6iXC3GS8LwG4ZWl2G8RZeFLDhoTK1OBujM72odEs/K5hbNMWXLiuyIcd6Em51S9P9Kr2cQZxm
S7lnC430zpNhBKvnkKjYpRTDzJFoWuXd95nXoVGpwXjWBW+HnWVOOEt4cy/zRdS+qoGvGzJ4NpK0
ZEfgyOlqFdFV9QN/elm/I9sH+RGQ64ZZQooWpVgP12gWwfaOmKPRfJPKbdx47CCCxkFQNSl9RFmK
CuUu63uNeumHUuU0gpg2rW+h622wTzuTzHac0HZah7DCsOV5Mx4MUCgm5dCKE5I8VkRLOQ+DM1LE
QnIJGIiEl4z//TVj8XD6y1WDBcARtuPyH+mYdFr8+aqhPahiAeSgS6mxnN6BK2WA20jayUgGWqdP
ixDdetIWY/N9mcz2dNMF1kzIiiO5v2fPZjRIhD6j+JRyiEeQBIGCtMbsHdkFPchH3UE4vjqNm/GM
7UAtVLMMijNHjm4cZUtteKHrzAsrLySf+mNg/yCi2rQpna5nbzEYNIsBZF/Z1yPnRjEAD5poOsZo
6244UVoksriejak84A+BbYPRq//mi2Wm+cV2GAjXslIsaxjM3WjruzY9LjSuTLty5G++KwEyD6/G
5m57rjTPjbKx2pZwHto6i5zGtfn07Y7IIlVi9vBOth3Ej3bF5l+2ET9mpC25MmqMFseZVLu1gBq0
zMVZr8VWssHONXUYPRDzrhnBAaIrec1hyZPFjFgNX28WvxLipi4yBpF+2qwvwpMen5/EXP5oUY47
sY23V67VSSQdL5RJCIfCMsorDmpFutp39paoXZOWEvBoKuevDhjS9Jms5kR8afaq4mnIeF7eVZWh
zgt+BmykQY1brCo09xXKnu5YNVf5Z2asicBCpOpyZwSanWwFTWHbk4FFpHBtc0uQvsDEhq1ZYc5K
Z+J+uGJwg4Zsv/mu26Qd6xetUeExBrl98o50QrdR1aftxm1vuUxZ0G7ZXnZBD97cDjK1AxrpcnK1
xdAhbnWVDkW3sSyCa8V2AsSxZcTabaavrqSCJw4WNVaRkSg+A3aniAjVoqoPq9omPGtLXYtz1vsL
bta+4k5b6TnXe29IG2S3ya9edWr4A2RVi3WcUip70lbT908WJdEgIZUlinArvPxH1s6wO6dcNSQx
eWNn8dyxRolWmBUkV4IATWgIYK747tTT9LB5Ft6iKmDBBxwb676Z9YO8EmugrA/lPBd4ftKGxSpC
m7l3G2Ppd+U0022kZVAaNwYO5N+47iF8pF4WiB2ZXDCM1RTkvMX7et3ioA3kgxQMRYhtIJKZiprO
3JmJm0sEq8r4Yg6hY8Lyyv47Pomr48xa22qX4zXEoYgfBicinvMlYoNi+9FSZ4RGrbaDaIm2j0tI
d671y3Yoc98hCiILzprRb+dQyMcLjbXdM3IklnZWxZbJmOsY43Fqh5yYf2Yxc7Nx1uUe7dHoYkrx
0jRmF4xKgTVv/V7n2qjJ6lb+B+321BZOdpV/lYUtHwNwDTRxmlMJsLOolzSmDx17TxXk+h2ICe6m
0mPSjtCEZRZBNU7ek9QegAn0o7OHXtaNO1ktmN15mENyrwTmpiu1RzaRHgWBe+FM9oMtFa1NqZMH
T84EWTXCigahyuV6aEPKQcF3d1CbnQN9gkV3lt62SmxwgyV2k9Ub9sNW0YCBuz2FGFpP9raFmOGo
WtwKwO9Zu40wV8oikHgysEVHtCtCVLJWakT2WW+oal/UHUWvWvUfQbCSWYD1QHFPA4VKRYytc01A
dTJkmCQWOApw8mKLEm339r1ZZuRzbYQQkZuef1OKPn2YsnqwDxqHf4AKReFAPKS8j49VSdDqfbFV
b12urVcsVzJPwXlgzwCxJE0c9WC2cFVu1qAgpEVqOFOYKq+Yf9sroL9nNI0c+hVc7JVBq472mqG2
MyOvzPzFVdwddDl9ISrjUmBp4GAgGBHk6dFQsCyTssr3roPLm0dkzVu9s0ryAgW5NvbzawfubFpk
McW8LpscfGpfPxUqGX/IVMlfM8ZV/4BPtb+RrGODiz1lgzwx500sclpfw5bB+3uNYTgucKSiMdMD
Q19mkrwik0G/e7X0USvths5EcjnsLVoALngK3N3GIG2DBpirGZU2336zVTQYvlnqF6FRNZSkKADC
h1Zdb6yafNwLpnpmSU7egNnmggLR3ZR2+qcmpgRCCOo94zD+SUDs9OeSVZYESGIKH/Pf9TZpxccr
VrBHhd2VE3Mkn1/kKe/q+1Gzk0TSU11x0NM1S1HjtHkfrg2HGFls/wn6FpklkZjwUsq8ANFPeqLC
1igHewgNkQNrKLlh09tOgwGGa1ukp1ToNHjl2LkO51Jl7Q+BtWQ+ZTQ2VCfKEqfyoRV8B9G4GDwm
JkM7X4bV+dMh5+s82mNifLLI6cww9+f+fqvN7qcF3mY4JFtfy4tWJRa/UqwBfBVatw10dB8PxkqH
DsANzlnhBM4YOnbrfIcEGfzUwLA9ECgjewbW9xskqFlZLobJGeLJlrJaPhPXydH20qxY9t1cYZnJ
aSCiA84qPG+3Ed2/NfKZcGIBxGw3KNb2oV0HnKp1Naksctc5WUN/0DzJqPc1/dBVdvPh5FMNyV2T
ocB0o1+UpfhL3ckK7pwcMjY38iirnUrwpu419QNPVa7MhgcY7LGkhu0VGnpJir1PNaG1c8Zpw45M
ZBzr7rDqr2xksQyrgoCizmEth44HgTXsaqbQcPRN7RxX7eH/pKDB7G+wzYlpvypnlTufGEYSmc6c
f5SjAHw8eUHxg+oMp7zkVAFiTOHl+mKSTcWOLVnAhOQUMfboXlh1ZMCP68DQrdCmk64Y1CGtC5jf
E70GNVdSbv4wFALxkdxJ9dy1Vg2vaWaDjyWyzi6tHpCClHa7H+M01OVprp02C1Nbul9lp8VPuxvV
j2E10XHYeFDZ6o+zr6PWyvSH4yjkft6p0oCEPhZvdV8MS+j1XRnEnF1c9zwtqQtCkZKR15GjvRH6
k8Fr3tv40vk9SvqKK2wcn0sj14N2eHzTZGt6+a0o7FVFqJ3jOzNPmoV1xyp1N2uDpsANHA1/kKNp
GWY8lBAEGjX2oRlscCfTuUse3cHTH5J/ZEVAFgXvSCjWJ7I1lh810s4/wfwkSHwI/gIVy2X36ZVS
m7tajvV2w8bLvW/ymRbaui+7AIxWgXODzTMcr4kIFH40uxfnpAQlzfW6+jX+2NXiSp1hp4QDE+HL
aijcI05alb9tcPIktMwAblxv9akLqc1zPkrTJlMkecV9590UGKR6M08jsU1THns2OJ4oKdnnHwSW
pxXm+GretKtKttglK/Tq2tbKLrGF471TBiAeHlUagE5pOCTEsFEFNuPn1dJQudsc2/zb1rgxR/17
VA1pxdYzuzHq863+WleH7TNV97yqMcMYrw1HsTueoFeW3JYPnx1eAAhqrXQIeA1JdrY6dU1ZgDh/
EZmBRb/OWLmNyhvXiDMDMpLrzcVviNBThsZiVdi7RujyYZAFONgdPlXwT4kaHhcArfa+xI1049ej
tduyzL6BHgpZrxWZc7StHDQ4NKOYbiHSxMIDu1kG3Y0KTHzQYgFFMwfN/Ybkdh1iURbagfPXxPLF
pjedsgy/u2/5wKNcFa/OXAYklZ3xZfF6IHvKLO+h05EkWTPkH/zEMYR36wf2F/KHBJVPaT0th2RC
ximdKj/Z83gbrLjvWFlG5ta80T09xzwe5Mlv9HVfnx1NDe0dF15xbLI2DVMXwCF3N/J3g2WFuq0U
TGZjxS3E9VuuUiPe5rJFJlrHA0XAwx3Uyh5yYbqelgav5tDbH1lOayWBiZgYrYY5IsoLDUjZJZvn
w4gOdpzKrjm02lsONem33ajaHwnTXISlqD+vlpM+d3536y3/KM42Dr6fjZ9K+9oNm7LSMTFLNirg
qZmquxWgdVcd1AzGHMkyCqb0Jz6tZS9qgzTYojOHcHN+sZrNP1hodcQDhlvWCdelwHbitHfv42DB
Re278cIhGs3D5F1feI/BiOxtt2Z/Ht3tVpSD00dw3Ox7cPeYNZtJIVo6lHY09UEEfQO2NvdOLif9
Fvw4BEWzuqd3TR793iQOA/F2pAINRwgWuY0QTNT5LclBgq+Rv46vVG1grERweuIelMfMULyxrCu0
fqiyX01lP9tujqoMm+HY9dWZNaQTD2BSThMR3ptuDMoLjnvkM2MoKADCbWTMwgIw6u7wo+Y7liBH
WZiAwAsbTJbnmGBWlcvsppE9nc0t9+BJziptoLa0uT3tWGbWO608sQfqCv9T2xbH8uVJ+lt/V6f1
Ds8H1y7M2FeymMC/5uKmnMds57BD5zCI0U0qWz8KgR9vLIwBVlaZTRcxQJ1bl7I4twNHPeoY3TcM
584D3INXt+jS2OdIo0mljGusnTnjxDbx+hN8/NFCMR2LcZ8AMq/2kEa44DDTuEzXus7GHVD9J5LB
2aOWojlN1L7CTFXw9Bo/u036QOP8oEjEA26Pl5ljDD/rNwwcDNHsIEjeB0nC0JlvtyXMqJD0+JFT
zH4whuyUZH3yTeLiySo74CbzHyUz8UVuxq/N8Y27SQAwVklys2Ao6/z+nKzlq6bQ4eIMgdr5bhE7
04RA0MsixqRnkZ8x28talN1NmRTRwKssSuhKC0EEBIhFnAzNOSNHfe2N5d0l6mu+k3mKqvVdxXcX
DaJaDpW1VHhk0mE/ZLrlrJUlU89ClycXlAZ1KEft71zt3NNflr7OsA3uas6+GUZoi6HLMr41VXBO
/NSJGmWCzVqxaC/WJnaa51XpGxdvKqwHRutrmZJIYgn0/g0imne45oYQwizEIE5NOMaNvTJt72Mx
RyuWCkdX0fmM9TonAKoownAV+wRuEFiCfr1PtVgPXiPCpit/dhRsYDKwvvdLRVoErjqbKik+GhiW
pRL9ORut5TB03JY8lJxD6TNmO9WPFP0Ld4QL7mla73IXdWfG3bgsE8IznohjbzHXz7LwQpMjhnfd
IYEXlpdJ4v2YN/6p3Ftv8WxnR50YwUHBrd/3bPuiZiIuxHt42dmzlGwdKjMy66n+Gla88XUf/KgM
ntdlkqpdOvpjVOFJOvbuQpijpFkslCOrFyNQ7/ki5rd5kW+EtjyIQxx7cjWcDLpyOG8PVn5xu0Xq
CNjyW2VVxHf7eZaAHNftlHalj7A2pkHMddQBG/R2+Zq9rMK7CI8FQRlw76TVNX7XLlQDcs9lJcbA
nN1QULjZCdDsV6mIKJduEjlj9WXkcAmJcN1RAJQeS0kcsKCeKppBadHKlR5X9oLsaolZtyR7b2t8
miSer9TditIn+s/Ujmc/fXDBdaRYbOeut+tnVOqWGqL82iGR6sO0gBMfyuU+YQtOYtf6ZpPz2w/C
NLjnOn5Czz2mwPWBhXfLmYTX3TSRC6+DqngX5BcuYFABYa/1LxIw35WXzUdrqf3jVCyugjjhjrGm
XaIY7UexVZ8Tsgwm84ArZFy958FONeDeyhWRVZQW8/HM/kIO2KsFT7AAGflqoQKMQ2PCgehBeUZx
H+9FAil0ZHEbrdiyj25a+zfuxnDTJaOgGaddbu0Km1WSG0bEMEICqSK4M6M7wIX2Ygtk4dE0aFov
Zpz7epmeCnYfYe0H2XF2m9fBsNXezWisC7N6Gd9r5DcUc7i7A/wzbpE+6jhOhpy2vtNI4WB9MK4I
E8Uidw3K94SBJpwrenUrynDickrtQ+32dCw2RefsUsRWfn5WG7SqZLu125LPOgiGu3FyZnjdtOuB
0lq9B9szh5hRj1Gtq/XBXhx+7Gm9xRM/n/CmY0exh5dhg18yAMX8yPG0YYZHNc7koKi3a7B30wF0
6OhViO3CwKjtlD5eKKHdnemmwQMBiyMe+kgo+nZ6o0ruaEwBl2jsC1gkMTkOwOAa/boyy3eP8TAM
rCGnRW+8pClXWi15U/Jo9oBBowyfbKt7YNRCR+A4dslygJdzSd47LC3rm+Eux03MQ8wK+FRK/2Pg
xHXxTFCUBsgFLnHsW1FQyAf+RmyUnCKFHtawnmbjjCH+bCwF+1z/mgcd2KJ0lOIQ7+JNFlKRWR6X
uWM97M7pmW0DB8WrYO85U6wrrz9uOF1D+KUiUg32q6bHDu6O9osniqLEnSqap6Qrb8up+22AxkbP
Kp2HzcRR1GA22ffL6MWm/pxzljy0gHTHJYV44RVE8nOY2Y0Ur4ElH8cxcPbMO+f66ljqZrcCBls8
8YafvquqGW+wxvLZAww084wCkML8SqaP1sSfnaTGa4+uHw2gJeLO6dlyZfnUvFiZyXAjjV2Pno9p
RVb3K4dY9uTjch9gzLkVxhRj5RwZhtn2Z0iZe/ySj1M2FxHxVLBnRp3gqgRTEDdiSn7jBDMu8HQ6
VjPeeaUr69OQRRrbDfYD0N1LfQo2hcRtIL9/GqiR8UKBSLiq9dekv2uIG1cbTTqMb1TBvOc25scm
eNXmNkfd2hS3OWIFC1zTnwOzD1n3r2KPv7U27pIsn6szWTp3ve1KbutfXTYM2Z1O/SU5LsBM2MoY
AyJdx69/3eOvLSv4KUz8llr22zlvfGeNAOY0/d5b55y30tz324FDdJcaITwIc7zH6WE6cefamfEM
q6k0DgUYke0+xxbhf3V26RQOwaTGaL6XKBW0LPR+ANCQDb5gLJnpynunEQPzE22qfhVvy5jaL66b
dHhXkxbIdsPW23wdpDNz+QY0zx1HEzHpziZgYZ179rnVjd+32Yex+gOLg5bp4jCAZTQxgpd13l46
LnpS15ia9FFa2BRJq/oUPP3yON81xKaF9O5Gno3qaeqCzmeyaw3B7Ki2xbSOQpf2ctuzOygebTCu
zW/HUAoQgnMdxii9RM/mS6cXQC1PW+biLEgCaihIERVjdRm5Baz3pCiq4ViPSz8cfau1ljtYmIkE
Mcwo9YYeo9jKycJVYEwkSJco8Hp35KKvMQqyZxIm9b0V2RcUKEVWhQfb5m8/Dc16HyOWN2afeN9k
eXVBYPlaWr3I17T3y25lG4KE8LEAIlLvTtY61oNFQS91BeWYTEA2xaBxV0W0Diq2IZLe5C4uB6J7
/LwzEW8lOCI+25reQ850pTUc56UT3jvqw7D6u5Slrg3lI+fV/4VzSnpfM1eCNx28JGnxLnq5U1+J
WD1Ho43qnjE0IX3VHx0G3/ZngIU02THYMJ/oPK+me7HC0jCiKass+8iInXgXPcxSH3JssPWNWXa9
e2gYuT6wuUNPZL2RRuTe2RnoofR+N8GYNY89vo40nsoMI7S/ZNjM/NUnkzXSxhemhutnF1G0szgu
Jlxs4gk8fkMu0TU4cuIuyU1LqwwO7lUNO8HhoEU1M21WWGYtlBk7+cLpcjVmlVyADHkcFUXVA9z3
6/o7O03719RUObZ9BtDiDkdPBqSct965cav2ezX3hhcnqcRuGkA0b5ar4Yn1tfPQFfMnRkNK4txE
vQnu693GEv7eolz1q+R5TQOEcxE6cC7NcJ0PEkqBd6nUvPwa6wZ+NNSR2X7wEgtQuPxk0f9t0hgH
JWL9i5w19sLSp7OMbgiS+vzmAYjHtsTWOCjJhnzIe++UZq5xT0e5QfSjw8Oo18xipA/8+WfZjsmt
RXFGii/UEV8sMLihm3zznmpewfcJkNU3ylyMGzYS9zNbyG9ZIpb9AsDyCy8tRNwRsG6coI7ZasJ6
AdWk/p6WRGBay82/CbmqLwTd6lCWQXHIW6WfhtTlWV0UxKBFu+Gco1ex2INIUZdttvlNRfprGocV
7IoE2U9gS34pmBn70YfdYq/fcaVEfeCfF7cfD1giUjztRXtmk2keO2AyntuwbtfWvTP8kDo4S6Pg
ay+C4mYomn3S5uzRkYGvXbtDCdF1OPg8GPY5p/toHGpakEumsv5qy1uWn4FlXfCgHA1YFPs18wGg
gzbOKlcezbHaZSWt9Xg/Im+oWOzbwfy4OVt6s1LPx//ZwBQaJJHxcDNdV37TjeHgVIW3VrNc1dtw
XGraiw+jwTQZImsGv2rLS17xHGRYJjPKOTNvyh4TA0hGWFOMYrPpXmR9LIauvvAYR/6WXltMrLME
hw3HUuZyTmXntcfU4dyJx5/EZwyh2fpp1cqUMXxO3H6iZe26o9kbtodC56Qlo3KWg7FtKAlzvTEV
lboI3is+qSxcWGpZMWe21D13TqfLnV5q8VQaSfBjzReKZjJkh4kOsanWEa2i1RvZtD4HcjS64qKq
njFRB9lW4PZmp3yguAq//8pZ8Euj6QLY4knc7nKP0yiNXRnqT58M7ocY++w3iggy8wZmx4xSgz6r
vU2m/IVDL6PlnFoT9QdcAzqWk2eYodXnWcemLwceIil7+JGtBQQG9CJASFmtPDfOuZ8q0kY9ngWy
jSamDbWZ9pmzClAF1oHUVKSYd97scm3YafkO4klt4UfYT6JWqNVyK78T1lnB6qBSUyXIg4NCU5eO
o/vR8XN9tmiA/TUNCIYsW7HARp1B4w/uwrZLYpOWLxXl/tjcei2/Ak/walgvg+IwGzVLbp0tCCUj
8OVcNO9aKyM9+tnAuVBwQrqb68S+zvsbB5U+t0fUs6SxprNfBob/1ggbAR99lkWkWADHFqbMQZuU
FI5EBd3LV26eLKB/bXP/mjMw5zuvzrNh105udxTGurqsXRLjh1E76B5snFfzhBkhmN+Yflj1w3JE
MKNxVf4WPRp0jMFwGne8rPM3zxNjFkNf9/33dCqEd1NOpf22eGsPU+5vvqYysCUWGcMTXqzISY28
Qwgx0EeSQgxh4Mrlw+9r6/VvGdLostT2yKCXtSe3dsjAJOuaPBhIUWtYSN1+/C31oCJSNU1RhVeP
98uW68ijOBkYMv1GP//WsLauNkdNOxY9zrRvHFv9mFrHvvcITPIBcs9s+40Cj+70D8fHH2H+P6xh
/+Tr/Bc44C//83/9W8/gn/gD/y1x4P9FmIDAEPXfY5Bu2+onOIE/4Qeuf+Kf1kIHnJHE7MT0agqe
ibhk/ug1k3/HyYfRC2+Mh/54BX7+J0rA/zugT6rGLUd4bNivANH/RAmIv5Nrs02ciDZR3ytb9H+A
QLKE9VdvoYCj6TjU5eHtwr517V37Vz9fz4Ftznn24i0cbgwq39XOJa7xWJQoyeGiEKTJaKUPhk3P
g1mwLSL2pSJvkdN96Zp1cWxhkY/7Yc5Bmpd+NtkEST3n/erZ2fEX/nQGQpDTRN0JXUdkCT0qXtNR
izcT01PUDt1lcNvkg5dkcABJUDxtIPFicIC3gjUYbdnpeDYRFq+I/t92t+hbPDHPcux+kupVzh7X
ckceP5iu6smI3gdSpwfAncF9CTPXnl9pf03vXJGAt0+dxXwQ1JCgvKUqL+OCIQ6USb8YEyGr3Mxe
rk72bL+YjqANjPohFv31i2phs7cBr2XDKcjxZOnC8TDok9XbW4gER1gtrDEbjlYI34LwWb7xvBxk
u94qu3+b1tqghN1ekye87Om2U7jq5ghVg/NMrvOTxciThCiR446XSXpfjNOrXWf2u5/O7o2WI3nh
JWBXhxzEst9pgorftm+imR0ry3Vwg4v6rHCvURzTmkQF+8a7r1SNKMJhlP7xUif3Y1Z3Xz4BcTTp
K3Smk+4R815yjzSaqfOQBuJV1IAFjwZJa2MHMli/BIYlHke3ItmDOQjVAsQNlHm+nNA1+vHMeM22
bSjtgkVAQBpmnpf5U9RedZONhjgrN3U5r/c876rALXa936kfGR1PJ6q6SBENA2NWIiDtpCV9K2K4
QqOkwat0KgWUpsG4R3aQ8wkjobp4vIyH2HPc1+T6w7Pao0QJMDlbI8Jpg23LpzV4oM+YMpCuUQEb
FlF8twc6VK5wSkLWNs3ZeiXL0PX0exQ48TSUu6i4kmZXVumRMHQeu00tcU+lQDXRAlmAkWCA6Q7p
bsxp5qNKCn59u+7Her7olse/nMAarimQc7PFPkFlioEjZi8GjKP9eisJycF5cuWu9Wj+6BZxoIqe
kwf9Y+Hke1HjsbImbeGuYC/8EeJ8b0gidfaj1JSGc3nFzgAlsEKu48CYs4H2GxXS1JOw09u+kZm0
oZZyNWTbuh461xFx76r9JoMlYtyWe1S9Ot5I0MbALfMTXDCKRJNzUD4uVSNOkP1qwtsMGs417tMk
Ey/Z3gWp57BimaDghnkZPIuMYyRe0T6c5goCZaAnps3qjWkjcnGroCF23rMjNV1WBtURTcofrLVT
BkyzJuLayPS2euZpcPxbC6W9mNwbL83ehadp8BrtiIhHZOOx9YX1WvMtvdBT4e1Bez1VdJ24bepe
YOwQ83OLH+tWU5kVQNGnoCYkzfjeBTSlVjxa7KL8RZH7N5xnyHw98gqhON7+WBKxi30VdQBPKUPu
w2klLlYCUb6e5a8VyqnK+EJ4IStOkMZ2P2BZOsGV5yylVn5Ey/wlyGnuUfvl717M3+vAvtNs3d/S
lHCaqUX7PPgcQcMU/Y7QEh4I7r/fTNzmNSZmEUGelbaPdWq2C7UNnE8YxNS+GwEKLwmlBRv3fsTd
nKA/F9rNQDCr6nXdWE6EDGdIyj54kHu2HfFklTcAb5IbuSJ28kuKXeqSzHYwlzmz/bgpY3s0NvBs
BKB/MQW35yoTy5ElpzxUJhUiHE5ld+xSb72z8mr5dKA0X3rG9qqrMPJ4nU+yvp3b23whz80klJNG
7STNQoVRlc+TBzKZZZCuHJ5E+BuKmlnH6V1rZ4uS/cNS2kg8k/2NHlj/1HK1c6buXfooRoI19dT5
56kaureOHSNPzoxn755TE5pz3XHc920ysbaBlhhqD9TlbhmI5C0bDVIdN8seRoJ1IkZJpGbTFdf/
egWIVS1KCKaLz5Skx55KF7S0jNim12JeSPz/YO5MluNGsiz6RSiDO+ZtzBEMksFREjcwjZhHd4xf
3weZbdYimS1a9qqrapGWJVkgAoD78/fuPRcq6QyPk74XLvt4qxzBcIaMnBJ0U1Dszb5uGdOMITth
hwIz8+RN3TARxt6k1jH4g/uoN+wzhrdwGxBNvar7ITrDfWhRg9qAafFwWPdJ7LFbII2znY3uveTF
nWYExGMX7EynyK4jJwvXHt3/jvfyWmXt52FCA8+VO257sES5jSs3ucZ+eam6ptq2Jn82zPv5CgJ0
fusPGHpoh7XtmohDpGzwO0Gx2MWGGYncyCh1qQHhjVLrrttGG59KGomn2FTVJY8Ew8GUAhNBmb9K
rJKakcNth7jacqtz0hCUUBTlbdGP+bbltHBLVvIu6wE0oLQ185z9zzA2jiOj7RT31hYE8Qinokl3
JFBIqgXCnwwqdVfl0X2IHIZy+SEZo29MAJdBeW8clBe0e2dEtMXICt007SrCloE9X5gOoYSM6xvE
6RfLDOqTldv6iDzDfiAm6JfKBH5JUZ1rgyH0NHfkVoimQDl1Q8ssRrMAD9nhybtvDL70CmfUQ9lj
sJtHzHNRWRLDjJD+wOGgOHsWkiKYfemJ83F3zHN+eFlEzW1aFmR85ybXrgrxTfgNcLAy7HdmhfyT
+cx14gWPQTlVX6RYhrTK5nns5HPL6ZJxZc2GhiBerjga8krExJ5nioEWbZu7BrLmA37h6Hka1S96
x5AXGHzRXRvCm6TO8LuioV41RTestOve9yPxXzYL/IHef7J3NfFJgeUUR5mSfVzFacq5z2hPjUb9
Sx9OXZdOfLaKwacHVE+kMsVfybqqH73RUXdZNtRXrqgsXv5yPiKxo4gS6XBtOR0u9qrRp9Yr2wN3
KUTpNgm4vkjFzqFd16vaHE8VHsUzClCDXc0Nji6Di2M1zfl3NUgkVzB1QPYOT3XlPaeoz/PWGk69
AFKunKC8eH04bhO9GIrj0mPgFwy3IDr8WzCYT8IHjOZZ+PRtOv8GG/09ymHMq1FfHYjmrq6IA08f
OOuMV3MN9C+pIhwkEve4Wg207r40lm2guef1cPbJlNRXWMbKB3K/jC10SoYvBU7sq1okRbXRnPOu
eJPyeuO6Vf41c0xg3nRxv86obz+LwUyufTn7w1HDYdyifJm/Dj2zEng2irVfRc69O868fXqsnlEH
25epg6CN/QZZuuM9wZN0Dhb7+xWREyh1x9i8CxoBG7FGDv/YYST/Mrhx/6u3FgFSOpkbnA8Ch31g
ZDdzVywDinH4VYuyv+9FCf2vSZM9485pi5i/+ME4oTnBs4l/zZH7My0IPyoHFwt7V7g7DGf6bEaD
e68tR4NLdihzlCXFBrIltOzGCheJlCEPk41QcJWjELxueRmMjZs73mOaLzc8HVgFTSuv2HVLZ9Mr
ulQlTA80q05L1yQ00vQYOj4UAe1YJ1q7N2PStQcOnQT2kPjGAkVHoe4z62ZGavId7YfDFQGvK/Ws
fvGSQDu3OeTv6OSh8tVOYJ/cdvw0gh6EJZb91A6Lc4Wb4lk3fXvF81dfBl9/S70+Oo7RGJ5TrwJo
Jt1q0xiVhJLvdE/IFfMd5JgvHrjUrRRBB7iE7GRyPCM288o2j440T47bw9qsvHAfS1Xv66HblHN2
LjrwSNFkqseyix4aXa3dKr5mw+M0Im2YKcQrhfm59/o7Jnd0U3+gzVwDzoJq426R136fw9jdj6W6
lL5JVJc3f62QGyS5Ir6jlGpXpwZSbQrN9WBS8zRSbLGMU3RLj2aq3pToIeN6To6l6q9bFLB7H1PH
1mczAXJW/qiVIs+gOTLQJFlt8qKtgWv8mVGguSIEr9mYkzyhGys3+TCL27CP6FsjCd/E3pR+qsBu
oT0PSOOd0Y7QGMT81EK/0Nb4zUJpQVOFyQNhsYxlnZxLmcX3MTCgx4lgAzcFuE7n6r1vY9ofh21j
OtPOpOigrw/MyYuzE/36XwKdc4Pu5xhyuFgbE1i2eCbraRqET68sIjwq6/MTyuxspYcwODGsI+o+
TQzWNfyjM9Ob9Sixe+fekBwcMmaNkafcwim0dPrLc1SR92c70CMys/1GLquNCh6dPwD1beuUQNdn
IEpNZ/Xrhsja1Vj4dMXrCYzEpIevphApIinDwtKWfiqR2z+UqQMNTksKLiZMgHjtwzxXmAYMi309
1w3xoXl5rvnNV22gi1MUEcAJ62WFMPDSKT84VIP9mMcob+yZ/jzckYoZrg2aoAibGBJtOpJwHTwz
02UhN9wz3F4mzXYP3wBOGQKWCJQU+jRK5REZDIaYXV516E9iyC7YRr4ZjYsGyCNo0BsJkxPSDm99
f/riu3FxwNt6gim5iVtry85vxPG1M7XqQBSD3nGK8vDLWtU+JAsJoxR5R4aYd61tNoeRo8CmlUF7
ADnwBHK0WxeNMRxQwe6Yg8dPuZHlL0F0nfiwhlEiDz6fBGwLVcEAmoIaHikMAvkgvGer73ekK5yx
4B5GhfVgkuEhiLgloq9WvcfkEiShI8onp0nZ6aKEnn7THMgnZBY6dFTZAbR7/pwUBfkk2bRrM+s5
T1M0xemQHYF5dldGpwGxaYc2aAaKWVNoeAjMM6FOo5fuZObFWzhP5S6KUSHSLH4sMW4ZZr3wQ8ND
2yvQ7CEyZ1WWmhDH+kSrVxHuy3jPlG22aSaZ7wyji/dzyvhmtLl4Vv4j3WucPLokLAOIU28mzmEG
HrciXh2GjCgvcGBaNPWdd4gLXR2mVIWU2u58zLvkrphrXkyPinneYpSfjumYLdj6RK8TI/2BBO6C
53gV62ZrlfgfekHJCIBlwGF8yJT+jKSGqXdhvRA8621ykZH5wCJxzvwbHCbIAZeOhYO7TYpjkILA
gchFqf05c/uRUe5LltYVGCmYkPlAk6eHQlO6PypdvBie7PkrHJRl0T1lAOzWQ5jfxONBRGjvffeT
Nfrf7NpqN7hqMYRq1JtMhMb10PpELFKVcABv5yNKP+C5VtJjSbKSbYFa/VSxmmFlaaxVV7afaUsj
sIQWs3Dfq43ZMego4W/yvszMWAvkO6VXTUdgdAqbIMfUoBke3DwmuEUuJC3SUjqFgCPqHsw2sFbC
7wqgitD1h/Ta6f07SHwTCvYyYWOM5dZIS2jA6EBdZ5shxD14QiNgTlHNYnOig0TFJv1YHBCXMOf2
psWc5/afI9c9V0GL6EduqbJRl0qMaTPObxS1PnKjlBsV9tgs0kLBQH72ceNu+l4NF0kji6Vubjf2
ghkIERk3MTods0ElBBbIYOBTVFeC0N6NERtUM6rloFIbnJsn4ibuerJlkopee9P4W3RnLS6t5tLH
6raoh9so7zj1sW36TCKAMg3rMPSGUxI20cYbxr96d8wm8C8FZJMmEeuuG1iPiSWvUZzZK9eJO24B
+mnyWCfGmMLfxuacHBoO3xsU6NM9KIbbvGUPZthIt7pmUJ7+lSxeXnc0fw6Gkf7SVa7XaWOmJ4SW
8QavCG0Kg29Tc8ACGxb8KrOZZlBefu/jgbNFym9Fugbx3YbpnmCgwQZSxndhClYlG+0XowaE8LWN
Tr+Sxb4SUJ6QiVvk+Am1TS2A2l2ix9twNgOcWzwOnDKya+r25QhqPfCZd77f7aaMKHNYIji9ahRf
oQEwqRhTPMVCPnp1eD3kbNiV8z1k1Oakxn3BEfzQ6OQe3jbNRzPH5qatK5lPx6mI7nz0f0CjAfzo
dgeX6Blr7A/0ZSgx0ZtvWqDf67xnfGLXbbm17Grg3OYu3JhpU6lPbjLZO+AVD8Rzqc3sFhdMU99y
sCRODH6BTG8Tdwy5eWlNsIkQ7KGO2jfSIsBlvqmK8RwJD1FBiZhg+OoXbAHzNPT7KRr7bTwS3NfH
OHYzZOe7omQVkJx2oSSLL5Ywyr0tjYuK/Zd8wpkkoZhvRvxsdX3xbbJ9UifQ67lsaCx106++sco1
8mLicovhK/6lBSRGpkeLcNsPwmTTNdRDcgznfVFN3sZCgXFIgG3vuh67LaKxIR7RmtrNqW0hZKdA
1XtME/djqLx1t0BBCjO6W7Qdu8Y3vkA2e3Hd4EIDGveulyebPup2BR69yY8Wdh6ehFTfGbp/pttA
sFMNnXQkjRBRAzJ+zwUAJEFOrfM5C/cMtW41etzR+zRV1S9yYgBIemTihqSCBi4rQiS9/CID19hZ
Im+gUtJEIZdwQzcYmCFq6aommQn1RrBjbeDkwGEyRnkUGe2VmejrDsnpSmTNz1HqZ0Qv2Dvk16nI
8I2ERGOGNpHfTuIdYPjQwjNok7M7NxuVF/O6n/xbAqdeLCf4RuwV36Pz7rMAwV7v1R4P6FxvoBBp
RCQUjNCukWkA+2BYjLuDkTbKUucIrhB3i2jvfUXMT2w20bZaeGBE5jyQQIMso8TZMWEgWpGBjPbL
hMuB71YyNCIjtGXiunLz5skYzJfMZlwbjsS15Fb9zGEs2NSd6yGmT2+aynioZvtF6/K7V45MDQMi
byw4HGJKUK7TZ0H7hmGot7wfnukNSH9rUGwxadBDQcayzjfjglKkNY2DXpR3Bn+R9i1+wjor9oDt
TmRS0Qp1kff0fNy6LFPiE+0xAgw6YYshjYQKPDPXeL0jnnifaaQR8tw0xg87xEgtEwefPKZhSH2I
td0qhSZQ0iWJpf6UYcwSkcV5myOPrJtftkFalI6ZpKsC4ha5wksAp3HoaJlySmS5A1FuRwR+zr4Q
a3KE8AGmBFmpdELPPQUNnVzjl8fU3WjoNqLnRNt9Ccfs2Hrd18ifBtQj1nPiyWptW/HtlJar1kBJ
OALuULxys2hGfASLj4yN/TbDaX9wsPOwDaewgvvFdV/EE+5DP9gGdKbW6D+ctUNkxNobs3t6EatO
s97Y9ZG4Lvc57torzlbfODQP+8Q892O/h7F4AUfyNGYTbMg+WvrE4WmkYlY5/c7kO4E2p9jpP3fY
cEXzNZHBJ7/oXmBMus+FbivUpLN3EiZ7TGWHR40nHxQOsPp46rJ9ZiKCaBzb2iivPAh/xmXmPjvS
/qa1eM5SFR8YJKF+hBAzw3Iwqp8+hVNN2Fhk5dlGttOLbhU2uFR+5oQI0WCUzsZoZn9F8yrb6Khs
UR1km8G1Tsqtv9dseUQuZOOJ4Wyyz4R0jnZDOjNnBwe51ADwua+/kkfXbpqivZs6g0Z8/ugP1p1f
G58dC/98jXFsK03NRKKmVQqd6Eds6uY67A3uQ/fiV9g4/b6D1oyoa+3FYUYSFEDS1phckLU+NHfD
bq/oo1+NeXBlW8GZuCABG4JM9xl+GEiOYFV57IGFh04dp3Hz05sHprlhGyOWcG5tD0G7CrO7sdMM
YWyxEl30WIX2pejsy5hGF0o6nBjKRKMzzIeycG4Z55K6g2tkpczaZpNxpxW6ngKzwjSvjFTBq0wE
Z59B3PUdtKGCwa81xKSfJ2rjhAkMXgJD2Fkwv8bKg6jnDsvgXwX3MW2IdVcO1S3mCWaejEX/1YT4
f537vpoO/3GO/P9wQiwlY9X/fUL8wODt29f2x+8j4r/+yn+PiK3/AFSxIcZY5JX+PQn+e0YszP+g
8DE9U5oOo17b+x/6jG/+h6mxjTHGIWqSsBwwIf89I/bs/1ioooQAT+MQscBk+V/MiF8zUcidcm0m
xJ5gA5T0f623GAfO2XOmTAEpGEGpqOCh4sCQwiKDrgg4c6Ij83edioxpVSVmrs9Gj67n028/2D9w
ZwTf9DcGyd+XwUDcs5fYStv3FkbJb9wZFLRCBVjqtwQcxGyC42gHx8oPFmJAMoQvyTxT+qVenX/u
Gpc8j64NkmmbQpacDvStw1ub394+AsRC5GjHDJXdrMVDYk5I0/iLdhldPrjmZXb+PyQXymdpL/Ga
QkLv4T5ay3f67ZrTdA4Ecmxr68cgyYl5nvZJ6OmbCtPrFaswvbMsjO8Vw/Gt0eHtKkz85Clzkyv8
yWrVpiHaftYdv119cGlLxufbS+PaTAtRggnZ5c3YvzP56YQhQK4OorjyJheq8ESMJwfOfof39C6d
E4uWk6Q2NYQ4JDND11yApfzgSpAyvL8Q1wG2A+QIMcIbtlE2NM1E49ze0iLBtQvyrfw5tUZ+cWg4
7Aj1oxMczvTSwWeHH+B+3j5Ty/1xINYTxbuEVPlvcT9hMguf7PAlwW7Gnt6PkU0gCPtuBnYEuF3t
ZBC8MHNs/v3P7zIqdwTrOwJj881Lpbo2NAcfuX8ZRda2MMaAXdGH26vIZU1pgRUt4TP+sGqHzr4f
Oo6kUzcWd14WBtUHv8IbCcjymDqeZGTgOzbRFHJBXP3+mLozRFBcj3Ira0Obu4SuX7tJhdUQM4mh
Wm6gLFfpqU1xi9EpGvOvNfGLFqipJvp7i2BxJ+bj8h4v9e41t1hu+CjeGQutjHTfvOaDDcM/zFSw
ZfA8xVirCYPwQFxeR122cMyJOv2S2C6j5KHO8QuF01NvJM1j78BRdkuG0rKf6i+tPRrnkTgCig6q
LYjg4ac/38L3z+1f6yKwYIf05sB+cwchZ5Khag5IXKaYpvmIAYTB21ifdRvhMKFRYne2/TBNdfTv
AFHcL4v9wAI4ZkrbtVEXvb5fWBiRMDcq2fkz9Ggha/QC6Mfp1Q5GbX5JCiU/iS6ff2UBzRq0CfHV
aI/JLvM9ffvnX0Eun/VqHeEKsBIuz5Av+N+yzvy2xHVplAJ0jijAEUFzBGhGEgGnimXtDKBkvi/R
R04nyQp9O0+2L2HeNosvG25NABJJzHeKJlBytcjN+0+g7jZVGTnGTrUzR/O56tp+Z5mTOBuOFU3A
PotRYyagN4j3N8/hUUwjUcV//lbv3wjyudljeDsBnRED8GZRSpkxOInI8Pk4tIV65CwHUaKNBHnG
YbSprJ2VWRPyYZl+H5cxpg9s46M1+nU6HbeZi4C05vFfdib+4fVPy5IcJW6FJIJjI8hMhVUb0bGZ
wtXUHl7o3N7/+Wv/w81kc7VQgaGecak33nyi1aFzEBMDktGehi+mVVW7TOf2I9oXkpvwDWDfUPV4
buaqPgeo+08TstSTI7V3V1bFDyWRgfSzi8J8kulzXbnR1uuR8CyAmHVcqOLg0B8n49QpKpsGp0bx
ZBne9z9/D/G2ZLGWIsGlMmLvRT1svtncLMOyJz9jSKuVbdJCsIEc4YpSn20jaq4qAcIzDNDJJEaE
6oFAJ9JZKu9hUPXdZLf1LohR8eQhSiLyitutk9A/bbCMIhK3YIywgn6wH8jll339GkEWZM1b1j4X
us7b1yjQmUEfaUCI1i6ZgPj0MEB3mAryiXy9WB4kL8yxc2Rx7xnD9wU7f5bVksgXNWRmzelknH3k
PY9wsfUtUmPgvoZFU5GuzPSJsYXNDKIcb9NRP3mRkR37NrxGyoavEoYxqB26rzcj0UEf1EDvH+Ll
NRIsEeyzkhvy+iGWtCP9tBT9LuzM6awyo9v2Vl/dUsmRyGrZ6QfP8PvPC8yljlt0lXg+rDf7h9MR
Dp2GzriT4wiUQxs/KDo49UAD/mZGic4+2Dz/4fPQ9qIPYh/wl/v3+vu1EArAuHbDLlGO/eTHTvbT
mEesnQ5tWH9onA8WXLE8u6+flMBxLccBvuibPrbL1x/oIRXyiVEgsK+lDdBZHtDqpioeiHRqTHCx
3o0Rs+80He58eKMcA7uudJBdVqa4dJ6OHi1tm2uNueKDfen9W8eVObT64YRYPi/W6ysDYB8YCr/d
LmBGsw+nQDxHYUyaZu52N6OmfUEfX/zUGpkH7GC1/fNb/08fT3OSSo63n3f/zeIFBt5mcosgbzaz
8ck0avHiBKT22otYWuOepF2uf/jKqU9xCv7+z58ugH2+uy8s2XZAcwbv1NsHDzZ0iRcew4iqFk6I
3wXOIz2ZBqkZ2pQNUZOPQV96F00CRhLDl21Nr7+1CDxEeejDvlrBFCE1G2b5Hnpd9PTn63v362Ac
AyoA71BQ6PKf1zfHZdY0FCahdi6lwKG1U1AIURWfc9k0nwfH+u4PRXMf81btylyZD3/+9L9e81dP
rcMhFlAqIQsooXlFX398oppqtgIgWmnSSuPeQEv2hMI2GG6w/8JoZKzginVEL1xvcTHRskyiqj0I
UlkSJmlK/+vSnwsCNYLC2nYRD7091UbYqUw6MjbrxGAvyQmEAIToNq9HUKpfmAadO4NA8j//DP9w
EzzeEQp+ycncd5Zn6LdiqZjtEAOUsHdImiGppEEvfqGoBQReuB48h6H47gWlOJAqyr9DkVF/VNgs
y9Gb+0D5CNMm8GxK1+DNYzDGgyvj3nVJ27QYMGd6nkkwgKJZHie6wieUw2lxhEXHeDrjj5xBWVTD
xdKixxua0rfl4Q2L6oN3d2mXvLsulzqeM9FyW5y3z4c7SS1k5+0ImAiT1Zw3dOwDj0bUWpv9jPrR
d6oRMF5KkkdZuQUBsb1S2HUT7R7H0uzFWvfSnw4BvACUKeCK6Hn1gH42QL4ZBjPNxThK2mO4R5+0
IIpieEsf/b7vVgEH2T69D5+lxTedhSP8+x1uqyIXtdD0QzJQF4elWwI1JG1oOcR9jAA4LBGIrmNL
aQK2kZNvYG17pC1kGDDp0OtJQ2+M1K0o+Zvr2vQsRgZgL9MPrvT9oyjZHQNOnzyJGAzeLNZe5eo8
AYG5M2j+bLJ8YorQmZ8aiV9YkvNNL1FM38ih2U8gFHZ/fg/ebZoUOBRoLlw5ul7QlV//Sja4yDBL
EkIQBsu4zwhBubhxYJ4zwsdWJhOamz9/3l/l0+vHXnI4MdkaHCntwHvzeNFgUK6ISV2Ical9q7H+
7XPOvBsjtc1zaBl2tQ1tFLHsqYiAIsyL2ZhVR5mzEBHzU9xg3ss2DhHIV1bh1PtiShpjW+Z0Q4po
9j/HHrk4w6SoryYm93+++r+Qym+unq1+yaGkznD4Eq9/LpILkAh1ibkrecJvrDYIHkVpKcg8InrG
mtjg+jYYioXJpM8BkuG1IHcXLWDt0T2yoBM1Lvl3mw8ua3mWX18WRvslwdvz2O9ce7nLv61mLS2T
qsYAuAvbKFcboLoLYlSG9VPiMor5hGjZrI4DcmqgabJ3K5CrrXvWMxA2WKMkLhmGgWRGdWkL7Ahc
IKIUYxquhibozWW82DvnmlCJ/8uFwwdloXVpe3jumwvnSZCgqcB2CX9cLFFBMZTbrGPiWDI7/IL4
h2C/UOQl7UOr88UWpNfw0qkyiZatGgmpY/QiXidqYU0ZXuQdupC4F5oAS8WtROfc4RQ3zI8u/P3q
zW4lXX5xFhdfem/2j6HWHgnPiHSSxrQZVFlCf3Uy/1bkVnRXilHvisg3XuxWGXeRjNWjX4GHHMyx
vEk1L/YHD8A/XM5yNPUBo9uEov51qPntAdBWz6mDmn/nesO0W2iPq06OyalyHXUdMqYpNir2Tn41
BDj69XiTi7m45h+Onpyiqw+u5v3Sa7HiumYAxJ335O2OTspXKgs1UuGA8sot8D3QXurh3rDjcGlD
yCuyV9qd1o15RjDSMQyDS97Zqt/OHUZylbbzBRBNvg5Un39Qtv/DCsQJyBf8WA673F/N/99fFklQ
gdeaoG5bpkv2dUX7mlS1MEFcPLZxtc4tlOKfgHTpvSOZw+7IJbTGlySIKIDyojCqHZkRlbimf0Yv
GfVI7W4Qy5gTkVdzXJxmWVrVpvYaXW8ah0TYXT7jNjlCEbE++qn/4cYzWFiqSZojLABvllO/HgAk
ZL3YlSUwyyRG8q4iAqEZVxGG1zpqvrYwKR6HPno0+E0uVpu6BysI1R5a8odI+n+48yzpgiJuGdsB
KH+9ELncvbjjZADYpJiPqVmWN2B4PX8DTQHBtEbnoyeLNPmA8W84TpqOkjIvfjGW8FJ7MkgYvzL3
ZK3gZBIF9pa0nxYQJoCm9ZwAil3lOGCAgfTouIs4RWvV7Koo1d/Q46Rf8sJznz94mq13iytHWMm3
AayNEOntcQK562RkrRvsJC/YbSwy69ptgUThNs6+AsBLV1HW1Ewvk4nBRhj8TKLhGzdiSfSa4ntt
ZvKDiuEftiF6YjTMWeGWztjbHgXUAS0z5i27iEbRucWAd054Xle0leHH9GLau3nefQ7YlW5YF6B/
UcRhThDuduar3M4mU/g//0zv2iZ0rHFC0nk06eNzg17f+V5ZzYi7MtxVk+N+mtIiIRLWqa6p6RHB
GJXxZCuvOPz5Q5dchzcbHy1fnjXmYkwOKClefyoBlkzlfc4OMZTFPY1PeYCa4O1T7EV7ERfFVcBF
fE7aNL2qwX78IgvrK9N1DOFu6VSwr3R7beQBA2EoyFeOVO6NEWCSymYoFjgZAyQnBRBQjPL5EeVr
+Fj1Mn1kozkT6dd6H/yKaKfefCOb27q8yB6TNYsTyttvlLdy2RKhNyRNGyDknUmB1YwNHtNATkhe
McPMK81EArybCdN1g68oOI4wTWE3Thw5caXpBiVcYQ31M2oTIBbEA03zdoRbKm8m02Icbpr92L6M
ImegzThiP5fIUdd9SsIK2jz30cni6XNoCZfRS5k9V+BcQYAzkG5qpySmrxFLxGeQU72nVrNAnHhN
EAxTH3fUbvZwyToyAgHEIhJGZGOPL07pK6xHWSLoamZhfrKUioYtgGaBdAXSClrtxgB2CWA92JSt
A5q0ccnbOIa2OdyQFbVInR0rvOOnQ5iapm32E6+rle6MbOw4ufZR1F/1VDnhQaLzQ8kstVJ8QQOO
ERVCdkcjp/2VSDnA+OTLESKDS2LDeABjRgNUHPeCam7suE9Nso1VZYE9WFKIuiFAVdN4Dhwq4mxy
zgrWZFx1oW4+h9gw3LXJ9JbTkjFUsDBCkwSmrqvY7IsJBE1YuujvldP0RwW5vAWyCMtoDiPif8y+
tW4DBbDjJCpmbPgJ8xhcQuQ34A7xrof7Qeta7C28+vf8eCyHbbb8UOBIwaiBBiefonK9H0VTFulH
p5N3DXgeSJZz6VBV2CBLnTddrrpx2zJmSd8WAjxAamblzlgSc/HYJNcWkA1sCGNe7wSb+MmurOzI
+VF8cFx/12vjA+TSbFsG3xyb7Tf1lmmD4PE5MaK2rPUxhxR3QhRO2rFPEmE3lEcrch98ZSR0U6P2
qhgJpJq8wNgzFCExQgN28JFc/Pzz+vP29PT3VVHj+K7LbMJ8c3qqG1b/ZkbF307F8BMGN8r4zmsv
fRflnx2Sqnd//rx3tQsrHCc1NlgZSJNPfXP+gIkfl267EOiCMTiTkZ6dWjPOv2CjWKSYDe9GZJeL
TyU6qrlIyPiM++WYJUj9djOxsFLSeH52p5ac1gDNo1PURA/WnnttFiQpjE02e6sAOf3KNjFXfrS+
8Qu9XeAoDIUrqTUkWwV75uslO7BHp5ZQkLe16PBlVLbX+scGlmO+9lvdIX+d4vgU5ixoe7J254eG
5y9aeUAn0J47YrgGQKWGfTaMc4VunUMtML2k+pKodMC75hVHbEyZtRalMr9GWUbdDd47Qxblt2UF
ALDWz21pX5FhGyF08wY4Uo3C1L1OsioG+Vf4Fbpd2cGSm2uv/By7hPqtG63grdK8gzcZ4dlND2qI
gE9U6RgCk+76CsKgn5f6AvpyIlm08J3Tcr4OQPEuQHnCg6v+mM198a0mv7zepbnMyK7gJPHNwyKe
I8lPrWzjBi2FY263cDjcRGCfT+cQJZ/w2+mMjJKosCziftG0a3+wQOT6kSZM+w3yPK7pGooIx6m4
EMWphFQF/2TRdm/8wnJuct+qeRHMBFFG2s/DV0yghdzZY5oCWKLvN+w7dxkwoXQpIxjaXoQynbGt
TS5MotU6awIg6jVopwQ4y+zUqz5P/OEAszUvTx6e8uk6bYsOaeww1/vBHMJrXBvFejJrkNXeIO/D
KqAgwvXUQvMNc/s7C5B/cRyChNc6JVnAglYTMG9M5Q5CioXTI20ebEuXxiGsZs4SVupkENJp1N4O
RlGPa8vJgLADOoIMGkNZ/uInRnBRaeQRFSeQKG7ZioKWZVjNjyQxAAafCfeC5qExQ5FT218TKabb
dWLxHavBLdUBtDLZEMgYjXYbdgTtbpVhlnLH/4u23oGNVq661J7zB68tkhvqfC8+jdiU96QRReVD
Ysim2OKBVc2j9ESnLp5Xlf0eM+DQQkqLjR9ZytkVdDt75naaFXZ0NyyRfkY66HeQcEtjXQEORMRq
aJCIMawmPBlJgt+qrieCMyf4FJznMzTGcNWDBHo7BvPmYvVJDuEkmconIH06P4MnzsyNF+LHWWNZ
6PYFB32IfK3ta0TAKTnIfQ+Xa+1kWdfS1YuqcJcaiU/AJm7d+5JtFgJRmUwbMDRZeVFCu+z8fmcg
VhuJB9/wNKIeHDovui7JKk+34Twm92VXJPYq7fxwPEuIY/WDMWNRWQHYM4dj0mIARw0N3hJblgNE
3vY7KAxkShTpeSZ9BPtHj4AeC1Q95vtZZnm8Fy6esYGGfvEzc+o8WZmDGdugqnp02nRH/eYQkMwx
rkVidBYJ2o3oVpJOpw0Do14gSzRk51sevXqJEAGduLLjHOG4AWJv5/otQiol/Jq84rBhUefUwiFv
CF7wUipwCCIk2BlHC4TAVjFnJ235SPY5AQmhnwQPLW4J78KC0kPf1mJEvDwvo5iBKehjPsiW3ctX
aoOhyEN8Ldg3r2vhoLRcAJnlTtgtxO95ggC5niJ7sGFoqDpf5zIXzjqxyYeBqkYOaFkQz6RVMvxw
2q5ieat64sMDJN9qB60TxXwR2kzZDLqPAAfBT36xZZ0TTQTfkKBDhYdxBam7KlZsp3CgNBljw9GU
addtB5Jtn7Oh838OyNqe7awtG2AMjgZL4CALuGryEv5Xh6MViztpFpTMXQ+M207AKEPEL9JvYWUO
ejtblXp2Gfe2e8Qbw0w/Dz8uOnIIavu8QlG7FXlEQEHME6PXEM5qfefFfNEdYhcqxlFmCe4Cbxyv
miDLv6fCNwpyCCsnRergzPadqWsNlyuk4gN9LgambUhYr2Pyu1+MAkYDNv2EdQK+ONUKg/WWCGDH
zQ8t+CSibfKOV51ONvmJUa9NvXZyX9+hzNZPs2oXiTH+/vQ6aFJFEAT9AvkU4I74xa/rlFeA6Se5
VRRJz8YEhWON1mk+w3xUPy3rvwg7kx45lTSK/iIk5oBtJuRYc3koe4PKEwTzHEH8+j7Zq7Zf63nR
Ust6dmWREHzDveeO0G8Lg4w+9cQ822fLMrjGDdCj8CUPoE4kQRAoEj00j/5RUxGvaVnr/OMCaAuw
AFs77xzmxMVj6qyXc4Xz/BXDp+1gDJ+b7V5La8IShpqrOtRk3sM5iE2DR0rMFGmRPd1syxvvmYBZ
GqDjtbhlIXjejKJ9xJydeEEXJFVlDflJzjbZJFm+RDbMjYgbuJggb4G6aNqLRXW6D2LcsOncmn4+
bm7jq13Y2+6HCrOnfM3I8InOS63i8dIVZL+fWmpTKrZ5+dDHdX9l/Zw/Y4ElUgeSpfNUFU34tmI8
1uiW7W25R0avX4l1L4AANK5ngI0YFe5J20GaW00YWC/YkAkg4HfRt6QhqUQyV2NB7Vd2I5KowUaZ
UTqgNIpQNIp3tHQ/g0zPxp1H0Jd35T6YSKoN6vlFkchh9qEAkb5DhQdesYbfJlJHe330zO5Adwft
9PHPooT/CvpgYETpRlD0d2jVDVhakHYvKpi7/qzXAP8zHpMliW6n1240OW/BmYoA9/02esDMGsnw
LV6YfW8KSV1SqYEsbcLos+4w80feCRb1Gu/isXQuo9vCGMAhVX/aeq8ur3ipq+08RqLe9pUL+DNR
bKYvcq6pdSLCdoNzFhrUH9ZSj/t4aYlZElzWhwpxIXTpBgIuINtxvm74t3j3lmIpElObwN5j63Ku
XWjh8F7gAem7vo/YzZp6XA49hAAGZJoBMwEImhdhyyaEqkAy8CIZLHxBdgRvJAwgznxo6kLZDw1r
s+JKimf4De1a3LPyJtBlBz4UXI0e8hFfgDvM7wU02AK0mMdPo8s3X4QFZCRdV0KHcACbKUh8gJ4z
5FpT30zvw/aCt8/MKREk+seihf0unPo552nhcw2Ls+05XRgwLV69HsO+AxJjd7b3nG0G6Pltyo2k
jw2Uc2+VNnyeEGzyvdtazMtFDO6MnxHbDZxsLPQH7XdI5GVUC3Ih1i3DixaBxxCLZZ3Ktuba2E6T
f4QqyYuESdxyUv5U5Pe4B5EcuEy1yInou1iSxo2qBZYBr4quy935xRDlZN3SAv2foi20c6Dms+xn
8uQBNfO8h9mh8Yr52Y9ZRKUrxl2DSMelOmoJTMAsQLoTPJ3W5N2+GOYY4nKPQxmZatMmGiXsempt
oOUHTg04RuNNmU7AeCzdvVgZyZ0yhYNnny2e/zwMnsI5qirrNAcKP8rAQX4ToivG63XvkzQd9JF/
Fu0tckFao8VCkGiP0zJGZn5n8Gnfd+FkgZJhaYmRIDIwLfImXLKj3Yf4EyrHq2xMyzcMi9fLlraa
+IiD7CxtjhEEPwYQxNEFhJr42O7JMAlxsAP9z17w2LpnBGiZuR/UpopHP1qDEVkfJjUMRa7zi6GT
py66r22CnezeStcaoFIqZs2Cspni9pMv7VmciPgJG55R6b1XdB0L+b9oCJJZ12Z8IBbnxpfq/Xw4
+bA/oiQbHIH/kSGASLs43zdkDnpb4+Hqgcn4njuN+Ei6eqsSN1xCe+f69QAqg+w3QEJtTgZ5aGnx
pSKVMHrq+7YcD31WcQ5FfQk5XQ5LmL/ZrMpy0Bht8TgvjTtcOcGZw4jC1Q8qauLq4in/FlXFitBg
MiGliugMaCG7ODeLuit9HtQ7wjwmauHel8Dsmlxmqcum4akYBiqMoh8JtFn02LHXJvlO3RXx4hdX
aIWqRA6NvulIPktIgTHh8R5IABWJ9LzmhVseRYtEEovmyq8FTZgc/O7gdBv4BJdGM1kDohpTX/Tq
znXIMUx4Bzv4YrF8ZExfvOgdR08XpCTUdT/KrM47isamP0MNxAxZl4zQ8UZXwcvgDRhfCx/BGFEJ
dYbdsy3I4GW9khtIA5rcZH9WfBItwgpqQlOab7asSINRsgAk3dr45Agh5BJaA69s1SzRvLdROA07
47XAJiQr4FThcqLemfPhZ+6vLL50bSnvobRC75S5RKPgnKcr1aqPEErNHfkqrdXgJxup387kVS/d
MYCSQaM/6BWCPqTqPrVIl2wOsbWCAG1JJeoOEc7HnT8Nk7+H800mdgNa4ZbFfdPFBoQ9gZEkIHI/
NMGCS1Pl/Sf2lcMrlkpHJgEkDYA6pVb4r5tIQ8PJacUwv8gSOCOM02BfYh0/zh3EW7AdKAOV4+S/
VDXK6josA443WHMeLB/RhKkNKERerDJW6jCIGuqUH6EACTm5oEYJWqs7nuflKSfeITrMDRhrp5wq
eeylb5dXzt75WdFKhCmZUMGPoVUOli8bANFrvPrNFVo/weKVSxbLQkoAC0jPFu84Tu0Hqam8SaoZ
9SHvShV9iGe0fklkevYVE3RSN2WiP3W/Qk1gTDpNTjYepdXnBHpHvvmA37Bfz2yUsjvgmUTsla4D
xqtABjsdHGegnx0Bi0ZpWC5ihX9isJjLnPshyaK2eF9EP5Da54xjnGiXv+NVLr90I6ICmUnk+j/k
YslPiw82mQ1yr1+Z2xUv49DZ37krKnxGVEgA34hkNGdK+bl4yPuhlckYrPWPySmmk78JcEtQ2KgP
BJFYW+ILNennjNrCTlyXyJ490S1Ntw+cwXGPWB7InSe4bBZ3hWnd6E60Ax+n26Y13uP4YmYwCnYi
+xD+/02dQpn66DVh3ENI2EoszSwfg0QztiMgBSRvYlYTcU5I8g+tXTy5WfNEFVTdTFDWclcIKzzF
1HHuvbctYqF6bmL5RCjg7CbdamEbdAk5eCFNl4GB5+fTdux4tYiPbHnaMY1RI2LMyK14TskyHbzH
Hh7WkdzZ3kOvmN24baqPv3joQNMMOTkvAYoWc8YXhlW2cwmC3Q8ZUXofi3ygHHDrvL9h3cSliLdx
w3kNSWwPtd+GiOG7Tnfxi1GKZERBwvHEIu8UCWxejIWZAnm1vfoPE8nGRBVLlEn7rvSMOvhTXFzt
rbDf1UyM+36h0rmgPLLVZdNd7RMmP8q721gq3znATrd0gGcVvsQbE/7aCRVqld7l1CcNYpqvgZ2t
3dE0Y8ZGyuSk5fqFo66ZCM2YAv9x6kNBoAxjX2SU+DJXuSpBtBlAth16PwnZfqwi0Kc1s2diLkqg
TOd+q+L6GhCHxJw8bhcmzjLLnkcS2KJDVqjgPCoxzkmZZevXgrTS+jCw8d+ShVXA8Aj4sO4+xMNi
xQ9eLYCtMasWDNsRYPOajNSXMW55W1FkUTaQ7S6StlhIvMjzGuvq0ousfYpIYQnPYIkz9wxLowbU
ssE7h0g6FYAhYJZigaiHrqX8oGE+R9USjMUubCb7k6aX3dJZUfqkq9P3cGTIhFC7qa+y97KMOAd1
Qz/FzgHlfWJFGXCgArc1BI7YXU7cVjZZmg5jsythdp79yFUW38jZDcnFy7ISYvzQ6/LR0Tg+ksYA
OWkcpvL72t7M+pz1mSzSllTB9lTWMjiKqvPKs4HrRZM4zfWl9FtCKqAcEzwxGke/SYBGIygnPfEe
rHOkA3HB3brvAZrvVcv0IFki9C+JFP742YSFJFvG41fe6YlIv09d0NO8LihrMQoikuPdBJlqfpgX
YOR7hDVzotzOkvdarIoMzqiIhrMYaYcfW+IYPoFoL9+9tSJ2ZvJ8O79w4JJLM8aNx1IYiwXVY1WG
z+Ryb/uW7ZADsqm2Hl17GbKdaZ2xfundWb32lgGwBAGjOncN538yytGpEpndcnRAmd/ilJYaAgAU
DeJndX1nNyMdezasvX8J+BtfZlaltyxF5X8DPlDnaVNmbX/ve4xDiEMggQpAFb39zjYVWLaNuaS+
xrH2zTM5b+jRSZkhTHFiFP8GWr4cr9yRipPYClfxxZvG5s0ho23etTyc/qO0SkMWz7wt6uzkXXdf
FVYTfRpnt0TiERbjpW6r3qEcHOZmH68TQ8CQREhSkVGH1sdpxcSc6Kmrf64iBLao/aj8RUfftce+
h7D2EOiN5St5Ld63tdU2JJ/AiR6KmH92x0dzo6MjRz6PhDdOunAdWM9o//zxyMxIpqymb9xHXSv7
3jF2tCXShai8B7fjPZPSIRzqYujYqOAWN81VU9qnsi/ZCq4rTvWiDzZAeIyKa1pCwoD3wEViGieo
4mNjXAZdoih4kwFTnQ+xsw1qB5HRJTONbEBa7QFd2I6dN2C6WormJxIbc47qxfnGVBABS51FmM9s
AwSbTgufaDe1b5upKpd+aZPw4ore/VKOOiwgPE8o1PRC4uJ+IVVC09rj6qDKsqbpxpmDLNuH0y+G
3Eo8x57U4wEjqzW+eLyWwnREGNIeRgOyjdORgJmEaQTgJ3sxbn0rckkCBPPcFPdeq/SYqHrMLXJ7
6W3I6/DVOch4cyWii3qU5bOhbtO06a/TxiTjEs2Dbi59Mdj3kKbkq4JkSwEQbSWNTheDuTCWexzd
MaoSQYpYm2xBbTE17AH/4fsmV46EhLV4ynuBW76fIjPuGGCIez+K5XBhMR1Oh8KzW/XQx6MYH2yx
BQEJfRuRpNoZqvl9saqClWSkxmNXoBGve9v62oQ8N0gtVX6kNmyJgan6/h5V6gYiCUFqSa1gEYoR
r2XdQQqox4Fnfl7927RCRIQWkc12HBBai0e7rfDfzKbbSFwRegs/M73sm3TwuoYhi2xg6fAblyQM
oV2c0gyH1XoZaiuwXm9xGOYyu84iT7KuwLhhZS+hY0U2QV2RnCLrTk7rWB0CpRS2ZY4yc11bilOv
D1ZqbDyqAzUEnKyjtXVuxpgibmr3sR8K+0xFOTNHNe74eAOxOyf41gLpuhNTfccMPaevw4Rm5kHB
Y68vYDP7N78qxTd0wGB1CiKc7CNkAudD5o3580qyqIK9YpO2Iseq3K7YO+f2OOVesCdIAffeYPfI
tjaSNey907TLdhdQ5302dshLSeVe6SZT0EXslUPAXOAhC4DePhOzL7EZIkJs9E0cnzF7Sgi55Oa3
nAk8P3Xwt65qim82APOv2VpO2ymyoIPvrbCRPxjuLWdfLY44jHa2cWsStQ64My6XV4xCubOj1CPI
UvHNMOwt3AjVRN6MtxmoPe39IRiB+DniMxku5kclx3k8T30AMgSomF0eeJ778JhLZuMsn2ZPnwbw
feLaxbe5JyNhBdqpdDmfhCbJhB5/KLvw6y06MrujW/QB5pTO4hyqtiJ5tkeD5NHYCb3+DN0tBo4l
89hLHOUjVC25/wi3GahB9hXUnjWheJv8QxmKGkLlyr6PdXD1DkaTN0mwFQCMtC+O5EZEAAGMNxJP
jWrlyCXgxwAcoqUnepvRwUjAO0ugbINl0fKVQBMSoeoOhh3011XjpHjCGSSBBwmAm1dKxyUJB47a
0W+lRcwO9WIA1SXLQDsWa/OjdycSFC2/b+cfWzcvCHpUA5nBjPkKKD8iDPe8tQ1UMdr+Kr4vGFQ9
Zy18BHZi6DvIHCRexIdxs90RF7XEJ01plfBi4j2gmKz53xpu009T5ix9antlfYL5GAPPX2bW+Z4k
kYRRrr+4SVWCiPmlA0PsrkKO2R9IIQ7NtZQAs8yeeTjghNIe1YloiBpuBDL3H3TP5ZZsjmv9gvlB
/9Rby1QnEnWi/doa7pkHg6mv5NGN+5OUvgjv2tFDoqQHBvSQQ6su3vs1MNCkaLfhBXoVj2nTyhuB
uuijCMx96cZJKcHG75cC9s1OjxU3bhZ5zXK0JBdg52SrwgWLOlqkdjN4F6vJQXtIkiqsHcf0mARb
6RFY3djoTG1UkiIpCXblLYt/lZSWEY4uHWbuZR/Zt3WPqEPmYFcs41wRrdV79r5Bvy2P9VzFj9jE
QkqMPAQ9o+Z8XFL+gIAnXMLfI6xLMQBj7Z8qZ7A+q4Hjatc3plIJJ3OW0Wa5HGXMkkk1Vyg4XvKC
HfOO3t87W7UKgJDnwB33y+TlD4TyEqi4btOsyLyseMlsmdOSIRrhreOxipjGeSG53ucMTsayr/2N
weYUVuha1CIXpL7+Bn2KWaFVshZCAp907H0XiD0js7jV0SBHx0BKOoux6Z5xNzrNwSOKTLxrJ5w+
DBx4bxRMi0xxDMLQcuTs3RduAKmwjrT5tBWECV7Q/xYVK4TVIzVi9Gwr9XpRTOdo6YlzIN0sItJH
mu47YwWuVV/Mt8dpJlUsqV3ZE8fZ1NFxKtjE7e16rOPjjG6Z9qmTuQC5nOlPE6E837MpUOxPWVLC
68sEkUroicd9S1NHnHEkyAH1VAQkZOjhGFYW87FdjhOb8g2kY3jkaV/8K8UpvrppDcKfdD4ATOZo
6wIajFpFEFQdJCNZV7JfE+tIxExT5khftLOUKVuk6DYGdZ3Hmmpx26PW5HiUIaBAMty98d5Gq22n
vSKrBVx4D/mkzm6Z4vwnz03jrERmkTBRnFVXF3fk+K7FXUAg8k9d+c2wW0knqy/UazVjCuz3h4rz
dzmQHBuVp2ZlXsMkjbVpUhgFfqoQNrokkqOmkNyfKfQPUc3Oj52BHO9YFzIXbLfM/VXmYI3ps2sd
vAIyzeQhC2fkCp7fmJMjF7bnYNaYVxN6T3JHEtKjQvveIgYvTlh7tFBQCgDdaa54A/r9MoHgztNp
CO2vsl3BOTNn1OvfpGr/R/fgo7HH7REhboQW8bvuAd42LZqzxGmXMUMCFw+dbw2Wi23JFb9gl//I
7Qxso3HEdGDQ4Rw08bs7qi+P3C+SRgtl3Ats4vBUwcEnYnIuPvY8s5Ttef7FAYqe+lMXkwOd1dPH
fxee/Ckw52WDqY4PHrgeEpTwD9FG3Wx1SCyfPnTYPXe168pzIUTMGmf1zvVUszRphWZOyrLuL5IR
8af+Eu8tKhHaKIdtMP//j5/NUspEftWZwxq40+MSIEmDkuaQ91bHNoGdvLGIbyrZdpfHKSObLBlD
kPjHRigPRBAxYuNOuiQ9n8a+tQOU7RGjfJpqJHFqqggU9Cit5ZUXXf48qUZ9KIWrDPjtMip3VKmq
onTvESxrJ1sy9hdhk1PeMZJLCe9dx0OxZjcsPcseFiosZYJ0zDSBynm9FZ9l4N882QPYUG2tyME3
oMAfJWZsSP1m/uEhXyJxc2o/I3pdnlhsjKkdlTpHxrICasunWYBCQko6k7Nmc6n5kkL5TGFihncI
SGGU2ODfiahkdftuNATBbUeJbbVvDJlxgk9+YIl9EXTVj8a06NGdzbOfyJ1C5sK6tlxfinxczdHx
kVlxQmfd10BHOIynTllfUaqgJrfJc1oYXfuKmE0ebAbYAD8dqEjD8KUMYVj8TWF/kzL9r6fhv187
oD73BoS42Rh/f158Zrtb4wnsnLU1Hzhjo12F/ejscvlTb66dRAmzfhvj6ssaDvKnnzXi0ObmPvQF
6+XGXx9BfS9/uRv/Ib29fazAZ+eNo+i/dvDfP1bBiMRlVKgPiE56kiCV/SkuyvnoA2N57W7AuoG7
YcdAYQRVvmTepyBU0FER6e7hU64g41Xj/UUe96f4lg/Fo8E1cgXSG1Aiv3+oGX7WYmPKP1h1n18g
JS+3/mAgdohDcadoNc8BCpu/uQ5uT97vX1GAdS9EjYb7NfL/dBSHYqZw8lleTT1DbDlOVJ6VPz6g
nUc+gr+ZjRk986s11PJC/sFn/hlAXlFrTnko7MNoOfFTUNlTauA+b3/5qv7fpwPnwVkbYqS3/7yB
HMTPFVtP58AJ+6iqdprITGiG+96tSU359/PxH65Kqj0/RNaGp4A7A4XH799AwVK58AhUuml1/G/L
RFYDbtttSmcwpD/cjVptAJqYSr8nF7SzmYDXvWAbnZn03z/KP39tAaYIeycqSVuApfj9k8zl3Cvf
LvSB3PCZqKxbjCghAfE+Gkz5499/1j9fC5GL8NGxkWViNv7zaGYWCT3dKczBEz3tuEAOugPszg6w
C2isJra7b0tEn79QDPzlZ/9De4kiP75dcYSQOPXFH+fDpKOMLRP3PLT24kU1DPwjd23gIE71lBK1
YxV/uaFc98/7He88E2wXixUuB/vPx6yncbEi6WYphjykKhFAo4JDyQac7jXU9N4t6W/JQyJfyGAZ
uv3cOt2RsRWNPS2RfW4jn4pEMdJbvtlWRUagYxnmkRWFAPcLM38vzagSk4yoxjWRPii2S2DWAWiC
6dij/PvX5/x5DeF2O+wgouCGnOGm+UO/Oleau2goaNuRNn+j34H/2OJS/MDx316HPFBfhmhAVdls
nGmwywigrWJmGCTv9pSEdrCD4szwd8jt+2WxvK+kypV3//4p/9+HvBUe+BP5H9ruP25o9OBNw1r7
uHREdx2IEFm2j3ZnwS20Zw1UGLPbMr//+w/9xwPNpeEWdR1qntCNcFv8/lORK9mjD+Hn2BP2cGbe
01OZ+cELNVqWGhbk916YradxY1myU+2tYVTCy08sn/9m7/uvGfl/z9nwBg6LOF9uNlHsPrdH/n/c
Xbnlys5m3XTMHBs5XYca8NpNk3tPApERd33oNvJq6PmqB56IzDniuCvFeaR3wjssWFrsyF1kqoBz
MV7vELiys0AzNjrXtXcY2Gz1xJ/Y48QxblVT8MA+pTaH0Ium4axcjrNdlxc2aQdTn93FEsHGLjTg
U/e9duV43yBqEJfK55y7lE7lZneBYayWTIqpzs74Ch6CZB7nslbwQB3SgBqCmxQ91h1i++ktAB2z
fclNaZeP3dgyxtXTZq79Sp7B1fNH33twZ4RLMijt8C7nVqv3/lLgvyOflsYY+W34UeDpzhIVN4F6
QspW6D1DS5wQI8bX419ujz+PgpDXLfF7MTli2JzIT//9K9nquWXKqO0jRgM7gykQ96Q/zxpbWW4L
CFbegNdvPwR2BOAWlJeFALCO1B5I61JfbR0pND6DPa5/KQX+PP45h11PgF26oR+Qy/9hCMPWaQNb
y7ejqecimee8x4h6y3zJb87Uv9jPeJHye/7vrQlsA+8JQBFaG+oP8cd7r9tKq5nCOT+iVCO8GcGX
0z1m3VD9agjO3lIPEwTSLTDd8/MST+pTvEQyuiyMBXPCkTGgHMl0CeyvebTQb+sAcdEzU7fiIQbq
b/Z5nK/+tUKD5HzprLbWH4ZCDnU6UCbrtO+n0U6DiM1GEiibcn/aYB/dZwTeCowr/73gHdCvBwKi
c2iKXP0yFVrl9TGrlAVZNiAw0vm0yFxvp4lkLfNROMi9d2rwidfxAZg4p7giEdi3sLAlt3XoW+xk
0c+5y5ii5I4AXJczlaOwa+fNSuGyNV8JLHGOthNm4aV2YMnuMWWRIjlU+JQw1kMwofb3pkck22PA
upza6sgCrCmwaW5LyPopX6Z08Ui2/TixpCcankkCqNGm+649e20PaI7GCB1yP3yIRxcDyjBYy6++
a0i/MbGqv/PuYOLTxN7SvLGccQfgqtL5sGlZZnvKIW/83FdBfs5pn5qzvwTri9f1IYUJobvZ2SNu
7IfHycoR32GJh++/LB8IpIzVWbEs9BK20tPb7ZUV7wYUpQU0VAWBvvOLiHDQqPZ+ObVLWGsn5+1n
i2ryFcDoKH5UVYT83CqGsB12S5ZVJU5uRbyuJEKZ1QM3y93GQLIimF7pcCcivKQp8hpSnno7Ww6+
aFrWqaNmrsjKhy4Gqc9yYydLcthLQjthrHvdAHIWvIHHy5Qrjl8FtPIxpGE1e9tZ2i+RZvq7E83q
Ms8K++wrL0jT3cq2wiqPnRZB6pZIbU65LjeXFAeNw9g183rxiVY/i9UyUYqO78a9lYqFfrGUfXQi
FWBqiAWIpp+6XFkzNk5OHwlBGVsygje2DQjVZnUdeAEVB51D2dpZ9L/dibmEaK/F0udXBStxuDBZ
FxiwpCj0rvMK+W0uSabHWqxgvjkkpjT7anQ6dharEYYAZsPXQLAS8TXburVuwrYyf3IlYnfmOgF8
V8sDpZ9aTQDV1wun5tVG2hzsnFbLa7RWPnaBIQx+mtJlvI8TJer3qsu2x4a/XibkvTjRI5NxhC+5
sZ50J8Z3uv8wvk2myC4Gtf7Nr0zgHiij6HUEDvN97/u63m+kFgn2wcUK4mh14r0LQBVVZJGRWVSO
nrwQl+xUaTuvyOuspv1AHNB2hnxd/EBDMpBqE0m2wG5V+Yfeg49ybj2+QYAlNRpLfDER4Hr6WLMv
/W6DKUsw/J10g5i39Noi/J2DqUeZgx+W4huWwmW1huIT49hlvM/nXr/YTi1gWDa9c4eE0xqTbRZD
e8fgEj6kMOR9vijXFPG1XKcySFCycJNGo3G/tI7NRG2SGAZ3DNS43C0yRTxkTm7rZKSM1WlYac3K
CjLdyIo7q8gyqovttGlGWwjXStDUcc6kA8sOvoRdHWQzVyMwEmFRnHMKxTf5jsj86a7t5aZSKJfS
YxJttc+o9Ic3nyGZ2HUmCF7kqgHxe1HeXc3NLb+zKRG8RFRoRXaDrtRnxfa/u0QRXO8W6f9bs3Sm
3W+b1Zqk7ctck80c1W+Q9wAgM33x871hFdPssWmVMJziIuWpYCSgeheWjNPKL1D1u/UUN4P8gmkR
y0wW52o4urXpP5F+VZRA2oTm5GOH2HJX1Nzb/PPRRyWlJEgxzAhBGcEKwTcLyLkyKH0OptTNkILs
veUrurGdHdqiBKTLa7ncnme/GeMUmLv/dMuUZ6LiF93LlIWBm4yQdZGDGLTR+9sGh6gJIDSk/zKe
+95X1O3p2hjRnx1/Nm+E/lCGeBN3qoTeFX6uEeAjL0GiRAxLN+BCdGfg3MWqXGCMW7/l+67y3MOW
MQrdOzoOUos/AE7cCwS4hR0M34kdokbSnQTsgUhePKtKc/wQV5x9bRoxglwHScTxQ5LHI/I2IjOW
rTQfDSSvZkdCsftK3daW+3DF/X+GDHbTr8f4k/YmAAWtC3aHjK9cy91p27da0Nq2qK/smvSnUrMj
5RzXungJ8qn6MSrjPNd2d8vGakfYLsVikc1AWo8TfHbYq/S7aIQKdIG3YOGjhOCeTOzUPjtViyt/
Rb/XpSw4Q3JsWPXkJEn3n8e+cNdkjFpU6BxT7Jh9GITwPLbYN08DIXsHK0aoRG6MLeVpmymVdgi3
Hftg9V5Dc8oWwD3WK7Y+5ekoPBT+XISHsnOiYV9MbvcTh9uE/qXuuc7F0C2kgxAQECFBFCmWpcs2
wlvATbngBDOu1LcZdjd8JyG+JxYAYIbah5sOxGkNvcz/0E+Rp9FXL6vzpMmSCkmv5Nbb4/XlpQa6
idlWvGaEFwTAkZKyzPIXlzijFsf3qo8j1cPEQY41axcjYuOKzIw+Rb8YCNHraD/EE3qfhEu7fPU2
sqprcOzWKg6SU4K/o5wY5h2B0inhNHhBbe3aE2/TYczOq7RqeS0a3/noqC1uzozt8Xsxrp+/V+iy
WrwWQ2Y/R3bjp2KJwd+hPSpIL+bd2e6cfvg8B7Ly06JFvHZwRNE1LLwBX6FnrW6OjrhheVbn+UvF
qfwdrXcpuYjALo5qwrOBXLeVh03q5ZMo7Ox74JhYnzK+UqK2m/69olE0h4Gsrp+ExyLqG3kymz15
hZGFRaFrloQI863lcKqYhSklhY3Gg3cXvotghrKPkXPZKTXoq6DlYQfsmJUARGsEwzPTAtMTA/B6
cGvwPB/B82ZsbC09iMO8dOHrXJVNfgj9knOsDr2Jv2/H9UeC79XE6yc2d2tXweME/tOea5eWgAdv
4Vubyb7EIhOEpATBjtzbEQaHQ2Z8PJJaRlj7Iu0idSbOoATF28+beca81wMZnEa/JoFAE+U3Vs3G
dj2My5Kdduf/0GM+RKQ29a5/JC9GjNznE0N9Ywu0nHPEfRDn/asDTj1HfrZMH9d+qw0VY+DvGwIs
prTgOSP5YOtZgjflrK3UZ3TW7kw86OHAncITBJtdX5vKbOsd65zhHaAVTgNH22vwaLFUVvtIbs6D
QUDH0WOcXidt68jijjSchYT32mRfgzUPfg4cJ0TjqDLoru22uk+Y31jwYHaeq/BqtQSOJ2U/aNL3
JGjPpGo4rO/gYPT9DWla9invA0l8o3L87IGH3kTo5FadxjOH1r3F5v1ek3ntAyyWQfhKQqiFwacA
3nmJWr6k5NZKIx4h0p60UBsh2YHokuCOKtlsSVzZPuqbsoverJxsNg4nhA87coDg1Rd5VeD43aSx
KDeA/6SbhZq33QnWNfFDkdFHJI7rmGivVTWYxyogqHsXedlCSssSzuZEgZ5NS1J0Cz5/UA9OUhJo
6aToI3srIVyRQjG3Mae89QhHgkO9doPDa4ugqWRy/fkehLTVXAgokO/GXlzGwMsgv2ch3/UeN80y
33UOstjr0Hh1+AjiKFx/TQF5TGmFbH89w9D3n62SDMojFdXEqY+gTRNUi+KjIRjYj784hd+edCHt
aMe/4uNpmoDcPEkyQlhBrG5rp4KhRZOWloWbzQ/KOb+Tfh6XL3WoCvsQcnqtZxXVefFBYL682R97
LycturSbR2lQkdw3gw7rA26QXL05a97Tjk9bVLRonkH9iLrI1iNLvC5/qcFhYwcYVs9ZWPqE03YI
wyYrURTqOmI1WzjYLJFeOlT9A9oUhPuWeoLHOjLYqsvuOZ8nZOsCvp3ae4rd1V2umJd+9gu/e0bs
iLfdFEgDKC9l82ZvORlof5l0/XOGRKWPeoVQv9CLoWb83q63uQyQB+TL8T/Uncdy5Fi2ZX+lLOco
gxaDmkC5pNOpnGICIxkktNb4+rcQ2d0vgvE6wnLWXZZVFRkKDnf4veees/faCNTKE9CHlwrD3mgz
MxbdKp7+BONdG2c/H4tN5gRwQ0wAHRC2vpjmLQ7f2TjP/SaZ0+HSKnHssBMkt2PU9T7TCvKmrWJ8
givTX1Hv/skn/j9dngYAMDFaR3Qqv9xub+p0mBumEmI8IlrqSwGkRauqzcOoRu3Fktrwk2xB9FJl
3B4FRfj8fXvk6/XXiQ39EcTbIFPoz67dkx8aVrRP56bBHEV4D5MhG8cWXRjqsR2ip86D2lF7i1kO
qwYPDT21Ze3+/gV8bUusXRDmMxQ7El1pWf3yBlRUEyJQ9xk8GOpxJNbhXogr8dHi1o+m3g/PGnvx
Hzrvv6AS1qvSCgIPpjOupMz/+bZDrHhyE0Sg5YX0wsQm3g9j0ZEkGrexKyaYGsLENA+JBEwjQ+Z9
C0oi/0P/55e3Huqd9h2WALJYVqz11394601zxBzMJ0NQoZGVZCkCcTuIYz+MDsDDejnUkKKK26hW
m2+5FYrXIFS61v/92/+9cfzj809RBcQEVAFzWJ0m2Zd3Ag5LUUoSsnCjKiYyriLVeBObaly+NVo9
DreoVmTDaeimaKslrvuUKcRjP4PN1F11SStlV5k6EoyUFlbZfo5dleH5jXUjPISqkS5bKoB5sAeL
iHv2kyXzgqAyJtbuCDmSGumst0Iz9x757aHiCJ2UiYdlMnvk5XVUjn6linqwTWBX5Q+4LdTyCVm4
KZ/MpMdnoUVBH25pAVdwLnRoVNvM6Mc1kIwmiN+XlprhGMdgaBOBW4jESWla+cjcnVycvpfzbzhF
xc4eGzSDTgUn7J7uu8RpB0hKdkjzKdD+0CT/ZS5pSMyV4cVoCigczVC+vOMiytnZSEeMZFCc3Qlh
jB+U5uJqtRxfEnQgRy0jsawvcwK4Ka6vgcdrm7RaR+c9yT+lSPjc758C6ZfHgDkY8zcTqKdBkw3Q
288PY0eiXiiAnfOt1gTrNGIsI728QBd36UhlkvG3DhghEU/WTqhYS+H1BoXRqaFdxlekAA16mQik
aHao2mZxg3hHqm11oOfxDSt1ezFxyYfbOaBf5I2FUD8bpDog8Zwm7anqNVOndDXqR6FtsmQ/Jch+
M7i4xIjmRLVvVRkngd3XMuDXSS7QZoDFQPCSBzOlYUjXz8vioEIs2KeDccCdMRZ7mh+aejMqyVT5
mQpM9s7s9LDeUXV2IjOcMlJ9fO2kt3VCYh5TcIeqC7lee5TrpclQ99ZTQ6+8D4rnSjJIw5g7teeg
C6+j8cuE7olt4XzjhDzQeXKkrtOQXEhyl5xn6lRjz+mHeTec6SXx5ilp+mtdbgoaiEXd3KoJynxM
C9Iw73S4P/qll8BkhUKioJ1CnqE/hHxQl3EolddW0Prq0E50X7woAs+G7lUOIr9YmK4gi24R40Zy
uSx+hrosPo1dQzpN3C7mvTqos+akVbjctnyxCqeEGaK7CaVB5OeBQFPN0PIx5jjXW1iGE1wJaBmY
hTEmtIaTNiRW6UJloGEODrLx+BSWwMVSOKd+q5n9a5WFKrEcEFb2kxSihO2jpPX7aU50hyKOW4j6
SEfANILnRB+gtrYVEE3mtVDk4+shgWhDMnLOY66hJxocI6zK8R28KVp9Ys4WUMzAVTtIPMzBBOUY
NtZ6fJVagWuFerZBtGrO5yol28eOBaN94kRGHYzyBSFcm8rRdB22Vq3fSn2Z7dEyScjFTbIQcenE
/QbNUyn5gUQY14bYN0k7YPzjpmOYcPEJfkHwhLMd5LmVmmoDgQH4VN5IwYcaddifsnlELzYCady3
2WS0+1loUDIJejFeSDTrCQITB2Kgfv+l/VopwTOk7NXWrJs1K0X5IiUAcF4RubyEwLRg4YWT1dws
DaEuVDPLruBB+4dj3PV6lAkrw4vPQzK+7FfUon0/yFxPyQXlDlzxO9geZKcITt4irRnffn97v8xw
uR5kbNMiJwLZAsjVn5ckQ7CqDCYM5jeDZMvJaKbriDS5Btvjc5IDkoFhNWSH3iJT1IpHlWBTS542
jNrNZ1kPX1NDLDgf6ypjXAOiLKjoxHSKYIwD10Io51AOlce0GopjhAsae2msPv7+Hr5O3ddb4A5k
2WTyIpnil1WV41kQ9SmQvXCC8oLFQPINbFCubiy0XEMZ/plIF/DY40XY/P7S8jr2/HFjR45DDgMh
Rwz+LdBrX4axZdkji+wD3S9iDDaoF4m/RvVcYBgLRK23ToU84B5CbYzStdVDpB7CmCxPU1drvSt3
QL8dakZATi1HbHx5Si9vOWNiaIC2tbzrmc6zpi/0JTB2coZxcPNYkW9qPVrmsJaEqyo2CMvSaT8N
9u/v7pdnnxkA7y2iEZYgCa7cz8+GUAxBWJRDhRl5Tlydds9nmIBvlchkwxElCckfylRlncb9/HYC
FoRZjwiNgpGS+ecrhqAFoQ2F9WacibrDRUq6DHmpQOkwWrIRqM0YHwy6EflGDhtdthPqKsWNFN43
T+zidHZU0sGIi89JZkGE2+SXos3UDgFCjFOA4xi2YyNScDQtzKovQt5PD6Fcx+EOJRG9+riMnIxD
sbjFvJdzZFWTbpci4XivOBx64zo8ZvVtL9/f6n8UQPb/W7QY3OIfnif3tXv910cB9mg+veYf//nr
qixe38sfg8W+/4G/g8WMf3+f3VtoLdjvRWk9gY4fbfefv/gVBCxgUnkQcGiQev7Xv4qy6aL//KUq
BIuhQLCMdZhL5hDHyBa24//6JY41ZDVR5ouom6R/FCz2/UD63w8iDx4nl3UdhpYPJukXKCq9Pm0O
BkrqWr7Baxe6/eGGxB5n8SMncYftFWGivQjo9s50xP3o4cnYxBvjegHyT6wj4q3DJYRBhsd1o2w6
b8D8+MS4Y9/7iKYTn7PuVtsPHpwW/O76Hg8gQbjt6dJ6jPK2+Rakmb80x7mpbbKYcn0r5xdx3tIj
qjBv2SUZqHZ+NWi3zNkHXhhtdX9wIQIjdMKb8aK5vXPT8ypueifwLDfbRDvdizaUMXZ5iG6+N4GP
/QHXVW9fehvB8km+yXYQ9PY0xHx5Xx31jbypXO35ILgZf4ngio/qFouaJ7+hMvb67WV0hDvFhgfE
FWhDG9cpu/Ax8KmfYsMWb4dn+ap3evsmcFqPGju1Nfuyv7lcLPvqsP4L7sZjtmu9F9UpbcMG3nmE
n7cn24rXjnTXfvLv70P7bXKJL3J7L78t+cn0UmM8MAqnNewDmoPM5uMACMC0qb9QrpE5zt9t2C+x
fc97ZSe7zu34uck13i2bKAOHjMW35hm8+G3nghM40vY/zRZs/wfgTbcxOdebpMMfGlK2YWJXbur3
ZSPuqm13YP6RIjpR6CbjK7DDo3YTn0On2rTb3pauuwXkDF3M3JOvY+693fOPbl6Pxrl5onB0TTc+
hjueg8vkzbbm6i/ZnpwgBWQgFjPXIGN0PNdulp1jsPAo3W+qNxqaJXShj+paSh31Q/Prm37TbzK3
eye4FXLYoYj52BRt9zIVtiY4Uu1y7KaDZy8fwxWs03Sj2AmQW9t6LCrE6Lb4oHA3vHFXDKZkr3kJ
d0CHUa8zWo125yLaPTfTLvqksZz0tg61yg+97iDuFFc5Ns/zy7g6/UjptNHRo4GCLsT2B+EFr86G
LhJAUAZKw+MSgg86WTeJLbjVxnysrqIjtuu75ghc7UE3zsKb9VYuoouZ34H2Qn4qPxD36Qn3zHXJ
vyfC1Th6UFnSY8k0UPOBbIom0yaULMTQgtzZjEdjR6cWb6UUeUAsaLjL0pXS7tAOxLrdfzLyW5Fx
pIBrfnXfoxO2tWN3jUqhWUHge3LUymjLbHwfnZNdgjWLPxTc8Fe6bwvv1vl83PP6cTDc1a7AElBO
9kpweWIEVt0XYDwUh2ls+6m/6Ff5IdpgljP9rHZwS+xTX+ABI3M9FjztveVPAwDeuKS+Rw5s9NIP
GVjazDj1kTGJPT3x1NWazaDpjCROe2Z4ZAd3+O99GyOpPWz6rXo1KM7g6qajvXNjlo29yO/987zF
+uqE6QHNIe+OSuCtG56U6+BB8Jl28w0WlYf5MUKLBIDkjddFLi5HqydyaQLDGZ6Cm+QcHqZvuunV
H8Jbn8J8c2TyPBW/nrbapggfawJq53vinqUt2k1fdXxsbd5Apbhb3GvMRYc3UONXfG3iQ/ItPen0
mmz9tXAlO/3gHCd4Iv355+wNQ2ezlZ/P4ZX1qsQOxqvkLN8q59h6wMI8yM/LvOsc6Ua5AmF3ZP+1
4WXg2HoXd9JyZV57IEA25lNgC1f5cXBUu3qTzzvldmM40in6VE7meXAUb75T9qd6l2xBddQot2+N
dAegVb2oDTfUnCrGV9vUZVn2Xl+jbQItaCfad9G2PO8TT3EePc449ml2Pe1Gjrx32SV3zmm/yUd+
ZIOGeipenxUW8xINvj37nde7ow9qwQU4xc9IzuRNXrbVHAT2x5PsS86JqN0LYjT1etlzCzYB9Pmu
PJKM5JnX5U7ktzB8tLHDOLoLaMTi91ibDCHMSduPLi+Ifx6PkpPZWbklbtVSdiq0iSv9Od2pwb77
xOrJD7PPZ2Pz/VWcugsB0QS/bxAqXgyvZ10cbPgz7bE+jn4v85ATejt8JlSebpHZSFcWh962Xff8
X+flO354tDbIFfDR2m23Xwlv1xkuH7uTNj3CU5c/o9vaJtMQXrvr2IHHU7xS30MEbJXmK1541jbP
wpXEPVhAK+w5tKMNT6VrbCSvdF+V1weMQfs7Z/sp7AoK5IN+MP2HE+dLLcYXZmuvHLJ3DfumcSWd
VvDJGZyu2/u1W7vKZv1v5wk38EiEF/ZYXr6xwR4b3hevUBdba9MC/3PMp4J3cjyKdqHby2hHsMxe
yHAUvjH+NzqKaTtWrwPvxkIPxfaVbWYO0OFWrdjntOeMl4zKCX1Wa/qVsFWY8rtSJ1J77nVL+LsK
/0el4X1JPFb+Pc/2vazIEQ2j7ntw6n//2+ajXOuu9utv+n8xk3Ytt/7vmbQPafMaFx8/Vo7y+if+
rhxV8d/w/Ome0VUW4QGtJ9a/K0dZ/jd1JCdBzupYi0A7/5/KUZP/za8gzMYAuNZzFuXm/64ciaTl
jMPxdu3RksFl/ZPK8efzoLECXOmwk7WNvp62ytfjex7hMpD7ZkR2JVt7vGzqnkSdP+Xv/Y9XQVXP
LYIgRnb08zHJiCszjyuEEgLBGgJu7bTbTtDv3n54289/l7v/Ajl5LvFxt//56+eD9Xoz67HPMNeI
WxKPzC+9gU7LsYrpEduMUfY2runSCfJQ2DKVjvck4LQPAgTRQ5lKVAi/v/T32cAPBfj3a3P4pNBH
iS3CHfj5FouxKgnNLgaUY6UUvEDfMBd2mNpkuD8zUWyOOYIuqhJZyyjrTCu8dFIjPRdyXgcugX5g
HcBdZpMTCgaKqrwRwU/nvShN8R9e66+fBkYgmvpchPnOL8dkAFwDOiJxcKVI6W5bmESUwir+/j+0
onhGfzgcrx+HxqCCljafuMFlvnwcaNfMcW0FuCDuOvYsRZ60a7nL6/HKBMPaAKLtIbk/RRZpcvo/
vUlT48RFEuD6DyaDtVfwwxylJwhYqpXEdI1W0F3mk8ZBqVFr/P5jXzsKP33q63GQELB1VscX2fpy
lVqZUZdINWNoI2nxMZFjPmhKdcFf+vT7K61/05crYdXB2SzT05N/sWpos1XlHAMlFxzqBEpBD+C9
DLgvzWkSDlmqYRr7/RV/eUxYqniWlXUIh3Xtawpc3Pd4sfUEZe6sMrzX1wmUXgp/GHz88pB8vwru
RFpiyJ6lL98bDbEjEWpcRRGr4DaB5+dnRiy6yURosizWFwVa2fn3d/ana355MMFqq7O6cE3ZBNAi
5/BapbR+r3Jdf+zMFAtKaBj7f3pNliTulQO/Ia6tt5+fR6gHDa1wyFWyKQT7IVm6s6Qs0z4VSjWz
kd6m3cpiHoM/fAl/fW5IOdJBjhPMDHn965oYFqNAaBaYKMQo2e0AB+gVMYlus/wavT3g+v5DPssv
XwlWQP4jKSSc0+P8GulQgsNss1rTKDBMjn9WVVd0HvIEVaCZCLvfv6tEeKyj+B++GAzpmRNzIXKD
MfVpXxveUE0ZnNXpQLcygBmJByYp9lUidMtj0jXwhkNukqQNcC7FRu4yUC8yNEkKUXrMW01qaul1
yibCvSFEpEOzB9ZrhojSjFnwyWqoDYesgIpR4VRxRGAQRcSV1GiB7hXDSoRmWaPHRqT7pGz7nmAZ
NFIIgVE49nHj5KDlq+umJbHuQKSkVOzHJVKUR5Noy5rTZ+a0i7JDs2xJngKbmH0LE6S8TSJr6t7U
uJ5oFpjzWB7HUq/1LRMDC4y/HgjvUpOPoot+tHoqUWZqOx0mOCJUjQGHrWGpKCD3EIrmhGKpSe48
EAhnD401bOKsIXo+yBEN2UpW9elVIlrgymEPh/ImFLTkPNYWKvrFkM3hTI5fxHFKNqon8FeC4CdL
olU+PWHVPKoG9hY7a1apsYTU79oUVUnZ6qHYXshRMA2axCGIV9ofaC7fWR3VSfUqOcRs4gRBW/PW
VqOccjyHXaM+dOJEIFNVznDsZWaN0AOBiMieaJpIsJa+4GAw5UW4sbJUlmy4YHDTQhnN5mFhJLKV
J9wlnpoaVN8LoIgbq8LkuSH42HoJTKPrK9SfQ60zVB8bA5ZuNpnS3ch2Id2oNZAlNAdA1TegPXHi
2QIcpNATrLQbIWtZi0x40DAIxzGaMDILAvLze6OE9YZwN4TTzDZBKEbZdTonaQnkr43uVE/PstQW
8OdqFK8OXm9+HDQMwd2eIdHkrcGuj0kiMK8LkI4f2pbPnTbOIlTtMYB7cU8MWYmZOIH4idhrqC9m
0MgisukutpwJXWR60pB3zT72koDEDTZA24JdRNRFV+l3DbqGyQ4Q9ZUH1nWKjbyyGF0VTSvnjt4U
2muDSb90amSXDNQqELpPddepHIDhaTk57K7ViZnlsSOTfklCVzLVFwAqwr0so0j2FQUhG6THVYaK
aEbC1BMmyJJwNY3Jqp4RPnnyUb7qZQWnVWmD4AJyugYQrQO3YE4/QX5Y4LfVELFCsq8WbYycaeiq
m6KXkE4Cxg1oZvAlUvhaWb2yMSCdP5ZZ0fCXpAI9kpAITGho2FPelBCR+ilOyhXuKuuzwekuJckw
6fEW28sSGaMzjoH0zRJ6eLaAOOeJxwvoosN1unctlxfRAdfLZtSqWJ2QMTZzSeSIEoMHxh41b+NI
slS/VQqh8mfAFpbDlGDprysKKxpxEfBVT5z53tznAg6JWzbBJPbRlEW9w/5Wn+bAAsgAxyJ/pnUn
PglDnVwTDa6pmz6ekKHTuU9jAk6zcWKqLMjmg6wo4p6vrvjcjQA+vaYS5LuiDRfrJZVhwvo1aR9C
5IC5aKwXUAt5dFbwOIHIHqRi4e/JxbTlIF0FWh3hdlZzmjTi2DxKiLHbs2L0TXuAMNTfDUqoRTux
bGTc6X2HMoYgsJRN2SdRUQ53hCuv4vKCwe6xQjGV+o08t/K5DmOjvR2NUlZrB7EWbvN8IZrc1shx
aL4laSpN90IdJ8WW72aReWB3VfMDjlAc+Ajp4HDJfYB6sJ+FCYLNOC4ChI+EQqBDwHHCwB1l/lCD
nXBy6NybEBv8i9GwzTiYfJdwVyVqeiMiQWzcZVyWG2UelKfJ7JTIs5Ih80D2DdC0AIs9xxnEza4i
/wNxwvIZwZXRIH5UyXU/pEtzxmskvAZMt19Q6xr3BnhoiXxAs1tsBIPth4WP9SyqqJFdZOvNB9J7
OQD8hRGVTniX1P6iFRbU+HJJN6DBxc41h1XHngJPp/vQmeIGCHqYb6WRuC2kjYivQ1MZmInDrPUH
yI4oHjt91O1RLUsTkUxn1XtmWsTbGGZd3scSyye9EcLi0cJmutd26YiHvUjKZ+S+pHXmpO/Bk+cA
UruDrNWk6kqK8E4kQq85I4zRR2sum/tF0auZOM9JJA27UWRIIIlW+DIx7d0eu8CwNUNohLSZS77l
QWdmWzhoAYSlvtNfx9TEs8tUvX9CAARIIldR47pVMk+nXq2WG7QbRAD1EWJjO9T0SIDOADTLIyMH
MbYEi7F0sJuVH8z8Ie5BpaIFabUJmdOooVo309RsdAYYWOImE3slxD2YmDeKlNXN/ci7EjoSftZX
U5fEdxTmCoVVN8L2JTEJiLOkk866mcmYvhoNHHwOPkx1kw+F0pEC0oZ8ivgJGNHN0dOscf+uiTOt
8Nh9RebCU1NDBkobJhEh3KPzIix143ZtN5vbAYi8aAeWWrNzGxXTx26JhbeGuTIGHKG0JHeIxkj3
0lkpXjrZCKwTqTspamuVveNenAdVsHNyD66KsZck9N8mVDwxUYKtgf/jAwIjAZoFIobQUQqtetfX
bCs/7ROBHhHv6Cewi0ZwAzDIMHb1Qr2EtdIMnoa5L9hMGVQ3Nt35GsCGNm1qw2L6a5HsqtklU/NH
GR156xeBpXGCBd+U2mZaMKFIOkplO1kkLfIleDc5cQRjwCzDKuPz1ODjwTVdSq9tCCrHxt4qor5K
U30kFkIwXzM0QE+l2JmynY6lXDmBOikPyyjRIY4tCbzDgiz8VYAembl4NXHPTIiHZhjfEzYNvWmn
FxCfQeg3VtzchomxRC5nlqp3zNQqx00xmq3oVBXiMUj8MnFYaDGwJrRy1zuVGdR7vVXy2WukNTpA
pdR5i1kMb002ZWZgakAY12COoOeaIo1axAJTR8b1YrJcSqCPsayaqIH8Vl3EbjcInZE7vZmqz5k5
YDdI4ShOdgtHqfdacrqJisJbzMZd9eTlGancbqe0a+6R5iYi1OSsp8nYsmq6VrxU4mkM60Jw4yrl
U027LrolfARBFblA1Sppambk60QfeErDUN8n9GR4S7B5UaoCI8LrqydYt/TO0ojAjXWB+IZosUhr
yfuBcqpJw1OiICncdjgQGNYAP1CQa1bSLgaUSu1YpUjXo6CYnrNIJS8nyvNo2I6QIW4D+NDdHoms
xs6D7PRSoRxY1zy1ooEtR8p1XQGp34ijHupbQ0H67inJajaPpTZ+HCHjvTbymJgeQnbTcNUhNj6D
PKl0evNBFDkD+NrPgbXxjkhtay+OFcakqa2aCwSC9NLJoVKxmuDzBGKVS5vOajXRKS0jYIhV6nqF
g3huLiPMTPZ2o6/epjIq7wowaw9tU9HOHZqq2hplx003FWp2J9VMZk8GRMjEnVXLdJdcRYI9pXpx
U0yg6JxagQeFbluqH+GzVZC4JrHYl4K+EOnVS/SFCXAzLkKEQsQGR2c2gGfxa3rsSbwiNhxqUo22
hujorQxuTW3oSPFNQ0vEZE5nGhDCfjjIOQcjO8K5cQXaTcMigobKsBdURrMzGByBbSxaUQBcUmyZ
Pmg4Effo5BCiS9hd7qD1qOmG3JHiSsPu9NRQ2dH7B90Kcqi1KOTkmEReR1nqcWcQqPQYzIFAJVTm
+YmPs6Z/npid5siwym/0rp2B1RYNidBDlt915KfdyfJcPJDJlIPvH7vgAwdFzUQjnnsSkiZIEbWZ
NgLP2myezKAjZQ1DdXixlprBUlhn0NQoraf3IcqLk6pM61mDD3awscStqW7YmSl8w4nRVR5GJqsW
qXi7yow7Cn+tJDGi0gWl5mQ1yY8CBlfcppimQqrihDd/gCG60xLieJ2AQvVmYYVseCSGMvHh5Ad3
s9qzicCgCu15VuUagHhffUr8NGpJIMhvuFcGZliRAlIxCTgKTIaVI9pvl5GQgc7C9iHDnjNK8uvs
rF8EhLBTqzRku3Vi7MSTPj6HoVYttlXU2hVCSQWiejuWd4hQBRZn6NucL1BQNnYdsMPvQSuTgDmx
FD0MUOTfTKuopm1Gzst1MRAbd2CJzJ/bWcnLDbB08w4Er27awlT2L12jM8YQwlHB6TNpuUstEFxM
HgQmKHLJDi5CnrO7IJGo/HvNONJOoAXZmB1DYr47GGxjRS1tZDAWUGNcPuoqfxUJNq5Ai9gB8TMV
hZeqfubtUJR2LzXhvotMapWIOOfOKfjf0FPaCvQXKmAWVBFqPLBQ9BGlJy6ZZThtnsPwyHLRHF3Y
pAIzVYFDrD0Ycc7ok1gQBkyxJsbegi5iJclFRDa15rSqNDUj2gAlHQIsG5JyL6kly7NGRM0zsEtV
diUtqa7LAI6D3Qxdh6DIAC9my9QCh3qoRPYrchWgzo/Y4W56IgVyNDX9+DwoVnGPdw+iMbtXceqx
dNYnGoIWS0wjUn3Ui7QWuVKjLC6tXDJliz5d5cPxXJ8n/EIdAUMW8LYo73qmhwlaSvBwrfy+ir2e
R4BylyJNFtGb2fplu8uE6iPCsIne1cqW1xwQ9mSbucniLQEMRVAvjKKAgVpOPvVJi245WvWRHyDJ
eqm1ePio5J5UVYwkbEJN1gjwulsQhzQYVS0A0JJGKepCMjH1RJzL62JWVEKjh2W28HD3ZF4EHEuB
C5Juk/sct5MPfNED/uIkyjbYlUtS2oqQoEp6RIqTcYJI13ii5CMmBHEFHyLrt3NJXgieCNUUDUJL
9W7LyDWPSofiuu8zRJetaAhOTigbb42py6+ylAvHoZm65yEUY/iZDQsH8oOku607VFRAqMQIkKAs
JaKbalpGSs6MidrXuyp4oxDoCXIzxJnTqqDzOpIyJO1EbHjybagO5skwUuNO0ArhoTey+jUIsoU9
HH7kPal5nFeSoOzReTSBfjdRLkWOlYNVv8rBjSkba8DTSt85pS8xc+z4Jrdq9FRpYgVtUUbAQFBD
0G3DlJwYkKaLVK0nJIbJMCiWbscxlEKyAeHMfaTUF5tq7PL7lA86JzFO07Z4aNV6P6gW6kuxC7vD
GiTjRsAkDowd8DzJM6aOLWvnQnoA3g/BCeVKuR31FB8TaTCDas+FVt9CJcUalanKwuqh5Qkl8wKT
1zV6lYjKuQ4pNUHQNDeorKEDcSybS0pyVlxPwGBa2bkwaOGmxzR9rQqC/Gx1nTw6csWX0mUFZmZo
9j0NpIouybHP51Ig4I2YPrcHk066JYk0HBwamNrYHTnwvBZMsmS3X/JZtCeYB48QCcmtIhQKSPoo
iZFkj4qWXE+9qdWEi0rI+murI6OoznNrR6S6pbsNrrXehf43XDoD/rytdoP02lOJCo4JMwR5D17f
ck/apwSNxYrL1pYHIfX7adUJC/EMih5TVFcdCP9s+B2rwdlk/vA0QuREnRhDMNppjcFrKBQheoWd
ymUK+I7WoWmtUtg25bTS+i2dB0sdeq4wzpW5Ou8jXdsqwcJbC/K5IMK4wSTuy2nVXsUioXy7EZMp
2mEkfoSlgmqy7K6KZsFp63okkTruSstTQ80kocBSQjfk4yPDRa2ZL+stzwpRDvQJnkhLkgAnFxGa
oEmYOtOe8MPpDhJbgk0MQO4bAhx0HUcW/lWql0A2XTkfpwe+wQuT6ZauCEdFLdk2HJaQc+ZBY9mN
ViFVaLDNfcDxUPBiDfPMUtEt72qna3tZ0nHX1iRMP2mEHjw2idy8h0gPCTJTI6j/4jRqH/SHMwoP
NYwbl14LlGFjlPtvozEBtqQkr5+tQpeuza4iXRDcrfnA/lQatprynG6GYShvmGKIxpXZqNUDaKWg
s1uxts6ZUaRPdC4CENECTiqvrVvcfO2KrbdrY93hhclEnqPUUiPYGkkzaAE4R7wvqPgZtEcMKluy
FxGQT+QUo0cVw8ofzFB9UxIxuCNitEGiYiBlvVpMqOM+pp35xVBmCKcSli6aCc2gjNu0SbP4jOK/
R420RFixFaM15G3c1QzK9ZUk241KVWjuEhQJEyy+v2d5kflG9BBvPwsSVwYUlwr1woS5EyVQGaF6
hhQ15A9CmpQPc820xo6XbrpHCaJGRBoZ1AedxnFzOxiQCfgSaRpejympjsDtWc7VcbBYFQZmCHT2
KgCzulbL1Dr0N4+9Co+T/TmqgORoMb9FsKLixuyNyUL9oOc9uoaAeOQskGkb8CWEJxdr5eBMlW4+
irmFVwTuE5t3X4YDFy6TmWq9RTU6L6apbknUw7nXaFH4aAm0bwhgKGVCNKOSploLXf8b04RGcjNW
A1K6mgpzY1FmyXMM1IVSsk0AKEqTRIhtKS8pIUXZMjyZeaGHPpbzgkpbpLlkhzlSezubCqzgWlBX
j7A+SgCAonSXFGYXeHofjXyYNKhgBrT1AyvmcJIHQ+s4s2cFMloW6E8la9M3GVIIGz5wnHAz5xxw
PJU0iCeyQfFe9NgRML6PcX+l1ST1kBCK3N/Dxb8QJlhqMX8fY0m0iKIaBDuNJi/9rLwUyFKb0wof
gKCET4pS1GcrE4A4c/gPSEAr0ONG0pScrYnEZRpzhbwNlXSwfFUa8pOQznlL/qIUwGpVA/PBSEaQ
lU2r1KYDEZdzpthlsumXetBGhJlJK/TC6GfT5/wUHCORIbijhRgv90lelU8BjdQai5QcfYoWAnEf
R2sEyJVQtnuVqSofWqIJL0GnIVdaeBNKv6K5F3rGmGFbUkqrOFPime+jpQyY8El5eBR18KpuNUjp
QzyUpMIhJGQi1E5DbjhkvBgPw5TW7PqsD5OfKVL6zji5lRxmKEnxuqYcUhW3RvBs0PtD9hWLSv02
VCra8K4G+GCzRlrhuRw0MdtBohw/FK3vvkk18ZBAvKOmJ/yMiYvdCiNhUmWUSdeqAq2auKkRLZ4G
t2Zy69qCQyzTmbhqWCHQQtb9vDXUXumOeFjaRxHi8+ioFCo7BZtcx7LRqO8AeMAP1HVAT1bQzeIx
EcFCuMF/UXcey5Fj2Zb9l54jDcCFbLOeQLik0yk9SE5glNDqQuPr3/LM6u580faquobPrKwGVRlJ
hjvEufvsvba6OOfMaswHjKr6pwryDM2I9MhH0tWchuBYp86WRFyPjKHZzU9bWSU+unVRTjOvCuGZ
ndB3LKyL5gDJ0gHVMLQ4YJuGObRHlv123VXhyTQo5Y0CxSjyy64wQdn0a/4RTzKbuZPqCuUeYEfv
1aAysKC6KUbUKRM8YBdzsUefymjCuZzNnCslH0TMrhaWfVAguH9lJgkPnqDsBXheAskMS2g92gbg
sln5FXJ4y1AbaelxQSPT6a+001doDFwmnMoAgMJS5f4F0tufYdgsbzORSI5zginXYwiFzoFC37Vb
QkRMqJq6yKeEgPy3Xq3UiGZNN99SSYt9X6W5CzZSegVNt7miPYiEViysamuHeW9JRmSNmMsCsk2U
juHIqnLxFg7T2Z4NmnmeRD92HEfFiKIxoR6GlnRQAQSyjB4yNTRYe3XemPwqyRT7wHTdp6ks48gH
j39tL2RatI6NJVP8wy7FWvu+c8xbMpTqnXa9qhmueNUGbd9oI1MH2Bl2RSWOY8iv5s00Fz3rICAt
yplcOGY5/CMRZUH5wr1cyFonew3yhs2YVCJnmySsIDcu0CMeTBUYlrChUAC8LNAk9lROLbNtlKFb
3NCEgiDY67wYTznap4IBE+xJUFpj9Qq/TVH8xs2pioo4UN4ziSh1yKDJ3GUTX3kmY2ZeAS1mdD00
W3ZKBDynzKZbV2orJvz/U4gCYiHeJou2EoCKXUoVWgwyYTG3URmsOQIAYHqTkuXKnqxvjTMZR+qI
/nZfKVliecOEquXT1Oz+uC6I4m1PfR8bzlra+wgoeLWn39c6aXWq65QxwTX2VLxeHdyDURTbiu2G
DEY3Go+clKwB3q2unJFHgPGnMKJjX6oCM6ZLEunbWGXZBSnbvmtqnaPzpks63KCALiX0lTrL4PtI
uTxx25ZKCNKFt/Gw8lAg/qBG57QQxq1ai/pjTB1l9WdkGbpzM8pHPGC9+K9hJ+EN1YrMov+HWw4N
nqQo8J2oURYebkv0YBaRK7dum+TXxzfyuWfHgrOpygF2xxg82xtOwgg1I+lk5cD8a5PKG1M1eVLR
rPvPVGUOA1604EdVyshRkHD4qfm5bgCBbZny2RjWCJvlkSA/i02izQ68KL3ADd0snMc2ALi4L9vG
+MXLstd3oml50VappXYbFvVFthN1MZw1y2TRoWlk+x4Ad+DPr3lsWV4c2+ML236E4pUNF65IvXA0
eMEZkNig4PVsbFKTdqxwrQexYc6fNd9SCzyFTaX0DxiS0reuTlOU1wJF1oN9P2FTThlTB9pBH8ve
dU+4WZb4ZMRG01zn2ETZQHlPyAVqlUUhbVtRlQDxj8O5MNchD2bObrSsZi614CWfHfMI/Mt5J5KS
qBHInPJV4yHP0QJesIqCP1qvshmHguUA3X7+qNdID5R4UNbATy5e3VFRAad3yA1NrmY/bCfylznF
MgcdrRg+XXNo5BfHF3xWm0SF0fxa87AqW8ZWtjpvDqJr+UNMjLXWWhgUllnFrDW+S8vockD9qodQ
EiNH9bCrgp5uF6+AZ88NzwdRsCf0iFQ6409bJgmPtk4irQpaAaMnlg1Jz1lqku+TYfP0UODmxZ4O
x9nYTgkBZo8zJuVVrRth7y6wC+xiBbIsWrGbOqEqsSWFgMWMx4qSTTStVRn2s2uDRKPaubisPDXb
MGP/3hyL3uK57q5am/pUB4r1cUk1QZotcXj5Zq2asytyKFZClbea5FBLtoxBz/CToM7CYAukwj+0
yYtBKPtmMt07hyGvhJfRUaaI9gUfb4fuMl490jGj1bvrUot0aWJad/a1lTR0b3CY54Nqbb3h2B45
ICjaDO6QanNrXIVoKpnIzUZoquNaonXJroKr1NgDyKZEWLxUzKpW1o0GZS3xkTKs6TBNA4WfY5m7
G4LfSsQmyOjB5ucWh4W5T7prqsmta53t3zrs+a+KTTFEeVuSF0AM4YNbCFF5tI7U14c03LCDA04v
uzK7ek4ygPURxSvWAV5Dbc5Xz0uK9uop4iyosA/EeT83hk8Jt4kDeertUOnbAQWxgv1NNQhqIlKt
qpNS6LR+oScaqZ58zMx21KykMx0VEwS3P7k91ei0vmTuQWN9fVqXHixdZhfapmrBZvkW1GJ3q9P4
oNNPMsQ6j0ca+Tg/Zgjsg9QJ4qgmrbiI0fX63MQ55fQJ8Hh6rbTWlcjKXJfzvs0L67O2a/dTa/sJ
LjRuBJozRluprRNnBhB2Pa4EzNWNahOLR8Wnbiefi+bHqYhO52A8SvphEPn3I4ooTLkZ1T/s6eU9
Iy2BdkA/Ae+pKehxMXyeYqguC8fWGhl87ShAVeJUvSeMm5t74nu9seVdrlobGpqKMpw1B1m/H0x2
tkZKPvVGiwUj/IqupW4FO8PkPMvUcENwAm3zovNKrO6E4raKTw3UXPpIFqh8IrXavxxf/5Yn+ZR+
ypoiwv53x/Hn/D//ry35v12ozcJJ9l97k0/vxRWd+1fObf/1v/6Hdv3n/3Ima8YfJvZjKk6IoAE5
uTJy/3Im8/9cY70mCVsMrZpwcND9I9MmrD/ImgkVPghJM1y2+LH+4UwW5h+OamEp1di02eSBnX/H
mfxnOu4/Obt03EEMNwYcqWu+/uqB/ruFU53iUolzur9MrAOskIAWGcFgRj4a4X3VjH66vLPbudOK
9zW5c4ZnehkoJvOsJbkH57cVGS2f2Q3HkLDrHtmpeTUdAuoFj+Xu2meblloYQ3mWrMaidedo96ve
+5b5sjYnJAAqO0BANE+kh3tSTONRaT7rJHCZTpZd/GzN92qxtSU++KAc4fPP1Z5aUlZ/HH5x/dRR
UNe7tS225H2sKPaLhFpt/ie7oNQi3TslOCp2nCoB3FR+F2UWSBLtanfHA4DX2LdR31mMY2krHylL
CfLmZ4X0GLkvVzOaVrYfWrSce3XZK+y5DVyLJPOkKU65Wm7Ys6MovTj5BzZyn14Q3yZWpAw62oYV
aJFPmV8oF4Gd41NvkB9MQJL6NhnfZ1FfTCcO52jamAuF0hB/KKK/uDBLtSbelHVyjFuiQGzfOerv
lXrkQ+w3kzZu6liEvUJiz252SMiBNv/ME4pQ4jX2/ZK+Ge1+RAQ3aswux4SKZSDfnppLf5G3aLS+
cGMOuXS/Rp/MKyUSsKnvCvVbWz+d9Ulx3zVr8HspQq0c/GT5MFd09jhlHZU8DU5Ct9TOlDhi8nyr
dhzq7Rc1XfcLle5DM4UKG/bB7E/RSF2Mto3qJKTamPkocKvCR/3e0lV6nq8xIGwrejdvcqHhVhBb
7GI+A27IyBIyI9xSUuZBLtN0lh7FBHkBAVGhjsZpw6R9rwpkloxLJzV89TiNySFNui2gCb8beEXS
VNFccXr1I7utOfui4dNvGZYZ0gOj38+8r6R8A9IV6DUtISbJXxI+6OJ8v4IVANe3WdDhHfu8IDDu
6Byxur3VbZVaDeYr6Hayb6xyPDLbelVkEJdKt6tzbjjeCjuMU8LGenGIrcs4vjYrOjGsli662jL8
ijvh+hNj800bhqsXwy+r1/waxOF9oIp9ln5C3w0bKj9HweGcu81pBNu+NRjZja5oWHS84IJiYmzF
xkjXHbBEjA0Tvz3uPW0OUortKvFZ5umuAhvrzdUSwIpDiFk2LeqkNc0BZBy/sO8syV9cvRm1xyaf
z2UU/O1JePeXR/TvcQFb/806+ucDBleBDnFZZdF1tbL+zSNOkkB3E0gPzNA/KX6trny+2hCniGax
KVj1u5jNsatowSrxOVLHsNjIJGMSNuu8UaJpi9ttM1sokExpY8x0btxd8RnAnfljgFO1j2p+wGpK
8Wn/nUCYT/kzGv1zbuUZSxGo9WaiKFhe8bbjkdratd3U13UKjW2Lo6EHch4Ub9hgdMHySL24HBN1
7mYcZP6INDBj5FlvLOMrQQvIoD5aHeiyGuTYPkveOZVTO+KN+VaZnopr+ypqGI52js3nLnkoCfDj
BfnnH6p2NTL/3Y/7+4f6myV+sAHD1Maf54tntc/v2FYEScM+AdWnrN4W2iIr9QXQ6Uq14yLDpS3/
xfdKdvr//RWgUUAHZikIzem3uEk1gvmnGWagadkOGUA9nKZISXF3VyQQTj5W4ZWdjwMwNK9dLb6p
PxjWvlJeWnsPHT6vWZiw2ryo6Q13vbLsZ/MYO9uCwvYrZt3aNerAw/RfGKd/c2rrfHDMRCrX4vU3
d/TfnPAaV0yq0cjA4v9j6AtM05YPHX5hxv/nX9H1X/TbN8QPQjUQ8PgN7ffQwhAPxaDSr+1xl9EM
iRRUxsDvtqmzi/8VyAs+2+8/jToTok/XYIxlmJrOkPH3m2xy1FmBSYOvmZLqynqwI9wn3bSLS4DJ
1hhUBsBaFxNkJl6mpuD9K9hO7vM6NEsV19CpQOmmcLXy8iV7xu0DYbrYxGx5lwIVkwrLmPd8QtWz
p5a7omL7HpfBJC64rHkG91+KBEvUQG4v2n0Kclq9Ps3ZCDXx7dR9aka67c3ljorOzplOYHcP89lQ
71tnCAVJ1XgBI6l5NnXNrvWzmBR6C9qguTEVG5NURmB1aWj4dCHDN2/0V+xrdb5BV/IMjUfJBFlU
Fjs9vrDI5xnb7hsZB0qi7CDEZOtPqTChdweZbJ3O9rkqqPRj3TDeoq7pLKbiUg9SsDQpL0SnlfQp
PqGmwrvE2bazAQeLhad6swFR5l0FGjoDPJvNq9xMzS/FvFxfw7bMtyYZWsNisUJbHT1bbiLZ+Dw2
9uKnbGcX9TTNBHmXL029yZ02AP/rJcrTknHuLL4WpzyoJQ3d5mEZRi93fxzty+YjEGqIjZMO3vch
x0dkn23tISvPY78b1H3eP4y8Oaxx5av/FePQVzkL8AYo61/94BIHMH0VBWxQGr/TbyYtQMSgyRg1
FdJ24UAZBcW2iiXgGOpTOompG0nNIaA2B1098/RcoOmg/RIJxaEhsUL1K3hk/PT9Wj45Rb9NYof3
J+KgMULptY3dFXDbQSrN6t3CX17QMstaxFvBgsXZp46vWS2040q4E5Mx/LNEbuNC91kjbe3lk/M6
ZX1jKLhPap3nPe8+joxmfFNQ0YwIGHK4puSAzmYrdKWxz7AyuPKS2+thsg56t60Ebj3TqzDYRdZF
i+JwHNqdbd31Axvl1d5dX6kC/0k5ZwGQ461SyZ2K+lAUlu9at2b6RYfV/ZwDTQb7nfVbLr0NR/xS
f6EsFuMMfwz2mcDZyBrSH83jCMUG4zP9we4eZcibHMsD4Yepik02YmfVPbDYeizE82iOJ4Enz7At
7KXbKH6GKInNR+Bwo8oPQdIhcY/bv4we2IFsHeUO+i+ey/t2+JyIP5gSeyYqo6EexoWRAEbxZG+w
6B066CYKU6xe/gyTxTxihU6tP3AsDYtm2mtId3rzU6s7q39o5OgRzpm4tyLBTtkgh507wLVf0pGg
Bd7UgtAq2sA+ce8Y/ybnewXBjUzr0+dsr7witUvrUDWmBea6E0xc1Ajh9XJ5UStPZvprmJ9g4+wp
t8baljzm8MdXtGoN2J/UzxGVgXYjd0P3qdR8X8bLNBh+QjfuMk0HMKWP15FygsMOjJUavtGjA2OT
NJ9VB5K/2enMmkt+Nix10w+vapo8s/EIVnyKVhuHzHeiAxVz6twwdi4jO5eVpWUa/2ADwJ26+Gpq
o+f4DtWqDN0LA+kCmaxG8hCl5U+olHF2V+TcL0B2xPKwMo46wy9bP2HO9brxV6RZFINxXWqG3xtr
iNHJr5w5WHS8mIdOCRs8fdc1fFLvK1gAEQVdQr/TdnkyBAZw2OTSKskhBhuK7nYhCBJOUeE7qUnb
eewPWnG27Ti02gU5c92i06Pw4P5byPoPRlCiO4FB9uZiYUPQnVvN8WNr3mUsGQprLyRzy1V8sriN
wTjIZQNzfM+3xUL0MmTPWvUDfZQZmqIRbKHkY/fRwuyUXTpbRdckbfdYzF8mxx5o0rsZIjKfgqJY
W6C/h6TEVB2hJibyXuke2pykBUXOlU0BujQoSdylBFHJDHrxQOqgWkiJ4EOrHnk1dBpFiX3xpE7H
RHKVFvvRObbKO87sP3+VHlS/BtRwKug4xuRGR7sl+U1ryVjVAUP/nCaTvAu3LU0GgquVkPUyY/rg
x7UmHSKDsUmYamMNGjrvIUphYXYX6C6mp9u/zOWxpH6GBiR/zetD5nxp2Mx55A2RduRATm8tDAcg
Hq1vfzjrYXR3k0HA3DwZun6M+udc3aGJotht85Go0Os08Nrsb1q67Bsbu5xxvtqIdD+f7nGBpOMu
VrdNdDD6GzE/4oZoI0iJOn+DG7CurNfp9FbdXQceo1O+u/kl4uzF7OOamElzilr1Ix0UXgZ8un1b
q0tz/TllAQUte1MgcI9m+0YqzY/w9GSXtu4CbC88XvRNNz9JG+ztwkGCi9bFNgxB38OP5A8z4N8l
QCEExR77S2OD+s39fsJJz5ZFjvWbk+5yonRgpY/9lIVU3RicYfMwVucnrUa3vB1plbPfNL14ZjPu
Gxp1JoyB17L7OlgSDGoz1ylwHByWK3thOleD9W0eqeldN+xQIw5ESboXw+opUeg4nTfIIAIgvagw
YGwe4LhSF+xhLm3kFfUxxFo0NuoGb20uVUq8PTJcBYI93DuEZ8/F9gatd9OiGNJTGCS0x/AwNWlF
7cVu1J5X17jXazOk1IKbJd/mctzMDrXwrvKr5VE/1eOGtQNOvMe5uxmGFgs2JQNRc6MVj5gRoBVO
njORb7BfONzfCgedpH2O5m9FWW7xQO9hO/s62+qly39QzD12YhzY9hWNlnXNF/OqIKei/ocVMH9C
yj4boJNb0gE38yDOB3zhHOef2Nn5ZWkiL+DfEJxXuKwba/QkzQDXv7+zcD5KEBFJcVlo+3WLCanK
nmDw8zS5vuTyAxxF2heukYUohKEaWqqn0HZBXtmndKfk8wHvGEou9qzkOcKnK/gbgmHm5V6ddL0J
rSQBsEc5+ggrZuR93tBZ5pZBpe6SMjv0qkGGaQEPk4ZLwSRX07TNy7f2KbhjOIHDgGGhVOdbhXs5
QVfpox96VIBEF7ukigLTxvR3aCwJfprG45y/C6EjYyVqogTkvbj0zS2wP8+pTW8t1xv8bVwq2feo
mv440nVYNlsJscboig1myNvkOqWI7pyl87NosF4bO20pN0uHwxv7iKU27FvqAK8ph/aaZcFljrCa
d1loRVyphHdAWFsZm9f86s0vT01/LinYHUoZsoiEbVO961mLsxEyGK3EXplca0UYJIavjkfmaBUH
Mir7GC+GY0wcV6U/t3frkoZdmW0ya927DKJsO5wG34BVfgk7Qe4v/LbSEF3eQM1v9Lnzcr7HujAD
FifeAtE/15k++Ywcs8TSveFh3KtHUh0BviYvVtKNYbHwfBx6wx9jXn/VC1ezwaYOHqhR0lVMzVFO
RBvKIsaStw6/QqKUO2PhqFyvdOtcpL5uINCHuGbX6plDgd50GxUXFG0/PMM2snmPYeZVULFX5SWW
+WEwNDi5L7HzUuaMlNMIn+0kZppm3K4448e9nWDtrH27TfVpiwhHsOQwMjrR9vzw52Hr31KekQD5
zz+Vnf//xOn/TswMm1P5f61LP37Lj/Q/CdP69Q/8JUzr4g8VIRk+AQWBLgI0Ae1/CNPOHw6YWodg
OmF7jkP/R5c2rD80TrW2zSnaugJrEXP+NzFD/wNUhmGARQXExuna+nd0aWLT1yPr3w/QdIfZAgiH
Ybs4I9Q/u+f+phul4KBdO5YtuclsRN3LlRAztHlQ7Lh+F7U2/NLhrHqAThNolPObwHToJ3ovzw6p
xxtSSMYHtif4X1nq7CmRSX4lGZBWc1iNmzXL0hLVx7ZfWFF326YggXkEGlzduVhviAF36c/EZuqe
Gcvcu2uv3GITkA9KN7W3eK8mL2fRdqeyQ+c4OzSXblWQ9qYkCydzwJqC3SXM+7QLpasrz1nfGsEV
t73veSDREkAPKO/Eub3HQGY8GiQptgJH20dtcySzk3TaC7FCuG/K/p6m5fU4Yy3csbPTb1Ya3cIa
EO6GdBf0q2466aZ6F+sI7bP9UGgRxSe69hgRlfdhfAom2xmUOjGnd9ehY0KtAcJxwGF8RbNhm/YV
TSW/ewyfrSDQU9gHWdrtFqcWnTUoa4QrDroozlb8PC31g2IWkp4Bc7ob6HXZoDvGELriafpVyXG5
qSqH1KIY+m9nagxi0AWpu1W/+tWJeqjLtHxoWaI+GgMDqbIYT3TqTK955PLs58G/nbSY5gNxi+nL
3K6arO6jsmbjR7jqearUhefmQBamVsanGF8dR9ImRl1EJD4k7WT59K0Ol17MsIGmhKxSbLTu2R2S
z6FFWMxAO5fYLHirlzCvHSaWyu6jzyEZk23Ziv5eCAyn6MsKQ9vAi6MxzqYSGSjF/Z3d9cRHGQKS
VsDz0zlcz7Q4UHU8E/qbzGS4bYf5Ejcck+ksgrk1fNgifTCZQXmD5CcWAM3BWTLV78s12Qgjq7Gm
rcd+nJmBcU6WrLMb+ZEAK2Z2jik3KsfnUb8STrp4SG6UtsM82bcNv0SnSWhIFV4MO3f2DubOy2Bn
+VEj6HGMqIxH2mCFST1NyxqnFBsV3whKDv1faRVO7ZfeUnyKpWfyhE6Zkd0eIrJIftyJLmxnvMoS
iZYQJh9vEkWHekjCmSKkk3SZG1OXM6/VObSPC9a/MQ5SbVKMTd0aEQi4xHaCUdOGOxzgnmHRKuZU
ro8esE1V8DTmUow+aHFMlaC/jHFTMHYKlrrEZ4HatfXMKT1tD/rofkvJCgQuuW9n/ZF4wuzNAgZo
TKXMKRmZ/KUZ43W3OOdP2XHUMUusg8kNJxIOVUZ+FE2qHUasKmQx1I0ptc7vRSX2aSPEbVdTUTw6
xv2sICjldktiUz7b41SfNce8r3RiKDiYEN1HJrJO46xn28r73ICeoxEye5AqpJuMuujAppdDN0hZ
zKx1oUxZC+Yb8hVsuAz5vvaGdZSJY2zzhUDISFgk76P4DEVl9kiqvOq4h0BpaRzQLGGAUG+Hx0E3
T72j8FklCp1T1cEmqURXzA9D214aSXqy4tm45NWqM+Oce1DLgbNcw9OOkQRimj4phMdB0KriYtIS
FeDWTI9sg8ExsvvpDeUF75C6oYt1DVSZPEWrDKw+rbfVAnBS424KcLrbN9RPNReD9A2yjvwskuwe
rMhA44bhJa5xUgSK49JfaltHnIk5AeDbeITh/FUt9rs9tMCsi+bWTrFUWkWBHFpHu6RIswPgVoNL
3ZJ7pchHDsVledIdQQ+cTVeTDhtiE5Hi/BSjK29SoOQejrL1R2Z1zo6D1VBdWDHth3a3xTbM467D
+I1OT4Nfo+EwwpVWbLpsBllIX16IxQE1C5fdVlJ3T79mZpL/cHkasuECn29Pu5Scho+2jVOOIox1
QtOzsJRtYhoIcZvrznERcj3in0keFtvW39LaMLFbJ712CwdDnrsoPRhxfh/pbQMevXBT/ux6KiDR
Rq5TsTLSrOTLUnJrp40uM5SZLre27OS3m5fm98zXdshX914bMwOJYpo/zIyg59LkLc7hCER2sdpB
ge0wbuO9w6soHFtT20snLh5LO/3qew5KRt2KAKp/danhTz40ellcuoWua505NJEqGORYr+5ZLmo0
b2Suzpy4Wi/KbI5edcWRN/PbYlfPUWnUCEUrzWE8Bm7HNv/EeAXnLOXo2io2K5aEGhXu7VZ/b5K0
a/xB0btL6tDaw1/1GjJPRSw2OMiI3OlV2z5Uq4UXo5sKxdl2i2LsHWVWXsXYVDeMH7nDJraynwxV
cUAeVs3wapOu2LmkvO96hQJh183rG72ulaAzMtwUOtotuMx4lBwSunjytUjqz3jLp7sx1XkMpKQ1
PwbVIbIdgTDewaJpLmCmzCcD42cDpD1ZY8CVFbwSWiuV93ZIh4dR1+WjIpzqQW+S7pFRhAr7qbL8
wuL02eGR9CKNFSOWdOifrjmfLdNeT5iqhkOSFw1Q9TV/rg3tggeVS2wo66PbzOKQrnJ+5/PAy7Fa
bf29rAA22iUZfmL+IZZ1aSee7WWOUelinScknAfC1VJQ9sB2y70mXKvxQR/MEImXFjtXTYM4ch+z
DK9vpt5SlPWg5DZv4pq1Iwf4zUAFlLUU0U8qJwuSgkKV5wKW78txqkAhJtYbY4BH7UPVOZLYQO2T
FHxn7rIBT4s6unFymm/JZO3xX787o0LVY8mDAmuq0nxcx8WjqAf3roy7nqXrGrEGSxDeIrLHQJSU
YIlZCHD5YhMftq7NPYpnPNDdftwqa2w+G9owBYwR4qQWPI5V/Jabq6KEU2JFEbG7+zHTrGfJ7UQ4
lRrZx4ztC1gPw71L4qp7TyVB+3TgNRPRoxMOa24Rys+cfWISu00F01/cN3LTu1g1Lbv7WAp7xQY6
gDp0S7ll42R8mdS2hcxeHW9QrK2DZEjrWu1o1mvxSOqairKISLqc0WPqddjSHPxhZ2wNRT8EsjOr
2xpRmhKTlqc69aevuHJ36kLFH/elqVQ3sVNv9YhajNStILHqhnpJ+Y4BXS46kE2lqL7HjJhRuWLz
WvUm3pLcnwC1Fln81Xb5u6048qzjq8ia2bwRWOYezIY9CU0zyZ0mVP21leN4rCjTfI6tQpynoe92
VrFU4HtwKjYTunVb9NnnWLlROBLj9tZciGcoDDWjQNU6P6IsUM10swX32zDOwmcJTKP0EwqMcms8
L/FBzQdcr+XWnIB86IaFgcFKw0xJiru4lslhrXW5mztiN9AF4jMdv0MZpitnVxvjdqDFhBpN3rD7
Sk/vh5WkjCkS93ZaaSNuIW1hEaDg4hkSXQexoOwGlcoRCF08xlMBfIaAVkbHpomqpGRv05LvhNKH
thY9usVN6sDCoBjL4q7o13Y7kOhmqY9gs8+KUfvJja7bNWVypB2yP8g4Fcch4d8tFzTUPFnKvZTN
sF8HW//VOhqnbgZhnOB4KGmYTS2WJGVL6Rb8uTQc2D7BGDfcDrqUGVG93OUZ430Wu6GeRqhQxtx3
obEaIvLs0c65Sw2F4UxfYuy+1+s8rZfmTc6wYBuzR4Gs6pepLwyujyWdyoALH7lGJf7HFKURgVES
LdC7KjqW3GgUIubSUDl5JCKUM42wuHgoscNO6Co03yq0EiiIyRj2lsrxMtcUu6bD3ka0YCYc1qzD
r0nSHckWIoXSYskFUHI6qE8VERBoWt11J7Bm+N9xv6oRH5zqXLS+y7FlXDMTjbCfaEIkIwYeIn+Y
M1Fu0f3R0Cuc0epiwMJYyBnzzZe6PzaO8JslxWvY1fnyVEz02VmCnRbP/3iToZ4A16CzeCWteY5Y
fm1gpEiUFzLknpLl9Y+udOt7XuPk72Nr2sx1+zR2tYyx67EdWSsGDaNnmtMzjfVr1IpbJdmZ62Ld
lCbvJJHL8taQgzxkVVM86RwDeDBxqOMFQuOc4BeYKNZAjuEawMlMLH1kNVQTotg0jW3eUK3x2gjV
pJSyV3LfHVITytW47ocy4pFXqVZ1XoZU313bznArxS7qTsaoQlnxQePlfGh7a90Sd1EDsljKcVIc
DC2A/DZD56hHwtBKSNpM0IWWtFTwGAo+mqs3srGpKu6WxtxnDc01g9O5vEG0JWjsctnxP/FCVSWH
lm035dovaxrXPODA+kA2DLYuSSMS57hnMTv3fQl0qW9ZB+uck0uKA0hE0RXMY91YzgRYhJ+QKfEs
uELH0Qqa7hGs1sMkjYPTZdSOWNodB4a3wf0SM4pY1m3HYSKEWKbMuCSaU3V6qDnxkRyd3IObCNub
IyPdc32gNfdT/8Iv+hqNlQkDo/6lTKnrEbHv363c+J6yBD2RGBoeaqxY6wYj22luZ4XtLQvAzk5+
hHkFOqpk+qDocWBwRypos/LX7DT2zWwMF7dT9JBkIrDcMjrhnBlR5YfyVgoEZS0unN26zERWOBeb
J7vnWbVEJpxBRX1u6GzHgMTVYjEtBupsR8HCdDlXFX5kpl4YaBSzD9WWysrq2OqFL2S+mdfKfJRr
qeBdqVnbaObrGCXOCw/CfDel+VulVthVgUkkhk8hhXJRq2UNG2TpLV99HUR6Z+76KH+aKF6Fdp0B
8s3cnrMCB3pPZ0J6qKMI2Y+iS/KRE5yrbd3EURa2Kg45MGQR3jMr2/IHaRBz58c0Wz8XJ+6DRCEi
B0+Zvs6xie5oqeS809oXQSUvoHUzyvaGmw0fGUWq7LV60EjcOqFo5g0wB7jD+qyQDB7dB90dORXJ
yDm1HIycoT+leVmcTVQbCJCptWmXwSJsbISmKem/w4kazOTifdEtJ9qGCrYbDJhtf+u27mdGFxvD
D0uysuhCnAxHkYKBya0WaLfTPpNIepTX/Y/e4nRNtO61761px6GS69Xk62hdYpUtRodda8TQlTNe
SFN8S9WMgeK4rGdtLt5WQ6XeRow2ZVgcQDm8sAYpYSS06a2uoOjSokhKn3+H7qRbGnaxSyz4ghFX
9BC7wza1tKAxFwYeVSMo3PPTx057T3sgmwCo3jLib2E1pcT+4Rc04xBhh4iqkG8PCVkpkOXHEpaz
02KSLNZ7+rUfW63dYyK/llsvLrt5skWtoUF9j40b3rdsDaPHXP+gKWjcQglZ2OnI9GOmCN5D5joU
7F/sbjz2jOut9h/UncmS3My1pF+oIcMQEQC2Oc9VxZq5gdVAYp4CM57+fpDUZr/Y1lLf3t2NTDKK
rKzMBBDHj/vn9MQPmocx7NVHnhXNHR6U6pS7JTIFeb6wG8SZyMx8dIPiYC92SSmCXa/be8IGROr1
Kh/86UCPE5idQa20ZXHDCYviGKH3retW9nu+bvIBMFe8z4KApeLAAkAlzetAWgByOpmrIvbeYPRg
qyuTfRp0pO7S4JpyHj9UAaW/04w528mb5wFJ3NHJpcz1d+VhPcVOzqTK77WngH0+FU395liFfsgb
9wm/PQvQDO4Ed5h2j6Gvv2XoBSTxjEMn6ubIiL5wR/BiBIJWxUyEiqYo1bLzaqdtl9sPvo5d7qWG
9cn49qlcUiP2kNvHKoMpZzfzBnZfsAQnybwk/TZPK66nkBpmolMjHlEpMaD64Nt5PBMXBTiu+C8l
0QhQI+HdEpPBXQm+WpOuSalr3iTsp68V7ImNdJLnMXBuJhCfg6cxIqQ1Eo/fa0Z6mnc3ZFojsi+A
vsgZtvIjdGDOpVHxWNkjDlwc5+S79SotWNaEGClXcYUxDUPPMdYkOmoas0mfEIZsLOOHrepTWPuM
myDU1qVDT1uGogdXLCZaxumVYMlBlXg7QmkusRF1J3LvSrUkr2jaJC3+udRMz8CyXsE4JAdDmfFO
SR1fLI/UpOi2A3eUmx1AxVy+JwVmCL7lUR74expdHzh4mCRMfUgKTke7O+QgrvTTOOHc7UsGzI4L
dMUR8HfEoewX+6wvEEd05ZDqxMXoaXZ6MD9K05vu6tohys/FyXkq3tcdMJ/Ib39IFolq7po1t+wW
n91IFVH2RnF5faSEG5975JGzsi6mUT2oQrEoMtRvD4OyiIN9Ws3veuA4EWOc9SDU0IqMYLFi5tH4
7cVbK+3wp+9jWHDngMh4dqn66MvlobjqoKVyjEusNyvnje8RC1QGx93q+wfc9mebqkBRQWrSqcRK
Ozrss+J1FY3ZJnSL4kmkebQfxXhuwobNtz0Nu3lyPohlnEhxXwAbuwsZxBljDMuw/IzlGyh6xMq2
2lqafq6VxApwlh3NxprV2XmO1MPY83H5g96SduXolOf7oJ3nbeQCOaIQOGTkpP8g2MUqf4qVf8Tg
ZXMbYu4jPkNh19hi+ljZ/uQ8Q2v5DZLXuhB7EyCepbMzIqVZiEKm9ZqfZt2/GaLd+OECrtX1NwXw
/a5q2mzdMQtu7TnJ2fdVGM7EUHzynCXZItP14Dj6kMJBGme3grY2Fhtd/9LC3hKZvyFCA3PKvjpW
4HaCgbJVtKHhznag74fJNR6i+WLVtnyaQ27uhhB8W8QrzasfJVm5g99fu3zuDnUVfqVlPmN6xCQ2
TM246ZKRlLoTcGyh/8ztL1aMaZgoPFM0LSkpWc65olcsV9cI7ogfpTPvHtFknyr7nS2V+U5HKFgm
Ku7psmqwu+QgBX415RZc0qoe78nibwdL7+309zS/dOZ7X+IpWxyZaQYCy0l/Ec3eeVXGARLe5r2a
G8yHqUkqqs0pCcii1ybJjGNI1oPv4wU6gfVkGmJegVfIvqPOVuzNgBK6tp4fkDNp4TZaWFKmxsZQ
GdBYHTO4DFxZVN0/uklwa7Ft7XtSjJj7wmpNoPR5CDihy+gchfiEZWcYgI0xsbMyeLNFThQQu005
G9FZpEl25e3HgdvJQ9AJXmgZFU/aH7lTYdN+64w36dMIM41bnbkK33JOLcFSeTsJSz8KLLqbwbNP
oTUfU67EPUeSL2XE2yANz6a2iY333yxhb5Rj4u9tm2+fPYxd1uzbqaE0yhArKFvUiv6+HKaZ46ut
sfDuEqKDwozmk5qxXgVkFndAbvYdBe3nCM4RprJKvE4clDBVAZQUQz5gqwK3Tp/ITHdf6R3GoKl2
jFMZB+2qebB7mLkxGwMwMlmBeqtaHt2e+NXIbD2hrljj+OW4vBwXrup7ysXOAJKs5+FxCuVBxXwJ
iQVl4CTTo0VXeMsTl3jYKnbfqxSTouZvdqo7hZjtrjOboh2R8C3BLBBs7pp0gbCQxYlYM9/l3X0H
C43emUfdJTMsjzD/Cbj8nAQG2tfwo2sljQbBwFNZN8+LtSieODdrXdMXQRnaaexZWxT0IJvQwL7G
TKi14igxmY2xT9xanrXiSYUIps+CTpRw6KaVKhEQapcLwa/FuUaYdXjqxSX0IXdWMGTqohRrLQu2
+Gq2J5pQere0Fvmvuo6z1ufU7Gd0k4GbSo86twrC5opA+pvUJgbzoObGS5bC3c6QKO7a3lTbLDIM
ovs8JgmoUFAJxHLDYe3JJTB+aI28pvDcwiZRWZx7hAXraIyGFoNR6V+buu+gmBCG3CWFxAsFtJUt
upW4z8RxSex24FpKjlPH3k3wrc01ZoZN7nbFNbBKbkw8g8KtCSyH9mFGZ6tOpw0/zr9P0N4/DbOG
tdF7jbE2ywVPRTAQC1lpfoiyuxi5IqpbxEc4JdGrLQE/9z63+X6sYUIsHnZ7xIoXjPyIyeofW57L
v/hw621feNgOXa8PVzlF069G1pjfEWcbQI9BFv0qYTwwTaKIgY2p1jBn0i/ZCPMSZa75oeNZ7VXR
Dm+lO44vKdrzOiOuu2vTKjtFCnEfo6hEDo2dd1sI64okJPeUXxaPHTfCu8CPn/O5DS4jtZ0PEdPN
Z282NVUxzAkb6RvVhjR79NImkI9WKaTjW1Hn6TVr25QgCp1XiSXj6zR01Vvnzv5pIKC7Q51qONVm
7QberH0tRq0xUxQfYa3vRcz+gEB3vGpkbRyjJnFvfCG6Hb23ccUHZpaPS4rw3MW5fLfLCWZqJMPh
ZaFBnbpcWOhMkLumCpwGWuRgnvwSyrMEI/o4JpxHVGaNnDsKfPbtaId3bsZ5OCtDjGqZB8vL1d7r
IEb93UswKOSJy10ZqGk7aHPeQcYXKxKOPBYHcuNhbv0QqVcebdwPb4Utpwvkm/JcxnPwrW2kEzSg
IrQUOiI2NyPIC4gtCNkidp1NNTfPrWHhe2mMcP7u4jJfGbEV7JFKnXM5viRNany4YxswGan2AOK3
e2hCEW7gVLOTK+JsDws0WavG1+cmaKiCqjlcEClcLp4aMGyWQzbA61tyxqvt4D4O+uFgEjs7WyGA
vmmUBScEl1463oDTXLB6RWJox7Uxz+xxoIf90Ez42/8luJB17qHezknv4hHyi3MwNxJdc4Y+Fobe
hhxixC1G6P+PmOD/tACgbWGC+DdGi6zsfxV/WC2Wv/LPDKD6m/RYnFJR57jY8y1Cdv+0WjhUkEiB
58qhaVM4Fsb+/91rp/7muYohRPAfPtz+v3gt5N8EnykOCUc5RPps+d/yWpj+ktX4i9eCnALQbnwd
dJ0oCeTtD24+uxi3Vx0L86ky8xcn6LxPx4MovOAqFENKuNjaprCfvC1SQVJtMsuhxA6irkOtXFwM
X01fc2lImn0P0dRhRXAK175BogBI0EoRfgFAY9dhuLNxq6yonw4mwFFAV+iQ9t5zbExKE3HocC1a
OrFykMqnJgmwBNrOXkDMsfdFlMbPodda5bYSZRvtBko9nFUNKvOD1DT39F474PKqWbgMGXM/Up1b
jKOziZWriCnXpYCRlDk6AOWQD80mdaAKdGFjZNydCCDTvxCA12YzzEsvEo5cFhTfNb3Mc3ZySslD
LnSIvw/14P/UKbAyOq1ZpcMlyvz5OCLkUvHrmdM3G+aROS5AHkjKMr4mQTtcanhcF9cqoUW1PXuF
dTPhHMBODybh77O2u60moIZnB86tv3e7PtfAIGRjb0ddtG9JGAL8lraidIjguttvwM1wVp5F/cMp
IJ6u6s5kUIVOS2VX54h823i+fgPYJt5dK5QvFCQMP9Par++Q6ntsttAVmeb0Ah+oYNUhPozJDf/D
Ou7Zb9mUQQX+fKgoT2gr3yvXbem9+GFDigpTtOHkbPeAPxgcgSvjzg3e8vFeC05Vlb0OJgyYvjjw
KgoINzWyX8P9ekvF0xTbO2BCHxjfH0zrUvaYWL35FXlOHShSbm/QlBkuAKywIm/tHGXAyT9nw372
gpjgG8HEyqrvJIdwdKarhWKu8hkkWvdkBv4pMqyXrPmVVAOQbCIh8S9Rt+skNN/YDV1y8vQFUT3Y
7aTfyUvFwdGChLAehLMPouaNBDj7z+RWD9Nei/qBy2+lsNcz2xfYsKf1Ekkc3FMJuQdNBTOCsne5
tpkjg2jPo/gyeyyTbCdFSMwvrYmoGLsIMh7UvH+sruwnXyoHJOtcfiVmc3TY+uAr5WwduRkA0dKx
ngIApeR2OCYOpvuYypgsbtVG4CDYiYptb03GG+apeEXa/bed6qvyknvpedW5kJxN+6EZnhr8B9oF
6xawjmQ3enNhcQp0q7Cvj61/IRW/8UR3rxpzx3psMwv/1bc+zOlGG8k6pb9KQFY2X0E9Q0SdXvF1
bnOWW0SJ6Xe4n0i3z5SDU4gxb2O7fVQkvowODcFkS4OO3M4/legfgrl9dNxhZ1BKXYWQ9ir20vnI
TvmWKbnzkFRMN7xrfGPNzXIjfFKhbb2LPXq+InM3DkALjOQcLnm3wtjViWQKTTb+wi8wi4N00m67
JO0FeYKyLR874znKvqCbnx03WYfTGw0r8EPrLzehMzk+xwFgc3Kf/niIrfArUqQIQ9K2U4vhIG76
94jjsoJ/40aPg2891WNR7iPhfxrEY/nWnft84uKIcMvWdr4x0ofBFxhidP3k1thazGHEAIO9yPWq
B/CQu0CRL6gVSzxZvKm2vfQwmL1JIfCMEOrayj62VDb2mBKEQXSTwvdNz2+mzIV9Qj42sdcqGH7J
booALHe2/RBrOWxsZ6rBrKb3sfC2wZBdMHgclu+0lw3BPpApxQRjmgOFkOl5zLrxB0HKzVD3rNNL
bLVJf8U/d3Pm9NVWcl8uWo1rG3tifUc5e485WMq+GXY23Jt5vjPj+ARmc1dmBs2TaEV9k93MLP70
I7rfLGxCVRoj4Tl1BlOOm7y/q0m50PcBVjngKm7eIGP9rPORVFWePBZDvRfIniJ3Hio3vjPzC4Cr
S5h6+6rPnsbSvbmFhkPKSbdngq01gy1Lb4MVtNdureaeINNMqgOwY3/RdXoq2o++L0CzNp1+ZLnL
BPKbbP4zfo0f9nBCHkHudJ+RCjcVpFQCMYXd7schdZDThvEcMnmzV9QG92UGubs5qfEKmpdMTgfB
Mrwcmt1UP0QVq11lXCQqg5/dMvuQO5q2CniXKA/xuoFqKPrQ3bgJjrcE7EXpmkh20wBPfNH87F1S
V97GqSZuNRnwX3YJu84Ofjcjix0vPdBtEpwLkPYfLKzSjdl7BwCydzymkRQMIKJp3z8z2vqriKUd
7miJVaxMmXSaYc+5eD+31YUF4l5iBeI5O7d3cSsvTfClM/NiAZTyCuaGPt+mQDWxVG01NLQ4sveA
HD/hZV3MSd1bWJdYvu/EMO4k5m9bfs42bsjizh3vPOaMubk3Cc8N5hk9lvVqs7Gq6OCX4HpWyhCk
Y+cW2zJmYDh3aXOXAvLu0IDdyRw+4qq56Mn4FEn1O4+tczehxzkkFSeKRSmH39Uth3pr1Ds3P9YD
AcNQPQ0is189PIJAlS8GmfI4re7ybrn9lk7+3Gn57s2aIIj6ql1jk5jt58y4MTRG+ZnihDpJdCMP
fnQTeN62mcTOQWdYBbp8i4yFfBib9yjUajPN9751zDsEVTPh4io3Bi3QFU+wyRkPDvk+br4fsWIv
GQg+5eZu9uyr3bKG4mZuWdiqW0XGnQBG6BubLhz8Q0i0xugpsDDjN224fEjpJRxqC5cp//z0giTB
xAkhWd5mTTLLrGXChg7Hmk80SoyHwpNcncxmgIwPk/PWBKEH/HQ8qkFewbb8ljzhGI2gBQGfbpEd
5TQcyuWxmt6XmXdn6VdBkogb0/M82ueQEWX2Jv+hDe690H0dk/TIMmWXB9lqHD+hEhO4KbEmmtU2
QcxkJNjTMXFK/PAJrih64YjoMCPKizYmeQlqZyqGrWa0pQ7vK4f52FNQrHVz61oClgCbp5Lq7Anp
fYby5fjddwjady0ZKwFLnso2vE8qCbdRMDgOk/WkQg9VJAI3ygA9rKG8sPmQl5ACFsc9N7HE4O6s
rVkb14TfD60CIt6+s3ossZrHPnmL2NrOyXcJZ4tnt9qEqkTgx7jajh+0Ua0yMO5iesResatTua7T
n07CIs4r3is2Fb0//fAU3ITpp8O2MZ4BLM/9Q0xogJKidZG+SySYcSZUOsa32uM0GF0ywPixKtam
d1DS+obXdrC5yae9dclAAmMc2sQMei5KBRnltQv7FqTqTmLqsJY8izHeG+x03T7eOin+Zo92NVG+
KCiMSfw+V1iZmwkvWAwniBSbG9mrQYldOE3rNC1R0CbsxUZ5I4Dskk8Urc3Hpk5ehChFHgDyok33
KXD6qecXnc6AP950LR8H2wxeJa2coPQPnEwOmsBYYFMpStNONE/bEKesaCa0SATf8Lu3xWZGDNIc
JuE0r5cHLN7M3cALGckIFqRJTIXrcW553pnzM7PRFqaW2Hn6YeAo/gAFVG36eAmdwKEbqmWlXzvX
KrVferpmBcDJ8q43z3nVbv2g2PiApIZE7LLqk1I2IioXF55GuZ0AzQcNZjHD2ueK8eNXIPtjmt81
IJtkW54bMwvfLI7BD9PgzL+6ttrggcF8m7DTBfoPZGkZfBkjUnB3yGOxy7Dw5tQsdYziPsYdUNR2
+xIPdX2UBNp9e4GJLBrsZIpNYSEBuq3zWBCNmzm5pfVhcEnxjLjS6yLaI0Z9YFGUhr8Ce1KME+Ky
+90ovZkM80liE/DnqgDRGrU8lDP2juwjAOAxGM1YlUit01XgfLddPzwUKIcOW8QpELspJFrm/hLe
9LPWJ2fi5L2YU/oz6LPrZEkgmx0uVhzg5nyODfsXDXf4LozNqHHcBpxyFq9fY9pcv1wYAZAWG2Kd
a9bbWuNm5yhjswptFmtCZO+GOnmKR95/mR+j8XPIQKsnzhVq7N6taMnI5L7Xv0Kz2MqYLE3wFUTD
XesMu5BKjyRj593BASmLc+hmOwVON4lgnvQ/GveQ5z94rf6KEzDLG/mieIiA2H6wiRzZnbUu7eKa
ENGGb3bAXbmb+9/sidlKT0+6Ac4UmheP++BN5N1eOsyWg77H3b9O8gSCg0OEjbT6hvXYw6SiD6sz
VrU5LAsMK2Uh2cMp1SRhJx9FfA6oMJ8leT55QU/8OeL9xdLlHsa6Co6pYpnugDP03Y6TjLlyreQt
w3rv9ZssMtdWKiFHGjW11Jn+cJYFtevdF2G8ztOTlej7IDDdbT/DU8YUHxanItMbLyyuDjisku6X
taWmHf/H38AWVwYbMXqVczkR2knNWxC+TAX3Rtz6ToaFpk6uIdU9zsgKuBZYMBZvZkxKY5V0w8/I
41Ztk2+eOfnlDMCh+ZEiMh0SJzO32lYLZIHjjFM82VzAwF23k7b8Db4CbxXF/SmzmfUYXC625tJq
4/gQy645+JJIrpbYTWlnrLcKJZPH6izWAtbLnGuQgtoUOzelTbusAn2yhrk9A16Ggh6Wxi/Dp9UB
+8MF5NdXzcrXsQ3JRz/uIVVivPWiaVPX4ZmtDfZxYXjTukq5d3j1eDFgwGC5KnCb7CwcLqsOfU3O
5lGQeE8b79oJ/VpM0yEnUjbhXl7NcFp5eEHn95uPPOz3WFUhjk6jvR2SHvMr7Qs+Tvl8PkKW7H9Q
aqlWOJ9GQC6uS8aQ0BtZ1cm7tAHxOxIIuB7DHwKjDybyhwrrcVSpLaiylV8e1dT9nuPj8tl1u9mr
+EcSosJcSDqhEo5jzPgS+T4GSSTK5h2fBvaquAva34GNd/5AAhqeG6EYHex8S+LRT9K5g00dVCYG
qLEzOE3NeHg4UEJohsAxibuuzBmTMuKkvAeFldOljGp5K4QJM4a72HhtJ8WFbDhmc6pCL7TXbPv9
tyCwRtbDcgzMvSoVVuC2rqu7Ph8reJpzZl2Coub50nLhkjS3rMoAQja5977vceIXSQeNz+5a/A+W
G6pj0zqsqfvGEex8ypKZx3ES64GzEOPtNPdMlKk/R2/41/n3vLCct8CesXb/9yNh/295r/9pWqTl
IhL+37XI2682+qWzj+K7+Rck2fK3/iFHuktXso9yZ0rXsol58Sf/kCNRI5UtpbkQUiySYRLN8Z9y
pHT+Jpc/4S8K6ZrOom7+M/olzb+5khpKH4aZxbDhi/+OHGnzD/2LGGmCSkPu9D1b4aMBgsaf/yX4
ZXlzM7KS5dxd1dAxGmmTmAXBhdcpqBuiLpQKrfBvttvGjaJ9IkBabpH5AVkNpIxsc+zwyg32yVOB
/45CVrzW40inlWzBOO5mdMQFKuEHT8Lp9BGOX78mozDt/vKuc1Ze6hL+Cj5aXuZfNVV+DcmbAVHN
Uw5I+T/4OEifXo2IikUUO9CucvoWl1AokJHCNtg0WV7/KEcRHcAyp0dzNs31v//5zp+i7t9fAKqu
ktKmX9b8gwkziRpjzTAxmQdZcuFInl7bAecq56sWJGfgsEBrwj44VVSKHdyOBVgUGo+EKZojLZI8
n7TL2nUG5xEx3FBseWf7Y4PFCNBi5TX66LBiEkTRCh5MRWU8+6Zj0G6h/PeEhlBxFThHFLEA4t5y
aIPTP97qfO7/w6+66Od/vtfUUeMDRx5ywO38wZgqmKtw1VK8yQK2+pHCSL01oymb3TxXvtpF5Tze
Bs/nnp6OntdDKqOZdZ2KgIeR50ev3EqzD5cyC0au0fEJlaXhgD0iJMpHUVSS8I3795+OZS6v6V+/
H/SLL9FLApZch5KL8K9f8wFHR2a1ZEHars6A0I6/kA5nAGqO2Pp22p/zcghOVGU92qOYD24+wGUJ
W/nJigz6izMWiDsFIWmaiut9wNKnukFe79jdW8PzHMXeV9hUEyfcWdMtOem8fhbIZ5DO/OE0xU63
c1Rh3ntTCcCfjik+xnpn5K0iZtQAQYvT+jMdW32lIF2/pmhNv6F7sney8uzkxn63C9B5b5XByCpK
DKpuP6ZrS6fNuRob987Da7ylJQQ3gux9xq/5Gc18fim7unhFay5eiI6oTWchEKgwq89xCK0j6Orp
vokKDNUxCG+i0Pl4YsJUt2qiIIKsYHGn7RrEadA7r462gwtk93HNpvSH28/NLWjjId2ULlvbVGfD
I5WZCVkGIziCe6bsgxw5G9h+Gq6kuC5wdNtj2MzxbUyauz7zd6OWZEYFjlFcHHa1PPoSz2vpSjZg
2BSG3W5F5psPVjwBrCAOp/bjKMNNPnocxKKw2ihgxuR8Sq5tajipi9ElilxavXoTCHZcivjtXLzT
qdmdagpJdnrMy+1/+H79efuhBZ5yewfepPDox1R/3H6wFMZjKadw3Xg9OQI1Lr2ZJWsa/PyV/t2N
tnmYWstYDKbT3QAg8Dop97U1bANkIpLdBPfMwPFoiZ6YnxMWeDbL+NAvV7/tstaZWHf9h57qv4d6
/3pR8KqVo1iRsXFSwnT+oFEWXk8kt4S7llcG9dSVQ3hgYOK2zcnHtTE/uzmlPRZbz30WWs7WDKeG
kTAO3v/92/fnDWV5HUI6nrQIOqMZ/HHvHB20Hmp54b+Nff3kx3y+OCdi2skma2frWj2Jymr/02f2
f/5UHhauy6bw78s9e0Gu/eXJZ1qKqE+H4TqflshS1A/1m3B1+NWRzuiwhlAitJeUSj0z5Pv7wJRY
FFesPYL3vp4EYFpfvNdd01w4XatV5VjeWdXjBlglo96/f4eUWl7Nv3xWFk83Hm9sDBeo2nK++Our
1YOLBcLQWOjAVq5l597x4j+jiUzlKqV8cY8qvLF0PTmrioaMfdurcx/ZYUk6Ev5G0yyM9ILEmADC
KWlLvlGt6m4VS4k9EWNrM1Ac+In96RAbZXzqe7qgMlm8onmbwEZqax0XTfColJ0fVU1y0s3E89Jg
xPzhBRNjaOcsRkH/kVpewFED5/Fmqf9cR63b3TyT/8E8ADTGagyx90Pkc/LjK0PAbxqpg2Zq6LvX
xnb6bSCgIEmLuInuAhOPaKC8HXai6Cch9elUKg8fSZnobeOHwS4NUz2vyfnInTHU6rGZYC4ZdYTt
EO1lRXxEb32TJEZDjey7jMhtYHLnH5/JN72RuyVzXUNrR5VKh0thANVcuwqA2WDreynr5oFFRf9N
d4y143aW3kyanuldEP18yqNunFcJDb8bxqxx446oKZG0H0pa5vaV7VRvik0o7ZqhvOGIiO+NxMGm
FRRQQjj8HccEvvhY9giAJXYrG7PiCZViPulM9fscg+tdXvVMdYpaGAzKQ2lmy5xcHpTriM+mVtaW
UMaM9aIDVYq80pe7jgTuvqjYFuNXdNYT6ZfD2HjT1oupNt0UlAt/WGFZbVrAJ9gUkmPOtudG9kVt
vDgYLwnbM0/FLcqkfEOkImtWRy8qTAyGKrYTTR9fvYmTYk2j8MociuZG/1d5EXPT7lM5L9kHF5y+
qhfgU1aC/hvDikaaHvPTLEuPkK1+nonHXZuy9e68HthcnxbZFS9muqZvWe4BI93jofoZNfFItQW1
ywZNaBRd9WByonqphA3IVlva3hObrzbsr9/C1CkfhkF5d5lCsBs4Cz0H9WS9cIy2jyUGyrMZpkvY
fwE1Ri21ISRi8poNS5hV1Q/IBmxuimX6TdRrAUhlja4+3GPhmu5734hPRkGpDNit4In60T3t7MO6
6lq6IHuvwztF6MpiFYMsSXNcswS/ydg1Y/uTz3B4zGT7MwCNcqJByr7ve3R/mTcUQxm2yyKUIjG2
4OVOYezDHWNQGtFlvyZjMvZ52Y0uGzT89GRtM/s011SlUnkQrFVC4FjXuJnQHREsCaQS/YSGVfWs
NYspZmMz19fO5HS603ZpPLRcMA8DsvUnXdNXyxOsI4QuvziLETPo/eUbROf3iZU2FMkIR96MhfoF
Pe4xgWl+ym2qj1YZ1e649fkizzFq24rIZrvJO1Y3GR/ArTAi8WFx03818FweSu49z142V3dVY5dv
HFUjlMlkujROiOSKVcdN9rBgWH0PGcuHookjaL21CzGLHnPyeqkfBW9Gq9QOPSX+pV3t5JsWK9I1
bujoJRQ8HMno2sgUU/0JR+kLnyxIBoxEGCFQSOmjV3srDScwspSYMQ/Pd42t5dmlEHPlufMrlO7f
JVc86Jhmz6PR34WmTbd5ktzbGQsb6ob8TZBZat/5rvjoY3UgoGavzWqktSvzU/fF9RcIMP4enwPa
HA8vpO/IBY8LXgoii8We1Ujbu6Euw68pBdmPUwWWMOkhSokoTNx3IZ5MLZtgS8l7cPCTCYYER4Fb
FCmTKy8djBsrxeIxSgqD20LVkA3g7MD52gwPwcw+GDwoy0KrjeEzTeMnJgd8z1VZXKlOSqu1R+30
FgJC9h0r3MoN8ZlXrwjH1UDQ4LMLpu4x6gxu/JPA3UwQ2u/FcE1UrQ9c0NYt9SufjbzPJ9NDO1ab
xqMq4tSPhYDA4NJ0HRZ4eEEOjzrYU9eTEhhWonyfsA84rJuGRZ4qzWRtCvvvWz2u/aqqcEBk8Xgw
AxOZPUvthHAedUPIPNQZUVNZ2ONzDEpzV5lF3m4wny4JOMe0vgdaNay7Pmliqg+Xn5QMibqGDsr3
Klgug8nzwlNeL6SrrrMi2FXuNNgPOlaq/O58vIwlr/jWl4GTs2t1sCSEypzRYsREO1ztbxuSlRCc
JA9gwgrxviq68X4opgbSsSrjfTLO1o09D/2reoEKS26+Xa4wxg+jNd4XFIdzIw50JLd0YOlq1+hR
OLuhZ8uCls8ZBdtbl/F9RVHackCM90MM5XjMPe/Cc9x/4Ydn9Q8zjZLkMxiL0LkXqra7teAwknIK
tqghiXVgNpDYvKpD2czb757yNE4yjXWjlUIf/v5SaTASx0q39Ebbg/WEB0kfZJFZt7zja2zp0LqZ
Jn/Nt3gYM7xpbzO1PKoCnjIXKy8aRb0Mv308AtyG7z/90P60bNiJrT6X+G1JsobTwpco+/GeFAsH
jNZV/Y/RyK1bNJcs7DhOio+kLvlqWOPkhith0J+1SxgoWTikQ7xvguUfMtFqD4Rw/IuUTbiZHSd7
rwj1X6ye7PTKJXv37ne6rdcaYMkPmsBcUMRZ2LIw6BO+sGUkjkTL+UWaYubToGrNbTe24QLZbKoK
FBg1LQiVHh9SppmIuoxa++0UDfqgG1velZwTQVVafh7x4PTLM3XntO+4bBbw5pS8dZgIaRfSdvMt
Std/meYpwmExewuxEIvgRxZY5qvl9w2FJ1ibK7w/omft5ge/Z89IrsIvvR35Bxfl1ucLGo0bz85P
lSb4zJKPgouC/qVtIV25GVwxlCh4bbbzY7qFGsrwKAvB2KNn8ZHBqr3KSR8Ho7C2zdwUD349Qj2k
I+IWwVwBCNvPrJdI1z05WarHrUgkBPjWgivLNHVy2GUdfJ2ld66TVA9dZovr7NPvXmYYI/6LvTNZ
jhxJt/OryLRulMExOWAmaRFzMDgFZ+YGRiYzHfPggGN6en1RXVeqSul22ZW2d5Nd1VmZQTIQwO/n
P+c7Re/qK+q30i1S5uWk1kXYCZgkdqGM5afo2oK7D90Kh7YrmhMVE85G4hn/olJrw+Njnyd2lF27
c8ik0hhANUICRpzr6YYohv3UJInJ18kS0EcY9BqzE/gI8770xWVUwcgGMk7wBKHwh9VT2Qp8Em6F
b4jICqqKx4Unm04ThWJfG/RJPPMEdYkLofiuZV8L0sgenGoM2ZqfNj2vjBOBiA9U4clT3lkTix2q
2Vl6Q3dw7Yn1wQD+1UO4B6Q4JYfaWyiRyflkr4thfkFAfmXGfJSJAqnLTsdqG7yksy32hekfLtVf
kP5BSppEfyq8w+ueeBgrLPw3zcQgNfuldaZllyk9JAozL9Y5GW3AuwlnSSvw5y3F0obX4kHfOwAP
FF62U11n9R3q+XRARQi/uUnl3FNyQzsn1oq7TIXV1tOX5SYJQbg5Wt10RR7fBjD8zlXSZs+D5b42
te0dXDKQt25lPiiohUpGPWFAAAYiT5ql6YZGj/SAcP6i6jZ4N5MVrTtP6S8KL9LNsoQd10F/SXNg
2GIwBLXiWA0SPJR4MK79mY5mG35vDXc4Ea7c18bxePfdr7TynyMHc36PwaYu9PYfQDhrirVxn/hd
eMvhRW1rzAdbJtHnirEzne07ipanVTVxYnOF/uyC/iE0/ncnF6/VwD2drfmDjs1jbmVPSULWKk8/
nMR+/v0k9p/ws6e5+fHf/+v32lS9nh9+KOSePyvajoNN9d/XwR/BTi//FML/jz/1hy3X/g1cGXKk
i7/UZT76Xzq4/1sE1dyHihYgksNr5Hf+zZYr6d/wUaUdLHq+50Qc4v/QwT2qOcgCRWHoO+jhduD8
R3TwMOLb+esBGynEtvkqJOEG/rpfJBw37VQrqAVbsY9N3vJLgajtkI5fCS/jKrVbnqxRvgCZdtj8
DIlsNwCY5D2nh/iYLK0NIjKyQWQr6t+6vnlM3Olb05n62MdG3JVTHZ1yq1DXEdHbG5y1dUHUP6tv
ONY3GB0C7wbkztb3JRFJFeF2rYZuuCKayVksVx1Lv+YSGRvEePJdy+xNHORXme77nejq5X2SmdhM
gx92xzqq55MaXP8ksumRh1YKNc1qGGk1/PxqYEukOqXfSEJMWIwJ0KFSnQtibpCjKxpSabpiaC4T
tWdOYpPbscnNPZPC9af1faUTfCCt41LVxVppOmcNbErc1UDEo/pihGm9vYvP6IqM90U6qlxYznL4
zvra7LTr/dBd6mztGuGujsgCOnmUXQUFNr8RKNTWcvVwIxDLr0TRIrlUPCaO44AMtsX0RdJIIOoj
a3TJG2lu69OxFsy1dM+thhKimo9WeDV1l+2rFGBuFi2cz9KwTu57F6xLTdD5XYFaukKpbQCNUmo7
Iw8fOGYXPyflKFJzkErpiyPJZObDUF8yucTAJROAu4eVUB1C6hGfR40fDg+UYtZccMckfgsHMu+G
Q510HeSftPBPtBthKWz0cizyyLp1U5v4EKSjfcQIvJnrzMIy45YVeoRFoQl1hnirEF83xvd/1qpF
xtE8pxby7Wf2ef7ZgeDBI6wMj9ShRfuwtSiAi7ruxHmD8cEl2BjkQ7HjoVEd5Eidq+JNfXYYbPBs
CKIl+O/3bQU4iGRztvEpJd20riWehGcXzoYw8copSQIF/kKJ1ST3M7j4NSXBFQ6XZk+0Xn6OklQ5
A5/Pj47yFznJ18gp293Y42rI6WHEiNdKsEyjd4NuRCTavoCIaUxnImC8BrwkjyVR0GNStv2BwQde
yBjty2GwX1zhhk8etVk7/KCEoiM7BpUZFOG2NwFKXZ15bzTKJQfdW/iWfbhKpziq2Jzb3Uz+tQ4X
PEcdkdEEztl+zobhO6gJ8rnKdTAnjOyau2YSR6xNwHPsKk1AonNYUZzQt2NFN6Gz0FlHooxqnmjG
i+c6ubs1Nf3rMHL1MgDYwHbfTyMbfcCy38gJwlqmq+qzchL/aVhwflsCCU0U7q3QZGTUUFIEIATk
QV/cRZSNbruCo/1Iscm2pg2LwmN+RDz6xE2LeL6uqrI5BFMEwosLjQN95yeJXDXAX1+wxGNwpI8R
I6pv3jhiL8/OAN845qy26+pyZ09TfaisDnCJpcF0i/ytpmlgO3oyfuWjaq5B9RRnJIQXGUfywOrF
3QbO5WrET+DeTV72UHAMu+AMU0p38/w+RvrceHkftnQYTLD3yFiYbVRnA32AdZu/BM6EVy8cDRaU
Qf5g9BSnOQQ0Xoqgc9eZg2vNbWMqi8Vk99elR4/CdlQWRj5DLpPOhrFrad6LqtsEMMUpSUo6DxHL
9zXiJGij5RNv43yTNPXyRccgG22vDOY9Z0eMUF4w7boQUB/smAjVurA2EX/fnuraHs9HOZ6cvPeI
X867psifc8vzm006ZoyCPjbq8So06RDdwYZxFwY5k7+2fNRv8ZJyVM2sajkjYtyESnsbl33+kUcZ
qGWHaspiPXZU7wDjr7DRBl5ztG1V7ZM47xrK6kFxR2zt09K6cqQiVzenNKX53O6Kltg1vFenQJqz
XpgZg9OSl9mTA88B0mOIX1Ff+uaJt/YOl25OFGA/gc+li0l1m8GKQE55iblWRPxYs3qMYE3vbaJ8
+O62VNhGJiuPrsEbLAR63TRzBZHbJNskQZn4hJExUmfLTRoQwR/Scg/6h4yBV30Pcv1edOURJvOb
LIpbUqCPJErpik9UZnZkvCkOcUAOwsCdmgPrtA9O6vONNdeKJdHlInEJINvg3bbGZXxfq0mJQ0Pd
54nmoNs5Mu6bFQu1VYVXXiUhzAR3ipsn2HLzt7QtQ8pCgwmDIBam1gwdyc6lhtrXvkXDfJuPEXXd
3KD0oL8YQuFMOSSmuTFuuVuMuyyX0+1CbHmteFuPhd+d+suKYfbCs0uf3g5f82c1WvFrj2dtA9YJ
dlG1LDy2o2rdjWm2ScPIcDNLDLB2so14OcLoQcWk3gqaxjZmyMNzUaQIyya/NjlLtbXPA7hecRFC
+6Uu7rFhUfpRLhd1ucDxuZ5S8g/DWLV7rJQTdztTvM5xPkHOFss+RLRc211KmDGU9ZtBs/E2mTAU
Xco6OApo+p9oo/AqggqpA7OvPPms7L/oFHXuIniGZ90kMltZfKl3mLZol0fIdsJsvhqlil84kPvZ
CWx1cT/F8XcxjsUVsZllHdTTWUnhQl9z5H7ETLiDKwZQWzbyGEG8g0vpJ+8tiGm6IxvXes8t1Rwr
HyVia1c+MEueLtyXQ37xMaVZEQul2p9OvjMFdxAY5xGJVTRnRRr9g7am+4FF0LBjrFpQTMuuuuEt
hq/ey7m6H3E5vri5/drVfKKmkFheiowc0rij8FmpYldrkM50ZrnPTmzVlLwMqPoVo6fErGC3m1Yz
RFxI48huMMvfmpR0ompcfYrtNr4JHPa3CajbB408exRd3rK0bJf1XIZzA8KBIz3rd+s7XyMkEWFf
eJjlEMpb1ZJ8Vklo7WBPEHDyekRQ7eBlLGNgsYG7TwrrUvHgFPmEaFnSkt7G4HRMsre6pjrUQ3kz
hhkFEBIr9NXg0ZVq4SLDQDYvrMyNl29pOcTHNcC8pqXAeN96ynVYDkDtIyoDOB5tQX5Vjp4OUD7n
2zpukv2ioOdPWuinDC2aR4iYsdOKcFpjLmvvB1rge0j4gY/NitqTQ5IFtBinqBPfMMWSm1bhZUNj
leG+ThURarpgH/NkukircWChywbNCz7p9l27QYhJPxzjH4XbGvGYxNXEqbaRl7ACVmHqEeU3neKa
Rt1JPWeHGQ/8IHrs3g+y8Nmru5/atX7WPbGcMYrDTVgG3YozIuYrv2/Kj8htehtdLGtZJ/TRrfak
YQIpw5clWBDG+V2LcL7Y089YMJEk9aPndZgiOTLs2iFfHjDZ070ZIhL1IzhP0xPQnjVAQdiIdFSX
JEk8f+p3PW84xNng1WOW3E2+He9KJRGn6bD/EZaAH0OcEEcz8ySVQZ4fbLxnW96J9jBR0PlcTUu/
HcpvLdlf+qfZXjgy+6HmMruuIiYx9t+Mqv5elO+yylNAX+m15y+PSgf9qumt4QP8yG2W9/qeQ7o6
MqectdfuiqC51Tr5AQJty27/obWjH1WxPOAG/e7mzqUaTdJItzjXaOxPY4j4Tb1YXDTQhmdxnBac
rLICidC1FnfOJDhqBV52mtS05UaYky5nph/tTYFzzJmL5XPK6PnK8nFmRIso8tzFSdA9gC4R0SFO
67E5ZrjerHMte1+erZzeNCbYs2O5/ZMUuHtWSU8xVQVm7Wwp0svSxgYEobTYLJNbPkIABtMWTWC0
CIJf5V2htuMyLneRP8/2Koj0BXuWxsSQlsCC56opfvWVNZ5H2yjgN4UNigQo5IMy/CesgiIt5ht7
bGArgp0+QC/gtECYnnY220uOliqse7pTMLzXpl9uvWJIf9jgAThy1fU69XV9S/XJsHZl6t97jtZ0
pJCzqSax2NyMXXR+ppwpnYB2dDQRkRbrtglgY8KPRido9zhCQewlh3yEPFTEKMMAeVJyNdx/ePa6
7SnrHfCYoULiAhc/j+lbgMAMzrOarGPFBoxZG1pKbCYKAUqwAHrOxH0z83DNnPChWPpqU5k3ootr
HibmsUwXeyvNUh4CKsV3l0YVpXx5hSQOkdl1exxDxXBOWue68Np7quWXbReo9tW2tEt1CGsxAzps
A/4wuQnahX6fERadzIpyrzMIlr5jxfvaJmM2M4LfUR7v3CRicnZtSR2wXxhCB2znz1nJ5U1b63g0
XTkyWUw3g5+ecZ+Ia68freNIrTH0qZZaXZsYK+ZxatR2fTqUD0s/fZmsFoeR3oLNLC6gtJkQKhO3
gdlI0EeOq7jr4EsmU/osHUAEtVLRg5jH/NXAp3W2fTwobzuOdvekw4jcTVBGJCdTfojXKvX4JU/V
OY2dagIxUTUYbaOFkgruCNYigrVKSr1OvOpNsYK5FXjf1WZQ1nDtg1TqNqqx3lCuwGGU8FQwddlX
dNYvV8uwcGAtLoJjU9235Js4RmbqnhZeVj5tVT74/tLTiGIvbAZAGpVVMH1qgIZwfiwuu9lu2i+U
5/rVB/k1rvqJ+9BKITF4dUrmZfRj92WCgoiHPcgfUfdtZF/f3/VUTBwnueQ3aeY9cTEw/BgwMlcL
xfblVjcAI+vJImpo4nQr7ZkmHLhnWy+Bj4riPpAmLAssqfE03ZVggx61apgJnbS7lArM7akbwx69
o2lujCvttavn+Slc/GYt0f4+44UlWsdi7qfog/AtsObsmNu0nvyj9st26bEY0hMlksunq1snTewe
/GjENwBLQYTZePoHuOwF5q3nwy+JhoPdosXOKppYTgS3GZZc9u4svPM5PXPszG7FJOb7/5Tvqj7t
57+T7zyMn/++fPdcpf2Pr/9ySiv1VZd/UfAuf/APBe83fvwhCpngsC4woGKy+6eT1Qp/ozXgYkyR
AaF2XK7YV/6Q8AL7tzAQNB/4rhvhYfH+JOFF/BZXUuj9W7/B//hvNBerH/X9P60v3S///mcH6C8N
BhivYN46GIiI12Nn8i/63p/sPKXIaUjpaVPH3V/btG5pdfjTj+SPV/zbV2C2wfNIbI2O4b++QseQ
qE3OK4Dw0Is82Cr7/3wFfsB//h6ixoxuyUZidUHI8z1ISLL/D98DFd+SitDQkf7FFPWnn5JYVBdk
CBArIzeW7x1almT/+hV+t9r+b6cSYT7fs0PczBdzMtLs77//p5dQjZ1g6OfxXPS1BzLeNPbj0pXh
a6o8S5xsDaWb7wwJz8nD6qYCELZ1GlmQLFewdkK3yyAaTgawZCs8uQbhNi84Bga6EMkGa3puya1O
kMawIm9EkRN//9ffwsVL9ZfvgKuHVg1J7XMILUL+4gxjLTm1QUukg5r6a7v/CqP86lLJzkbib17p
8ob++kp0TqNwe6An+Ie/vh2WJ8CHFZYAE9o8QUCGpy8XdjTl3xVk/t9fCBc6d1eHM9wvL7RA2i7T
ip2dZ0BbUaRGB/JLGo1v/9GfnMTRHnlS8ETCC/3Lh3AKOKTNl4OHTcuZO9iUE1Xh+1QFB2vM/+a1
/urf4zrD4RQKzPH8AkPX/eW1Uqzpnp1i6TXhBLiVoHq9miCrOt0pkbt//X39YpX8/cX4pngssafi
f8XlkvnTRZ0HVeeFVMuvJuKPRfBiu9DlTnTXcsb4kJdj5FVYXrvUy/3NC0c+99tfrhFsimxIAs8J
uEJ+vRpHcvYKiA/sDcc3TNoDxuqKMSDdVAR8rqsRW9C6ngv5hcRLCzLFog/uONTbvpvoQfFQ6+tD
4c3pXVZ71OaR/6gSULPxpRsALNlbM5bFfvAxAqwdx6pOKA7N8xw5XC2+yfqneE7FO7ia6FscBgjo
XVgCE3b8Nk43IrgMhFZpVEVAKhjnjacaba0z3OnXWbP0xzpkibsijj98UotYBTupnPE5aEIMTboV
gKnY+D34CHDdAx0TXrVWrbfgQsYI4p5UM9qflL1HN8opwONZbtya9RhYy5XdSLiwcBvTB9eoH4NZ
QlDWgHwALkxRw3F/7lHXQoTax7aYGXz9scI5aMLGCa6oyGwf24Wo9HFqfL2bcVZ/pbPq7/2KDsHS
SapDCcR56/WlgAuAD6dGNB4cjcEocCmVHLth3Za47GkJDWscRENteaSQpQSiwJ76M0svlYGLWZps
0884q++ahUhFQ09BeVPqefiIQ1OfWoVBSGB3YOov6nsMbXRmsT675owDw2UIWKcq9hfYwXy7JhWA
grDDn2mbRzVdEP9Z23a0oOcUiN50Fjj+kwq6gYIcAdQoWGcI9mbfOYnxwWBJyVI8q8fHhr5tfKFp
mL/Do7q6mDEOfj3FuyTU7nnwuuhxZFlMcy0ey6JMIKeR4ePic+ULTuX42tIRoI8yNuq6oU1svOIt
pQWvBT4J5He4AiFFls7WyH6wIrLqaeSzs7UAL047YE+Rd22QKSEkOwm5v54IwJ4OTeulcRZ2PJEx
wGKDDPW4ngOd3F9aPNZtl7XhLsgCwtDA8PWN6eGgdRam8xXmhPToNHFSP1zG4oYNDhrjqeRHeYc5
tj0yofMIqSo6cZ5yriB3P/LXQYNNRAlsHzXWD6MnYtzF1jhqOem+CjZT14zzwe9qrmhyflg11Fwj
gsoiRWjvbVlcteOAKutjMrgwHlPHdu5GFnYA320Xe2Y8xb11mP0Iezz7z+yDOCg+ErROeSwoASY9
HtWEpecy8p+CvIKyRV1KR7aNFhk2M5x4vzFeZ02/8Qylo2S8cbl5cm6xP2U9PryV0JLDpLYDs6lr
QudVDhR/lzrdCLrO7XfYmKJHMBv5jv4j8tc4yfoPh5P/zsMBfbBmspuTHQWgOLzmpyNGjzhyCTaG
HgxwkNp8hIQ3t75KMbGQ7iF5Kbwi0ps0bdlNMbkPB+gn1jOWTDao1VjSuJJRoPNFRUFIP3I6EiHP
WB02ieMcoIeEe+26QB5lUywfUZI58I1iu9rJcfCvOgDZtKhzF96hCfZvtMJTxzG3olrJybh71h39
/WAgfPuWz3nO0W15lQZawPvqElfsOaRY8AvI+sB0oc5kA9VV0cmHhj2uE256wz5fig6/6vxaV03y
UeqyuhYV6OYsDeJwP0J/pXNVhpQLe2ViQ3mwHNLWuonT5xlw0qVum72bX8aW3lwyVunWLuzy59i3
lzYN8o0PUEUJMdpRwxLQNtXk3CUy7XBl4M6lxs/X/QJ0OMXU11pqttelD+32YKVsklaQkaZzjPW0
vcEqycIHYyUSw6bFKoYxvk8bb8PaSgPl45a9i2l4mtbp5ExPfN3VJolpokQfHnz3rZdlBHnZ4y5S
BWMSgKHIZqhHmay8Q0IaFaJsmQ37qhX0xsWjaPdSZvUXMgVlpyA1NM45bY1rM1t08VAHAQkUY+5D
YstS7eyoSp+XuPSf8YT52xnEO8kjkahNbThRt2E/v4SNGwATBfbAdmCZzFNLHYpD4qS69Itkyd64
LitFI2APmIhLZBfkS+OyIU5C9xnoe0qCWzWnQistYc6QwTgiw0Jfzet5ifDEL3MzPlY6y5arAm5K
vZM9VQ/3sve6kjV3S9GmlzomPQd2UG7t0thXLEZq8Y0toqCdNPVb735koLxuBeqJysaFMsN2dGKq
b2nxU4Ojbql/DB5oR3E8GPAN0e+QaERM+pctZLVt5ylQH4HmjQWHb8C+2+PoFlDHl7i4iwb8hA3q
31Rd6wD2idRwpequidTNPLDQXk/xoI+zY9WPGL4jtt5jnxanSyZqACVXR/eFGp1oOzk0ml3NU1kA
75IRKWXRK7ypJtZd27Ejy3p7FbENDWgOW9jfZU0dPwwRn5HDkAdOcODZcHGtsSS81RcKaGor/7VU
TkLwFTTyuIvF0B+WUZSviG/L28INgG4BD2ICbtA5A9yYDUcM2ILPRuB3RPidROyVrc19v6SDvEYR
o/jCG2YldjnuvZaFduQ+eD0da844YYxn5fKh+lRDvoYS8ujmnc3BgCrWIHMwFJuQ5djMbLGXZTbT
xJJNDCXYYlHF/MTnDiYXASRoWWj6ppzHPWqb9qvrPArGntbwOq4eCEnJBhr9YD8Sb7eqfRfxZoMX
0ZG8xZSlHthgcMdBpvIIcCUP3KYF2ZsSXOnBBx0cvNrFXDo3pcWSTHZVewt2ywspRersalPrQptT
700YoBsr42ogXcZXvdh65mFqkwgpm8xazyy096Ir+RMLA9aU90X5zZqKgg/bEI6X7tIxL7aVm7Ja
FvnkbZHUqx74USu25bjYEDTcxj54KG/5dRlToHRIQ9rrcL5n2GhXLbwTEPlRO+v7RPgdwlnMgoVx
h3lpzF7GXqQB8eQaZL8JkAkfNCWsGNT7FmaUHRL/zqiHpoxjWPw3zH4gM4FN1/uB2E7OHVbn4qC6
KvWPajF5ddURaN+E7dgjgJZdrh6YXcyw6SgAb9ds9MFRWpXaYehZmKAaJCREo+HRhr4hUhqoQkWh
S9UBLBsVqGnbT2gSXfJ9PEYJpEe2aJQ9K8osJkWnhsFaUiDGHybbc7dF6OtlA20xhLtS2N3P1sIR
7wysjRcrevVVJjjZlNNeZLZt7WY/p8MUN0I5nIdybKkYHzCbHIwv+9skquz3sp0asmEs9rfWMsyn
1llw+cnBIa8n7Qm2RtB5xduIbRSmFGsDeojqWVxDndbMwKk3gO7pa+cmyj0HFZTan8+MhywDwmU3
W+UB3SR1PganaRiD+yxeynsMr3X4MeZ0h74QTKGUuFuijAdaIN8hROhd4hJNpByG+FFr2e/W5IUh
FtWoO0+uU+WgybsABroIkSBCKu3iqs/k3oo7BxOAzTY+jC3o4HhwpyPHqJCunZ6CkqO3WPFn6eRM
hvQ3UQAVCnjxXtrM1qOs4CmBaktp7ItB4X72ZTVOmzaRZXLjyCpuP4WusWQaWVqG1UyqSwp6qMsY
qMcjIa+jhPFrKuWmzkMC8SDUoq3j1vBKumFiP+907pNhL4JpqLHnq3kmJAhxFiZO6MVWeM2TY7iY
9BWBQa9tf1ZezlBdhURj4OTMeX4ymNuruSKyyWolIRMHhga6TZvvZJ2oQxZl8d2U2sUTZao9032H
ZHTJS/GZIGjal3eL38NREHk0YzDNzLLAlVAx55B8kefRyVpssAv+w7DNqi3HD//W2DOHKxgXP2mm
LJ75FIaQN/Lw1EWNs7NA1v4UFMtw4dv1fMS6GY+UjDdyPC7WJDiJNFkOMWGu1Hd8AWbfkpG1njHp
uBSk1WHsgM0VlbgMr/ZOLJTEIYdn/vDSRJ7gkBaxsSIWWmy1DwN5xSkMnLzvN082/tyMajwKakAI
1A6ZVBJ7x3RZZnUsCF+ka+469r5k2TysR4Iq2RFENeYynbWqug6LoAaQxlX8lmoJ2ckUUzNuaR+s
YRqZZYQ6SAj1yP0yOXLmwuSADcxO6XQc5+88JrKKYukS1OyU2CSa2suxjIJIXrWCFhnQlXDIVM8C
yG6C7tBkKhkfwomA3UpjM7kHutJ+trIbblykw30s4d/FdWRIH7Z5XF8bKx3f7KEfNGusaTQOW5Cg
t7Dw9BPw74XV4HXtRIm86uMmK5/6KiRpSjDaJeQ68GavXA7N+ZrRBOf5ULhnixv7t7Bjl7tNpmBh
iWv3p8EvvI+pdKgOVl5pVzfLiPmeD3avkwfXh9RDU3LiUnZmrPlkDWoety2+ldtc9hVclJEt/gBd
j8BAG2BKbgb9valSc2echcOvb0z47imv7VdDvOn9KsIfO4s4p5UrWd59weROJ7lmIeSm+N2Xucte
6QNwWErxQC7Wg07YirQDtMYLxpK/h095tLECqL/wIwDXtc784BVjlu9aW1z6RmfKufYU07Nr6Xym
icgUm5mKZYq4QIin+dDvZmJnDw0kiq1ttxJ7Rsh3SNtnuI+GRFGtofwn5Wnu57Xu7BcNhuKzWuz8
zkes2hYTBENoJXX87uhGouCJ9hQ6qb6Y+3mxqVFtw9phHF6joEl/FnVBLyaQZmgjXjLfBsPMwb0P
9LT3BI/LTUXU7G6uPQzifiA6Gtz8+SrpEkzGAsrJjo+ef6mYAK1djsH3oHOsm3xoDU3QoG/OjKj1
uxkEaf+Ub5kqr46ByHNjRTfQrMgED73PIbSxAufo+vScBgOF43maF9dc00Qfay/b8aW3Z9epxQV6
9hhX1QPpD6L7ogoYAONM4mjAPjG/ccMRILnGyIM0mIzHmYEeRAJR6ddOGzbx/G3eLRdNDgJGszbk
kOt+D22ZQ0Fu6+O4SBbtpL5HVv6aw0ksveg9bEvrUE+UuYMc6UyydolJpqSs4mXaSi+hM0D0tM23
3BFeLCuPdg6HzLcg6T32PPSJPyapcZ9s6Cb7JC0vQS4V5GcrDad36lbKB6I7UOgtNZ0Ka6ZzV8eg
91whxW0dBuVhmN0c+zTwPJuKu3Uli/qu79LoEOQRW03qTjGgcRIsNwFtMN+M8UlfSacLDhkLLGQf
0frgV2he1TseUswGPF2s1TjxBazTtoqf22AKaZiFBBPoWPyML2ueoHWweaXdclDJlB31FFGUW1Pu
thkXQzWgGYMX1sPZORECbwCftjjYpmnZUJ7iW8tmQKd/NATO9svQTRWLvqEEq5pST1Y7MVpGDROu
jc0ls2LEuMOxy/NHzjWZOf7vId+UCZZRT9uzxCkfARAkuXnZ4sK5PlsUwXKAbjXFQyC3woaYdpzM
1NWM3Nh8Qfh2xUqCP9RFZflSzJlDyz33j3kl/ELtAA6C9uEHAXMscIbrSkS6Ww+99n+oLq8xzjTV
N+MDpknD7AFvpjvc0A7mby5j9XM45/KxZOVuGGgBRnxfwqh5nbVFfau1hHZxz4+DT8/UDLPEaFE3
696EoKx6+pDuBJjhbD1etMN1m00hzeROLedDyvmA1mAl/I869QR3Y3TTjXY5Z+xSAsbjiskWc+6c
29EmEgTw1omOubmQHiHK2w7fhzjA9ecF957IVEuKhoPVSljjcG0GPjm0OVE6xkfqvqv88Ecwo1kx
Ro/uuneS5S2qYu8t7ubxAXmMo2WEs+oUFqKDOBV2hjqhNudITQUDrT4LC53tmHJxA8bNsA6nchuJ
Kk53DRunbIWxgjOpnjvjEuBLWp+yGCGv/UFaxTp0tToHesa/07CGYi7mygOYt5qGR2pXV80L4TNF
gdXeFo197Go2XLschpHpru2igZ1bWl/9bOJlpTmf/4hNYIktFHKxrsSY7PyYVtJRSyhxvQht+AOV
7j6kV3p7W9bepjV1Ol9S/7z02Ll0DFr2oPFLNOJuKnjjIpAEWxxCBMDKlDKCUvTxLUvgCCxZ6zk2
NULd4t80afdUN+ZDhtiioR5yux+i9HqZqcb1focZX/n75Jxz+R3muC8Aa3lM6nupcYYuaUVHgd2X
Ezfbuq1v0Oyp3Iho9F7Bb0+OIuRYy8mqDV4C+jqvxhCioIO/czgoU/RfDWNmD2o6pBav4dJYCdwY
mxDdarPE9HEjp+TDS89k/FnUAe/DMo0Qe227zAFCy9CGtBaZcbqpwrqKDlqz513pZsrJx8FGvk7G
kJtvE9jxGs3VXjt23xDKWubqOcIPKzYpYvndlAx0ZmnjcgtpvR44fRa1g7wlD0b4aOiptKtpt2tX
VeOPn44ZU1KRnTRHJyk6svscAz5ykwX7pBnyDwuQQ7ORoyOuYog19o4Dxjzu00tzte7OOUHRVYIr
gOz45MfHiP4gfxd1aVGtKsbnaAcB0AWa1zuKbHoTgU5QGosZbXa6gya/Kug/e9Uci6K1YyANr2re
vJcAoVayU8o698GtpcSsm3nHoOTr39kXtv8GfxITlDs4MP/SJB47ai48xEN3DPRNrObwC9HzR+2U
5xg8N/XIU+jczX5ak0xPxrjYKszVj27vmX2qnfQnGa+ZroMudjGYWqXH3qCmHwlmdfQ/OTuvJceR
JF2/0MIMWtwCIJlMMrWqqhtYVmUltNZ4+v1Qfc4UieSS1jPW2z1j3dvOCITwcP9Fuh+jGNquJwT+
XDbXMjoaej6++4WZigirYqytegYSeZ4ZRztJgWNDLSFO0m0iWz4WIJPQdo7Z11W6AoXboh6ntk28
Svy0itZYJo7xqpJSOplgtTrvGbx+1bgGZORuDUPeG21ahx54WgvQC8zNuN5AAFf2QtjICgZyPhoU
QUon4DZA1gU6T6UNJb2HMfwlUUDHWk5Iw32kZqUGF98fjSsYq5GwoXOtv/dIucHtIofi6esn7QYo
5RQ/+FJpPhd6igZRyxrftwZ0V2qQvhhvrT4WBFBRVF+wi0BfLLqHjiKA/+rylvYAUwZopy779zSo
e9kplbJ87yjgTR8NjzAAjaTASPmEvLNRYwd0VRey/AA7DkVZD42wZ2FOfK98VZEQdMuByTVNBlNL
ENI7xHDqpxYlO2rrpHG/p1AJ1kMGfQHrtgwMYT0oBZqCehDtE+Z9PSiVTpVawl9ba8MbtWu82eDQ
rx5qX24BhmlwgE0QL3eNJ4b3ZHX9babUaH3AiSgoOogG/5Q+eB/Z2IpYhkSYpuNfr/kQtrKIrFbM
UwzMFG32f9Jr7xVwpYhUiSqFNwY/DJRrQ6X+sQWg1jghi/gVF4oOq9gpQNNEl/z0tUJjdlzFZZuA
p+uEnmqlT2XVbgU/eg0rSgac0joq0EniueBC6j1iTRzRiAvl3MAmvaJ8eO+UHBwk3sTlkzDhFY6x
vUYPjrvrt4rf7H2SRibOqFLQbDodldlE13HqS806SHc5dcSnZpwQ1E/yWJH3qOlZn0nDU9YWoeUA
CAJm1G8UcRqBPRs+qsPBVJik842VXA0ZgnqAaoxgiwikKjA1Xb5BcKL8jkCgduO1Alhvq+mfRAWQ
eInZKSZ+v62iEB5Soa7WkfURGvZoaZXk0hJVE2cgEwWVm4n57PQoib9rqUeRuxsQkLSzzEOiIA7S
4A0wXoFkX4vjCD0U1jPdZ+uFcuFdFyTPnqRxvCp6AGK2573JV0TZrWmGdptKRbRLg7G5qnPduFEN
KBG7MaNYshc9FVcdbuUiooJI7WzbRllGW4FPfas22Eqtsrabxbu9uJPtSsY7ZycaKr3ENJuavep5
FAH54ujU0nePkztkNUR80GgeIbkbBR4/ErcjwGB0tuwAkO6VSHfxsZyvX0i5rDzdKmLkkNndP2gJ
ShGIIhkLAlaqugor4KI8+Sf5uU6j7K4zMnLCmNokU8U7DrWgzo9x1Um4F/DN5aHWh+DlriWpM76h
KxnuQF7X412VN61ka4NSyk4WSNe+hfmxm/Y5Mr04xaG0JJVZuK4qzC7fClRQyQatPgg3VaFw7Vah
ka+AIxo0gnDjfi9L3sCBhSHqQ0YLj5GZjZ/cS41mPoQosWfXCRbCAjKthvAy1QVURTzjSltMqShp
MWopqwzNMZ53si6T8lg6aMBiMt4UgI2+66NqAIA4S/Q9a8lbk1GJa2ts2ux6aCQo+WSM1D01qaiu
6Ie95DXwPz6A0qCZilvftJFhiaOZ5PuR/FySlCHMoKCJjCvA1BKvFQaH5pKv0z/QUVrRTYHjGoER
4RXLZAxPDa7Umco1/uTDSTeYu0fxj7hA6xEikCw89TXGxhuhiwNsWwQD0G5jQvwH6outgwQ4Dk3r
qo/m/lS3hcDux1eTXxTVxq+16TnSAG9jZTsML82ohAhB+sp+pI79QL89+pE1KAvARsTdzUCcPb4K
qkz5KQ0aXqKJRR0zxcioQgaqRsNcGksMLosYvWdqFDS1okEmzdV9EbdIdQi7J+zEDd9J0ZrgrdyZ
sD2APMCNn9ndlBwzHyHOGD76pwBIJtk2fdHQzEk5JZFfS+pt0JJJ/MQwtxpfBB3738faS8lWQKZR
zUcUgYq/Zlb9S9chquh6Q5i91D1k3pVYm9Tb6cYL+F2GFNjRTLWEALXnpqBJhjfPd6xe0m2Bks2V
GkAHRs8xmV5D1Bs/h3qIn8LCbOWtTK3uVlZ02AzUPZDaiMpwqBzKM4W4bxDWCW9jTQjER1iuLPOI
BQYPgHt7m6a4elxHtKN5oeKwzkFvyu07AoDNrRT34NuV2tIfQpnD2OnLJp1lqOsnhae/ioJ4V4TX
HtL4D74vDe0emlS2TuLc/66TDeG2jGjldyESQ+TbewWdZVCNOIv5ddg5fsUNA3o8bIYd9uJh60iq
P9RuPqB5o/iJAv1NQwnnDRON/jYJdZG3uR8nb5kIYMEWpbp5bjS9ekYWS6FfrBcCXYEwvzYnNp87
WYKM0YHSxpoNwR5cSVrGAGvJi9M9Zb7kgd8uSC4SeY36Kx7bCjNbrbqXdLITWS2n1wK795tck5GB
pzfvwhHqrnWqKFAqNVoMuq1h3OxvRl0rASUqiYldZJlExvAYRQ0tUkOs5Icoa+UPVSyswMUVu1vH
SW3K30MSQSqiIzAKm86kcVWzabY4HLd7WnLGD6lozZ1iqtqtLlVwE6wMe65NX+H/yLswVNayGokP
HbZ6GznUYd+l4ai+eDWu9OCMOZWMpoTs1vJEpqmJmMOV3Kq8uTCHafCc7fG91uhifHJvSW4zzYIN
nhYl73VbVTdJSu8cWwL4db0nYHSoUw/ESVyIgNhmgO3bx1Iu5fs6bMN1mHbDLYY28jepaqS9PkgY
3hf8q0ra/EgXhzU+smFJhzGR+2I91vnIKlHR38c2A2ae0gmReU2PaHijbpStSZ/FCX2totlVSuDf
GFphvIqtHiGHLLe3Rc8bPwSnO7oJzWqeL5JPpT8Zh4zEFITAB1sJy/SixiisaqlWJR4/yNeVNd5R
4p0StoiQFAnSHClnylsrkuGLVj2uKk8zB7vxAjn99HwSwH3Ym15+7ZtyTTEn4VC+IlNPUBvoI3GL
f0P6FEl1/0PJQh+mj96jHAXguFLug9Ar6itgf9l11OC7PlgkuzPnL2dFi0L6OAKEoNmJA/1vUfam
73Kt0UJB6ADBDcqX40s5iY14E9AfZC7UFEnjXmlVqB1WqPxW2IZoi8Fvc5UGNi+ad3HyiCMURYim
KKRHGJWRm1q1gA8Vkg/ZOsA/m7dRg/AMRurmSwo1VFvpXWuUqzoKwcR1aYr3VgRhc+vhJoQTW2sU
wpq0ooCRSAfxKkv8KXkeZ3l1qpf9Xia5s2wcAcgPcu61HTDBFhGDKc3uNZNMZ/QgZ1CJhZbLG0f0
SF7mD7f2ajLrO8qepv+jm0qZjVJpcxeMDoPrp51/0yLPk7lotajKqzx0f3gz9YDVsaCRf6BhTBXa
LFm9llDypgSb7aLPk8IXqRELC2j4TknTrfSx2HBewEIcjDi8jv0mfgzajK49n2IHa3p6oRkP9zoU
JS+imogLK91R/7kQQvZV30a3vqRTtAbXh9tvS7IerY1M4EXLG599MTFhSO6TQrvDJJQY+wxB9avq
Yjx79LzpfmiRxqHllUF6j2gVDm4xjTCof1GWr0x6FdljS9RHFZuhnccxdss7Rr9rm6Ga1QsBqMti
Rh+jS+u15Qk8WswGg+ypLaw5sU/UdZTXqrEKZC29SgOsoUEEaPkjHTbqwLCtdZD+muptR+6a7hoh
pPauB3/OV4Js4K8rzUSnfKDQkGKyo8cyEI02v1ciVb4ZUGNSdkDx8mGr6CEVL7MS83uhyWIaPx1b
BRwAslFZWd35laqxN/psE5Hk7CQvmN69Ku6fKuji9Ocnrd9XVjvVqyL1PTiEBlnWurDAhAIdT7ot
hWz5VSf9fhPkcKRirym0IdRSem9RpcT8CZvm/H6gBLBStbgzydNG9bqPw8p6Q1yl2mfaNMQg4k21
RyYTfVEbnm9R2kgL0RYTESeJutb01uQKEnL7qI9hFg90KHugKxGMT+AMkuobuU9Vg0wrsaKvgviz
FkUTIS1L6YL7qshEGQ636f8UO9Uy7ErNzXQ1d3rhvOnmQLkepM4jB0AMuEnMuTnGAoLE1MgvhtQO
9BHRYWGuxe9gABFmg/qAppfLQ4Z8nzt71sadMMvWaKsmHMhpF3n0i2ravvC+zZUyYBiKxzM3P2LT
2j4KkcaI4Uzz1UHQvSgIbb2qimi4sSEHH6bMT7mq1KFA0baFlsBjUaJExS8eAji29fAGIRgn8NDS
K0i+YPNwsgOSXbyi/G1++OMkx9sMvpB2A4yxwrcOelrsaEUu3YxWRU6D4+P4rcnU6CcYBfxxza5G
GjHOTBTY8qiBuFtAmFAxiPjABRzXinCgE0MtFbtxB00rkUNLqGgYBVF6hwe0n6/QEqKeaBljMV3F
kWk9UMsEHiLjMfHUpZVY3OKy3kOBGCMsGUe1L7q7VMVsNJC64ZfIjfpbyctgRBoOlh91YXle4ZE5
fJMLSX0aS0FClbWCU3k152XYMwbUmNYUtnWkBORMivbA1eCVeqkpiW4oWw2cjtjbRUMQV1v0OaH0
txzRI/7H9Jtd7KnnM9rvKB6g703Fv1BLH0qXqmjxasJVB0qfL9SvSjuoP4OM/N5REni+TsCl2lyH
XgNPk/b68NDEuJRu/qfBob7NSJQocSBO5xqNJDyrtUqZO6AU/Yj7AVJ0ehvtx8Hv3+WoKSnGiuIF
hc2v8F8DS2/wILPUJ2DjBaI576VuljJArxlGVwimgS1rGdP2PFj1BCKXrqRo0hiFkKiqCwkNscA0
dWzweETF3hGFxxBpMyu/pbdbqP/wOI7Q//83Fv8PHtfC5dcCjK9pomwuBgRwq4CcTGl3omYoit5z
nHsP50dzYs4sQ9Qp8iiMRzQXkGn2DtrvMSEUJOeN5wxClOWeD/EVaG6KKMKjwSpqsCBmiZUjVHGQ
A5cJSpUmde+WAnl1vBHB006BcgFHbH4BEZuipkrc44ieStpM3TiMlJWGYkHiA24yV1ep6vWhyOMA
fYFfqXkdQsQ5PzJp/tbHyHamTJaRZzGBmyO9fBwwh4tXoRer4uoxOR21Q1G6zqpNaN1E4Y3vrzoa
v/oFlPbXLzbjo1WIDRoMWHEJcpd9WpoWoDmos49y3l51WYP00ur8yP7gyo9HNqvDmMCxIQmgFjNr
AR9AwQfMvPoyJHvG28tBlmXTuYMr2IKN484qd0gvXcuh7OjQnHWaFfxbV3KYdJtKiYO+te2tDFdz
2wtUgmP+y7wj+FkSVQBg4oauLpdrYSZtWOn8LMnCm++1MS+oBStfcegEYGZlGX0cCW7E8biRrqFI
bVq9Xa7mcXdu58qO7FAKsklN/zNuw8GRyx0coDPuP6MGhOn4LuQu13SKCztImmf76GvMqHzIP4Yu
IiD8h110+DWkvkg8M5UGpA636NNIvju7nNQOOrBr6da7EtKdbrd8gZfAfvq4NOnylx28CD/vu4PF
0IkRooER4ZGgxG1LfsCULNv+uEPpy/YpqOJwt/XWxdUvoC12Zhf27Wh/9jaCEhc+vzSfFccTYUoc
VDBXYELpnPTHv6Sm6m4MFQZLat06pSRik/kWabpTzQKSsgqSvEA4q3uX69eacgoV6W0YGTfnN8eX
YwYWC5Qf7hhZNyVZXtKL8hTagDVR8lSQzgsK8v7mEdO72ukF6V4uI5dW1O35mH+4F4uRs+dFSZdE
HBfZB8cj13EDRQtIorWCEn1VvhU96WOt9g+4kO3HTF7RRb6loUtlW0O8A5bY/WAiCKjE+6ycrmrf
vyn84fHCrzrxPfhVCMvCUJmZMPPfP1gZVT3S9YQmZnvNz7xQdyJJuxapOOjkNyaOJv6AZm/WooOW
3AmoS2Sp8lNWpQskmZMfxBKp8Fhcy7K5+CCGTLfXH0BjlykIXuT1LSvBURWqqyldxRTuwJP9Oj/y
L1nAvAYOQi62hFyN4D8yQuKnUmhUyNA+6WnWtlWPLtKFI//LqbcItvj2SMGDne8J1gGvIs+jEW7w
/jw/oi/3CkHYWYYmq1xmfMzjTwm+dozaDGkJcdRWtJo2+GVRHFIunGVfzxILchGuCpzflokS+nEY
3xCaRmgU9K41837MxE/d1CimpfULmin5678dk4WoKPBOAqk6WdRxsCJV0AXQDM8WQvCp5Ni+0r2y
ii/kaV/XH2EsRRFlRdFhhc1jPtgFGMzJXTNZHlJc+Jyv8ZJVEQxBUjxtvxmF5pwf1NelR/4pQdKa
KWGwwxaD6tHRaKzSp/xKVFsN223ndSvshx8wwcEOfroQ78QXI6dSWRKSyF+XuysMTUrDkuxB3f6J
btNtMjSPcPptNfN350f2JRIXPGuCQVlMIgbVx/MozL3NLNIR76mNB/5JJE86zGnLSDHdAKmM89G+
XKpc8hgazHkppF0okMfRxGqoWgCdbGFUN9QnSfvsYRhlIj1jY5V235CQW52POH+ZozN8jqgaLBFs
cFRtucXQVEhjH0tvGw0ZRwurVav99jCh+ddReJVorHe2MlzIxbioS44yyHjFrobbofiuVR5FnAtX
4IkvRQyTb6WS/IpLd2/an4WJ6S+5PH4XVH3U6tpA5Kd9PT+U2QFoOWMMhL4iGahs6trisdU1yKhK
6LPaAMWkvSKCmSqNctgmgxLtMKH79BRUE0qf4mTRZVfxCJ2v6ptiJUfecGF1ftl3KMRIOsV1hKzY
Dvp8Sh/s8h7hV2swJA3JCmo2BgDzjZmqyvPsurKlZkLlSsUq8/wMsL++TgHsvZnGDBabdbq4YkuA
fp1SQod0XXfnujfu7ob/tp7/WK/t9XZr2/zlZr1e89/srb1p7O1mYz9u+NP//48O0+Kn/Whv+Ntb
/vrIP8c/u5r/Pn9y5j8c/uPOf3Ic23UeHtwr/thdEcud/8T/Ofwx/yPzPzr/D/dj9/rwuvvYFW7B
/9rt+ONjN/+/8Dt3F3br1xWnqCIses2wYCRR1DmefbWlDkqjEMxKY9lx9UsWp7UX7z39+fyEf/3K
iqro7B2Yt2Byl2Rlf9TKqWpkoHSsuq7oYOBpuxTgUhE6hfV5PtipQbFJVVFXDZW4i0GlStdjwkgx
LU6Ke0jSW7jFAGj7fScLV+dDfV1GCrKkuiwyMB3W+jzug9WLy3zUTX5m2GmClY33WpeIQdW0mOR6
lTW/6Kmfj/f1rFM0rm40CnS6sGyc43iBFCuFEiHEhpxjtRO9NHFpuufXg4AS4PlQXw9yQlmWJkIr
xjnEWhwSIcovqlbHkPE6M95KVM7tsEPgZxh1ZCZp5enXvjF2O4Alrwa4kgvn7bzvj091RWOlzMeh
IatfVszQjTEYn9bg3YHmpQAbtLw+P8CvdQZS7MMQi8ksJLM10Ffk44XSLK4ljK425u22Aj3plBiu
rhQp+4iFrnT6LLlTWrH8t0nA/Ass5BSod5AF/HkiHiyfNPG8QO34BRINFkTCpH0+W95mIyaV5b/f
6nBQtVmplitMXnLBwduPFMFJd5MmcCXhWrRuUsyvMag8P60ndt9RnPnyORhTJSBjN0jEoV/s9tKN
BygEmRinTC7clqdWiCXNAr68GOba4XEgtBNjv5UAMpS59FAW/q8IG+nzYzmx3eCzct9LPIslzsfj
EH0QAxhNeB5WoDrtWukcTR5QG9PKC6tdmhP0xXI/irRYiwPMcTNAl8tuVYht4f3Ewgt+NwICclrq
CBV1vva9BsONnNr5MUonzjBC42JiUNzlvywGiSbe2IBK4+EtPYc+IpbXqnhV1ve9vBFpS6vhPu+u
xWFTwP+sHoNqD1amtdZ4W0/5+4XfcnrC//6WxTSoURN64bx4+C1jvvGb21z84SEIomh72L26tgmH
p8TbIZcFvGClx+txvJAbnFhWpEa6DEiTkpWyvBKlTldyvWI6igphPaUtuLCAIJ0f6IlNoiNoLc3y
NpRdlsWOFrQ1wgP0QGCWfcrYDwGE/w0hdVVi/PmvQ80iOdg+UlLVeV8fr+HS70u1iBXsSI3qrQvH
h6LWdsAlf3lx0V6I9fXzkSLrZHSqqlG6XfYKhF4uSwR0WMWKsClLc5abg8xvff+3QyIML0JZpI4v
gco8HtLYgbMbNcIYTbcPBuT4VKD9+bjiGX6hQvTnJx9vzPlomWUJAXgYsLGPY1kqCllFF5jceKP4
jpQ5viwRRASsdNJrtbLAUhZ00ra+rAj9W9IUZbRWIjqSKzpO5puqNENE+3ziBkMJtx8dKtvh1hB8
9S7hw3i3XlX0vxMRlPoeXg9cE0PP69TNU40XQDPRpFvTm04+Rw8moasj1PyaKL35gD9TeM0yGhqS
9L7DAaGCJDZgFUgdr8iSDVJxA1ivIKxeDH3yn+uwiSAUFc02wmT6t2dEzRZC0BBdODS/biCSecUC
Y2EYMAvFxdeRtaqrtShGLTz/rqi7SP8v/v08ZqmO8TnJTRbpXWFBTvVzyG3jlP9swDpMvfH6rxcY
Ij5/Qyw+uhAJHbwXQohQr+hR21FvOEbrNhAqzkf6kyEu1pcsztUU3q7K/FA/Xl9oj2bikKC0rdm5
/eOferhyB9rZxrjGDjfdGpEJN3V+92uYgsrKe4Knvul3YODt18IV7c8P00Fy0x2vL91+Jz4kfQpK
f8p89Sny4mKYIFlERo10aqugXSgj/KNcGv7Xc3BuhfwNsTjvm6nre2iGeK/6yK2m8eA7US72VxOq
E6s6F4fn89P9p1m1mG4KShKZLYvToHN2PN3IsU9xi/IpzALd1pUCT1XkUhGbFJATgaSxA2X1jDbH
oxoNjhlAXMIBPYfFZUCJkeTo4fzv+fou0mlCIjoAm4Gyk7ao21nVFCWhIXhQxdRHVfUhN1doF9RX
EUYC5iRdeD58ver/9PFkCzU1iaR6Md1akYxKGQKDTMufISiRyPwow9qZytso2hryhQTt6+DmCpdJ
N002uHr+5N8HmSDvTQVwYEOt2pyuFMXD2Y50pu1uVBJPZfL+dTKtIunEt6WDRy3PXGxaUUcWQ6ot
zNBrZIHbFT5Ka2NCySa7EOhL/YS3JeUtALe0d+FALyuTIe33XK5weBOuvJv8Xajt4VFFUWLfu9o9
iJj0UodmuU3+CYjABNVQTaO8tli1opbpqoQks2a8R8rngOlL6d3V+oUX0fKD/QmDOh/vA5ISa9kZ
b+u2B4w5JI4v7Ft/K8q3Ccrn+UOr/zi/7L+ku8tIiztCTLW8DRoiWVKxmSoLrVOrwdpecS25oOXW
AQTIcUBFhWWo649C+3b+B5ycUEbI0gS7w/o8ntC2MqHYWvOEVqBM0F7yyxXGT5r/eT7OMiH6Z5x/
4yyOG1MQEtwsRGbU3EXaDrqScOm9JZ3+an9jzA/5g22WSuPU14BSHfFBf5C2Acjrh/p3ih72lf7U
oNX34iHo4oSu4Jqr88Nb1ggWw1MWNYJ40AslCJnGoXsDCmSXA5RO+DYK2Uq4lsdbUbk6H/Hkh5t7
lRKaQnSTFwemgXVkL3lMaJp/qNgy6NJnMLo+/knn45ycVIVeikF5jD23iJOOIVK3Ggs0nq6q6L0I
n4V+VRd3mrQ+H+jkgMhVMarBpeYLvCYBA425pMxOSIStXn2aVvcLn1yYBJfqHZciLfZcBb4MFzki
YV9nmWs1fVNqOs5+fGFRfOmr/1kVB0NaJGhiiR2M6EkMqTRvJu5VRcf6Joteilp9rGIAtSL+IcGz
XLxin3EP9oTUeFr10N0TxHzhrkx66BhltFW74MINeGkSFpdEm2ilDp4wcaTSxbKtUG/EwK2Ex/Mf
dXnP/pkBLjzoubN1uLJYPT6MEFlCH8AxB2SCPjuwmtGWAhb68P3H+VBfMpplrMVnDdL5gkJcAlxF
9k3eZHdBt64d0/Ub13+2XLhFXuTkPy/BF+aJOkyk/gkLVoDHkaqZxuIjq0hN92Y8b5DhDgfFWfH/
/MBOfqkZjPD/Aiy+VKwIxRiXBCip3kawPho3KZU1ZOrzcU4e0Qdx5r9/cHwaMpp4OrrQtI5+hOlk
a9KDFP88H+PkaXIQYx7rQQxBRaUrmWOMyJBE8TdkDpxYCtCWfzSrCw2Vk/OG3wJ9+xkXNmvmHsbq
/Q5Ox0gsRGYCQmGnIzqDeCHKyRV+EGVxsQVV3dNf4uQP2LI6pqC0afNVi0u9t1bN5/PTd/KaOQi2
uOFEP4Ez0hIMFTDPXBn1qurXlvQc+E6NM2X4/Xy4CzO4bI/BxKJKNv5JDr4BxByKTaA8+5capafv
bWvWPMa7h4xyMSq1wCwmUOZ7O90Z6+6buPJtKCVIK4z3mV3fozXx1Lrvo21euNtOrvi/gY3FrS0V
OdBRfA4dNLlQVYgpKjY3yDdsz0/jyRPiIMziEIQAnRQUf1kiwBLDILPlt/MBvhTw/5xBBxEWR1+p
KDArWyJM8qfaijZksN56VdVHuXwLZG4V6drML91uJ/fyQdDFwQednL4TEoAAoLnNgEOSjbtxGNj0
GlzF+GhDbR0A6IfTElvfhxD0VPuWi9lzB4VxFpqN1P7l/EScXLAHP2lxVAotMmwFrAyni3rbMJ+w
eamSx0rYnA9z6oPSP9BpCIOUoCp+fLKkBUZL+G4kTiO74dg56XQJFHHyZXUQ4svW00LfzAODfPk2
Xg02dC5vjUbgpl3HH3jXx5ceVhcDLhapnvsiOjAEjPbtJ5yX626HRd9Q2dOniBetLazPz+GpT3U4
wMWShd4IrSw0mcPubRDdAUSG8U37t+XleWMcRlmsUSyHCl8pGdWY/AYrJvsoAA0/mkuN1lMHCVUr
QNRgOymYLBaE3iN4gt0AyTiOHTw4NHU9RZfgx/O/ZJloHARZnlamjCg4BqHkASk6F/6TBQsuejAr
u452sAsoftYXzsdTd9thxMWaECFMIMdKRB3pRx+6P3scv9Vs33/E2aUW4IU5NBYLAp+oTh57ggn5
c9ziwviifD+/5L6AHP+sBuD7QBxp8rB1j/ctyDC1GttmfuzWz4Ze1ldgWdZGiaJKLsV2jAPMZqhR
FQnRqrw2dTTr8hLtm2hlhb8o82Kq0a8VzGou5BCnTlIw8mDJdJEW27IjacmtGoh5R5bcAbtCdczX
wZQl76Ay0BI6Pwmnpvkw1mKaKz+Hb1cTqyiBORuyM1W/1P5C6+jU5j4MsphoUiLfHFuCZCO4RV/C
+ri7TbFanxT5wjly6izGRYYKFPUgDez68Tcl7TODGg1nB84bNtKol72fn7CTH+cgwDzWg5RVjGZ1
jZQAvgSXGBPs2bLT615zdSVB2jwf7NRoAN//IZpIlJ4Wo2lNdRRxJ8JLHd/T/lfZX5itU1//8N+/
GEyJDxseZnCwrSkArVi7gfHcDOmFc+PUlB1Gmf/+wZRlCjXONJpHEW07dOnElSqB3TZ54T6dn6+T
44H7Bg6N2xiU5HGkpMen0sy5iUcV6YgapoK3lo0L58bJj/I3yLJ8i0EbYjKwCx0PWrNpbILu0u07
T/vyaAeySmuBpWwaxmIYqE73+YAkAwSxqwnDQZDMcKb/m61yEMVcpLuZoSHoIjMO2V+n0ufgXeqw
SqdniguQdq4IVm0xDgTNOF9GIug1SH11S20BhiXeT7Homt62qN7YoXGzKRCL6NmvvDLPr4fTE/mf
H6Avhhghq1tBEp/LqQhNm7ano/Twbei258OcXnZ/wywuRl8MpVxCz8GRcBs1uRuSJzgd52Oc3ETg
8cC/Y2pBV+x4aXujUstdRIEmk1+16kkLt2IG3W4VXapdnrrl6ef+J9DyTJDzEdkRymFUEeX+pu9f
RuFKheWH/2J2dX5Q8ny9fFnpB8EWR4OKOiWS9wRr8EhdG09oi2KFZdPsv9/bb2+TY6/2q5VuXynF
hfk8uTYPIi8e6n1Oo3rESA1bhQSicu4U4YVrXL4UYrH8o7SPLH8ghHKHxl/9KDjCreCUG0j7K+wU
t4WzsoeV/9S72Yu696HynJ/dky/pg0+5XP6ZWenBBKHTMX9IT/5t/oqgR2NHT7+FH/W99HDdumjV
3eir82EvLKAl5h5RZLWecbSOjKlbHW/KeG+2+xJNnPhHot//+2DgKhAhol1B526RWkw+BmXtfBgP
cY46P9oZhrZtp+qqliwnhETUVMXd+ZAnjzVIC/TwYIfJdOuOt6LSeNBjE1LTPHQ8BQpabCuItjbC
nVduNewQPVQLkFMrb2N5b8RuM2wu/IL53Fpum8NfMK+8gxtVQLZOCjt+gZ/fyoM7YerXr4vkBj2I
ivWF8CEP3v8mJnWzuQEGS3RZ2NSsoGlCtJixp6DMhAFxdh8W90K1Q8rK8XR0pXOc9vxLa3iezOVQ
LRGDGLrBdKf1xQmRmGaG3RthrUwRPop4ogc8WP0O+7R0m2E24ZjGlGxwVR1w3IsUHiRyzyPVnER+
WWNuuraPL+zsU+f93AykP28AIFo2QYAL5nEl+6njVY+18pZgJBN6+YUJP3V3HQaZj86Dbyxn09ik
XoDqqrAyg2vdvCNdivoL83vqjDqMsljLyTgZnSAyFN4ZtlEqKHtfOOMvjWOxVj1kK8QM6TJHix/6
lKohMdABDC7Ba05dkPCXoagCTKSpvThtY9Siy6KKAAX61SvSsvd4V9wq+rCDGbap5ebCsE5O3N9w
y7M1TsMIL3fkZjoNdBHKphMHz/ktd3KZAYMAyWUhhSsv0goMYbTOTwlRF78UEI9xsOr97+djyCeO
EgPEP89gDjTW82J/pXpSdWJZpk7v4Ki7xxfn2v9dXQVv/kPxk5KP8mgiyv6BItTcLc2cPNvGb+d/
w4kVcvQTFldxq9c+ouxF6oj16CGaVMTFQ5ALyk+ZN3lr94OGavr5kCenFqQHdwavD2P5UCgpmmfW
hKKp4Cn26N2W5icAtQs7+OQS+Rtk+VAYaACrWPFy/UIfrVTR4VFyfhhfMKpzCQNqFlQw6Aqs/cUS
yf3e8zOPcUBIxRU0/RTuwt2wK9bZjqdpuEfWm4t+Wum3wfWl5XkSrGABZAE8zeEMuOT4hMIpoTbL
mp2NxSZgdNKLfXxT9k/xNnajTetfmM6TG/zvqbsssyKmqEoYXKQU7wKsS3+1An7o1kdW3JeXekUn
l8ffUMtyq6SOJnKnjAxhQTeMJkSnAlce+gu4klNVVpQDTB6qdDuo+Cw+n6gkntKpbD5UF+0ISTlc
m7wMTUdjFRcOfH/bRKVKSu6VqlnPLiTnl8+JTO0o/OKKETs5wkyh4oBR1wL9KZBdnWvhFqGId6Jw
4dI81ZU4ira4auo6zWPwn4ixKo8NNQdMniskoYzgtcXYN6MKt/fQgD4/xBN78Cjo/PcPblFtBLna
yMxwUNwVfk+mf+mNeeoNcxRiXkwHIXzFxMI5YVyC8OBp6xolGqx6VPFG877FwirM0Lj8UFJhjXFs
EL4FUet0I/JGo2MkyOHukF8X/e9j+Wx23ur86E/POSwVNue8xpbelEoYp7PQHV42xWuKYE/3rk3r
vjA3afWsYtXQqS4CRhcO11Otd5DO8MfgVXLGLolGSqjlCe5g7NRr8bf6vYSgfVW6mhM/a067w2ho
1QPmvzTWE+cDb3l42RB+afAuS39BhPaSIHONDOtxJb97P+TV9Muy03zt/85u9XV6hyioso0eLp3C
J04LAiuWqBhwVb64CYro5GC6h8owagWR8qrnN1GzPv8hT46N981M5dTIvhd7JxFEZVAMJPhrWdkY
wy85WY9+7QzZZog250OduI1N+GH/CbXYMWVAiV/PCYUgaCK4YntlZZvxkvvjqX15GGWxaYqhhFU8
ewqY8QYbrxpVh/PDOPlRDoYxD/NgV+Lpk8sFztVOJDu6/xKikBxewMCfugAtCKP0RGARzKjo4xhB
UAkVOpyJY4TiCmKWbeIvFP+MPTeEPoqUYozPgmyDCLgwuFP7+ijyImUSlKSAoUHkoHzAsyFPwbP8
pEI40awo3IpO3aUa18mQiKGA7gS6Q4V1MVgJJ5hE6eiWUKpJkE/3byTMC+Nm1nqzIwDgwsgj4sJR
cuIrApD9G3Q5TtGMxrggaDbd5/q9KH2irnN+oZy4BI9CLLKYyvMnpcQOBiiiI452Zdj61v9f0s5r
R24l2dpPRIDe3JLl27eklrkhpJY2vfd8+v9j/+fMrmIRRWjOzB7siwE6KpKRkZGRK9a6B0Vvrny0
D/Dk7Cp7bmn+YlchmdFJIpaUvPusNcUphCk7hNiwQk8jqpVNrfxTxt906RMqUoV+n/T+VjIB34C3
R/LI1Pxj0Oq7ATkoT/8iu0z8y+8BEzkgKWFLS5/7TnsKkTy5vUALCeHiZ8+LlKD10cDiZyPYZsvZ
rpPeLECT6fa2mcXvwJQVwMKJDGje4PRUH1LIoaJ3r48qOrpW8oPpdR1VClXxqWY1Mnud6hPLNGzy
f1+rM0rJHC73ILheSH6XW7mLiyStvQDYVvwpE+/SeMW760Dm7xscTpjQJkHfy7+fwKUKIxx/HyJT
Gz4FJxSjnSV+u72GCxBDzIDepV3CYx22Ls1MqA8t0yKEhYLXsna6aCcq+97b6DBIV+6TNm6K1jas
+9opPmsIxjgOgrTo56ylxiV3YXNCuRyXYayaxUzt5xL6bbhbwK0f6ff1IOyHRl6DS18fi2D1+Q+T
2sz9ImRz6W4dp1IR1wWdOKjvP4vQRolvycm9Nx600kGl7CH5nTrJXXwyVvLSQtGHZYP5FLTLmQae
A6VHEeXWXCQB87pgyY6f1OXzAN1sZItxXT+WdTG2TpAp1UvWxyk350QqkaRFR/FZojUFm3VcBXDt
WpW+UTpX3kL634KQ15sErlQ59jK7LiL/s2s01eduzPhsihiZBxnVnJXa4voonjCpVBbTJDr7bh6a
bsaEnD/lWEPfWaq7Kcq/HHiY5pTPLczO4qHgHR9pB5q02Uvr3o1wu4d3VlTBPvzp9ga4TiJYsmBW
hTaBvsmcZQPR1BKazo6u/vgI6FosDq6/TTtbMx1/Fc87FV2X+fzC2HwSvODoKJEtAVFYbBA17IZ9
UmzNaCt5B11FTmCTVU/QWWfuwVTWaDemjTy3zdMgZzF8epTZs9O4aJJYV8OSBobq0VDLjWYbMwDm
GAKcoYWMFEUZc6WKQ/dAXbyGQf1oPV2Z576qwZIBJ8y8fyK5McMBJck6PMo/3J+Knd8LPCxYjnp0
N9m3lneFQwcZsn1KntRH/8/fw4XYfv/a/yhWzqo7AVK6ElZiNn78j6ffucyDuV+1ZH87mhaz2JmV
WXrRorxFNw4rZvUaTeqQTP1KX27bWEphBkxzTM4wHMqt6TKFNZURVrnS0lankSE32oNvKXsdgRy0
VG1TcFcS1+Jml5nvgvcKoqI55qUqFMGTGlwqU9OxStmW/Z+3HZJX9uCcNc0VEoj+VLZF8Vi9iNC4
fbGcYdvtf8cP2uah9hnbM/ZfpYPtHRHgYqAldwY7dUyn2yYgc1eql6VveJYRLPlyfUVVA/E1ZQSx
uC950bSQxVpJoEt78dzE7HKW+5brSiMmEGprkIcE8jhuupqXRdQMnSo73F7ghfenKe9wvNM1Jc3N
u0YoaEQqZPhUrPmuqp/F8RsaKGb1NKBEUv8xlWOs/siFDmQWQhviz0pbaVstxRD7njoGhDt3gdmB
4aLvHTYoTSOAUDkGT/utvLLxFi2g30XnQp8mkWYWkPWFDkyfILIKXIjJg4hA8soiTt99nsGYW+YI
ZycwkDCrlEpUQKGMZ2Cmgxddv0uGV8k6CNGDV28zZBisyC5gPCz4Z+X5cGl7nBmenxqR0Xp122KY
YTULbR3lV4iSwPClyk/S32P42en/OjnfiiEqKVI+OZl72a4afuajfBLQALy9lmsezbdYgczGMA1z
+Ypi6+NTnN5xCXH1X2J9AOi8Ym1pQ5/7NNttDbC9KhInn8BeGT+q+hR23287tJSTGQWFYgXyOEDo
s9hAvaQsi7oh77sqkJUy+BNAkWND9Tygc+khj6ZXsnPb5tIiTh26ifcYusk5pUYPm3hgTUC8JPpU
14htOIL4JZMQuoHH+/NtWwtLCKGFAcWnBMQQxtXLnIjynpQJOrZqi56vrOqf81pHE9II1mj+pr80
22UwSKq8MHKnM6R5z94TXe68JqkqSJGcHoJHL3tmmOlRkJgwVh59UdmZGuXxbf8WnkWYg/vX7FX/
vm84/JDqRr/dOmRpjIKIsfGCN2WATV/QT1X+ufT8uxbBWwpexwXT7UwCmuGI8JzxRQ0RE2lUR5Xe
b/+weV6D1wJ2W9qwYPqom+Z5zYtyXZAbUeB2H7j3YWX80431uNKWmn9dyZwIVCnKIEqbKDxnFQUM
vW7moZJiq+3PIBPRXjN2gpKtxNB8j3xY4RAwYZnD4LyQiHLktQHxe05eSe91nu5dZKl7wbDstuxS
R6rMlTNhyS0arAaAangBQJRdBu3YpEMrSAgtG9nnNEdrOjAcSV+dYZ53OyYiXoMh5on+VIWub/oZ
Z5VlLNMtz4TYd+6+JTaU+TY8Zu9fna3zsvYech0MFqebCpgC9IqCrUtLPnhPF9Z335H35QZGtf3+
vtrENmRnt4PuY2XONyEuXRiafsiZS50i9wiDur6DhNcHw3IJy3Lo6FvK9o2Ck9P/eDy077592zxY
24ennX3sJ8f3z++qfa/aNO+3+VbbvtvPNA1sajb76377yTm8/P59t1axLXyBi587+wIIhEZe6bEu
ggGyMmjSYJ8ym7MFrf9q0EFbASdfxZVFCTCBRWUqKZi8Z5+h75DYC3WgPGUoF1tdy6IDRAPB1uug
6rj9Ja4e22mHTPQCWOPeBvPnzDU/NDWpraTAGbzdKEFgkSJjNb65cXuoorcm7hGcukdp886PW6Sv
nARBkX6vJ6g5RuJRaB5L949hHLXuuPLDrmJx+mGmqnMNEUnV8908lkMXFSrTpWOKPDDcaSHsAFZa
oafkSXryEA1ZoDu6XiI0Fgh6Ux+yTNaeeSsQtmJQNu6B4Q3PP5V82QE0lKts0IORXzrEZ9pN2Q45
UtxCL9yZYpCqjhTF6E6jxg6tS5EUyrfGCJBJgco3bDa3XVv4vBr9GZ33VQoh+Fcug192favsanQZ
uupeY/RPHiMUTVe22MLyQVvEbVziXFXhE700UkRFLippF8GF0hw0tKrImitV/4IfuACqeUrsAGpn
YdqMXqPEJX6MgM19X9xVkKOKsbGSleYH9v/PFeYEPJ7GyOeMCrErGLVZkCt807UV9xuyaNuognik
6Q8KG0LXYgl4pvb3X+mDBdGkd2NMc3+zBezrtAkVA9GH2tpIzWkEecJM+4qVq8xCETJxLf6vlVmh
OlijNLYhVtqBBgX83U3v0Jlk7mHtZX3pa3Ez4lo/gZ95G7z0JxdhHzBz+p+GHh0FhG1UtHbdOlg5
E+dFI/kExtWJug7kE7DgWVAopeyqde0DRVfBoFVoowKOOg1Wg84qC5kDumyaf25vqOuDfzpN/o2Q
6TednSY9rzUSVAPTkG5/QtJrJxbGyeyKh76vd5DWrATk1Upyw7UAW07VOA36j27Dmbm8kVO03/3A
QYjxVBUisuBDd5fLwgqQdMHONJhuyVxrUfWYj6arrlYV0hQToRnZGkLJjXgfxd9ur93V95ooqM+M
zAIQjW3GZ6Eyc/qAZCF5+XFqxagdVDMQg8XuP35ffrpt8uqRkmgH5US9SamhSle8bW2Qd4i39QGh
Ebz4nbxT0Z/uS/FdkryXPprOGfEryobw2habQI1WUuNVuLALZBF8mQqLD+D12U5oQIzGrc8QUye2
UG90xrvF5MHPQmkkR4KkneH1dPhy2+erZf7YFuAPwEYRMnNUVO2W7uAZbAsrgCyqvU+6Yy69lBkZ
LXmO1vb6QlZRCE92Ok1uzoBpBc4iNHblthfEMgSvkyj3sLuNm7xzc0ccW/EgBZ5+uO3doj34P4kj
KEivDpuoHFuGDVA1svz4JNffvUDeeWxDdaVrf7UjyCd8NQoVkguEkjO/gjjiwS+o8GsoHgmU99oF
WyysDbEvuTNRHVPYA55AT+dy+agoRp+qLnTi8Iek/W7bna78zv2VnbdshScB4Gr6JAx4aSUIRMlv
AlCMnnisx98jfANe/xy0v29/m6U1UyF4g5+d6xe55NJMGNccoK4VOCFJay8EWnJKCjXgyS8Is5V7
3lUTnuzPvRreYKpG7bqaDCEPzoyA2V/Z78S3PjGs1k79UHrpBxH1tQHxN9kWBVn8VaWdsUt5qP8S
IxbNfghF47lkDh346sglbg8Pu4gamFi5vyu37D+Pvhe/G0alHQwzRZ9uaE3juxpm0kqzeGm9QFCL
ZAhRgr53Qqee7Z2ioeLrRDdwGnXYuD4qlVZ2sFzr7w9+5dzMrLxIZTeCcBYzqFnthv7g1SJw5Ai5
9bfb338pzHj3pC2KJoIqfUxknPljqYWcjyr1ZZMYaDSkvap+lcyoeIXWS3kfdZ8S+7bF6/xOA3Yi
YpUoAj5Ol8slLDVXjOj0Rk6IlK0ibZh0GnWGg/iyO0NON0WT21a59dOVNV34dNjl0WJKe7xbzNZ0
LHyApzlyjx7niRJpvHYJG8+Qtrf9W4pyaHHgigHlCqXlfAZSr3pLS0pa2S2MGl7uw4kDTc+XiVeM
Rhxsq3WwLdyT4u3b7A0kbG9+KkXHb3/m+Z06yQhu++YJLszbP0tlVS/u1Kw6D+00wLk0IsMwq7z0
qC20ANFcVN33SEDbEmf4bQtXgBu294WJ6SecxVLTFyTlChP5OwT+aspzst2ehm/dr/77Gmfwwimt
TVUk8ywwvHI7ubRljUVfxBm2TBLjgE5t9VTLqp1Vm2qNzH8pbijAaTtOTaqroUDP0HUvsAouMl5+
QGJ940Xa0czEleVbNjOxCE7XezBzlx6NnlopZo8ZLxsdHRpuLdJtU1lp5i+sG7ucqxLgEU6WeQFe
WaFCGu1D8EkRSt9iKzyQOn/1acWcFfqVAPa7YqVhsZBj1A8GUQAP/PsjIZzFheCaQgEqG1XDTrkP
i85JaCgOZnJwu2SlKF4zNQsLc4QqtYggRIyytxwxdSQsEe785v8tzItYuHBptpsCUaw1JcUOmpAb
r6q2Rh0cmlH9+5igBua/ED0y7TCv1MRALNUSKVNWztw0UvnoZjkKvOXu9s5dyA2qRS7WP5DdOHYZ
ekpbZmHYTCr34dcOAJO2hnJYim3o5yGXmkigoGq/NJC7eeQD0Ywc3e/+CepklynAx92/5qmcThay
As0GuCyu5K9ErTJ9QffoasTZPfy60JWLpyb9Dfs90tvDysdZ2Epgaabb0XTjg2L60ikYVTU9U4Au
KaZ+J9LuSlpjozf4B3zYaFe+0cISYo1jCwQDwzVXHRvXRJhSQwXWG82TqEE0ampbuVop0Rb2D8zS
cE4hEDhdKmc+NVoXCZaQ8vic6fvpvhwmud0lfmWn3d9X6xempp9ylhUCFRVxS8eUUlqf4zJXYjvX
gIOW+lCuwK4W4htT+KQQE3yxmVdBmwU4jSmmdo7mYDwN0hrAdc3EzJtB81svdzFR5r31OnplyLXf
815vb9Tlz/OvI7ON6g8Iro0WVsxOsEdStwox6qsirB3li6FN1qG9TGvritGqKw1xTFHXdIJC/TTJ
GrSWexhlf1sM0YMimGt37qX775Tl/sfeHGg6mIofe27G/TdHFroq/czJWs+wPbn47rrmzgu8vQ84
+fZqLloF8Te1DrkNz0uiLva0ygsA441ZfIJuNo//yAzgolOaKJLTmCvmluqjiVjgP/Zm9ZHcpUYl
FNiDncUZysEWKg08ieh4wyeAsAkNTG3YWuH2tptXQzscVhd2Z+GvSrknij52JXfcK/5OLV4G5XOn
7mu8hZw/qwZnDNJdUx31tWp4MZLOfJ7tCx1wDXL12OaVjMjRNVvshechBowNWdKoJSv1zeTLrMy9
8HW2Q1QmbRM/m3yV7z2JGd/K3+kglm8v6eI+PPNqiqyz3DXmodeUU+QMlrXttfpHx9gfERsig7MG
H7hi/fn4fHTDGBSlvGZs7tJYXMdeW6m03WpNgAmwKe28MN7T6aklcD+Hh6yx1eE+LQMAl0dR2/vh
T1fXndb71mYr+WdxdU2LWQv+uZbRaGVUOpoJ3d4HENOawYmqwbNj01s5GxbX98zOLGoUs+BdYkLL
CbK06UbZEWqZivVH8F89hBB6tIzohIGLnRVyXkFlmvcTckIYLFvJrMJOrGylUlhatqk3xdzhROd1
pUShiH0i+hPeqkdOmwuKBIVwU5tvfx+V9A8tesJg5cy5krCRt4IPKzeQ8FBPP+uQOh5BfDb3PkTR
b1qyNgW7dJHXGSPhDYmWLbE5a4T5bUB/mJlRJxaiTVsfaVZl7Xed5v5waoTYLoyHuNtU7u62m9Of
nW9xrmNT7cU3Q5r5cj9kXaq3jQeehmi4N+tc3UfVINpiplXPZn3y47e+yUpYLP+y9QMIkeF54p6d
CA36HISiBXljWgLz7VFZf+lddGRcOdykzEZsbjt4dVBMliZuCAQ4UIZGHeHSw1CT/JgtQGkkWyfF
DD0Ex4utW/k/kJz/PVrym58ojpylzxJaoreNzwsZmRuuTj3LJdFC8XL+rGCMfud7Jd2YQr+Thxzm
vjWwy3w3TBZMaPJ5rGMtr17spnu74TcAIXK0lOxB7MJtVCcW4ZKvjWgsOfOhlMThTrqel+ggWmIh
lo3Uib3c1rTn1amwqwfyyRn66ACTiEeTG9Tlp2pKMYpKl2HQXquQ9nW1OyPR6p0whE++KDwllaqd
XLm7lwThZJrlUZCzL0UxPuSy5zGSIu7QZH9OlUjdx1p7ypj6dwVVtj1RWbtAXJUBHz8VIBowZIJL
n0Ogu7JFsD2itCoFfZdLyUHkwWHQ0bdvYR7pfXjiXEfs371R24SS51ht+Zd5kF+gwzcJUAWB0wkG
frlYVe6CbBwEZvKlk0dV6ZWv3Hr3twN4Ibwwgjg15ABMys+3aRInRZIPHmLUbB63Evc6U0CrREAf
jOjnWejDF3SOybMgW69AS1XMA6lsBRnDm9pOePzVb5KfiAvDiVNU9n54L7++to75lN7dR0+lHb99
Ej77p/wH8h4r/i5kC1aVay8IIHBUHC+Xq9qERSopEQ5nfbRFTNgYyhFBnf4wFuWmLJsNZOGvUg6b
lFatparFxaapOlmf2kkz27qsFgzPYlsNrZ9DXzt9Lt3F/rjSQVrYx7j4r5lZPaClJd2LBjNBViMm
rz/W/hpX8PxUmb7nRFXF8xvdcIZiL1fRLBheTwS+p16+qu5jm35jBKLuX83qm6oeGnfllfjq8Jzb
m5WQ9VCb7sAbC5odm6x8jAabx/d+qnZOqvDDUnh5/CK0h9t74xqJPXlJKcIxRtBS91x6GbW5BedI
DJD3INR780VErF7+zriFvlE3ybHdR++/b5tcipBzizM/lTHIktyLoKtKxKdByU6y1z9IRrlybC2Z
4WYPPJhnGZm3mUvH9MIKLCGGFUuLh21ZD8eirDZSGqwE4lISJULQ+qIjTBN9HvC11UW92Wd8tif/
vt+1x8rhXfxHdq++h7a40o1ZtTaLe55QXGlIsVbv6o1w0PfBHmGbu/GRXkmPbtDtT7W0yxTgH+C9
dN4d52vYhaZfmFLBLhtSRP/+RGsGrufsCb9zC/LlVzKMXGvEBAuKZMfH+hvsnbz3AdDTpU10355G
5ydl3V+Pu2MVEWNqxQmTIc2n++VQGs1WR8xTFT9L2klhdi1ei4spjOfHAUxT8sej1lS+XXrmaiBb
yr7LnPQYPpkPn/Xf8tF6HE/ip2jjmHa1AagGjGtz+4stRT3CqBMIDgUbctfMKoK+mas0JC1GbNNS
R7BDt1eLnKsb6JSrzs1MgXN23R1SsAll3pI1nphbbDeUhJljfpYbO9obD9l9+aYfijvrOK7kDnkp
KZ8bnh0vGkMhaZ7gn7z/0WN4fIK7l7S1Uz5ldvQnvy+YzWk9BFLkp9AuvgqnbdM48c9hw3jlsVjL
nms/Z7YddSHUPVHn59TVlofmT5XT3ukb1JQ/5dmm2vVba6MeivvgKfrqMGd++1svGmeA7eNZkeJ5
luE83cysKCPCAv2uifdJFW+kDqz0JnX/lN0myVaGZhYimmdS+lXceBTU22drH7dlqVpRnTtKIAIT
7G25e6mz58AM7DiEvGeNbmUhlidsMVKKYBHQHpz8PwsyYWi1ohT7zInSdrRr8731qFUVeY0XbiHL
UXxStsGrzQP0vJGeKlLu+oHIRzRL4TR2MrMLrdavlLrXg82csJPOE/1mdg+8jZfuIO3r6UnHyIz+
xfxh3E86cLDOPVuBvdM3vdNsxpMMsf0Dzc01JomlNHthe7Zfi7AciqbAtuxU/yRv5T18PHfQepsE
qZU7IzStdv5F/Ho7QJcW9tzjWcAAGiBgYqxWyV0Pv/DawMnCBjD06ekSalYFxcjZBpAbI8pMn78v
lNtctFNgb6H5WaruGZSVvf2w1gRfKpYuDM5OKwTlrDrPJ4N3+r6+l+6Nu/HO2gp/qg2sFZIt3lUr
GWbRRQ6qDxwYdejsFIk7V+tqkdg0sv7UWP3eZdREt/5RjF9cNG1XMvawaq20TBe/GwR0IMEYVGC/
X0Zq16YFrz7yVMPXB8PrILpeey5djEjckuCh5vuhl3ppQ20UP2POP3O8BCp+9S0OjkiA1CGSCk7Z
fpHRxhifIYbwgp9xs28prtZK3yUvz3/B7GNGWt/2RaqyJ9xROEFNIz+phfZ+ewtc50wozWD2lFVa
cNO04aWbiaC5HjJnudNEnwB+6uGp7u9q9UkQT6r657atKRYuK45LW7PPFnWhkCVTfh6an4a6T107
7O+l4MFa4ylcc2p26oF2Sxo1w1DtbRLzMXS/WK7Tha9Zet/LK4fOwmVWBigIUyW4OpoE6vRjzk4B
S3TVJCrSHH4485j5XwGUOWGCPJgBn1mq7Yce7qn4k2uthei0XJfLKdHV+zdCZ/m6VCKJPUCEgoLY
Cvwb9pOjEayd4tNizc1AkE0rH00fEwDLpX+DJQ6MeE2nD5flOjcdqWdOO3gqsmx3Oz6WHDqz9LHS
ZyuplWMQ+ImUObEyHhLV3QGL2I6d/nrbzJJD4CBVphVAVvHRLh2KI4kRiMFlZ5fJk2EBJSmDB5EO
EwRUa3fmBVvMONFqnqYcKelni8fjZxIrvBM6cpjfNY33PA763igT2BLMXRTVB1F5Rt/ejguZAbpH
WfrEAMi9xytbofwqo2jF9aU7/PnvmS9xXbhBVjX8nlFzv2attFVL6aTl6SmM/OcqMbexNGwMujJA
nX27T/8621ArAeOhWTGx3M5Piw69iairPRAhFaxh0rGXgLg7MRJ6k1RB/f32h16IJ5N6hm4Xc5FA
HmYpfNS9ckjyAGsjJMXsxPjn2K4cRWs2Zklac7Motlw/d8ogtUd3nw7epoBe+7Yni2F05sksZL0i
70WpwhM12pv1dyF49OONv/bsumZldhb4udXUaoMvOjRT3n2sHGmzymtg5OUVoxOhTMR1nDuX2w84
QGgQhrkTw+QuqQcUB5nA3f03C/YfI/PpVL9vOnEsp08vPKTqU2IcwsHpm5VHv+tzhnCmTw+I0IIy
fn7BKVLDDXuDBRMqhbq8PuZKcd+oOeP6sewwwbGXO2Pl3r60fNNDB9gqLgOAxi+XL2a2prQgsnBM
4GnRYN2LSbq36jXOjIXiAzyNDggF1m96pTMzjFuF0pAXxIIuP8BgvM/cX7c/0XU1MHXzJmYfelOA
6WaVo88DtFwq3J4MM0g2XYtKV+R3yTaLx0+SFOSvkuElK/nvOsKnsxpuDN7FeECdIxY1vdKakQu6
A1j92AvWXWEpL2GpP7S+v/Ysde0fiGvKAuYW4NpCuOryQ42UVrWlUovXwaa1vqvoZzenTv3RrMEw
Fw3R06e7Z5Bc52dM4EpKU2VUw3nzrde/u+XRa95K+TSmK5vqOibw6F9D88OjyiJDizvOZ6n8ZkQc
D2uk69PWvyw14PueJnVp5oH1nD9+VWo7ZnWtU9H0d2P9rKd7wf9aeodimka689agY0sLd25uipaz
eiPz0rApG8zF+eAM4nEcyr0b/BD6Qx3GKxl80RY4GoZJoBC+UttuRyav2NUcvOJbbYYHVRtfMqXc
CmVj50q/UndcJwmZqTVxGsJjkgx+ikvPNKEOvWw6lZA4tw1j15lf3Hx7e/8u7SVKGo5XHhHh1Znl
8SxszSHr4NBtsj/a8FqE96jhhmvpbinmmODWqZ94CLyiH5MkSOMYWsSK9KK7KAB0L7fduM7hXEpI
4NwiP7LQbKkaschTeKlzWLc3eg7l37unPinhMYFrclXzbSkKzo3N7gr0kf2miTmWzFG1g+ioGS+a
ljMUcqzWegFLIQA+hCsC7PkTtPQyBGqUtVLNZ+EKSLfjcj9xgWn+WmGyaAVlcOgnqOc4MS6t+GWm
8SQMvZAlvAwWo7/Wq2D87fTXlEUpF/5jZLZqZtFNqpgYGdmc2bEK3kfpJCIfdjsSFj8O+AFqU9rT
wEQufUnzvDKiADNmpN0B+BYOdDAqW/X6H0ajP8iem6xsoUWLkNmKpDtxmjW7tOhrfopaMceRm/ye
jnM0kYF7Cl2+qbP9beeWditNxP8xBUbj0lSrpnUVZmCxi4E5+GPRMbGiUUKumFmMhzMzs7JBd7Wi
aTrMuPFWb783/msevN32ZHHReJOZkNkGbMCzRbNCXy2DOMkdWX5pw12tnUTLRbrU0YOV1LDoDMlH
RAyI7DAfaPNVN++UBGe6KtghmeqEcfKth1T6tkOLn+bMzPT/nx1DMUh5HSay3IkYDIkZHA22g4QO
XbZSOS6lUsqe/7gzLeyZnUA3YlmKsFPCcqo05ls6ev/N5z8zMdupNKq9lMedHCjfqxY8BdbT2K/0
W5Y//79ezD5/pVpNoU2BXEnRzvfuGtRvYJH3VSZ3Vq/vU7jOC5KzJZtfI0or7qpCxViTwpqmdRX9
23EvaD/0xtzURrJtRxUJ2yZ0wqw9RKP1f1vP+cy+boRuW3jYJ7028udW3bvV2uvCSpRr8mVYyHEb
RGaOjbi0Nob/JNYW6iEruXUlxud4wkLPOmgdMCJ5G6vetuZOk0/GWgNpMTYgKgWIRscF/o9LVxRx
8H2px0qXv7upXQzbNn6JXfhsorV6bqE/zKF0ZmsW6r7UBb3RYkveS7vmFDxmj9kXXtQOxmirdk/x
8NwcjM+3U8Xit2LS3GSxOKDmR5SvGhU9yJz0Kn5Wim2c/DHWMvj0u69C/szElEXOskToxbViTkM7
evpmpr966WdkOa35yewYdFVX4nuhHzWt4r8OTQ6fWXPhRJXiAofyzJYCW/6e3oGDfBD2wcbaK79v
r95yePxrbJZoUeGJs07lTlsKiq0Ezcbve4f6u9N+ZdrbbVtXM5UfRcuZZ7NYjOq+0iofY+JwSLai
E7yh+7I1HttTeYiO1hfBtrbttj4Je2VfvgabfK00W/uQswCtPK8Vi4yl9UvtAICh7b9qQwcZ3nc5
f2jl/+LGcf4hZ2kZrGFUeirW5FT9FRtDYIO02g2ldLy9rmsR84FyO4sYQ/Fy0Iusa+1tS/cz7AYG
sKcxPPTNJtMPWcAZ6h9c0VjJYJMDN/bFHGU6Sr2v5Tp23TJ6a63waPWfNXeyCS07Y3UST0NFuVKB
rHxDZZabM3esfA/mG6fpyl0iv+TTKKK1l6vvyHDaSfd+e3FX0sscdiKOURGJU3pJGx9QRuKUdf4a
C8aKV2tLOUsxMmS5Y5tgRszeNbgP6pPRuPQAD37HeIJdrd0f1tyaJRkvzn2hV7DnDg9G/Zhln+Xi
0+2Vm37yreiYpZa2iHNaSZiAeLkffinDStWz+Mp0tr/mpEG96Xp62GLA7Ou3cRBeEQuwc8l/8UCP
Dbp2F6RPeextwkRf23HT1eCWb7NEUppyIYYBpnU1e1OS5j6MvTvDGE6xGpxKS3TGPLUzSd9qvbhy
PizHP1W+wfWIh96pPjvb7KnbJI1ScxiFgurE4rsY+ns/GXfS6G6SMnwYM30FwLYYKxQQJvMBXDrn
T/bKGKl9HE47Tuu2etFtU+hzIe5aySaLR9GZmdnGVhuztMKBNa1RzUhM0ym74KkN5E2i/PGtamUZ
F+BQHLNnr7yzddS5+QVqwoOo+0Pw7eBH8qIfi4fy4LW2fOQEOoW9LX0Pj2vogMXvd2Z35qZe1kor
+tiVasmuk8ixmn2dbUpxROXga9T+V6v672P27AavauFYyQKP2S40BYCHza9VthnRKF47W5cy2Hkf
ebYlJCFNM/g/cqeXoz1KRF320owHOi1bOCE9n/qvWpO2WIqYc5PTTzrbCmri5UUc0Cuo4n8S805o
/unrL5HvOr6gbG4ns6WvNl144aMBmcrb2aWpsmnrPm6mZBbtDNf2gx+yee8O2U6WN6a3xku2mNrO
zc2CJMkMJW8qzBVUKYZ6jH3ZFswXE5TRaN2b2TZP/jS6vuLk0o3k3Oo8Vvy4NnJl+oQgmvp9i7Jm
BGBF/1tSuakOPLczO+yUzAijmt4SVHw/ItER/edoWKm9lg6fqWcuI1mMUOt8Vp3nk8bTC3JWZmaP
be6+coavHAJrJmbnW5oJuZnVJUd27t4DhtgW1drlbSnzMr4jQkUNPyKEgpdRR6OnCFKTzatAOCL5
3yt4zUPNuR3aixv3P0Zoul0aoTkVmFVPQjKG4cdYfw4sBF9owva/KuFTGEgvZrRGd7q4dABeee6E
HRH64UuTKWAD0634OtHwo7Se1Xxz26XFQD77+7NP04sTaetUtAW6fjCt4MmPeEv3MmHrDmv9iGVb
kJ2BFYLtZ840pjNA1wUSvvAmGtuGXD0PXXMo1WBf+GvPWsvx8B9b6uxTNUYfy5GGLTGn0s+/Wgxb
h2vn8IpD8+NepJwxAi6ggPBbxjRsM7SZRwn8lR26gK0kC8AfRW8C1AmM6JdBwHOwbLYgkp3hRfNt
92XTv2cnPbTdHQq7X719f0IAbBMdXTs+rYGAF9P5me1Zfk2FqmZcHR+HaaLGg3fXTwKGy+CrGy2G
x6P40HGJuR2VC8cVkqoTc/00bMnzwKXDcaqFvmgZgK5j6OE2avsC/LDMNoL1dtvQ0oUQEDtkbSBw
GROZo34hZkr1RLcAA2rNVh2SvRCPOzdiyLccD7X6hxfzR42+Vjjo96G2BgFY8hMsEXBjWL5JX7Os
pY9il3YhgBq1KZqNEsvpVppYbZsoq5FNhhyKOfZ+ZXEXtsY0Gqgw+DOx78xxB6nvmjVQY6LW8I8p
87JuSjOjWZNHXjMzCxxdSocxMyg5QFmWcmKrjWd3axN2H09Es+vFhTOzSBkja/S86SCGT+Axfqp3
CNRvn9NdX9sjDKVTI6361SK6DcnLyjoupGaG+xi0AObAZOccRyqnEF67Em9/sdtAYD7+6gbLX7Gx
gMmFWVOZ3hAQ3TKo+S93QjtqlZ40PMTpAzQNLdgvrNV3pmSmJ2FA2A3O3mfabsadRCnnyGP4M5Rj
UGI6SkeBpyV26K3cJpeCluGLiZuFly4oAS9/Uj7IYtIr+N1q71rxKfKiTZR7RO+ApIC1cuQuRdG5
sdn51PDKLeY6xnqvBx8laCiE6KVmC/7w63YqWDjcWWkeirm4sc7znJMW9GKsingthzaCh47bTRwE
wkYahGMxBNqujC3JrvrqT92vcbUvJNmLKJ5C7aw8T1sdvvnppUAbniXZkduXunqVo3u/PKZrDzlr
tmafL24LaewrbHl9d582ul2GlaO21bYN/eewtfa53K58xKtdCn6OMpbpA6B7E7/qFFJn/hUWUumB
0mi2V/HMa421cS/4/TeAT/I2gqPaThrzqxC249e6y4dNHQ6qU0XBq6coPzrJe1P+H2nf2Ry3rmz7
i1jFHL6CYbKyFfyFZVsSc8789W9h9rnXMyDfoPa5kizLpSo30Gg0gA5rmXVyJ+jTvEl6MSZBAATu
26vPbmaMEK1MdCef61TZ2h7wdzYC2vqApK68tOXbkL/f/v9ZrbP/P/39hQbyrAnVLEQ0oJA2ifBq
yC8jkgvZRjOdMug4+mY3DSuMOVbUOFfnEvCXxE8dMQgJikg97GSOH1h061ExtFsG6MkmIEjZhInc
tD1NNKgEvbJENV615Kei/BDykVTaMZF/oPCm6T3RP8nca/HCL0I2apcpRwY6nyn8KaNPJE/SSkEj
pyx9SImT+oBf6F1D/TY0O+zcuhlsDTEYa/jhJ43nWycusty51PDy6PlnCAqy4gj3AG+ZMWpBL3Rz
7GHUxlS6UukkfkWqaN+qboiS1FK475D162MAQuj2WEl2XngjGG87VwD5kPog4zEebiuAJ00+ASWa
3cab3njJx+ehdhQxtEUhsSstRPmNak8+TVI/q/V2Ak/HaNYkb36peeAkwqktf2bqV1M/W+a9am3i
SdwESFoBUDTNnjtjn+c8eLPFo5udOmPNUWT4c55i6hWcf6inZAT4WDCRUL1HIF3pSmeKn7TO59j1
yibCov/VOLPo8TgKQjpAbD953QCMZOjxGejeMLYA1NQ8Xk32RGBmySYL5mFIzCaAuAL9oe00gTlw
n4woBu5tGdWn+vQpmrz32MrWvZwimyiIyrbXhbzXcMHWQR+FSJeQkQhXmdvuaEGP+M/cQPgC9CA8
/llSBX+afD3pIGeaRzu1MlL7z3n6ZWl7qXs0DPDGWs6cOOX0NtSJo0uerHwihIBsl07kbEBPi4XK
s9MwbhrEPQSBVx92TkYud9ffATJHop8FqlZIUL6GSE5r7uMZNq9mEIc9bwDu/iud8CZIZddAXXz0
sygPSZ6RVsydfARZDAqqReuxUxoiVvcmeiZr405u9F+39bhI5J71qOKdgl56oEywbfTAvROnqYEe
g1l2BMO2Erz/dhU4Q0CNEVugGTeeTIC7AjnXqt66knTjp1qY7u1hrFrNxSiY/ShX/mgkPkYhtiCb
9T+rRsJLNONsvzWHj7L7v5Nl9p9oFl2c+uDjGmpLecpnSaRY79ph1ObaLi2rJV0BTp/ElwFJmGch
mlN9UA938eA2SmRyiucXcemz7hHWRwkhpYJh+wF60ULuQBo19D88ZrKHy5Kipgg4omjRcjrr3Sg+
RKw/MNbw55c2Fq5ofQw1UONfbqv/7OoXxnoxEkb/BXARFaXBSBq0csbVtmtUkifVwZT3lg80p9qR
FArudC82T6LoBfPdOP1QwR0YxNsOEKhxPBG529cA6gU7PQBV7DhSyKi2JEvfDR0l7kW5uT3mxcv3
H+2hNhIQTfT9Il+foEKSDoY1TBoJm3df3hjGh6CEpG7UzQgCEL+f7RbEIAbpJF5P0Kq1YsmAiIJa
hAXya4Dm9KKPZo106VCQrkWYPRP6T7UFOPDtSbIBmn/m+FcSsy6B6fuqUkMSbvxAvMpsIUTJ17jT
ce39v0litoacYdH8BJICRXR8nNwzGtSU9EHtvNuCFuyNzJzYU0nNK9OYQnjBqPIdUyWzjB/TfdnN
ThY9dkLsynCVgWTPwp0kbmRlH0QH0GeF3WtqvSvlq2HO+MfPYToB/5bU3X1ugYS9cgv5FTffyXq8
PeB1F0lxj0zAUevoaL02NF1JfQCVY8C64N+NITqDa+MxkAD31I6KlyDRP4ozMAENJ7Osn4n/p64F
sFaBMnS2eqdoe46zXLf8iwExF7c5VKsRmD0aycGpVkzIL4ktCa1jE8oolaKFoodGfBhanRj/FsAA
i4dyWoQ/6XEhoa/oWheZnAlDlMFR5G0I5EPh5Pep26Ylp1hvbYrnsl2Uw4PxZkH+BQI+cJwZOBBG
TUDTaRAOJJ7C0smmFmxSfiN4iDX7G9+nAKs1TtgsmYBN35upw1n9lYcVckHA9BUpkqvJVgWkij/F
YQY3E9fNrzEA564lvSqt7sho3rAK7dkPhp0pJkdL7O1MDR/1QbqPVNXT+oSTnV3TCoyQIr3i0aCg
9/5a+0UMTNQyxSaNE7m5l8FcD/rr9o9ilR1ITtMEFBtZ9BoEcX4IpzmyhUG8N0MEdzg6USCHOS7A
DAo7oJcvFJsxBmh0heSroaQBb6fM3NC0KkdGnOMo+UUInvjAImk+DLZqxc9hmmW2PszgBos0GUuH
Kk/J8J84I6IRZGZEV6vE3La6xEqRV4FddhR4UNv09U7UT8VsECu4Vwa7FrO9oR27jOMcVo6CK7n0
9xfPYr9SGiuPYR1RG+9SY/CiOXeL9t+DwWPbAdUD8A7AYUOR27WYFGjMUkSnl8R7nUJ9tT//GwVe
SGBOGqlXpwi5FA1oineB8TYquybbJsObMj4CqQIEXap8HAre5mKLK87u5EIq405AmoB0sYl5acYP
aX7zBX+Tinshf6ij77QFvQVIR3h8BqtLBjwC9IjIsGIWUklrEV7QJ8xU1eExfHWbCS0pcosTXaAK
W1jkhRhGobVYhxPSbPBgqM8thw1AD/zcVcangkK+dJzwz5k/7ZY4RpN4DsmtUMI1JOB/zzwhPoE4
KQq+0hBAfYqb5bgzoMnjU1IlVE5x7mK3VYpqFcY84yyV2hQHktKE7mCJ971SnPrU/G822/+qdJFG
mtMEZSvU/ZXaU9Pex/r7zHMkq97+QgRzqSwiMRS7EauWzAIRh8ruBY6r4umK+tYLj4HEiKiBPQie
Kgw3yogowBjsraJxb29o6hFYewDIENLiyEdTbqZrMUE1giUbyWaAMytuhCYY3zxJVQtui4Og85KV
a++Hq4OJTvpiUoFqlloTY2Uqad9P31oob/MWZZejrccxrib34tzZ1YjbmpESgYJiNBtzfLa6bad9
WuqdqHwWxidKOVT5wWpzpykKRx0OgvHL1GtA88icE2xFO1fjZbSD0BvevQXGG1YIjch6K+LV0/W7
BGVVBCQLJQnauOF4O7oFmSW5Esp4hCCTzagVIDSbXVpQP+QTQd+0C54Yu4tVIio/TIOLLbNyMsLL
AXGQRvlkie2EUotRyfURhqANNWn2cWrCpsHs5Jh3qXGfT/W3qmdPtS7sbhvg2mP7UrDJOIWgV9IU
Wqav25du+JDk78ACdqX5UtS7NgZH4vxYGocKQEUdjz98ZY9d3U8YTYdy1yCwCdG6lgEs6GMAJWOf
czbyosYZh9eVFMblguuy6v0JUmJ49D5pNtH0WkwznLujmL+QbJbQ1IvYqQEMxBx1goB+mvMYwbjn
Mm6dJPIKAKpZiKCmZJ7fOdpfX3aK0Y7aGHRC0t9f7MgmBw5XOeGKVnQ/xumAbnYl9Xqwzo3zNpjA
wXTIVCA3cRZ9LSwHnfwVy/jPZAbNnJXjRTdYCDImboILYZRGbgvKSgD8Ie1nF/6vPt5IYU2KFHjD
hg0WKTIFm1R4ymRHNtA8ZccIT7bmoeGNjy78YgvSXlMZb3faBX2tlQIMkFUoQCu6OjgxyrSTtidW
9+Abuyb5mGaOiSxoos8mciGPMUShCNIiaqCOOBq3CKZI0UBCySvLXSrso/IHOgs07dQOW7TsIyR5
mpDwjYOveARc0aNe8uo91vfkxXgYk9VnPZP6mC6P9p53865GsYAEl9dFP2QBHVivkyojqvGCNrlw
5JxIa0F3yiT2P8pnSQOASKKNSEgj94kLV6kdU7/0dP/kIyGW4blUflrhn9jghBv+P1ItEUE2ysJx
flNdbAQBh1BttIpG5vTDSkWi5e8B+mGM6odu7qqxsQ3jWVAFzmRZQ0PSG0zrqBPCSw3olmzHTy+i
AbUSTAAkiTsN4AsD0O21oyK91v1TwUN+WySTZCRfKTmXhdZ+GU9m5vilZGH9LBSh/e799nZfD3/c
u+fA4WXlFtZMxZj0LPmn+5DtxwqEUunCOYvsV42ATpqQIwicie1uOZdZi75jL7cpFQTiDzzxNZxY
AGO73qayL6eFHJSR7ZzAW/1++ufD807eiUAsvvDh/ucPftiQHcEXSKX/8zviusTNyfFoO9vHx+33
49Y5PL4+vn6+bjl+lu4YZqhgmgLUBv0Chx2zo7Kq1VS/6MA+aTe253mRff7Y8goplsDVePahwAd4
8cBso4Rs1zoRB4BHZROU7xwcx3M8TNolnHDj2grTQnMVxO4WGhnZt1GtWFlWRVVkJ+RweD04p5/e
5u2PSt5czhIvQhlY4itJjGcU80DyrRCSDqcTlg305//FwiDBCmousBipJnsBjgqriJsIQZDDyXHe
T94X2cAc7C3nUncuYGEN4FIOMxGpz4owKSDn9PPn75eXl4DM5AXc5jMgN2f8jH9BtHt07e3zd2k/
fz8PhH5+TwT5RvoX55V0Th0vR6QAlcUEI9CivqUGrUEeUg5wh26X3f0O6qWk7/Z2a9uc6Z+LZW4J
Y0JSg5GLo1ZRYQ6sn3hPG+xMSHK2DkfUgmWemoyk0sZG48xnz1xpxLEJptZqqKgT3QHejm576ggw
PczPoV+3rWhdlxcymftMYCVj11QtZGZEIfiWgNE+I6+YbWJH9tfmbfNwfDgeXc4iLoLO7GSZZ2JX
9XIoJhAMD1gQz3vZfNh3PKeyut8vVapeOxUjkGQwQtDpOSeEyuA9Hzaw1B88M1lcPNjpMCeUHqW1
JJ4FvTvebkPueBLOcdiFIQKJ4wyfgkg9c7VT4iIXElTp0JU6GOS99zrX8TYPf0r3z9lV2lu6BzhR
nvXtfyGW2f6J4mfZLEEstY+EvHf2+2vjDjgOJrt1UJTkAEjUeyI4KVXgJrckxY9vKDiwWxeJa6KT
HJ/QP+dgstjQ2lnjFwNjzgszD8HDov6ztPQYdU7nb9g4dPPQExXHKN2s9Bu+4+OIv8+bCdsJHw7d
xrf3k073y41VYlvKhcqvOvFqVOexec4/pzcdBR0LvnAi0A/eCM6QjuwIZBHxc9rfARQFRi9FgUix
WqPAhQrGjeL8ARf5RN4w+zt7T92k8+jxLjWLOw3FQwLmElj1cFdbFOoqdRMqvQm5fQdu+E5HwtTq
iJVorpLyaMfOPSpXk2SEMV65jXMhDk0Fh19B7gMSEDyD7Z584aeZjPge0Jubi/kSTHtzfLCfdk+b
neti+t/fj59Qy86jG+n18bB9dB5fXw+P2458o9eHfP5r5BHcj6lScCEA4ekCCktLhixHqilB86zo
13YxJUXlzpKSNwgZ+Z2xmY052gV1nnKc7MqSgHlCk/FcBfjngjzP9IVqmlXwpI+obSZ4uHQO8v/v
2qTF+ySvJXLb+KkrYBYFnCYGnjiotABPObMoVqIoSd1jnkqL+Aua39TNYNoGQhRG7RoWJ1lE7fiW
NMYfFlaeaBogXOxxfhgGolp3un4c802EQq92j/Tq7cktSiTxyrmaHeMIK1CFxZ0AeblF5nf/uyHK
dv6d/g52xS5+Kkm9SV4mZ/jNa6CiJwc7T7TNgKUUEP/WEmNSqdLaB9K2XZaP0fArQBNazAsXcmSc
35gXb8hOTqRs6CGjSnyUqCSoddgOSPTcVuGaOV7MhH2pykjsD+BFSGyAZr7Ig+J2rSP2A9qBeMge
dO2vdIa+NvqWA50PULcAZonfX8yntypj7HQNFR2o1y3B0Q2yOQ9AdM8NILp0bgxyoT6Iw4MYvR+0
Swsb7VocUA5SJHmQLze60C3q5o/SIjAsiJyk8aoYhb5daFfAAo8QdY4SCrvN1O7j8j3vBTJI9YPF
bWahymGVB6RnAHKBlAMvfDqMC+UZkZ5paohSD9/MNdeskvhpTJP3oR06N1K6Y+aXdyD0eivQdEL6
WT/5QabAauaKjH5l7ZJG4/V1ra3nmTwHytV0oHldDynTSikCXTZcPCpgBsBcJfMdanCkZJ9ZL//S
SLGWtIIRvRdQKI60a1E5WqHDJolpSquTTnEX+Laft4MtTYk/2EjMt7xqm0VMET2EeItSiChkmnFQ
MNYKmEZwzgd9Zkc1qVyDJOCRJ/3He7HJcI7pnwVqf2xw+8Gcj7O91z6nLQ93YW3NEYswKQww8rBs
F1uHFhdcozGEGlFc0skgw+3it9uaXTPfSxnMIgaZMPaqBhm+OdcbQBFKO7kJfxtZw2uIXjMXGcS7
uI5QXFi2U6Dv5arpqblYWoxAbTGjmkOXiIEjzwageUhi/b8SSRs08ejH9mR9WzgaAViPUAowjp7V
7UG/gT8/J022Sx6EyyLiR+3l3Az6H1nMm02N9D7WVciagH2Thdu8jwlejeJ8186OojxOaHateQE/
eeG9GamMk9P9IC6aMc3sIUtoN91oxCdZKpqf4EOdTibaB+4lX9e+/GE0Sy9oO9CPpbro7wJR6h+H
Kc2deZYlEGQIo7izpL7u7aZuTCD/K50ERjTBkv6ETaC7QxQouD0MMdrXUlkpt34SBT/CXJ1SpxLa
0ItQScmpD1hsANr/IAEwmmLpyYgNXW97CUgqURYUmJ2ovBlT89jAnd+2/zURKAVAj4Ko4KRgURvF
cehGK5lwGJWdbisVeB6EoOHcwRamj3kgGIRtTOkkDNYO68goSgROMltCKNgcXpS8tQPtSVAVe1Y4
N7Bz7x17UtASfzA4KfCaOvPUmKe41xSwqdqKBwAHfyc5aJQjo/tHcgIXsEmPgavsDdDKpgSVyfE+
3oETxc22aNzZjYfJzTcd6dxn+Vg95zavRXFxG6WO/O/g2Gi8IhWDIFDssFkDOYjy3Fk7DDLEndQ4
5T0HKnjNt10KY0I3QwBfJFBNWIYoy2QQavFLGirzqROi9OO2HS02IpYYfCEgfUIQAB2CjKlGftZb
U6rCVM1n3f8WJCebH7rx9d9LoVlV0HLR1hGLOQcnbQAsXoG7uxiMj7HyG3nWU5mbTqXPHJNdlHag
lM9EmxpcNWAscMwwnqVSQUyS02dC3VTO2O17BTt+axVbQT1IGu73rq6DTGD4iI1Dxjt917SJrl0c
E6j5w2WREW51IOIu+yy3Afhgh8bGMHeIuZIITda3FbpMYjAGybjtMpsNPaMGqT/WoSsdZNd0eruL
SOFNXn7nu6LzfVskzyqZuU2YRFEldH8GT626K6WNzyPKXobtmVkxlxf0AOhlM0CG8fweufOud5Kf
sh3eHyX7Yd4++CQLiXqMPMUNvNuz4yqUMVFttmAwMkR338bL/N7f/wbMyQbAIPuHbDPaSclZwXV1
4mEBWhJsO9a3yiV4brUO14pU+x7zB7k7cNkYVkVIOITAtGrghs/s7Q4x/WiocfcWtWmTDCLBq9BN
yopzFC3DlXTVANANw0df86K7RE67RO7OlhEVZJrU30H+J+vSo9zAI0/pZy0ZtqTGNkh6tzMAz4Mk
euCsHjW+xeFBCTH/c6dnVi9JxVaqFWqcALN1AXv+JlrC4GnW0OOyGwsbX1OfxdpMiShG6GCIhA8j
Tp8yqdNdtHwKHJUs/ADVCLJC8HUSIvAsIYxo5kOi0Ht/rHy1kjsoAanmLWrKbk+bJ4ZxAj7IMQep
hJikuPNjp/RPXYwV0HitF/T/WWgXlB4ggNUxLzbR1Q1pEjVVktlBYsReD/y92IqP8TS9WN1bmKen
OkXBkhi9dbrg5em80+T32zNdxt6pRi+GwARMJCkOg0zFEIzACV/MksRodPye3Mq9lwXyNjjBszSR
ZmftehQ/cw7kxT2ICqenFwLmKNhg4dn7oMnw2MAduVWBvfsKYyNjsamjz2zgvMp5khgHCD4wMDfQ
23jdao6VvIvYOo1R7KNu2JX+wFnYxSWSzguHJCViRpksOy8hmHqg6uMWjmqDEUXh4+TUncrr41tz
Q2jZRFkNMu6gE2auM6CEUcH6lEN7lRMnP0ZAZ4hcGvlFAB9TUZHPhwNCzl1k35wVmozVSkBwRgzs
odiP02tnevV8NMWR4v1KhsMvo167FF7KpNvzIrYRRD4QrS3IlPHMLUB0AzdT/uqVO8X3KtmZ9fuw
sid4IeG9km20MpJCdNpspxc7q+CVrq2enWjSp/3s8IOAj7kejZU3tIQHoxmKA2rKNfXLHx/LmAg+
GWTc7YCQ4ErALa/vteSgFI5vop5v33VuOXyg5qiIOSfqmnNCqBg1w0BDRnKVccnWWCDkk3aZrYlf
c/Ne6gZARUxblXhoi+qqJAu7k2KH6AuIC8Pyg7DWIalxU6fYqhtcHTzJSY+9TPqt5r0PRPKM+4hY
dwJpNh0KmZFu/ghdBXF+k4wHyU12+Z0JaC6ybd8nXDD613njk8fS8U+h+3rbl63tB7yoAFFO+Q4X
T7cuadA7pg64uuHlCsuZoweTV2O6LoOWMIKTDDdSZs81EZr3ogrGgCL1raFVJ6OQtoLUcBzjImyO
XYcvxAoBMItiGnosX+yAIUlRs2W1sLkmB/ffPEioZgbGyb4Wq8xR6lZ87Du0uqERRdTtKQvzt9u6
XAbS6QhALHBufAFzLeMwxbnx62LCCMpwI4v7Hs2X1ikX7KzaBKljVummFvd6iWJO9Y9vuqH6gcZB
v3uIeMCRa7A9VyNh7D2JgyiIR1hh8gqm7Nmpf1dOBTbCr26TAKRsFx61h9A13W6r3/FQvdZ2AEJU
FPvQQKMJi8KmVTN4Gk3IFoCdIWlbEHZGwas1c+Iaa1aFCw2gaGhYD9mZ6+W2hrSaJKCmgpBV2tSj
5JmoYJ98xeUs6pozR+GOJMJwUcFzTvdfmFWg6X0z1NSVTVbau9kQat9CX3cJQeF+7HtW1PkucLLa
pxSBVQMeT4jQgokEJq9BezU8hhIK7CFKBrOIX+MSJ9SIGEOzW+AhdmT8PeqOVnuCJ4BFmHONXdPv
ZeyWuc9JcdsZfoKg5jx4lvITDc6iwAPqWTu0LmUwWzYRu7IKZ+qWAwcNP4m8lVPAxhReldu6sru9
kmsTongRiGHKhoLPa4MBHUc06x12p1Dtgv5D9DcZz/uvzedSBHMxrEplQtoBIiq8DQX/OOtuNDvA
MwYxjAkUKY5trs7owt8wjlWpEqUxayqul201s07hqLlTxKuFXZ3VhRjGErqq0qu2wioB4QcNs0aN
dnjhTW9eLGFXGpw5rT7gLp0oYxNyEMnI7EIa7dJM3+fAIGH2A9f7sHxrTbcoEP37Eqsd4LHIbQOh
BsC+LC7D+IyBgBHNEIIcZ2H60hR3ens/zicxvo+eb4tZU+elGMZIMpSXNqWICfrJc9CoBBTxjeqA
tWNWN7jYcya1dioCWAigdzKwCdEFe231aj/mctCPuMS/g7LdDIn8Ee/9pykgPmfl1qwRSFFw/Kj8
RNKHjuTCUdZaqwMUHZJE7WDGm1R+RAPIbdWtHS0XIthsrjwpdTVUdIWGt3n4lME7X9tZvbktZe0l
cimF2VZyJCdKN2AiLcgj0ZBApt65LWFNVQgMog0URGU0Zn6tKi0pkcjRJNyIlKOG3ppsdnSFM4u1
hT8nivEsw4OKhdy3RmDPNbKOi+iEbM1mBvFIFnZELgMylps2TxxgI9ye1uoBdSmTuQDpeSLpODDh
YgOQCeTHNqgBWXIQM2+Y7Ca4AwhbPXAMnOqK2bWgsQZAkkareRFmvdal0AZxHdI+clkGkwbQHa3s
K55GMte/FX97e4LLmklkEkWwYak4QrQld1SUJkEX1T4SVLZq98+DSrKMTBUZXqNDu1O8bD/b+RPa
QkaAAj1YO2vT5cRydBK7amPzQgFrccLL4ej07nKx5fTCR7GLgLnnR3Oj2/lL4CYnfwuu6/Cg7KNn
8en2/LkCGWUHw1SVRYz5RzoxdxForoNHMBlD1Pjq2+mu3HxyJFJ3v1ze/9X4uSztYorzkPlKn0Ai
UIoiAnAYe9zH3sOM/EsOCouEszPXXq5XKmWOn7AbBjOrIK912qNynHvbQnFgQfJ71RZ/FXcBedNr
5w5LHIJmHO7U40yY7pFbE2b2UA5qKr0pzgNoTo3swcZ070+wf0OiyTdQjUDQb8Kp6V6xa2RcEE5D
ZyZwEpBluzYkLUi73OgBtdlpFI/Vd3SzJ1Pi9oYO1IpPE62A6DspEdWyghDPZg/ZPuD0fCvxfMoQ
aO2arToeLeO5FXe6+RR0OQjiUsdovIzHD7bc73SoQHUDRdi5QfJ6qGJkTeWcYahp40bDk5R9IMrS
A3tHH79uL8ViJYDeQYni8L4AKd0icNpYwqw3gJgCURwog6sZmChJOvPghhZnAZViAYoEnU1o+WT9
lyZbpZ5HqH0Bu+68b4rmx2jJ4OrJ9R//fjrIqqGEEeUYNDBzrbheAUqINePBJIbBrwxB51kOOOfz
4mqDudAqXlQJoDhJYiv381ZQUoQmkSwsPybluZ2BJIrMRRCQPHrVdPf2hNY0h7wEojqahKQCC8Sm
5OUE2JMaaeeoftWk4GiG9asV8BAtFpcOWh6nI1wIcH1EddjwRd0VRt3PI/oQhZ9qhXt94apiZUs8
JCVpVZABFECKy4AUCZ3vhasLhkhUfCpIqjUi6XYnj3aUIyYDhDHFC4X3wP/RAF80f5ONDTC6CjQE
j66pcy4OSydPJ3wxDjrOi3G0CVizOx/j0GOfmLLvpZZnZA/ou1PLUwUvlB8NVE1LbpX3xIyOlsBJ
vy/MiBkAdQEXA2hmoUwnGQNQpRARVDMgmghUKQ2OJhcTNwt8t5Y1jjUt/AojlLmW+8By1+IBQtsx
dONyX4+UkMUT+q0wftw23FVR6LUEOCHFwmW9beNbnVxZKCe1hAJXJcBeumkdOXLv+D6nyn2xR+is
LETDEL4wJNTyXavSTApDDWqAYo2gNGt3Wf828wAo1kWgRgItbKgrYyGiY1Ht80pGn244IcI8OpP0
nQbvtzW2fBWe5/FXiHw9j7AO/bnWgZoiNoYIbkNfbFxBCbp3lAyAsc+M1W2QzOJzDhIMLy3L4ShZ
U1a4BoKB+ySNNM6Jub5JEOH9n1kz3rQK5bmMVBTNhrJjiHYN7gTfdDT/YPTPfvhoRbvK8qIOdz/j
FGl2LfEGQAVc3RPOGvlbk8ysrNwm6mxkGIABENVWAhG5q6g7XTxpjV2gMKQQHKsGFiMAIP+o2o6z
HouoGCOdWQ9hUidtqmDChbgJ27sZdAty9NtEmfDwJppeWntNzZnxup39nTCjcQtkJn1Oy6IV/2ea
PE3lKVO/b09rdWNe1Hkzd6+iEmeppCKA6ifWf8xon5n3/QxwTF6EljcZ+vsLF6dmhWimBa0oj6e7
ovspWKInh7lzez5rjhSxcByOCN9YOvsGBH6iWlshIMEAURiAiAnwRtN7FyETrh0Gf3Nb2NqULoUx
ypNSTR97CcIGHww0wWOsIoPX/74tZO2MvBTC6M2H3eEshhADzkbuT5nupYCARTHebTnLLi4YuAJs
OkVT8NBbwGWZbR7MUwPHWWo6Kf6MyOROWuZokltXqG8Jn1OgrUkFujJQ4FU7k3Ifjr/qjjOM1en+
HcX5tXJhJsBg7SOhxCjy+JgNv0Ztr6TPvsAxkzUp6IFFCwfKdZGlYXeWBc+pJ6ApaOc7NXEs804Y
nX+fBoJGcamhzfvITSx4MvSyD5sha1IEAkYCYvEGxXNDzMkiL18yVAratwEiJlE4U8ZApkGKRYtK
kUTAj3VplaoAwyvMbSJXSKlh1yXADJrT2g0SszuZJi70YjxMxWnUjaa2FTM1qy8Q96JUqo+LwJIR
9gw78Mek8pfYpKi7rf0AaLqFlouV10zAR3RVM2vbY98rIJJKM9BJ2XWtlqqjKnkg/heLBUYGlFoi
sYrnCTPBNJcloYva1K4k2cl9N5OA1miitoWT/afblT1f0PKPbhcFN3kEka49VFlKSiUYUGRVB51X
xsZ3Wmo8es1VIchloLsfkhbI536HcnxVMnHVLJpDBLzoIOdV/a8ZN1oK8LAC+DeFm7yeh96HXTXP
UWpHrZw44/izlmqij9rkjNXEWZu16QAvH5U/iLUiIMXozEerdzVN8E70eWwWj33KScqsCpBQ14Tk
Mir72LuWafWakKaYjEbxp7td3P657ffWBdAXL43k4sp4rS0LWcPAUsMUWR/jE6ALtgkwLHJbxrmc
jDUtC7VI+MRbR2chFgpwMlR1HKf22PgbKXItGe+IzBF0R9Feg3hALfQxN0UCTqrbktdn91cw/f2F
O+3LoJ/qNMFbu8p/9b1hq4HM2TZr5nY5N2Z7Sk1qZmKIuQXyhyYrjjK6gql5iMDenoqFoS50iIou
RNoRNkB+8noqAPEzzHjOUrs2JHBpVX/GGk+l4a3u4wdrDHRbzdOjmPB6tlanhywCqlpAVmuxQBLg
K1Fbv4fYqddDW6oUJ4mN32mhvObC5+0ZUk2xM0QwQZZpqZW6qBisQlUupgaOTqisuyGSbWlQEFFO
3Nti1mZ0KYZ596WN2hWtDj+H3HFPlGG0M6MgEcAH4y7d/t9k0UW9sD81ATKk0ENWn3+Y6SFPTml5
1/EA/5dheHoGosAJ+R5TVhbAUUEWTY2Cs8pGY99X14DfU+yIkaL9RUfAOqwfkhy1KdXvqOZxRq1v
bZztEkWLAdgF4wFF9FTneoGWnr5UbN0/GsX9pN+F0U5Wvopqq2mPgvxi9By90v+VNRVE5XFT09BE
hpcuo9eomHCRg1XqdfggA9wz/6wAD24mG3Xwbi/hqgtBNBDuHbEg1JheiyrUPjQqGaKqFs2gjVRv
0T7Cg+nkCWFeV7Fo5LB9CImG5HUAZ7KR8USsqgxnlYpCVdxyWSoeYTKscUYJvz0J3VcVRLsSKRpA
q2/N4WdV9xytrT1ErAtpzIQUEU+roYBX7KQZF2mxcxHoIsHwywyFN7+37iTt7fY6rT7QLQsUnDAH
QNGKjE0gAiogyAmRRVg+DjP6Rsroh2EWr7k4kQH0FFouOZTgjvjKu2JNjtypTmeWrlHzyhzWdf13
KIyL8ft4StMKx46lDXYlwLnctZXbaa2bjpwTbkXRiOFLCFXSErRF+VlTy3OVnaF1R9B7NJvYcEJt
qxuZE5g/hcG+rWSeNGZZo85s+znLse/QXavPP6rgfQxktMbjyWTt9Xx7W9yKq0ZNEToKgdqD2D/b
ldOUtTbLQ4fjWzM2iLZ0wqfWPplz5dyWs3K2giAdcWycPsBhYUtR1bEWojrrAScPrK36RR+2mrDP
1a2UophKxuu55ETp1vRIC4xkSmWCoinmXDCzDoDyPm2EnB/Gyg7zET0Uuy52+5ZXJbdii6jvR9wR
GQAL1XLMW08U9DoQS5yqTWceRtwryNiBSEPLUBCQGA+6+m9BW9FdDoEoAVVQgwAsL2Zuc1CMfiLg
MIoHedOB3bRFIHnAPru9Zmu2cSHmDKpxcbTWjVxqLRXj41kUN6eysf1SBu0Jx5OtnXBgF0VDD2rb
LGCuMgdAZWldW/4/0q6sWU6cWf4iItglXoGmu8++enshfDw2O0ggEPDrb+KI+7lbTTQxnmfPnOoS
JalUVZk5S2TIrAVpd6KVhS9qk98CufSsjV32TLPJ+hFzV0RT3RRRmrtQpbZTt94EO6xU4TBm54GB
YZmuBI/V+WWkpdSsBDXwW/I7RjsQRYpgjpfc3beAXNNxoKGK7fHv19d6NVxPzC7X18lag5a6GofU
RP4+as+8wUZM3U9NSveaNz9xgl5hvcU3vLYlTz1VVl3XKoNMEiaz8Vumf5NmVM4Lg/yNoweJ1/nZ
FivClo/K0YZRTp41Lgw2kwZevc98fq/iBOq/OWCi34x042i7hIot2+RkTZV3gxOPsdXVVhkw8+fI
duOwN+1j4t0R70jsR0+891XEndJ38qOMNyqrq2cCABUY3cB8nKXi7nop5iZpEEZCT3ytOwhiRQMN
dEiXyG6jt7PuKGoKwBkBlA1s6nnwFBBTG7QMC2u5TAeIIQPnjpzAM1nZFRQf4h92kjNIc0nzBgP2
r1psWKEkYsGVlh4u8bQ6Xo/mNe/RFIXO6UILQFVaGU8ynju1jZXHTC5x2K2d7/Muolqx59W8v27s
EhKP73xiTa3ogccyESwDgYNRPwIc7GscAoG9eMbhFaSNHcoqD+vWvOdpxIzQDMjRzd5YfodDWqte
dOLnT2MIabgt7PVKyonftXT9UD7DAIB6lFidhpIaVmFEN6rg7BFXw8ZCrx3RIDSGLBfqC5SosAiv
iNNWE8tpVWSkCKF1BybRicij2c48i7LRE6/XV3vNooW6D4AyULB1PCXWBo4+Ba3BSjpnbf7YJxC3
7vW5uOeDkYVxIrYwymv2gLOCtJGLqwHreB7bE5pR/chxubIaXCpGon2by/kmM8zHMo03Mr21Vx45
Xc7lx5ycwnYvChNpNXJqLw8a/n3o3915Jw10ij+P5n2VIp//en09V4ME5wMCAXvFVqGzla4lRd7i
C5bS8+Oqu5PxFgHw2hKawHmjvonq0CVcPTaKGZRCJab47/Tylowvmrn35PN1R1b3PL6Rg46oAbSG
ctpSaDtyt1n2fFI/FZZ2w1P+OtFsl/T9Q5q0Gwnl6roRJHc2KtJ4NSrmdJFIUYEAPbB63t12buPd
uTP9dN2n5Y8oj2AU7P4YUeKB5agFpAOMOM4IuBb3tbwIufn9upX1sKOYt0OzdwWkXSKnrPMCUzGD
XT230oDUFDtmMj1o8SK8bh965t1K5yfx/irdQdUTE/ALi+bFBIsLckQvzryFjcYKRfbV0Fw/bc1o
gJo8wA77yvkmm3EPfsqNU3ttaVFHAV4c0+MLmPJ8q6Fs4mgghUWxrdPCuD/OuInSnxsLuxxG6vc7
NbIE0el+HudOlws7zaB5HmY0cwiParvSgau59Jth3M+okNa59zySBd+S/fMff4ASpQ36blpZ4Qck
WhXZ9Z7MX5P4wZ72okt2ffts6m/U+oVG5XW7a5vj1G8lbrtWWLSycEg7GPzXrD11x/C6hbVczsJZ
iSML7NF4ZZ2vbJsYidV1E7afrAPL2BnDO1C4tnboizwoIXd13dzyg9UPiUIUZtQW2mLUic7NOXOM
Ay7FEWYYmEKQUCGGpGj+DbiQ3XVDayt3akjJUTvm1AnGIcrAZvVrP9fgxNiiMFiLfHQ/F6Qp8gJP
fQpndlxadEC2loovFP0G/lT/TRHh1MTi5UncO7ooefU7tZfvuL0I5PPwfg36BBjNJ25snF+rH+fE
ISXIvcLTeRbj40zFjQGiFijQ+xLq6eNWQrVlSAnrUcvNfiiwcnl8Y9D3AcDk7gWy19dDYO37oI2A
HhkGkhelo/PFG/OZzm6M6cGkpBh/1r4yxg8yqZ+vm1mLNEz0Y5viwsQkpBLScao7s01wNNAit2/1
2Oghs2Dk79etrNXsIDSNSQWIomE2Xm3e6iIndS9RT8p67VvPrb2pWdC90IPJgejCmN7J7sOSoOqY
WnARJbsEW4qyJCh7urGHV5/51HYBm6cLa4E6OmExV6K+XuHInwXgXNkw+sWI3q/dQAagCaTmYf6O
Q90v8yGfETTzlqzb2sgTGvIGrhtkklh0JVLTBWeYUxQaKnjaQn5AQsDY5aXfQ2q21I62BShfjZGA
BPIXsWkEDm03VuHis6M1ixYdYKEYVcPmVz47aChLhjGqOpggAjLl/cOY2P82sn6bADsX2Kwg0ayW
MMwGaju2U9cBn5Ij62TuZwP7cT2uLrbi0mHGSxPPTRCRIX843yRJ2mfUjlkNwpwPChwy+dpCVkWX
G2Yu9uLvRvairYVHNFqnqpk+L6Tnoqcy2bcN9zCeREKj+9eTQ4oV5Y0BEglpGUvnpmX1Hu+au9yx
/6nqaqPTvLpmoE3DuuHsB6HG+ZqJzMm9ZoCZxP2S1R9jGfu8C7vp4/qnudxnizv/s4OX8bkd5ooG
Y5ewU9ZdqPH9PH6zmps5Nf3ULXzHe2iANuNBOWwcnBc5gWJXCW3MX5bJEC92bbGjmgjqwfMhsbIb
RihKWy86cLvXXV1ZUQxi/n5yIBcBSPnc03qMMzEK6FGjbQcFdPQYhUTv4VM8/tsWNAAMp4aUC9XN
tNSwJhjqLMgwk8wyj+C5am6nln0rSLoFylpZSWQ5IID1HAJ9QZWTrteqojcsHBIdKz7pmKkQeET5
elX7uV7fWwBZxrb5F2tpgAsMk98o2VxgjAtiaDTLe2RzmIOWw+APaehBlCfmG5X5lT29CDQAUb5Q
bl6AyrNBtpwSHB0gV7ihFaaxXQMkDhbZIvReiw685vG0cXUTQ+ZKdHiTzkAYCo8moPAz823wnq1y
l7XWxsqtOnRiRwmOVNcgnpYNOAtjss8gSGeiN1R0c3Q92C/LfAjCU3+U22uMU4C3K/gDue6wKGbk
3lFHdu4UMPfGKPC+SdEKCzsoH/bzbWZt7IFVN9HYRIQgZcE4vbLZvGaBocNNUMruMJS4Myd7Z5jN
y3U3lyP9LNVfvPxjRlVKiu3eKLUSZpIUsJj4m7T4q603oTCNQ8O2gnHV2nIRL6h6ML8oTmUjpMEk
xcChh7DQWXOr2x9Z9jMZujAFGua6ayt3Pyp1oO9YgA82ChfnK2honQ6uSbhmZfWTVll3ZKuNsPqN
Tiwoocj1qU0qDxZIPgR1MvhgY3+xi3IjFFcdgQYjOnpIYDE5de6IyGrU5XS8/DqaPOtkfLWyjfr5
erAjUySYeDA9Tx2ghPacY1YYCAxQxX+JF1bOBi37GXgJn77W9c4cnol9T37q4I6uK7G//qXWjg7L
0vHYXFIc01austrueOxMUx3kFMp6bVDLHxka7FC2vW5n7aC3wOK6uImMVK1itU4lDTMDoSW0mO5n
6M+PjevHU+F7XrkfqOFDXnZjG19iYrDBUAh0PHxAtBDVzmg5y7qWtl0H6Gh+thPoJ2dV/42U1i0T
zn3dd24w2+mb25KXTI7Sd4rUOLa21G/iih9BF29FTHCwzRrW+/XVWMJG3foYckFKiWk8B4OF52HV
MseQ2QScHmpgvtUFbucnPGLVzxjD95P31qcbcbz2mSHaiiFGnGgmvsK5QUD0nAzN2zoAoNuP+w9C
oprNQbZFfLfq2IkdJcGknKQabTTg04d3MT4N9RHyrGEFIg/v3mARk39xxVLsTejjYJuApffcL2hJ
O1osU7wAaB7YAHdrmvS7dquht3banJpZlvekzGALyAIaFMvnek8SE15iTkLqvV0PirUtsjw18HRF
vIIt/twIzbqq8vqsDozxIU7vq9b2KTmgZCbqXTr9zcKdGFM+VKq3TVeVOU4dW/c5vzWzfVeyjU2/
dueceqScnkWXdGCGhkd4cmukD2r0rNLmTkB2bGtIaDXA//hjK0+BYbZ1WSYwlRhfGT2MxXNrvnF2
vP6Jtqwop6ULHMnYObDi0aPHPk/sEXzjw5au6uomwksTcYDUGAWN80Cwk3LIswo5eGIlodf/1CEf
AWuka3wGbVzIEgV02soP1kLcw+MTkmlAYF5QqGV5Y1YtQUAgudp5JYfwdbKjZOPFfklztJzJ6Kjp
1kKlAtDXuW/gWQKFhYXbjnOMHKSWLzFW6A5tixJNfjSbOHKk3aKz2aNbDTQjCBid+h6owmiA4vnA
pc+dXw7nG9fg2pLjHQMcqINs5QJVh4s/lnmKSkItSCjAC5gYvwqMQDXGez0HWnPPtrSd19abYBQf
DU10/XATnC8EI5oA11uJ3c6r/IBWHHQZrXS8b6zSDa9H7aoprDuejZj6Rg54bsrGyRLXHpxr2vne
m0CjNupvLpGv181cVuBgg/wWvkOqBD765XecnJJoAbiVvjzHZ0hxkyJ9H0R23w0/p/gfS0ItPRWp
7/R6AM6wVyMbd47ZslAzdWiH95uqG2un6Wk8KwmiMDh0KTzEswb49HtfOAMYszvode8Gh0yvdjwa
cUQBsgBc1iR9FTLDG74jMmU4eUbCAkKHUguQEhjNCyZvxaexN7KFha7zCIbMW5xpUwqKOq9tyEc1
zd7L4LYlQ8HBoK95vLRaAKoKhiruvnL8FZDHg37sS8npuBdpkxRRotmD8E2mV71vdNOYPtdeKbD7
prgbgzzHdExgWnoR2dDXZLse9bvi0LWEPbGYz5Wf5WWLih4TJCCjwyIONp8qEVoKjrCmBo9EinYa
GCYkf/BaYcy+6471P1pPsi/TIjLlZwRclz5LbLylRht0BXXHkz6wc2a6N8VArNAkif4q+TDm9709
uU9GWnnjTgxMJjsymuVjYWZ9CA7YBN002y33dgmwhs81Pf5kD7Tob0zRVckulxZ5NNqqPaJBSqIx
H5ATxDTBfucdht5Db8rJu8x5AoqCfij3RiuaqILAcB3lnujApZJBGRgEluP3GCPyfSBHje1Sx2Tl
xm5ZO+NPA0eJ4naWM+bgcfpW4ATp4oc+RuXd9Gmxcd1fNkOxXYAtAdodJVJQuSiGOoBfU2OpXk7j
Y90cUrLL9Wji75RCbSy/hTippR2ub9G1k+DUpJLHjHToSK2h3NKCr5eZAKQPGHBN2Pz1up3VNcSU
M2AgmGjAlXJ+Engdn4e6hB0xtgcJdvGG5+/Qy31hvdz4XOvL+MfW738/OXXGqZaZsdSZZ/dg0A99
esZcUDDR7zbbzfOuK57zdotFfeVpgaoVXrhAoy23xcUgkt4nLZhkUQH07hP+1Mj7dvyRpN9R3c8B
2OjQiXrD7vYNFA8YMGNmmBVfRLlRAL28tc5/hXm+zBA6obFI8SuGYgCM8bWdihDCfEGchpJ9TrMg
6zZeq5cBBIuYdAKBLKYsAMk7t1g7RT5mqagx3eoEjGuRnVHMlG2ZWanswg5uY8wjL8Kxatc1loPL
yrlBoiXdV9sbnrMhbQ8ixWCwBSR/ZRYySC087UTWHrOG8x1Uz+lGaF2mrxj/MTFLAtUNEAWqyICZ
FujQLGXerOvuka+k+7iifSgmCNl684RSLxTPN06FtQXGeLIBktlFSFZF6LHBY16mg9YrcUED1FZl
FyRcxrueGT+v79GVjbOsMYD3i/KnAVfPv2VsgDDXKOBexT9l3s8CWC2rRcxoX7Xq+zA9TObdNG8R
y6/5d2rUPjeqV3GZtDZCdnTmQ264X0TaR01rb+Rz684tnRSU6iHao1ZVdAhJxI3dod4Atp2qemi9
twppc/VIu8Bud1V3X8VbzLWXpx4WFCzZWE6QfqC0d+5bxYve61tsjq762XZFkIPMOp7Ad7fx5VbX
8MSOsu1jz2umksC3trtpyg9R7YytGaflM5wXKM5dUWKjzb0eFGNwRbTPs97447RFG7+1WEogULMj
TlrDiQLUvriTjkVGn0l5S8HA7l+P9NVj8mS9lvU8uSEqRnN0iuBMTR818o/Wuf48Hi0kwrFxJ43Y
78SWdNiad9hRC1X0wsmiog08i/ejpKhgm8IO0+pxyh7qAXT/479+xiNn/GNHlfOQaWdNego7qVHf
YrhqJ9wynMskvL6CaxF3akaN7LEc7F6HmV4DpxWI6dOqDVnVbXizUguFOxgNA5wcvfwLgJTkkmU6
RVWXZXJGL0jGdsSHBDL2Tk+NMezaPNuBox+FOcq1h0zPhp3VTvU3Kqvh1sQMdObLFgRu191fC6CF
Xwk6ZlDbvpj402q0+T0NFIhebg1f9GmWrR9Lg3S+3tn0e+NO3aOTYU4v0NBPQCaHQ3d3/SesfoGT
lVH2PLFaG48UrAyNh9cmNv7piB2SZuMJt+bo6for296ou5lNMb4zkZ89wXyjgTQUf4ZGTqrPSIG/
QHXkL/zCcBCaVgsNn3oJQe27YKmJAnuW0TjKue7cNOBsQwO3dDa+4tqZBuDwwl+FCx1J9/kxILpS
JM1iqu+tO4gHPmW1G1z3ZvXaQctviWIgKy6G/dK4yMWso8vCR0y5gBFgOpj6QQyRJXaG92S6qS/6
DdqCtbMGy4fpQpRWkIoqH00D/cfERpTWnTHxiSEABJqOlW3v3FpsfK3LR7WBEThgw0CXCGtqRkQK
j7dzZtZom1b+rIUzpvwN9ytGzmt5U7fv11dz1bETa0qNklTAFlQVrKUoWtN6b+kC5cPOb7KNFbwc
lwHGD/c1MnoQneD0WfbFyQ2hzW3Z1Ytfk6OH1BERFNHDDOydotOCnBihnD6DNDqY+HgflySK82kj
ctZ8xQ9AERvQsSV6zn9BVTUsGcE3BCmmLoqrHz1NwwpMtbq3Nfi3tsdBpYEkZaFmuGgWg8eY1gA3
LkMzjwOV0cJ6KZ4cemcBHTJmPiFbk0BrUYPOD6XoBC6T2cvZdrK61E1GQNuzJhjp99lAgvlUgbq2
M1KfjGHSpRtLuZK2YyEXFPMSrJgQOTdn8oaBpp0v9KuU33JM8d+A+zqVoLrA7WGhFLIXgnZbM/Ur
xwsGtC3UEAFPQYlT2Ybgr2nGZnmSOLmz12YasWxrWmLVBPwCISskvKDKdu7Z4FbFRCaC7TcnR26i
OoTu7b/ecwaUNCDEtuyDy7y5n7g39w5u4Ko6mByQnvGuzQDLTLcof1ciHgg49D0xQ69DVUNdLyB6
CzNxcfLnGHOVSQjUp9M8J+bGmbX6liSQPdEx2UKgK6EkL042IAALrFpTx4C2SUwuvHIMSdffnOkx
Kx6Z/ei6+5mL6PpSLl9DzaEBOP2NRUBNXv1amIvt7UTCQaF912zztkbpqk42HuQrRVdjIXRHAckB
BgmT7ecx4YJQ1nRAoxkQM/Xbad80T2P+7FYoc+4BwOrcW9OM5swOJNJP4ytKbde9vPyMeCKjgAX4
vAUyRfWhVZWCApxTCTBS/3KnnZe9ud1NuaVqdRn5sAJWEaQI6BoA+3XupUM66qVTjrstSa2dzdwk
tKdsixRy1ZcTK8u/nxxUABGlAwPHT5BNNKx6useNUMXaove0ERuXR+LiD5iAXdSQUEFScpGmrDJM
mMCSSxhEawKtD+Lqu4AqofeopdnGN9qyplyks92nSLdLEYytuO0G/rMkYIlkgyEiKHdOPsZVM7/C
s3Ij41pfzz9eKidxXwAJ5CXwsp1eGbiGQGnn1zPYvbcGky7vNOj+YX8DYoET+GJI0yZDL+oMoo41
BZZcEDC9o49uarsCrLOQ1ggr6gXS2qLkWFtXQK+hPIzhaWC+lb3HMzspUNQWKHM+gEg5bV8T45hU
Hymb/DYnwfWdtpJcLl7+MbdskpPwbGphDvoAcyTVd4XzQDDX2+iH2Hpy5HuWRRU6rFucxlsuKhtv
YAuur4TNROCIsY81Og6j8+AmO5080y329JWzenER4M5lMgIcQoq5ccRUNXUaKKVn70DnWmLfacei
TvzcujNMcMNCSJOGBKSwG2u7HkF/DKtbX/LY1RgMD2Ao1dtvOZ517J1rXaCVM+RXsD8s7ThBBLx3
2R6TumHj9PuhsvZd2mCIpY9ilod6bUUu9DSv/7jLi+R8UZTDQvAuqS0N0T2DAN2MX2r3Sz5u2LhM
mmADXB4grltkUj3FRtu2boyHNF6wqQCw0qshMJRKzEa6Zb+b+voBOcmWRtilFhoKdKdGlXNpqMis
jwkTwUSa93yUewKyNFZLP8uaCGV3wMTiIOdfGaTucueXVcz3tvFe6ppvkSGsQcNlWzOecvX++oKv
h+HJaigHl+4m/QhaaIERUQjuaJ8h/D4M+3ICGWbm13KXsHtS3QxbjH2rH9qwCXhVoB0L5sDzDV7n
fExzY1mPsT44RBxMmhy6mm25dwH9/73uGPjC6W5hFks5t5DgVUCgYlMP7YRJHUBcnWEnIKftCCBP
bfPNTptwIMXzNKcbttcu8oWD7P9NK2eYLReo7XKG9e5wk3F+BIfiRiivr+IfE8oZUkuz6FmBj+eJ
MRpRWu6gWsrsrQ7zpU6SsorKkYHMTjfzCa5wCBWE6Mzu+1/ZAYpNd+2hPtQ0eDJfqe9JHyjbw/Ry
PUS3nFRChdUojpWQYMcIF8piXr4rXWDhp2ojvVw9Fk8+l7JDSdz1pFsuVpodnTmizYuHq6e4y/uw
1QGBe/5vXqn7TnhWC+4ipHlG2Ml7171zx3+um9gIQFX2IM9jQGEM5EJa8zZaj5s55OrfXybRIDUN
ReKLIYjORq46Ly7Uj6LFQ+Nw/fevXsgAkoIgCyhWouJR3GpoSNnhjBB6cSdBlmMZ+avD3lybHVq3
vB3G7uO6xSWUzt8xOKVPLCoxwCtX5x66mIE7QfEPnE9PXDs4zT+x2Ai21Zg+MaR8fenpSdFMMJTS
x75zArv3s3ELZr/qDUYFLaqjjnUhAVrIWctti+MAkrjeqnI86lPZ+KmOui4Hiam+8b3WcmAoyS76
qZjOv+jygyAujpuqXZw6dPZnaoSuF4l/j0jBNwL7AlLfBTeq1jw0aD4k1MXSJaj/t8CG5JjgGtwu
MJIDVCHAOx/9RVD8MahS5qSigTK8hEHe7Kn50LY70fzU6ZvhHv+bIeX1nmiUJyNfPNM4Uvtwav2i
+DCNwJs3qoC/n6pqoAMNCSlDdHxRJVbiryJTkkypQMqHMcUAans3bjBG7uRnh8wf/OLo3MvoIb/5
+hSHXtB/ee1u+7C8dfY8qn0seQCVnI0tcUn5gUvm5Depc40M81St5XZdMD9+0XbJjXUQt81z+dm6
Z7fzQ/45O86750L3nSd+m4RQZhqdjet0pcKAn4BxLhcKBh7eV8oXKIAVszCY2gUTYAo31n4Ml/EC
fwjELveLJ8s39+mGHOOlksri9olN8zwTmsp4aF0Kmx/JHBh342f9aXrSv/DwK3oT4RQYfhumN/Yt
Vv2wyU++tmVPjSvpkfSs3PPqAQ7fLCKczS6egmKvBTKST84ez9i78oFGdGudl/C6CL8Tn5XUKMHz
NmYFzELNK+Q7x29uCszHB92PO/5mP1JfC917Euqhuecbh9RvdclrtpWcSWBITJ8srLf1aESz/4k8
jtHHi+v3kRsaN/qT/ugF1t4OJ7/4/NpHyNDzLffXLrbTVVfSqaEWrXRj/ATz3jIQYmL3MvtjpAW/
t14dVV/YntxYOy+8fsCs5nFA+OMNDxYfQO6Vzz0O9tQlA9ad+DlCq9uB69IfvliRCEmUBew2Rw/f
z3lQRTH4pzdenmv5wql19at3pccxagjGMRMDJcPO9LYoc9csoPCO/QSYB1AQin9MKzOE89gFZZmD
eAyg8k1es7XQxdwsHuxYPjDYKOFj1KXMMx0mutY3Qn7AIS0+EDm3P+pPzP+ZHJO3yU+PfVB+olsL
uLZbT20rcWN3hjUbMWx7xRAkMkhqMNLpAXAAfxEnEPVdyq3mgtJV1nEZUi74DENW788/PL8LnMfq
ewJVKecZ3FptkAVD0HxFgQQslfvNU2ktOzo1rwSK5FlWueOyxpPv/Bi/FPd561ssSDD65dOg+G7h
oVE9/rPh9dpbEagReAySK5SZlYdGLoY85hIYFc/4REr0gH+65G4o3grzU+6EaXEzbPF6r955pyaV
hBOgU5kOOUy2mV88DwfDJ491WN+yY3GQju9avvEATP8QAO8N7bB8l+C+fre3RpVWgtrB2xjYb5Ro
8V5V7r247ap05JC+G933Br3/Cp0CkArsKIQQe45Boo0AW/nAKGyDHckDoh3gacWeaU60dg3eBpAc
HvajBzVTO84HPIQgS3L9q64cCQBigfN2GfR3HBVqUmYsG2wdjPXoyUeUTd8Bn9jIpla9OTGhfESQ
HiDVdmDC6LgvGkxzyMdh2l/3Y2XvA5azsN8huwa7j7JkLu9zK2MwMlsohYLeuYc7RVTFX6/bWSu9
whAKY6BvRD1bfdUlRgWOs160gTRuRqSHHiZn7b0V+4kGud4jLe9Z+nrd5to3opggAus8mJlcNfwS
K2d5MfQtoIdVVMfsiKL9Rhis1bng1h8bSpo1OyCWLAvYKBi0MPUdnt/okjFfWFErwnnykzlMRZQm
G4M+a8GxsAcjyCEOANDjeXrHvJplHoWiozVhRO5nNr42/a/ry7caGguVLb4ZaJfU2rw+NlM9DUMb
CPYGvSQ/sX6QMscN++m6nXVX/thRjuW0ziBaJmCnYQBwPNj9AyYwrptYGU+wKIU+OMriJsCaKnWa
RrJyjPUl+qrmec5jIBmK5lM7Wz006e3kMCXzDHlwVt81RnpsPeurJ6cyrOekern+Uy4l6hEu6DQa
IEKC1g2q8edfzrBrCyxrYxsM5ZiUPrAQ3SfZpMkTKUf2Y7Lr0UQzlxEwh7pOEQ5dTR/SIgUDY68V
HDDnvD7gjzf7uiCLziXykruRdiAdbT03Aa/BPD8lXgJSTo2N+6wR/I6liXiHNIjb+qVkUvf1xMme
uEy651Rzi1fqzWInJlMc9XEiGGWVBgtTO+ufs7gwEMWtP5pjDhYiM39s+qVuFbOJ+ibHRF5TTM0v
MGfh5URBlbpL0GF9MmqO5zM3etBI9j3NNg7638JZSrYN+jgMuFHcqgQA1fNFlJqYJwoASVC7WkCb
d6zzrhmraPbmQwcsrDVZN0ioPhLnl87FK51AaGHmn3FrAEoJ8UgIRNftN3TPfbuT0Eg30FIbNtCz
K3GNoSwMuaNGjKBTO64ltB517uBDmyK7lRCSbJrxZiSfr8fTyh17ZmXZxSctrWymde/osOJ1TD7Y
qd2mfkohTe3rbjYf9borXgrd2ycEYFk2yqfr5lcOCTCLA4aFtxWUh39nIifmQdALmgkNZ5/IdVDz
DICQvlp0N3UbdlaKTmd2lF2jxdSaRuhWQBEDuJk5arwinPHIk6/DsMU+tPLhsEOBeUYxCJTJappq
6naTYIYSaQTKp6XR7nWtvouT5C/ud4TvQu0FqD8wfedfDrNmlcvyuQ3SnjwyfQBqCiIBjr0lwbJ2
9ULhBa1AguFqaFEpazdzQw6kgj8ADSURMXgMKKDLQ04G/tomyIZBE20GZmlI36UdAPN9nbz9tzhR
DvkaUwGDKFqsaZX5vTf6wOKX1Q58jH9hx4BIMKThcHLbSj7TJ56wzA5xYok0bOqwde4Z9HmIsfHe
X4tHzFEYSJmQcOJNc/7x0nhkZb5su7ZBDdR6zVnh54BYyvcxmaJ/79OpLSXHsOMUD+wJtkCC4rV7
JxX3enJXEu34F3bQNMMrBTVQUCid+5QPuLbmBHGSpSZ9nky8BxytM355C4P2DP7H9+v2VvKzhcIb
7wOAQ0Bou+zDk7OjHotsrpab0KsgnmLJl0puVf9WtvKZCeV0HITNvcnDPSExzZZbRuQZYMgZur84
6gELBaYHqZhtqVl0klGjmZatbLcfLYBUY/yab2EWVka78YdPjChhUCWp00Fauw04+d1M0kHjUnyp
9aNhvFvl3qEjBlICKR56b+9txcZKbQnG8ZDTgarG5JwSGzOYMWvI7+KdAKYFYh9kB03o5KFAhTcN
u2GLj2ftVgPDEIY5URDBDa/c7xW4g8XULiHP5DHO7b0B6SgMitw2yXC3EFLos310LPnp30ck5jnB
FIvZPUC0lJOSxYlWuB28zMduL8zmAeI4//7UX0a1/2dCOQgBTK8sdwkVR8+eB716ydNFW3sOr3uy
Fvj4WgZOJySZEBA731soyBUz6Ws8HlsvnJs5Mtl89KppwwxZiws865DdLGi2i3FtTlBmNu2mDfrU
4I1fevhgkGhzZKhXReuAHNZxIzrw8ZX2bHhgZVmEpclj/EcafqQPAIKYfKKnnenno+DEB+CxCXWn
1SZgLPPiCZJb1r2Gqu5ONmX8aIo8Hf1Y18e7eCDzjQ099M/jbOaJz72YfxaxV0EgENAbX7giA2dh
Oz97tmRvXe7NN8NgpeEACQEKvhQXPFLNLPC/WozlOTjRrcrxE1RsflgOCMp2jdk0B602vDAZ0/iJ
SpPjnjSJhOzhiDlVZg97i49e7psdRc86TZ/awcoiHXfsUavjY9Fo5pFozm4mRhNZOY3DWTIPo3fe
9Ajqq3kPblv7zgHwqfXTsm+qXW9wOvudrOmParStwzR386epdY3KlyRnT9aMpr9fjqmI/Smvyx2F
TOHbWI7GvudV8VVLwMY/9ZmLQSqkTVtDuqvZBIX2wtLJACOv+qo2Pa2rS4KMbxkVvctiDg0l2Yqj
jQLxJ4zrxaBprPsxZNpIHwza5zXYPadhYxut5p3LDARKFjgjVGVdPkw5F2x50KGwNPS/2qYAmHA3
xr+u76MtO8qh2zZ1xSyCvMUwy8hz+Z3uxJ9AVHcjvXlr7HrLlnL6JBWfOqDScDR48YeLdxRYPjE8
05bUlw15ue7Y2uV7+hkVx0p08Zh08BnhyB2Ge1+Kut9fN7F2iFPXRO0PLS9QuCn3u8SbsbNR88VM
oRHMfYoCE0vwOGGRVjYfjd4EcU6PzN1qGK/lZgs/Blg4ML1uqkNAnie1wVpywNq4A/FHo0E4AgXO
vDygGehf93Htm53aUop0VZ+PFRmwjIyAcKOHNkekufobSHXbF0jYW/8x7JXbY7IMj3doaCIVLEKI
xrRusWPmW4zZ/Ot+rX074LT+t7+Ub9eYU1H2NgwVY+2TftwNADXo3qfZQn8nK56qlvlTt0WhcmEV
hchT2lfFPdfjZUXqRdEI5Ol1HxXkth4iSNv6CWprfdNAESO47ujFB1RMKo46YC1JWAL1Va8do0x8
dNm+kVY4i4/rdi5LUIqh5YecZLtO7U0ZQZ8HCBlgRGosK5MkdEl7k4gkR07lhUR8WHOxl7Le5Wbm
l9YWvvayXKn8COXNaReDScHpBf2hKvZLEwJt/8fZle1GjiPbLxKgfXmltlzs9FouV70IZVdZErXv
lL7+HhXunc5k6ibR0xjMQzfgSFLBYDDixDkokdt/FuOzMT/m5L5ng5sB7zUIypVXacJfu7gtwAW4
Sqdyu4zHe5KBKQRE1grdxZZDnCq6U+lLb3vU/ECJ/vZmX0UAzhy3100FbnoJEowgBly+l3Pjj7p5
qDGNBBY1zFs5X7fNbfoQaAzWqQ+8Bfn+Z9qn1LE79AWzwfbmxqvq0yKHdK7/m2WtbYd17Gil2bl0
oSRdqkFPYacpXtZDMTYhU8Cj1dzbIqGYzR38y6qD5BG0qVz+WLdFYra0AQGzrLhyvNMkr6iCOfqV
aoLKzpZrrIKFoOzCqIfFl0EwKMD6AbqgroIapOGZytOYPcjm5FrKXScqBK9+dlE3hGOcG+PCtYJZ
yTixYAzghDIcwSdDJFvv9xiI7QUfS2SKe8KAdLPRCwWmtOlkzZ+59AjtE4GNLccDbzNeK8CXWXie
XTqEshK/VBQOUQ8NyYbKBXUdqVUJ82gCS5urObPEpQsUkx2LU8FS3PdE0gqiRKdx/HH7HG2F//Pl
cP5NG7TU0DyBFoGekkZ77gAaV4AXUV6LuSEdewBLxW2LmxuIKZL/k4zh4iEum3goZ0jGsOSkV0Et
79P8VRUhMzZcHM01tFFA0Is6B+/irIYscb1yiVv6l2r5Iya/jf0IamXZ+hyFeuIbR3cVXMQgEUYG
UQnjHE/tWNUtqy5BYYzunEoB6HNedZPtHKk6FrEpgvHq12dqZUjXkU2CPu7q0bwoLRs0DXsIGXN/
Mm0fQl23v9KG862i4lCtAmDzGnFYdl0+txpQ1on0s45PBcbTaS4oHIpscJFBz1PZKpoVyY3R9NIG
VbN0p9gsuL2SDX+7WAn3baY0M7S4hie0tCLoz+fNPtVelN4S7NhtOyDBuwwMqOJhbGDBamRQ6FTy
AyRgBwqkg5DWcevjo32MGij+z0G+eGkI/Q+9AX8Atq2F/DcZ2hmF0AQwOA/sKClooe0qqfxiaBxQ
osr6PgFN6J5BuPUQp1q5Q4/JgVy3aSHls9XEy1KpC5ckoQGsDX9KOQO9VguCnke7d6LCz1oKWaKU
LbFFijmLJr/HqbN2A7TbQE5SdZqf5bWKuuXCvkfTIv+gcRffOWk9/0S3zYqeyglkWESndHmeZCsO
bdBt/Y7SbEH/TS1UTwJ5QljX6wyFyeIJeB/WDlHYRr013jltJjWB1mVKEraDZb85aad+l9pG09yy
qpIf6IopKZHiCEVAG8NGO6gglsFEQQciCMhbMQXDgoBXoH8Adj0u9C81bgTMIEBxsey93ghbZHK1
vmPo9ul+YT/f9tut03FujQv/MR3SmaqwZoE/cKgTIoGJzoa6ym0zW257bobzJtSs4DkzzCjab6V4
yqLncfhsRGqGW1kwBi0t1O6RrjlIPS6dFuWpxNHAj+B2zWcNirYi1PSHLEEBqD5KNIRqstM8mubT
7cUJza6rP3sBTH0CHg4LElGj9nscgU4snvMuA3ejbxiAIOkPneT3KSYZ9wLDG18P9K5rkwnRGe7C
rdcGTaLk6OC2A3Hdp179XEYWQAs6HsHq1x3MePYBFCVxZuxZf1oy4wmDzfslqQ6zZoW3f8vG5XTx
U7g96Fs7hwgdfoo+KUDeV4YnGTWGkPrYHaoM9JUilsiNnAILx+UEQsW1eM1F3MiMylRHY8HNK/Ol
yiuAj2rgzQrQ0knVF7jyd93cvaBH9Pv2Qq9Hs1DlxUsHdEbgiLJQG7382laMkVvmDAVA/9+MWg5Q
knxzppKMNH9xuoTEtuzmIINROiD+EvaYggmiN9KXXn3RB3ofKa8Mk62SJoLBXX8BpIpA4GkoDdto
cXIXnWGAIHeyZNA6KnUIMkAICLiTbQZpUhAp/9dTcWtiihIQysP4AMCqXO4CUFo0yVpQa/Ss8ubS
IoYJBea58tQYmvWik/1XxeEyv0cqbKPcbYAh1VR4APpSgLLKTovCDehLcV+Tk7s7Ph29L8fbiSok
fycpL22Bv+Mfz+LZ5w1Qf02SMhbuWC37CCQQSmwXFmbVdfTnzJFN0CHM6JEunQUcciJFR9nKU0Ac
6y75imZNltw+MxV3ZaV5lNWZ7miBPhLRpSxXyTxE/Y8kM9jbGEN6lVA9aQ6YJzQOsyznjzJFslXG
leAxthWjkIGjn7nS6lvgt7j8XjReuj4ZGfS6pXF0I3u4l20MkliN/gN9r8wHgvMVmj+PRo55/ww4
QvavYUfocq0oYvyzYgf5AdZoiZfCSiyJJJCiiuLAmQZQKHiNLoiKV5nLXztrtxOpBMhf1nNyFo3B
QdMlago7bf2aayASr3/ejgBXUZczwB00M+vnpahWA+wFfqEoTwnzb5sQrYELbr0xazTrYcJO4sAY
IgIUoiCTFJjgx1QqhSJ4rtvUJSbR4zfZEXyH7W3C3DB4AkFX+BcvdfYdIqaao+MgKtgUncUpaNtn
1fz36QvUtkGwAO4KgAP4LFVPrEXSUhkD5lLxXdOS0OmsN1PJBXu1kb44QHWtc9c6lCBNLtgtE2Wm
0SAizBOoYqGMaHToi4UF2ue3v/vG5QIUOqKpCsVyjBrzrfpOmcAJYs+F26g/GAo0+vtYea3iFehw
yd90zFIPJEl26E2RPGZE1h7yFMSxO1lzVfy727/m6gsiywepBICdBs4RbpXLkyTndJEQk5DCG4Vb
JbthBqun6CLZCLf4ckg8wHaCxiZoHy6tSDm6lyxZctcL7h9e13+eQ0Lcg/syk11CdjvBg/D6YwKZ
YIB6dcVXgrxyXfWZXw4J2HsZNJ/dGFLXEKxlxk9VfWO9IEpcnS+kCedmuIRoHQdougpmCvBdTfpp
dkTkfRsXPiygHGCurFNXrF1GPqdKYcBCpWEQXQYdt5eVeZgvflQKzvLWYgCvxJ2PSb31OF/umWku
EVwBOU/m0P4RhBLQqO2LQuBvG5eUgpYzIOXIaNHf4S8paApreguMNyYVHLR9tV51U2t5AAqPRFXi
14tM6PzBxiLIO0jBGy+3/f26BYpvdm6f+2Y0lozR7NsCEomA/DQjaWYJ1J9Kclqir7ZLg1nSY7Kq
1DNRqXnrY0LcEqks8incz9wOVyCu05YS4AsT1BXpeK9CPggPl4gdl0ykPrl1As5s8WLZKRin9QSa
Cq62YNhTsd2KHaHegmbe7f3cXJMBbDgkQh0dg6WXXgNsK1owJt4EBWqLCrgyrTwY5lPe/yyl8Lap
bdc5s8VFEYwqdUNmwRZqSngv/5EVvJd3ZlS5uvWxoA+T6kEF/XX2etvwxhpRIVkZ7TTUYPEDLtcI
9qa0s8ApDgDyVwxqCLVEUqUTmR4sjJ7/F7ZQ/YN7oNiNfy5tSRMgSHSAapajdkTBxIUayrXhJt0A
WLrgLG74yIpCR7aoQHIDytGXtmrMvanxDDZapwtN5X7JMNXDFLIMgv27nqFEUDk3xJ25WgMEImcw
NBTHLLlf6pBpv1XbZ6jlW5g2K49oDcrqW1Xt7c4XztWv5+oy2Yd5wAlXSjQZzLTr9z27DUoDgnV4
KELtA9AWqegA2YH02SqWar2UXe2q2u/MEDjr5t6e2eTuVQ3RVC1WBt5FB/aABkoR7SztYPQiwKto
cVxQqZveoDVrITaFIRBAVrGomQzZp2JEXq+PbioHqf3jtpOuP/7GhvJjucglZsACsbjSQin80Hfe
ov9cOh0FOOBU2/2/t3b+6OU+38zkEZT0eIbaFQjsMKaetXcSCvBZw4JmALFdLSI4B9DgaoXrWxQv
KZRFAUXQuM+3ZH2yKIOSAMNWKlM45nX0vsTdgIHoqrXsAAMG3UjKWnKkEN1259hKcVd5WZsob0rR
pIEt1fo+lyMrPS1TbH+VlaJ+DK0UHaTUjPdzPkMHoABPuh1Ptc+6Km9flmVhoVU29aMs2ebRBIrz
vZyaNqycWoeiY19HkVsZs/wzZX3601SolbpTLZnfUcEvI8/WS8hJqIw1owexhHYmTWqPWmhOkv4y
ZXRwHjKnrKjXL7QvyWIxFnmxNtbj3gGeWQmKjNrv4A2USq9CAbT1hxzypYEZFc6fuorMadfHRoyJ
4EjSMYo6ywoL20wG19PcoXTutgqgT345NnUTxE3BjL1k6aP9rDpJl5IoBRBwr0cFqFbSsSuygwxd
XGzfEDfeVGgspInu9A9Rmsf93sybeNc75gwTDit+JNWSP0xLVutuWnWWEZQ22MEX1Z4jr7YltNyL
eh7vC8OO6MoQmGfAKOfMCgtNj/xIbSEzV06xdUerxqpc1DtQt2bRiFTfwMWSuU6uz7/BgGCguV6b
sxHW4JpoH5MpUvr9TOV+8vTSclrMZsz5SwW90gdVrVnqs7LK7tVZihgkXQDlCtTGkUZipnr5Y9SM
tD60DuA6UIJdlKDrZu0DNTTTfsoxptIGfQK1DNfout7XFzA6BjSH4hrps6R+sBa9HF4XMCsObuHU
ZeM7VuF0e4Cn5A9ZGeZQjjCCQ4yZxihig3RrOra0tX8kemyBgTuKpxD8XzNawKDC+YZuT9q4tKj6
p3GqtdYbKjN9dXqrxYyhKpWfU21Mv8fEbN6reZLvdZQ8do0RW0dMrxQSGeLRsrzJGe0CjBEmMIl5
Lb1mTlc8O2xsBvCEppanFUlz1IcYyLw0t9SXOi/aIGrUecGYChRLAY+Ls7dKaZvHdpV7IZEzdTsb
CGaZdDGdwIe9jNEvsPqxzwoUVDbkhrolBIBEBoGh1RajRxnQXP5ArQZKiIUSubY0l7+KhWY7k0ra
G2ZXHMPL7aj6g3pxp7s1tcwR7KnFIrvtZP0CHFeFrqISVU9pa9Rhi/mjxlcSy3ponFIFa1omL5SM
qYOaziDHVuyXRT6hzqlF9JctKeqAHgJcE96NiJ6ZQ4nxeCNZZY6VtLwHZRhQkniATD1Z5BgdQxPP
hHuJZbMclDiyH+asZBieLUZFJDt1FZxRugARroZXFl6xeNVd3nbRpE7jMCgSJjpcEHgpCcZDTYwl
yfc2fUK59HZwvno1rNagJQruOUTJq/wvSY2yyyNYk5xfkDpxJ13wxromQ+AscFlflOhgM6Xoi4Ol
8jPd5ftg2f3RQulQv6XuB4gpXJPIHoqUgYiH4epq/VsE+qeatV4SZ3nDiDCTNoDqk1JGeRel//7U
VW90Bu8DY6Todus41u3tFJnkPl5eTCgTqiioxPPPHGgbuSQVDkQe1MovQPxdJxJcrmuOd3GVc2vk
dlcdln7EMJpEGDvZaqBB9UVJBbnQNfp9NQKtWVQZQQNzlWhOZmJK5ggj5jc1fB+97C3fT1OohNm+
DLtds7u9idf6JJw9Lt9sSugsqdCYImOgvCjv47vqPmdu1Hnq4910p96BRiK0PIHRq5SBM8qlKXq/
ZAnmhVALizMvbgy3bb3FOY6DS3WLmNZDIrWkGTDU3XmySMFr6xiaNli/HEh4gVSTM67EmZlZLVZs
RffNKvPwbwsqfxf3z9/n8iEQRIx0KPD3pdl0dW30MUEoL/e5IdhF0TrW83F25BpTi415dccKRAKF
ssPcpyv4TleZ+eVSeNGAVh8k8O3CBIpeVuz9TJ+Wu3H32QGh8FUec2IGRQDuQ8EG/j8++Z8d5Kt+
aeSkC5tg1lHd+fmp+JJdpCxIz4/Tj++zV+y/ORhvFISTa3aPdbH4n2JAKRwkSdxzEqoFkox+u0QW
hzQH41MN59C+b7567/WR5mR+SHAWYq8l9Jt8FBHKXtdaOOtcAG2cDjgqMEuS2SBL4ldvwPVjHDXy
pVD9LuLWuxbX+2vN+FuQA+qNxylWRaogR8Ra6V3z1bypLvqGR3OvhOy5emcHzM+6zXElCxL47OYy
MaEH4gLwkuEUcu9omy5smRiWySDJbBpejX4sPUFoWJv3teHR6ITRCIEXrweaj9sY5kFQhX4Nymmc
zS6LxqGWsNgCUwe+7JcDacLyaDyDf+NuDuzAeZp2yKh9ER5q6/icG+Ziq9k1fTMicSeZc+plMiuv
OtgoGkMQw7cCwbkZLqDhWyL5VGFGVn9Y09po/3N7BzfzinMLXEiTrChSIx0WUJZuiHqoA/2xJyS+
62LPJDb51u3K8EnbG4+ic7GxhRjTW7ls0dIG0zi3NhUak8bSzhJpum8KmtqNN+t75rzdXuDGzQ4r
uAxWOBmUurijr9HCMfJ2QZzTfbBCkqQFe2srmnvY+E6oIIExDPRBmCHmAWty1FraUDIcOuebYz3J
yen2Kv4Op104OsrRBnrQkA4B98wVw/eoNAY4ZovEPTLPduOd86ARO6QepPNIH6THzO+PxZPuxj5z
wRH79jiFIOhFVliS4rF7QKw5Rr5+Oi0hKND3Kom9b7ngSrnaae4nrnt0dmkldtpLU5mDH0w6ZdMx
M30t+rfHASbwDdHyh5wchuq4e3GMMdLTTmWCl8ydnD9jtOj2Nl+Fk/XvoyQPnj4MnQGqd7kEaZRj
ENpVidtrX0r7MvWHKcFDxUtSgaEr3+cMcXsVOxHORQwFexVa31N0SK2feu7LIq0AdT29vNv8zYVW
TQJgbLkzli+oEWvVgAV55hsjll/fZb52+ll7AJ+5cdjfpYfRLfYJoScQGD07+8JDBhBKr5UvQm1c
nRHwY4NKAMjvVfYVLanLzdWKUi7ackowh/TVp94wilCcG5t6YWDdjDMHLHpIic0pDBjWwxIFSbGv
gWIXAbw2fAQtWPiesZZzr3gbQHOvREa/Wmnu86gjpQppl8q1c7TXvNvuuHGizk3xNKUKcypNYTDF
lke9CofuMNqChGxrNXi5ggBYw5QRWp+Xe5ZXiT4NvYaPon/qEJsvjxGoelZMTyZw+a3Pf25p/Xpn
X6dUTRSVTFiqDACIMMukizijrudT4GHnJjgPc0ro/1W1jv0KLJWkHVF9VMX8Lg5nFcR5trv8vv2B
rp90nEXO5WIHONCcwWIrBemb5BDdbdzyGN81SLX0T8N2RQMU110EziQXA3tpwRWhw+RwKCVIEsPg
H8dlrvyeFq4xE6XwJE/EsbThiWgbwN+B/AYKj+8k96BJzfTOSNwC1ZTsG6hKaCvA7fztrHKxCjYg
AwVpk1UPmXNFTTKhF8rMxEXZ9gQRI2IfrIfimRFUdwP6ZXoxqdyeZHfl6UvzJ3ICNJjYp4L8mkj8
Ifiw6y7e+jGct9pt0Rl9ZSXu7KIsCaonzLuC4Hm5093ko/cjkH2yxq28yFWJWZFIcN9vhLKLveA8
GUDiyO4j7EWu/bF1gtIZaehzJSQevIYk6PKFIc6BaVapTbfA0OxrpCDdqQ1UP3+t3OK53ym7JfwG
PpQgJ9Db8PoTpvIPww6dMgH5wOZyMQcLeWpcu4rF3bu2PTmVVTvoM0ge1VyK1NN+WETcahsRCNAB
UACsU5Wa+hd5dxaBhlRTU3MZUtfogQ17TYtvAqfZCKYXBtYfcGagjYHISnsY6D87BDmH5Pv0CAH1
ffKxnOQHI4zdIvF9Z6/sBZa3zuf50q7OTtqAyQiWO7/KwVupfw3h8tCRRHGNe+lnc9eluNdFGbxo
Q7lDMoJkJSkUWK2zoCse+/rr9rKu3QIYPuA84aMrOw+f7qUJWFi7NgYyn6r9zon609oUCcaojogt
9XZw29z1JqJivIKM4YAO8E/cU2EsaOvYDWZ3ovIRxDxZ8zSICpvXlQjUh7EWJLF4rK5TaZcuYvWN
VI8yqizmT/aAAYomHAOk8OMuDi3HRQfR96E9DhrhwhO187Zt4y0EUCkArSBzvLRtmy1TUhsV3GxH
B8JeysBxE3fyO7BiuZLbeM6fxXSX+zhgmN4/DoL3wd+1XcZUrP0f+3zJSaZprekM9qFz82TtzRa3
pe0tbhVO/n5xp8RT3Jfbn/S6GrLu95lN7pumDAW7RF+rWhWhe1QdD9a7VJGPzG0+GRbvJT7zo+/1
vahAsJGMoA2AgGZrIP8woAF1udu1Wg21PceZW6XfrciV030z7lgMkhPcY9LjOGRe05PSlFEJDW+v
+vpRj1XjtgavADIeXNicl8nziAbQkoDl9U7z6L7wJ9/xcYGhoE60kH7Fr9b9aLtgrfDY5+AOItbM
jbv88gdwkSF1zEKLLPyAgmgBqIwxBHdnf/V377/tYD5A8O3Ijhgk8zFuU5HymL3qgAeDbfvUL24T
EWB1BJWizVBytiPc18Cbjy0OTVHjmH0TSvKgUUyRsceSwMmvrwBA5kGUirCFZBq988uv3uXLEA1D
lLkpe1AS8LQ2wVQ/DmoX1NOv21/5OkWBKbBEmYCFYoqGR+dnjQFAtQ5TdjU4Txk0v5+mvDsuc9bu
qrFLXXWePrRuZscMPcTbtq8jP2IIlLigUg2VOPBUXS5zijUmtTa2E9QmbmSVfqcIVrcmHnywAGEx
jKyEmxhDuLQQ08bMS5MC8mcMPuhHiGP1x6xOv/fW7I5Ac1no+P4Xi0L7DvgtJKBY2qVJqg1pUveo
h6fNI7VBgCmaHNk8lzia/7HAHYs8X+psGGEh0RB3MYKK3eu96RdkVT0oOENzJ6DkLXtFTTp2f8vA
dAiWuOUzAHEhCVpvgCtlcd1mUobxHTTxUmSzazqtP8SPExFWoTcd5MwQt9JGp3mupjBkvOR3gBgs
pAFY7ZjuC/e7+qkGtkMiwdHbvF/OF8edvawowTVrwibGyF7lg+zqPwbs5x/7IXVb8DEXH6XA5NZ2
opQhYyoJTDcQ7rz0mNFSCwiDYkjfaAwM5Pll4jHnEcNIMgV0ZEJP37vtousfvDwVKkrrq3qtDiTJ
1RtprjFkAdxm9ldS2qy+FSZqwrbgpb6xkZdWuI9Hu0nvwLSZudmbc6c/Mc8Jor12P/3oj1GQH8Zn
0O0JXn/XO3lpkvt2kaykltMBfxLTnYwSbdvdz9N9YwJJYHqlEjpacHsntw2iXgSGAJRs+UCtDGbK
jHzI3OV9OgFMdZc9LgfNTb/fNrOVBoDID0VujLhjBoAf1KvpnE26DjtWepcWh4g95Da4lpTvgBGB
qDgF37viagBBQAtNcNg3nQXjxpitlFelE847S7ZkoA+G6aQ7lKgByiB5SmgoWOD6Za5c8swK5ywj
tTIjWa0AsugvL2hxBemh/l7Wfmy67XHeNy/0G4jY9WfRq0e0Ps5nRr2cQVSDw+CgEm6FeLITtRf4
5XUcg1+erY57HzdluhiLARsMqA4wtRI2CI60yMLqqGePRuDe6lSSYAGfkUQSqKBE4h3XI2X6uggg
XEFNsdJ7cI5QRI66lD3LXNmF8Olz7hlB4y478y0Ao7k73pvvaZAcgJsMurtvM+l2gjB53fXlfgDn
I8xI7WrVX3WZdw/ZlM/02O7/ZHfmnp60VdGiJIfKv+2Xm+f7bM2cc1Rg3jWrYkIDxKav1KEGWoRT
d4eRUNO1AJ8EkmV+BiD2lzxm+9umhcvlnAZlBtabDWyb98lI0F13HmhghulT+d24R01JCkGMpfhp
8O/RF9hoULisJTQo1aOIdulMTTZ11F6/dGrET4WtuY3zOnWNn9L6buwst2TyU8s+lv6ttqmvS/96
fGi1r9oYaFhrheCVv7Q/ScWktgpWXlAlwwS8Ncs7fZSM38DIZXe2XSnfbu/11ukByBZleAxCY6SG
c23TWUqzcbDgBmxEkCkeq9+3Dax/gA9vNlh0QUsFyvcrhs9M1RsmazPid7SEBuZua0kO4tgWHJEt
M7BhYg5KWUWKuXWwdFLWoUXEsoQoWU3M8mGJRSIgW6H63Ah3DGGbpbUOI4n2mVpBXu1yo0Y39LUb
3m7v2vqX+F07t8SdPmBv53gcsGs1W0W2gL2ji6sCc671P25bEm0cd9YqbTLzFjwKbu/8iuOdlb1Y
ln/bxPXExerVKA2tPK+ruix3qnQzNjppDV+NtVaAfdMr7qQ/xmF6HY6izHn9W9c7t1KEYN4aqR5n
S1WbpksB8HXL6JeVgj6sdtO6Jo1MJueXJgWNqNS9vYH/Mcij2O18AINzB4Nqpfkmw6PD7IMiFb08
NhOhtcH0vwvjq2sZS1VlblY7h3Z0QWXpqb9b2x1DVO8xM0M9kbDBtg/+Y1C9jEV1ZSitWq4+mAVm
6eu6V+Yvmv5fXN/ny+IinlFi3n9oYEVr3wsajrWgE7AV4M7//vrfz9IDCxVrsGzLwO0xl/Yxmago
Tdz0uDU9RU8WxTJDvrQw0i7HkL2CBM56aXv0O9hbK+sEKruxtE/n7zLeircP1GYcAvE9yHBQi0e9
9dIiVIStSK9g0VHAvjm6JQ3KeCLToBBMnt22tbl/Z7Y4L1BB1mAYLfYvgW6uZD4VmiDUbTTkEB3O
LHAeUNpzqbcMFhrTm+mhbl+q+LnV3bIJB3pXKCDKOShxgEF7ophuKXqDbh8s4y8XCJBQVy+MaMLM
whDBA6VEAWwcXI7zNz2VWgfy03aFd2hUgq6DNc+5ZRYPZpxlFZh7teReMRYdxA16/N+cvPM7cz2Z
Zz4ra7mNmQHsiGrJZACf11AEA33RE8HZ2zrh53a4W0apFGC8bYSUCP6asgJA8l8NlDcMU3A7bx2R
c0PcJZPakTnUKKy5FSZLqPMLnXI9f+n1h8HyyiqFXoOAbHAzKFsQ3rHBugUo3/rfz3bQUuOp6SIN
33R8oarfTYfeEdxqIhPcR4Ka39ykuY5HAbVO2QCigpKeylY06bq1ddbZSrhvhOt5tNMFZrox74+G
NaFZKikHylLT6wx6sFfFAJ3GR72pRPwWm4n4uXHuu01trcyqhW18zh1iPAAO8KMjfbmTj9pT4bW+
+ozrZyeqZWyGt7Mlc1f4hA6gMWJUye20CsC9oM1eqiQEqmhpBH65Gdz+sfS33njmJpR2ox23sJT0
BmlBnNCLVN0EXsKHakurLKutYCHX8bquAxVa2HohUHoULYOL0Q5TahN0Rpk7Km+YKlPZy+07YPOD
rLhfvE1wwfHJdUlpyYyG4lWUx0Q2MKfuUYyhRI+U7W5b2gCEqCuXFSouuBHQ/eGWkuUKzTWzQtJh
zyTSjuP4lUcYXjhJoFHsK3/SdlbxY47ua+NREbnDRrcL1td7fGWaA8km53mlniVLWjVgw3lyAohW
Pi+7lVR63/t3s2cZpCZ3oDmHuKSgf7+1wXj0AWWpg60PLafLcAVsc0kl6Fa6SCZ+tYkUmOxnUjsP
zHjVsk4QuLYiCuCiNhJxSOpeEbFiAAqKTwuqk6ouAxl1LOgH02xiVG5SHsfM6/o/tz/qpkGgBgBe
wzQR5OAuVyfVSPLqqEc51K6Oc/ejQ2/AZqfEntwlil8XUNLHmah/uHXwkHbZUJ6DdgB6LJdGQZNO
rVIZYRTaHzJopcbjLETMbRpBKxpdwlUDhEdEODaDdlqLqmurd0EXLfsmkcMuFuEENh9QmOUGSyNg
f8D/cQlfCzV2DGasZYE0v5/bhwXjq0nbnQDY9YteD5ImedQt5XmmkBjMBZ2kzUWCasSEy4DHm297
19PgyG2DQxFnh3l5l82d0gqms7ZMQMUMbXWICBhXVO6Shm4VlVADdUDBbzFMySEii+bUt6LkuREu
tJjZgn5fCSOYmnyUzeHJKZ9vO7rIApfJalpZQHgdPteAzE1hD0YuSGs2c1UH6YzlYCgcHsd5dSbP
aTy1eEl39ne5OjnDcVZfpOEbTZ4w2ZzcS/eogi+it+dWnnhmlX/hJMiwcmOte0zZAkKot761SG17
QmqGNZ3g3+7ndjg3j1t5YmjDZq7SmGWYqvPTyL63i/NoLp+FrDrEyj5uf7FNx/tnPw3eJ8pMqyCX
jigBtVNz5bkYnrN/zTCL8sf5sji3KNROjdsIyxqdENNd0NEhmOTQRBh30VdavfMsmamsbtKYBTM1
Xmo5m0lhfvRQNpMFkNfrQRVuPeumnhnSZwUDuRMMgUnbjaF7GeGD3Uf1M1hgQSEIJgRDxf0t6k9u
nC60m4DLQDcInBY6t40OjWkH3Q2kUqN86EvrNAoZJtbPzTng2tFa0fEAMF3x5ERGNTEnWk1YzalZ
n9P1QtJkIAXVyDxBzk4+WFrpTcY7i9/VOhakPxufEIBlE4oJON86ZhUud9YcB6VIVTzIZDTnpyqk
+nsi/zREk5QbXn9hhnu6oMMR65kFM30/7KKePfQ6ZrlK2bt9uDaO84UZLqvphwXigJhndPOO3oPQ
kFirFC2znPu2ioiDZ/Vtext5BrQdEQcgCAIYLN+SpIokN7TDs5mazZuuVn4yfCVRHErTC1yKsOrD
Safwts3NNZ7ZXP/72VmQdGkyml5dQ5bXLi9t9kSIVqeE9gLZh81vhuwQ2QzwZ4rDbSb0WYs4XQ1N
M5DsdhKMS3FolliQiYrMcOvRWBtbkwwzrA8b85F2QZ7sbm/Z+kuvDhkYV5HwYpIQnYHLLeshF1Nm
tolwODmkTH2nRbWHgHCQ9KLm6uZqwNBoYLZtRZZyFwp0CHCkVlMsmbzB3GnQNshFr+RtI5ipQf6C
ggw/I9IVWmmNho1awwTSM/XbrIF8WCT2uuVnimxiQB4ptApQ3OWmxTFTpRj8Ca5OlRBaHyv+HwA4
ffac0XF7YOiJk1aCL7W1MghIrTyaSP3QJLo0SjFxvaQ18KNJD6ZSpy0az3LGKUi1RZDYbAW+c0tc
RFoWy1zMDMtLHNAsDPpdOTr7GHAQ3DT72+63tSjoIAIOsPYjrp4/Yy5FuZOheFozcJXLNGyp6c+t
I6g7b3m5auL1sdK/InfnPlhjDU5epXj4O1kJttNQxy7aR9OCYFNwe0Fbe3duibv3wWe4RDPDgkop
WBjg9NbH6Pij9nLbzNb1e26GcwZFUuUYy4UZY3mwJiesINZ728T2SlZAHI6SofMBHEQrFlqiqGMU
5dfMULL7bg3+JJqj2nQAwOT/zwoX4tJM0ZpkrQ0O9WM17GcgWJngVlC3VgLGPbznwWaJj89tVg3i
ORDaGFgJQcT5Xd+lz/PhVcIkMdsZQQscl3VAP/dBJeUpDqTjkwzQcvH99nZuLfT8R6w/8uxuAgeu
M0zrj+jnEzPeJADNZZF2jsjGegzObLRsanHjwoatB3r8PimQ9RSxF27FPjTkHQxHa6u+IreZLFcz
Ztm4k1K6fNRFcjdqIADTaJCv+LjGJjaQouT23m3lEkCHYvB1HXe4GtgxqpZOYCmCzbH2FPlEcW00
RUUAp3fN2h9UNJIE3r8VMc5Ncp9rrNU8rmVEjKawTjroaNSp+BxrxS8cO4B6qyC4i1bIfTm9tagW
mdjVuaoBZNTZr6iWun0+du/VKP+QnZWhKXVOhSGLyMa2P+g/m8udQNBDZiyvsbmQxGMgpkPRxLCh
fvs/pH3Zktw6suQX0YwkQJB85ZJb7auq9ELTcgSA+759/Tg1c48yUZyiHV2zfmp1VyTAQCAQ4eEO
ZohvYxG964Vxg9nmDSjS6pmkaPEs9S0XHblLVwWnsDmV2hKRhys8XsiYeDOAjVtycWvFGsALASNh
MIaHuuKudKyKETw9OPsmu9ET5k8pC0Aau6+0+ArqfK2THaH8G1p8OnCr+/G546560YKzQPWOLbJr
l6tkoNiACDhSHr340SYZHEfuTN7jYv2WafHGKVnd0jNjytWDCQ0ZNY2N0pAZPZbsNZmTo9uAh1j7
m9wef+7fZSmbahVVGzNInfmToD6u3Ss7t5GdQvZhLO7iVg9q0XrOvMWjuNYBAXLhj13lUOb4J0xX
wa6Iy4OZQhbU6jwL6ou9m96M0+SLxLjnfe6bsX6IuvYpK9mdLUHYpLXpHpqOntFvDcGsfmKmUwZ6
VVQ3VUhkMvVpPXTL8UHVNBU7F+NeNIjQwpi+f+5Mqwf1zJKy+sGu3cIQWD0dv1LMt6WHFB0AYA0i
noNLYcN1V++SM2tKRComEJ6SZV2SgBZzeovQ+TTAx/n5mrasKMFHDImlWeniSZYnh5BatYeccMPI
anA9W8ry72fXImktiKFOyyfq2jfitteiY0EfvUa1CCmToRTf8jzfeG+vddIXEoX/cQx13jnuRVyV
i1Ugc3dEyqMBxi6jz6Hc1x6Qw6O0HwdzBUmNnuyEVoYO/6Zr/D4Vx//VHqss2BjSYtGY4YdEuhlQ
YfoONPVKbYuEZy0lxew1nicEE+UgOr3cZTttSstN8PLiIPIbYnaI53T/Nyv5Y8K8NAHpSokhF0S4
puen2BbXjIrXaJ43zKwG0rOVKFG7IG3htBNWQid+rJvyxugfjdwBaIVteOZahw0wVuD8KSY4ASZS
Ng3UiI1GhIuskGOIbfRmkL00nkVebfo2zrsuurMGL4dmUNeFjdh9vp2b1pX9FMiXG1pjoSYqXAV9
YOIkHLBPXpl1mHbfGX5J7WGEsDeBeRvCz62vhrOzpSu73NhD1dXLS72QNZ59ELLec9kFPHvJMXm+
Ncq0Vie92GnlduRclCLDW9MX863VhyXA+Fa/n2WNvOqRaI+pGYzxRit41ZEWkPJyIIip3g2amw66
W8BmGYljXoM/Ev3D3NH2HZb4+W6uXkMOqCjA4wDdL/X09ZOVTZGJNzvEh4GxM0Kto/sUL4yZvuHa
2ggpawtbxjZckGCAJ0ZtgU0FX2SSIdKJNwJEHJP0J5i3e9/kTHqY6H/5fG1rjRb023RQ64MBCnM4
iqvwAmyRugVzQPJBDDMpr9sGKkRWy8djH09s3zHyo5VV441OVwRkxFRiGc1PGSu3OIDXLiwEdfTE
IdoCERXlp5hZS0ZkWRhGTN0T7SqfVvZNuvnKWnFX9N+WR/HS+QaDu3JnQQO7B/lXj1KmfHTyb2X/
UIzg4gSVBUNnOGw0MA1tEVB9/KqwiQIdMNcEQ1UqTkeD4JcsItiMITfSPEmn9gp2LIYtyeotO8u/
n93HttnFIEFEYX+COkv3NOU7kMXX9MvnXrNlZTkxZ1bKeLCYcLAaKwVNqAPqIOOJ6ujKPn9u56NH
LLsG9wTieJF+UDyikqJo9XZZTfo09A+5flfRjQvp4+G+NKHELmGVs+suJkb7O7ePRh3wAq30X/NW
L+LjHY5RLB3MOpjtAfhOhT60TWtp0wLcHssHXruPutNtVM5XLWCWlKLat0xCKn5NjFhEMkJboKv9
Nv5CyX8OuVgB6qOQtcXLEgXgy6/eiXJqxt8tAPulITsSFV4S3eVyayh4zbvO7SiJqznmwLsNKMCx
LOApJhztF56iJUU31rO2X2iALVTuqLWg06asp0XiVjLUx2r3ziz+SQfT/9x9f1e/LjsAeFKhuLLQ
RIGkXqWJYppd6mOPFLy8xlzH8asJtpKgCqOvzX4KM0/3Xm/ME9lZIabmZu9LBqRzf+IBHngenrDA
aH6LQo5u97TfSvdWEED4afiI0PBF0QdPv8vF15jxyqccmWtnlaCxf9ahqCPszAOE3auLG9f9RVn8
0BIIU8cPet8c0AF67kwS6EbtM14gfFVbL5aVs2gBzL4w5KK/BZYh5Td1oEmyTeSgEUuvorm7qqWx
J5W1m3Asp3mrvbtmDvxMOJUoksKjlS0oijRJBht+Vjdz+T7ZUeJ42QzxHr9IU0gmxJNBBz/uQNaX
QzmMe5T2tjeP9nDiFe9Dt5shV5+wqQD/dOcA8KbHffMCGcT03ip6usXytPZ70UhiEHGiwI6o6LQI
NM8otGN7Jjx1vCjRAyg/nhxZXI9a+zOXmzwMC6BbdV+0YKD2THFK0JG+/B4TpKlG7iw5rFZLD6Oe
wUC6a5fVgT1PQV25qDBBA74a9oAWbnydj0HgkhVBCQJlOxqtJHyBBo/H0QghoReO/eO8Jfa7lqhf
0C8oUbPFtEGUzzBUXpOf9W5+y04UM6zImq2Q7qB60B0+jworw90XS1PpLeK2wdCzDov65NOvxQEg
w7vphj/2B3C43ow+qFj8/AEjny8GiBdO5f5z+ytH/9K+8lnz2Ih0kOojXT9qd+4TB7tw9RoHKNM/
TzycMRrj5X71bN6CDPFz0x/v80vLyqPISNthbA2BaoED4tjki8jLXbule7J8sEuvvTSiRpFIDhhM
xvJmA12HrvEas3xs3NFDLvHKjdbLABtpBncj2K9V0M4dyVYyiRHrSqLFY/V9f63HBzDI+vKfyfWg
uWDeDcF4Mq/AMxqQ57/Y1IVnzoBchQ7VlctTWg4NyNcpNjVCycpEm694jbZS89XTiMaEi/9AQk6F
xpkId1q/2Khc1h8Gy/0nmY27VpvKAzgEdn+xoD/G1PPRA+ALAjgYE+SfOTtqUJHZyvpW3gBwkjMb
yhmwhQVyWgIbVLuOaNCz69juAccju9o8NUY4lz9M7e3zdW1soq14Pybb3MmIYNOVZh7UaXxj9RMF
MWyhhQUx++Bzc6uH7WyJil9kepSPdgEws04eRHRf9VAd3ehmb5lQXF64sZhtLvGlnO8O9aDWhCHW
jXC5fq7wzF8eAYAsq20GzJ5YdLCwDsu90Qxg428KivvWG8khSo+WfLY1oLN0j/BdZd3RNIgZxrs3
utxrzQ7QUf75FcvHPXvyuDkpJ3vArxjro048U4weKjl28k2Md1lngZszYCJ0N2vgq05zZndJCs7s
ihrJZdnA7hQ/mcw3k8NcygA6FJ87y+qBgBkXqFTM5H4YDmrmLrbyCHY0Cs51inUYrD5EEdRL0XT3
xKK/pxuB1pCTqDcaVh8TG9MCdRew2ugxYJJRuYIrGVmTYcJ2UjknUAwHKWjMh5F8ZYV95Fv37+qn
/GOOqoLhaLFWxWQmgGuBd8f+pxyNgEdIbx4x6uzVeR2IYpflwxE8U59v8tq3PDesBB0m9WYyMVaF
ObYmqAg7clmDgBJlai42btq1ug5kaIFDB54ZY2cqq1TaNWOXS9hyIDPh9XheON3s5VYaTKz3rHIM
l/++bshtYqQHeEYwOxvvq/WNPvsNSg4HsaE2Twf8Bs2Oo2fQ7Q9XGcvB3DcXmOXTSyMYND7v+ehM
p1Ka9V021vsWbagNrNf/ZzMwRfh/xTdUuKEh0gxgc/wQnUE/rg367hDbP7R2l1g7TvGUQf0HmwQ6
kXErfC0hUM1GMAhsWwDOLxLJyjevSCxR1Mech+DTLdEqaLZv4UVX3QpDBxgCWMYLVXIZc3LdbGAV
tll+dZJ9Qn66WphukUOsxXowoLgYbcaD8UN1LtZGohVlvaQZ1qljxUEA6DhsNeJW03G2zKXgXYrt
UvfLTktpODGyKLNHiB0Bws5tLVvEnHSgszr2OmGyBdjs4ftYFm/oyT6AMt/1jYy8RC0lG5FpNSwy
F+6Pxgvmp1QtNDTMcCnVkI1OmiyMSPQI8cVDi/ksbWiDJJIPtMtCa8xCnm5kC6tpOsg48D6F2y7C
mZeR30yyoScadJmS8r5m417W9Hs6JV7WPs5GGxhc/OOAQB9E4j1kg/vyHY1jEQ61eWysBDkaAFLu
++cBbDmwqjPjm2CiBiQKyAIVZ57spqogSoTG5Rifkh4zsqhMWFCijMbbIu93UbI1qbTm2+cWlZyp
RPd5muZlTCqeK48gVWv09F2CmNPaVNRe8/BzW0rCZGgtUGUDbCVIpN1Benb5Wg4b6czaXXduREmZ
aksTjeHCyITwG8eVJ4HbdU8RwFl9+PnXWnsInZtSHKhI204UAsNWDURDmzx0UwCTv0YJD1Bj8SZ0
xcpuI+SvmwQcBJK9iERqCTIeSpn0y1SbHlWwFPt1Yh4nF8O9zL2NlqZXdpdo80bhk3wsVKCEhZo9
ikNL3q5W19OoYxowC8jm9/ILBV0hXrDXxQ2BhMWVFk5+dHSvx4CCQg1C6cHsRc9v6C4cx5N8jt6q
n3TjG6/FfBv1JMtkJmqLKiRSy2prEgYCMlgsPd12biXfzNdWnRW0euBYJibuFyUvLPJshs4tJrKi
BxAm7YoTD3s3GH3Is+35LgnKwfO3iPvXfHf5qMDNL3SRv2P3WS5alCgbFA3m23JmT+V9NvUDJFkR
Na1ApiVKZby1HpsGI90b2czaYoGiBjYKDTFAw5XF1mWGVAL8O2CVvkvIrs0F8u2N9/tapMGYIO5Q
lATReFOSUL0dh1xaAwqi3TdtvuXiRbov7L9Tx5rQGsOIKaqcC0GIEkGhITiluEpxQBz51HX9a1wL
zxnmjaO/mvFAYmwZpYOH4OV0eXm0bhRxfZyQ47o3lghZcjXkuwnN4O5et8LCCAkeSeza6J8/jzmr
X+rMrhKvxWh0YhDzEkPBGpvER1I9Fpm2+9zK2j10vjolUsdczjxbBnOETUu/JvY/i9GDCwlB3yxz
eyfLzgiqPN8Y31u3CyYKdHAY7mTFR6whr0izDHrMoFCXmXPV26BymLW7SMu93MA4K/v1+UrXQsnS
ev5/FukS+c6OXNRmsic5ejqk4L4TYxBua1pwNcU5N6G4Cl53tGIcJhxMMkEbdIhCwe/58KUECYV5
MPMGKfPGgV67J36rjS+93qVFoizLKq1mXhC7SQ9BF+t9yAt/TIaAQDNO1kBE0+xaH6bj55u5YVXd
TEiOjUnfw6oz3s3lXdzdm+K11u4beqgrv9qS4ls7C2eLVIlsXOJ2iUZgboifivRKAOzVbeFM1jzy
3IZy3oqxBl+aCRs0aTyNehYFSYKM/bw4TW0IAc3Pd3BrScrBmzInmSod5mzxLYUqdz6Gdbfxldae
AJj/wD0OtweqnClGwHHYVg0SCb+b0lTuDLPn75hMYj8kJJd3AOrlT2PhJLf22NazP9Vcu4NkCKjp
h4QP16JK06vWcoZp44JYWTuucxt4IjyxgIZUfpaTu7Js8XxHBeoY8VNjj57Tb/Xv104jxuEg3QA0
PaYpf3Nznx34Op3rgvQoEg5DZV1rTmXe88y6SipjPCR6d5p6cwiQw92AsHoCW1Yx/8UygXRGu9JB
qwlTHZdHs7btpszQGcMb68mh94VzMLaUUYwVr0UH/I8NJeRAQnfOXZTLoSwd+0kyh7RFLznF1Byd
DlE/Pput7YmeeRLUBwlxfQh/enpueAmIGKYcfMwYPWr1rzbqgZ87+EoWcPHLlPPk2EkVNUvRtOah
S14HMFUaJ77Fu70S1eHcDhRHl/GcD+Al1qcN0EZ4VZr1r6R+FvXLX6xiyTHQTQW8wVTypcbSm2hq
kA9nbggIbwtxwKkKnHwL+bV2JCziIs0FytxAHL/0lcGMcUwTvDBIdDK1f6p+76QbL4otE8tWnp0H
3ZqqeBhhonOeXBBMdXWgTxv1oS0by7+f2SiSuneog1eLU/yqkjAp7sby8W++yJ+dWvzuzERtOF1T
DlhGSYRXWV+c4muU+UO9lSmvetbZF1G+vDRMwdnCPph3J4u8xP1GBrT29yHMBCQTENk2KoyX6wDc
34JTw3NnnMAJc4BIJT/fqdUIiLlP4HtxMADLUJbAgdttLY4lFOzKbQ9jEzoF5pTfqcDkurUfB9QK
N5rNa4BiFEr/2FwC1vnnEaD+7d0cjvzkGt60tzzDo+/F3r2dobHw2ly7Ad3oKKw5Hcg3AQdCK3/R
h7o0mTICQotiKQRo1ynbaygH5FvN7ZWEh53b+OB1OgRB22VZFWZ7UNwM5uwmki+67SUg29p63KzG
dXTVwDxt4MmBotnlmuJI2EYz4uHbQZtHfxml13torvkgJtlJTIEtw1/aVbtLweX3udes7iaBCAig
dUvtQXGaBqLdrCOIeNI4UXEqx6+O3KgyrOYlmDP514biJEWe0C7neHJDDdeTBx6a79F1t3P3wmOP
PDA2ao/rS2LIBVANtW2VAiOrqBRioa9xDOQbP4bsZmo3TIDYF19EqegBjQ3NwwVEu0xZXH6xNh7r
KZEaxis0Wb1AYsX6bulJ/0qdrDx0ZWR+TZvcPUYy1m7tPG5PcWZkYUwseogKXRx5XLfvdIz0b1Vc
RAfd4PMu1iyOuhYryL7oebQbudmdoH/eU2+28/k9mVqMtvAR930/Ur30tMqpg2yKu5tWpvCRhoHL
sunMm2aytbu6isbW051p3ldGxb+ZsZHesKwrH6KyGa9pLNv7VKsxqcZAJYQcInPHnewgS8l18ztY
3zrwrdMmMj0TCdxz10mJfKOXt0U/o34x5hzdphK6CbWXC7txvLmYmteWJXSPjRsekazwo2FVRgjG
BDEDLu7QgyjHokTDs6qvJSHLL4viY49prMCsujz3JiriIHeLYVcxq94Bkulm+B9l486BVPw1izLJ
fX0WBNC22TkNrFngQ2NOZBjRdAJtXKbTa7PUowMfXOikl43eNF6HTdwNWUoCC1KV76PBMu3Qd6n0
O9vq3V3MernPZpe9Za0AkEXXtecYydPXOXKiO9xANNQMQTro6FKSehIaCTQgKadQKNYT4wuZTTdI
rW462VVL3rq0Nv+hhdTvBzuNwwJi7ahWRGaWBlpepF+yhA2Vz90i/ZlH1niKiZa9xkbfH4vcmCEd
P2U3+L93N8JxoDie2uQm0ibjH2QS4uiMZnxjSgt8AgWmr70KzcYvbmWyhyHnYCB3u5qUXkmddNhF
GefpviuFeSzMpn1IYlLtMI/stn5MyHTCRPrw1e6FHsJak/uWjPL9APItkJBJK713QOB8m0ZVXHqF
uyTQ7sifOIQAHot8ZkUQl6I8dkVVvXMKhjGvbiPxHheCjZ7RNXi8SaN0X2IoLe8welGeok4nz3lX
kuhIh0QeusScH4yB5LssmSxfizT7wbKr6NgaSMb2PQUwJKy6KjJA2IuuH6bbMd20T5tmfEjLfuq9
MXWj68HSsgOLNJBVyBI0kDZG7L63eQyh0GiBDDMRWU/csJo8wCg+1LdiOj6ZvDW+uqUb+zx19dYD
IVT+nJO++malqGl7Zs5aB8OqovrSgyzwyeosCT6CkpB9p9Hsyhkwozd3/Qie32Z4NqvJrMHoWRe/
xn4YQwMwmmeTSXDypg6gCl5mFmMZZtIVTySJQFwpLQFqVlRGns3J1HZF1CHH0Qs9xWRDNA6vpObD
MUozEE3mA2NXQ2lGt5y0OMCFbo04RdBzFVnZXw1Dor9P0DL0zKSi+OmWE2XB1Bf2bVajpOpBUXE8
VpHUEDpYnUx7Wc71idZacj/FMyRiXCqqY2ILvoOoOWj8rFnUqH9b47WGrP4nEP7DS2m73TFzUheK
JGhB3eUokOV8qkRQ1kX9jTuRuEU07AINfMHf7cysdjMlGooT+Si8xi4hxzRPE7+SvUTdwJ1YtIeO
RfY0IlzvdJC39ODtp/xYuGW1QzUwuaFlET9q0SQOTBALxyEpcZCYaENO8vEqneZ+V4AY4D1zG82j
k+hCUBXbh0G3+3HBZPZBXU822k6GCaUYuwPYgU62c9fTagBpd07Dok+sYV8yVru+k1Fr9kB11bhg
V5FVG5iiSQUqYjUwUVYJKkSvpyQPO1u2BLLedhIyI0mfnZigSJ83ozYjhFn15M8NnUvf1Zvkl2C5
y8EuUrWvVeFG4UTq8t2mUXvoRZrsJpo274Rr7aGybBtCh10b1nZdBmTZdPB9lI+OPpuZN1AALW07
KR6Ap7Kvees2V+ComY8GPPGlyzRIMP337OD8naLc3FqFGAoi2WXiOKwgNtRYr4bz+r+zseRiZylk
nJikT0ukrW1zirsvtfuURA+fm1hLvs+W8TtzPjMBIhlQptQwYYIuB4jorv7veB7kGy5gwZAcY/hK
l2uYMK886Rnyt8w4yTHUMunp0VauvSSBaspxbkT5GD1JB1tvYQQcu98g4Hg7HzSfBd1uwCiWX37T
D5/v2mpyf25Q+TJJajncXFY1+AZC0P18uO+vgLu6J3uIyOvXW7noWk4FoSVdZ6Cwoa46x6I7mlm5
LRK3KQOeZLh3tIfOuuEQKtyim92ypDyOKwQPkUOo2p/0PRUHXjseZQ9zsi+29GRWX2XorVGKNgyo
KXRlE+M0s1ifwVT0EN/ZBoa6vf7U+tIMyc9o47G8lvme2VL93DTKqMpj2OqNwKG3M931w98cJcyQ
onuGUiP0vi49vR6ZmRoRmutteWO5hddmG2tYLST9MaBSyaV5WzBHLCWe/iUfdkxcFdGebelQr+4U
EFOYYoIGFj7N5TJsXeZV0y0PPHs/gF+jSrx4q1q3xvFx8UYwL40Qmo71kOCNAF7QawAk39rj3RBC
2YDt43sW2L5IveGtPTHP3Ze/ch/XxQs1vMOA8l24cZaX94gaPM7fK8oLU0htSogTxSCqfpzlTgem
ybDfTRfk44cB50srvWTa0X73ud21yAt5PnjKQoH54WFbQ7+yMBZIqtbsKxA4pfWWAvficB8WdmZB
Ocq8K03uLoBUt5u+lsbPFFhKV488RtBXlT/cNL2n7bhxL66eaqpbJiC9GP031FpLEzekMeLfn9YE
3RzonLz84HTQ1eN38vvne7hpTAn8VWPH3ajBWLJoYMuj1e863DCOtZPiMMovEf0ZV782jC7Oqe7r
+QqVgw56E7SYQAjhC+mRQ/0zO6F54dMfehCH4z5/2TC3rOGjOTw8wLMOvKhah6B6VfFIW+BLDzUk
FdPjd+nzm9bDZA109u6jXXNEq8u55XdbPdE1BwK48F/Lyu669Sw4hIBRuU535TH9xa/1H/VrvLc3
iqW/mZw/W6Kyo7mbSEz3wxCF1t5T8bqb9xKKwBiP8djP7MZ6hIitX98uxAm39cuW/slqxQLCe2Ca
AmUNIHVKxaKxtdqkJT7oTfHY3jn3FBy7+woVaCgUcT/+WtxPV8ORucEWy9BqdevcshIHLVcUrlhc
qX1zLO8OKbKxZwGxveKHI6DIV3syaK7kd4g75P6WhtVaRx+EaH/WrUQ+qRENlz2sV68D3meHO8P2
0tchKE/aXu62Zn/WMouF1QVDWMAPoKIGPz9LNWUjUpMtWPUiupWgaGS7ttwPzU201cBcu8HODSlx
r5/qye0XCLlWP3f1G+HHTvc/P5RrwfvchHJJxhXcVS6hdbaPIGvYc4P8Rd4MMAe6lguvEWaLL3er
cFHBMxewLRh3hgkCvaFrbZSLV/OJPy0zdQLDaLJGN3o0prTZuR6c9NTKJDAK6ZPYDD7frzVTkAED
syRgDqD1Ub59Uc6O4AOwI0JgshdgIjZ5aREam5wza7H53JDy7XUtrmnWLoaatrxG3S455agbhXbb
NPd2DTHcuu/AQMOggawbTcBma5cySfyOyq2rcM3h0Y1bJFIZIFkqf33akrmYTTwS7GSnmxjCEo9c
v2oxjT4aG4XkNX88N6XEkbw0K8RxmFoGdiR5GMQWlmndAoYogWqGirN6C5E0zUB6hQS6bfZlcUv6
jex51UPQof6fv6/eNbnrGPWIv1/lP+MuDjgoXnLXDoksN3xxbVgO7QRkXICJAKWizoTCEYHZqGHK
6VmAqR0kCtrO4lDuRFmwnW1guW3P5DLkSXGNgaTbyRmOc9Oh+Nh7MZRTyayD/sY9dMZtF7moLW7s
xdq9e/4DFSdu+6Kbu2UvOu2Lw+4FO0G6XRR+1Z6q8kC2EJarW3+2H0owQ1kX95BEEyIB4KPB7DUr
JygyHThqcJ+HgbXIfL6w5ZecXQE5pPC0dMLCYkxEkJdWu9X18HMTq376R6VU9dNByy20kQAojM1r
8Euh6b6Jblrfr3+FUB3FVSdWUNSZsV8dpkt8kfndbb7joR1WAbvrjlqQ/5LP3ZOzEa5Xiw5nAqzq
ldDPNniHlu8E+hd5296bUISEcuJP/doMNOiXl/4We+BqBPuzma4C3JB56haAZwLyJ3UwET839i5P
39LmWsu2RstWU6Gz1akwxmiAyoFw4Rvpcb4mVyRAGfTW9ctQHpsf+g/Ts6+nAwbLncctcrsNl3GV
4Blh+nioTLiMkOWhiCV4itLD51657vj/uoya+zTEnMY4wka6rNtDNw4F4txL7XTD+be+lxI4qj6p
QX6IPZxGDeAWz857r0oC2j8NcRp8vqSVURxiLZhTCtDN0r1XsmYovDZaN2sYXwNKuB70g6a7O1uH
wJNl7bSOvMxyALcNVJ7M577kG33Gjx8N1l2MI+EXQO1Pnb/JQSoxQ1wUI3z8+yAcz2y22J4+HnMC
tYjfPLeA1eD6uQxWac/HivQRrokopOJYGVcjqtv528Y2Lmfo8u1zaUbxPjiEpmvoNvj6a2mG/IV8
R78iAP0h5UANfG7soxte2lLSsDEXBnAQsNXbx3pEplDduc6GD670tBcjS5YPCgQ0t5cfcRbkm3qW
c92A+Ti3xl0CiT+Pc9fw7daY9q2bAEcPSHSQFhgaGON2vIW8JhIyY7BOTdY99O08bfyij6cCPwgF
CXSQFxpUFWVHZDRQdLBSvzZ/gSXXy5zbSNfuO3cAD+/4N8cC5wFwO/CEmfDPy+WTvgFl+0KUVRoR
hjozAD3QEgpFVVTvvWTxDjPjdy2f7Vvg0m9iR7MxvJZsnI4136UguQH3BcOnUK+KIUXvS46Q/Uk7
F22Zoyy/xs4bs3ef+9PazoJqnwK6vHxzlatuKGrSQYEw9akzhOaY4o2cBKKhXkre+Ug3Hl1r3ntu
TTkpc2/2cVzDWjsDiW2aYWrfV+NGLeK3e344j+DLBTcFSCoMdcoxshwx9hE6OmPJhhY5YkZ0n7OM
PnfGFO9lNzbfIPqaiysIuyA0yDgBZsnAI+No23H9PJIEFcRWs+k3p+ckAF537sA0kyUnvZpyESaz
hlZ007LmuRYGoEhOgpZfk7dTyGeWvZisBU1EWxjPeku1X1Fd2Ie0s/QXK4qqQ9pOWRALOl8LSTMQ
E0eR8Dhaj/cdr8ct9ZL1Lce0BeSAFm0A5SybIhm57UpsRjb8GEY23jt2/1LEbbGV3CzRVN32ZSwN
w2lgygbQ5/LYxJBTqIeFo6yIBuAtvjcTVA6uZtfjI/iRQ9M+9dDYLrfQxx9TbUQFl6DSjRlhyDIr
z2yHtnbEMvgUa1/m7mksTzxGzu8l2oteH4wtxqaVkgtEwAASWMZ4IJiopqdd0ZUZFE1wYtoX5FAj
8fUkiGTYJp4dv5HU57DKbp0tho616/LcrpKzxibqPIODdTpNu5f2eBimLS3PtWCwMEVhM8He+4FR
sm6H1kwB4fB5fCibYzUcpipb9BALNv/ndwR28cyUEgmSgkOBBGQ7vsMx1c3ZwbFST8/Svwhv52aU
UM5jaMbWAmYig3rleD8mb25W+NH0UwAX8HkoXT6A6v/QdcAwrAtGL8qUk7Zwnjb50OKkQaXNfXRj
13Othzp66nSQI23RnZpr/sBAUoQpYgLMsFqlNyqtr2qyXNLQ1GkNzy2fzBlfLtSqhyZ6haq9Rm86
/m0q/Mw5kORXU94KuwR/7d7pr3T6s9YqLyuf0vmQs0DmW72uNWc6/32Kv7KqIYnFEYUBvot1r0cp
1H4gzfdWbtyUK7VnAiQm1L4Wzi4D2OnLwENqpzGEhZ2oTQFJjX06gdPVq0TttclDxaZAGMRL2jxM
i9rr0q8lQdvNT6sfFjkl42vuAEwxYgr8YeQb991qJnX+0xQ378ySgOwam1BlV2iiY/NDDKzVcUDc
5zjbsTjok0MBbgOeBfmW+uKaQyIsuiBOxLAXU8eUk3GZEuxznDETcu6mfZ9bP1oQuicGtsEhu3FL
7Xz1QbHU3xfuLCxb9cm4Z3TobBy3bgpd54HwIO++5Paz6L917oMEGy6S4oZvHLzVK86CYDw0TgjA
iMrBG1JzsjAinvqDADLYWFgbkjtW0428Ys0MQzkXgEgLLWL1vVJVYNIDvWHqz8Acg5DTi6g/bLFb
r91m50aWtPAs9U6a0s1BBoG1GO9t61nt3s52RDwP1iGL7swt1v21LPPc3HKIz8xV1WRxOcEcs2Lf
YR4ltyNkR92tl9haMMDEARh6GOhEMShzaaebNJzgApcXSXpIxh7r+VEAVE+Nb+nWq3bF65F9YDh+
qb1jblPxBmhDx5mkMCXjJ8ZrKBqjMVLcccyJEB9on8+D/sr3urCmfK8hNnmqjbCGqca5KrzBFZDM
QtPL9DL6FYAs6Cj8d3e/MKl8sxha3LnVw6RZk1Bvu2AobvQtx1j5YBdGlOg9D3Ec1UumzofMq9IT
WKyxrR4guX21ca7M1S+20EdAjwYDxKq4U5bHNKXTsofpkxyPAypjOYHcaWDxkObPMqa+6H82+U/J
riMwkZE6GCjziL5zgFmVx5bv6igNjC6EVKQ/ph2mhHZI0BKQeIi7wf3vOQWmEP78XGVrcN10uSnx
92t09FwoYhj13q6+D5oT2j8/966Vktoy8fDHlpLc1g7kJ+cl6Yuq74UVNNoXCY5Nt/UScdSnsJa7
kly7RmgW9y1qzBMo2sxH13pLM7Evt270tdvs7NeYKkcOSBaiQdfxa1xsM1q9HFxVvpXoXtMfgWD1
ouGtq8f9/+HsunYk15XkFwmQN68yZbpMe/sidM9My3uRMl+/odndmSoWUcSch3twgQE6ilQymUwT
YRh3ZeEPo2gMjuOsAI/hZVPDJYM5wHMngi5HrRuXSD9s7kbnSZ0x11vdjLEgnuD4+VMYVhZZmkPJ
6RLAlN1b0g5+VG/Kpvwvh/jvWtjKkqFL8QitDGyl9NGhgZIkgSkqcfJ80yL2sUgGWqhAMo5CIeOQ
IyGLrKj5lYfbOQefzba10GaR7arqdXy5bqy8fQM9C56AyBlBpYv5PHIvQ7oqmnDupkCyN4b9OIsi
GgEE+2lqdQCFbg2Itjnk0XtjBlIpON18CNNRwZ2DXBObakKf8dxr0oDrY95M+quc7luRUCoXQoP6
moyUJBiAmO8SU1VpZwuroOMjBL6mbA8q7+vfgtNWA7rUEwzGSU0GhiIw/wL7at/mDx1sqdBtNn6p
yQeh9zmuRYMUAkz+svBsRLcJHuRs1rCpe6JXUOfwjHYbRd8JUiDa5/Vl8W4KcBj/gVg8xEm4Eiqy
XYBEFb26YTBIG7xpDD8tj7MTqJ0gnSFaDfORnCnKY50AygErZaRshuQDyl/Xl8O7ZE+Xw3ykjExD
p8jAaJLJTXJXt14mu3AdZaeJWId5vvMUijmcitW0oVIDaqh+KNJN3n3XI97d6+sL4iVHEPor6qL8
hSCZfQPP6YCRGUxoexOiO4yEYbZHcUNCd1ZjeqHa4mFcHy1bW09GeIit6D5uBLOIPKd3+gsYE6kh
rQRZe/wCzd7S6ZdJn1QNvOc3TfRV2atEFq14iVyZVz/odFBGAUndQoOinZskdeZ4HBQDT54W8zax
myfPVhXk4c2oz+7ovGrIIPd4igvuj9/e9AIX+t444+gjgUzXOa5VSFMbViYo+t3uhXwWgfal+fHP
CmoSbrIFaVn0M3ar1/5g7yYBNudoQNYPYnQgksMYGnt3ZW3fhGjE+O0ibdsv+jUdg+uGxPmK0Ktc
Zkkx8+7YbGNxXVj12CQS3iVN4vX2ypTXseaCs9k1Eh9BXirKXnLOxyngb3964llMFUMQ9RjCbPTU
zTERNCfbmexTTdDoztu7k4X9fkGf4FA5imy9cPAmBz+lbSEFPLrdfwguzhajMrZRE6MsERJ7MTRG
ndDTnNdBNBXA8V0W9Kgce9FLgCUs/36ykMyU5kLLYH8god13FcE0abrrhySoFllkmgr2jeP5z+AY
V5lISHVJMmwuV39mDarnquLmUgBqSBt7KWqVEaEx3rI1CAKdEmiq6bfpJ6SFXL3djJlvqPcZ+b5u
65z3j44qJbwe4lq8gNh6hWXkTtP3aA/dgRF+TVcY4VpPN+0WhYWt40nPiaffRntonh6lDyhEBPU6
3ftwOG4XRILa16V5nv8UZptlOTRLYqGf0OoaJMVAuULdslpdX/DlWQMIplfBGQjqRbStnJuOMReo
Oo9LOyz41HXiNxjcKqwHS9pex7l0IsDR0B8EunITPH2MiaZzVMl1AhxF+c7Qh4RB5+ZVBUEJxZCJ
NXixIXg5aMvBOnfK54jM9iH/CxrtEIja7Qea8N664DHdJmsSPP1w3PktefhRdEHidR44C+oeU9DJ
vnbzm+oxWs2BFiBDtxYVcy/P6flPYkw5l4dKAascNjsM2nJDnZuuf8dEqnCsnJP8O0XCpMv5ZwVH
dD2Uixkbba9vTbCvbFDaSlZWH0YHRUvTVeKg0bIu2uqnHpvRQ6zY8dokTvZ0/btzyIHPfwljYPKk
RMOwcJkPXouUTBB7TtB/5bJ7N/kYKfUTHJ2dtLEEh4e71WBBWzhSkOli85Bh67RaISdosGsOHZrf
cvXett5Hw29agTfkWvYJ0nLCTpxvYaRyW1pAyobadxDZNybmhEFmjhnk4ZXq97qI6ph7Zk8QmbNk
6yGE7zUgYqakGoJZtaCedRvW/6H4jm+HFDIKt3jlI6A6X5o+xiXY0AAkW15ieobSuZRGLhKtLfkO
9Qc5eRqdI0T4rtsM/9v9gWVZoMCLlkYmqHE9TfGhNOSCAMp0gtIJZBHvLNfF/l0g23SjRK3ZFRWQ
JD0w8sMw3ynT2/XFcF5/Z5uoMwGAIkm1RZZu/M6grlIFBQqv/dxhVj2BCNczTV1p2lJZYJWilTGh
sJxYMp0UrIyqsy9BxWgcP8I5+efo83xt+rmBhE5ZGPViIIm2i9NHAkrOTMTqxLV2XBsYgLGRr9YZ
a6/bogpnBxiN4ZZz6trQtyKKGyMLev1Lcc3uBIi5MDKn7ENlOcgjSle69CNqDo4WzK3biIaVOC4D
FJh4p1iqAp5ei/k4UkhyB7TsCNqHwChvaeL31iOtjmhnySrfKgRJXY4tmAthOFjqtKUux+xgGmsR
tbMESbR0byl3ufFW/HsEiqrnCQSzd2BQNtNhQm0tK+969a6lz03lzdOtSgTXOqfUeo7E+KSxQRqn
Wnoo2rfsU/daNP659CXyhlW0145uM3i6G3/eIAa+7W601P3+lj9ENJu/6UqZ2AJFXrhFxE3ooWHT
K5ONxOhI0AOlKK5GXPBQ3IBfI3ezl2qd78rYm2/G77FbqYLzxjHRM1zmrmkIiqsWBa4d3uXyY9p4
tu3pGnhqp831w8BzW2dQjNFASMe2ahP7bOffvfRmgsDRq+rJ7chBaV6U9BCFRLA6zkk/g2SMKJd0
vbRTrA51m0F5m+V16+xLUY/K8leufTvGgOiUdfNkY2GO8nOin6ANCJ2HJn7Ik02oCk4ed0VgzV8S
mEuxkjnoMhm6GJQJ6E9BRp6i2Jp04IDYayLGfO4JP8Fh/HA2UFXLeuBE861q+GH9REWx6/In2G2D
wcODLPV9gw3gy96OKzXEtEWoQlpK/tZE+WQ+AIY3bfADQR+N+S6ajWyRNUNHHdM/oENVH2dDpIbB
hUAaeemogUQTO5mWxYoxYNGLl/pZ1Q8mCJavnxre917y1P8PoJ7fh3GvqONcFki7Fvcy7ik1u7Xy
h1jEGsX73KcwjFm1aUMRtWAdcbedyxercdNQcP55nuYUgrGoOOqieMywErt6kZJ3BySgYCrJwG6e
ixjEuV9lYdsDPTTGelg2STvTB6WT0ahgJHu9r72uaASfRYTALCZD4FpVSzccmB805AVr0ewX94Oc
LGH595M3QNvXqGI56O6QQEqsP2nT6KUiXnIuBhoHF7VcVNfYdG4UzmWTjeisqMZbSfLtaq8V39fN
lxeXoKHiD8Ri3ifLyFtwZ+k1IOrpCEYaAk419BLXh0YC01QDRhuRcCvPF6vgPwaDloNqEXuPomkF
g/8aKm/xtGrMzldB2ZRPvmTu4Z8byOtdXx/XqE/gmPX1GMyxhqVmarf7Qdkk1oul+VO7qUXaaPxv
9XddzOU5ULuhyQwgMn6Y6bpBvULETsddCzpgFs3bpcONcZd24xRQ5UTlW6ufhvo5ibd6hDbwxzQV
RFwCIJZuFBohpCgaOH552tDiCS+YvPYoumvNfyaSRCj1d0UsI3ak2mhqR7+3Z8avUl65ELwGw6fA
BLge2kFRDHSYkPlkLU6G9F+a0MXENVdHrbe1fZlADF3wluB6nBMYxtKUPk2VOAKMKt9L0lsj+dct
mRueYRoAn9hemFN+twecHNUqNdMyXBocmxmMOVK8s9PM1xJ1o8TDTh6OY1miB1YtG7d0OkGpjNN7
oKNDHQU+0BAhNcAWTVOQoFl2P8MVHZVdsUYJwJclFx1Sa210wwCPtFEAyZkyPIdkYkN4CtKkHSDV
dblNHp7KbdS5yqvjNX79jUzSOj4q98qH5kl+K7nSz+vbzbMaDWEPOI9RSkPC4Nwx9lrhQDoLh220
b6ssd410M0ho5dteh+G5DfSPLvEDMvXQ8DiHiXuoAHU2TkClrNXwF51uJ0tUj+ClBvEa+wPC8p6A
MYs0hQUQggm3ClIT9iEEd6e1dgxPQeNU+ZA6607EEss7EKeoTBowmjR0Ry2oXblLwCVc66/X9477
iSwcBJxt2UHf7/netSqd67nGgehHySSebqXdWoMqOGjDrcyEGgmRnUJwCnmuEY3uaHDDGVjC1nNM
THqCJM0c8ZRA343VHzF4QO0ndLrTUEQbyzON333uKBwraKVb/v3kvJuZPSVaMaDhEfrtWT2Aqw7h
pfpyfRN5KJjj/f9NZDNv6PzqMnvZxKb6LKxtY78TsroOwfdcJxiMJTQDDZt6BoZibqG04g6tgSbc
u7y/m1GC6EIfYnuyGlxHXb4E+3rRkD5CJyJG2S4Yy0dthnqdCVBIEJWTiwGblLpdLTUe+NXstTGo
ql+D0vwg9SGy8lOhrK//AK6pwFWjFg8uZjTXnX+/PJdsjeT4ATpiw1wLGniREHovUv6iloLYnXsU
lhI4SlgoY7G6RHKhEeo4BOmlNvHntAxA+da44ItA4GtYgguVazInYMuPOTHMuSrzcGzQzCDXd6Cq
7IfnTMRay907Z+GBQgc1anPMMZOi2MohUwaLacp1k0muZX8iU4BhCHCSx4ZgQVxT+YvGTuk2ZtOj
exYLmhL9Mbbf5/YtcuZ7lFB2cmkj+MHIHciTrpsH/347QWVORVvajZ7Py/m+lWMveiipt+STjk4w
HxMv2UZPztoGy5Y/+HEQHqut6OnKddAnP0A9/4551EhqpOAHFJhhWOJwKkrrc9okcIefQDC3qCXJ
hTSm2NlxpayMx/gpjn3q6zfNut5BqnqOPevGi97lt9bFCKzA7/CNCJw/GFnEc4NN9RdFDebEGOB6
+q1BN3ceXA30OOWzIZryEiExO4na+Bh3y4kgMmYwO4h8eVpyTymaJ96vW412+X5CFIYo1sLjGb32
rKxSG6Vg3izl5ZUudb5EouwmNioZTFFOkr6ooTy/207ubBONDJtUnzK/Jf0wuPUynx31c+g2cxa/
lm0t35Whmoa+PPRGvsFsNUHDLrSAb8pRA0t0NZmab6lx/ZOkNBp8VSrGn9CX0H/FIRpfO32EBOWQ
mOqXRVtjW4KcZDdFNhm9MEJ/OXFa5anu5ew97BoYcxt3q6ZIumIvlcQ5ZDKtBK8W3s4gt25gcGrp
t2R3JiKyjgk3M/esSUrWkjmrgdk427pu262mVeAshZiKO1U6FTDNcIJj3J+QQIIQL/oHLiZgkqLG
EJTlIFK9Jy+Oi2Yg1Y19eTvfVKsKIglPncDdX57cc0DG3oxqmew2Aeh092j8cC1TcHle3ifnAMy5
7fWotyXYkYfEHKaHKlC4hWAwSHVBOHV5lQAHo0NLGwv+D9u0KjW0IYkSFRh+aAJCsmOJ3DqhreAt
wcne49TgGlmeLwjc2J6pWg9TR6/QJpYSbwjqVblBLiX16h2onFVQ5MEjlGvlMXq9flp523gKy3yn
PO0VPa4Bq3Q3M/Uk7edUHfJQ5H44/FvgicN8x++oFI9m5ipBWz/tm1iHPdC2hCZjHNMDjvnwnRCp
28g6QWLSzOrxyy51cG2MA57CkO6qg5CE0k2F/OxdnlVIVvdoK3puEz27a3KJfNWO9O9cEZhzBnE6
/mMuOaDFlZ4ED2VBoR2RDeD8sAc/keCeRsFD/NIZL2OA6DkBIyaGUNi4eYhBbUtb2JQ6eS1688uA
EhVdXtRtFU2AxfnAC/sX2ImUZfKWfSVSWa9zGqJRDvS4tPxox9u+ClLRMDrv+57BLP7gZNPoMDRj
OqGjbFpDGz53Va96sHb5bXiHG+YbhYYscdUVysp+Iygqq4uJnofR2E00jyB1jmSdbTCmpaPIEGYZ
Vqg8Go/6DbjKg/RLv/8yjmgLoF62tUuXbKbCRcSCTs9NCs5L9/op4ni7s5/AnKLMgDa3PS2bXL6b
9iEVDcNy3sfna2S8XSonFPTbADB+aInbh+7/aiQkqivHAfkyBb3NnLGSczzmc8ZJHtM0hoXGW3Ko
TLf0w/281ok735Suci+tp1fipt6L9iQKHzgUOOfQi0M+sSRJyrVcV7HU9i3dIq1i+/RVdzE5pSyG
5PUP2erf76qzr7ccoRPEeKIzzZPFxY+lK0tBNJaCQyiyD8alpHJq9sWyplLNtiZNN1UtWAP/mP89
BEvocbKGpgaz8zxhDU0ZrRwNBYvx1ezdXlSo5OKgkgzaTyT8EeWd4xhUqWNaAKdQ7mewsEf2Z68d
oegu2DHOtQth4r84jAGCZKKbHAXES5F0N9FDN7xKRBCo8g/VCQZjaZkZqt1IgTFHD2mYgc03KK3U
jQZI9R7U9j4pt7LzOf2HyOVsaYy5mWh6lBJ7cRa6R4zOq5FAbMKDJvpUoi1kjS6upt4hWB4kuYz6
to3AmZ/51x2fCIMxu6maw0KFZgQ4uB5me1MNINmLBc6V7xEcFbV92UShhO1kJ7aaRHqHDWucCDvm
OyiKT26bl54lP09InCQvbf7YhaUbKhXmt58kURDIyQ/BKTmOCb4VyJtBTvTc7KuuKTpawexJs9Ks
e1qsSiVajY0XFo4rOwOa6/a5qA2WFxOCdWnhCoCVIkPDfMHeiM12ShDjtv7oh9v6ay7crHEdDwMn
t4ZXH+QHkECJyPN4j4UzWOajppKWYhfQNm2urRXdjKvIddvd6JG35rHZiZhheR7ldJFMIsUys3lq
FQuJoWJT6wdUPezOb0WqxstvZoOEExST6T1tncJGIRwoRvtW1r4+H2wK0ucOfhIyIW/XTwU3JDlF
Y0ISRWrGuVGB1rnRevShC+2B/vyIECh1izWia/Ut8ms/fnjUblovT/2h9dBzd/1XcC/x01/BRCXV
SGoIksB8ZjQbu9lh3nRe/OgEv9Rttwrddl1DDGC3GwV+lecTcFoVHTSAS1M1Y7VzrWSVLSMUzFu/
bcGxYHmW9CBY23LgLr/nXxDGRodZAaXOhLX1K+obG3IsPOmz2EOjxaXrYYM8tABw+WTXABkzJa3i
qJ0CQHWt5KtwPT5F99XbOCNj7MquaL6Au4fIkoKEE5U0MGae+5sBOQCnWeK9pETwvO9R2hG9OPkQ
eBGAMQuJGotZUDW06ZCMcGk69AbQJDdmEcZ0Bdc4L/BxtD8gNnPsRju20hmquyDMfwpLCbylIv5C
wTJYbo8Bb7gpLXADSQ3mmpS9SW5C0ddYLPbi2+sgAzYxu7boeJ5/jWKycC8NKVah7OXRJ/SdWist
207Di8DKuKuBbNcyGSdrYKw4RyJaakVTiLNDvPFHDxdRuNYKLt9VHzFu5NX3o9cJ3k/c6xUUIH8w
maNkl2pPzQi2Nq70byg+B7Y/r6t9fmy2IHRfGVvRJ1ss63I7/wIylpcbfWtaFIDyOnoonpN9th2D
2pMFPoLr8v+ui50FNuokNocWMHRlrQjouFYGlkPfr38yEQpzUtMyRtt7s+zej9mP7sM9OtEg+rO9
jiLYst8Xzkl4DyWSsM8HoKT7cF158Wvn0wCTE4LWQG6cc2ILbJxDFL2P0hE4+r2Cq7/ftQESkm9Q
3ru/viCBof/uqD1ZEMYDChTxAWTKmzn0o3Ybqs/XIXjx/VLWwrAp1ExBrc/YGal6KveL5raSv9fS
DZK+fgXFMvMhtFa2s87Ub0teVZagY4QTzwAVhEPwF4qFMfHzI2zEJDQXKmUvxNC2CqrdJIS0Efj7
ReeWcyMtMSGEJUC5jRE7xvKUnOQd1GALrzNJUGmNG9qvlfw2VKNrhUoAlWHITklk3UGuLpqzr+u7
y/HsZ+jq+TJplsmSnQC9woBiaR8VUV6Hu48msjrwhUgVs449t2jXg7Ecy0N4nUnf4/ggxYdYFNpz
DBEAf2GYdfSx1ietAxgt2oMXjsYbI1z9h606gWAeD7MKPWaoxhXo4Z/9oZPdOnq6jiBaxPKxTk6T
1GJmRFv2CnUXSNV9xxR9L7VgcJr3LjAXnig0gmBI+6Kwgy6QTEKrUuGlEbjSoL0HCkW31NyyPCKl
CzxMMmGGpK6eR/Ic/jvxEebFT9AXezlZIzgWaSrJMLiCpuvOsR5l2uyWVpRIM4O2y/0UCiulLRJd
5tz9Z7DMjZzkaYS8KhY9aw9duM+Nw6i8a+2H9u8K2kgJW2in0HUI/l70zhXdgGZD2Uq9BAqZbkaa
Y2FKbi7HAv90eZWAk9BBg96i/nNJlWr0pOnLyYRaV9lhuPJQj49DM3mDtpUxp40Jw0FQfLo0TlDe
LVggGsMpYCvlY12YUDizwPqMVlTlOYsfpO79X+3/DIItjxsEGnNhBYjaIOtWf9OI6XeTfx2EEygt
KA6kcW3EtCDdObfAUHF6JL9A+zorbvFt117x7bj1rtMgle1aH9LBfMz8anMd9dLPnoMyZj9hUGsY
RoA21hCYaecPohid81oFBBq7YBKKjYEA5iJZRovjpAELchOUT5gu9opVioY2Z59vO9OtvHKjoZ97
XXv3g+tgANnZG9vri7z09ee/gHHChS6ZpZzgF1jUraWtoQZUQysMfflnGPBIL1U8G7E8nMn5B8Tx
KqhDEiyQPBvOThvBZf1ERGLwnJYCG8zIICExVPDqKL/f5SeeSu5UpynyArkGt3jIXhTqRkGqeBA1
dpObZB36uatBc+ZAg2hVPIIo9voqFc6BO8Nn4p4mn9XOQQjikZt5pfj5Sn9XjhPmfvJn+/DTWn/+
FABePsbPFsxG2kSe2yK1ARh+GOidkr3she5AOBkYB4K2iu/UHURrvHTLKJQ6v5uZ4TQh6HP+KVN5
klpjhMW0vvSY3jVH+phavrk30SPizmvnQ/EyvwGzgSF8V3CMFanIpVfRwLwrek7PoQ1pguhlGMGK
8jB3oTv+kMvkOMxSt1XkUBKcf95CT9GY859ZRjpDxGdRBIBMm15/jmX+pEbv9qxupv77+pfkWA6G
HWzQ1iJuxSwKu6sQtA2bBh/SqSJvlD/Hibhm/XgdhOPRQCcPTwPyT4wastXPURn7ClqqeDGZKDO4
iNGte4SAtsAqeTCgtMSdiu5EVFrZz5TYRWotPE0gXvcTBCxCEgjOTfp70A4UK2BZvXhfTLFTKA1F
+5wVrrL5LW4HN022NV4Zygr8kCi3FiKzlzlHDZ4adWMTLgxTk4yvjmepcOIIQx1abXezK+vh5BWh
HN6NmgX7sGLUFtzYqHXPsinxnQECH41iI/WCYgD4XCWUoTpPHyTUQJO5G7bDIOkvRdghik9kWm/S
Wstmn2oIROTC7OM1GXKMPFMEJfuuHcgevQvtsVGmiOxqK9HvzNmEx56neaX2U7wz1UL+UKfK3o2J
3W0JDDjBRGKBmEafdaXxTNRqMb4aOeZ3IVcjRHLt6QsCfcZ91YXFYyx12Wud2WSnO9m4MoBxX9uR
uavLUo39YnTojZ6b5htt4matZou+b2Ek5ex3tJEOVWJTf5bzLvKmVqafS2s9Rh4jBc1p5oyIpx2s
4m4o237egSB8CO8cSdZu09GxqTegg7d3QaFfbS0jnl5q0sYrK6Foya+UXvXRFmCuIQqFkeXQxtyh
H5EpHdxZjaXbXC3lt6yZw/uq75LQCy2j2RZUSn29aBXzpktL4qJAF5e7ss6qG3xGiDtrTjb9Uhu1
KtD7lRVPCQhhUVDA5N6q7Lrku+ubXF1JVlsiLW5ZBIIkTUTeojRtvlRrrr9pbKdfGBnXgjYiOgb8
y1zb63GHMmMPSWiB/fH8A1h9UARZZn1Qbz93fYmTwH4ytHZhJ33VenHQSRYb/nX/wAVBMwxCRWBh
JuIcRLfypB7A9uxJ9j3tVjnxDU0AwXHhSKz+hVDPIZyixOakaMTqxo/MMP2U1H5bDmh/EfVQihbD
eFS5IlU9SFhMN22U9qZDsP3vI+K2jbQkbiQLw84YuzhfTEInlSL2xn2UQUjcqFbF2nyMMYGhh6KG
4ctkF2qyELLE/QdWFnBYMFCAiaUGM2tqMXs6qOhVqV/PqbxOMCIX0uJXKokS75zZamAimAJrPNo0
scJzTFo0TRz1uC6kR1Rsyv1b5VmzC4X4p6foSHeJZz4axwzCPOSu+IoDG9GrGrmiER3ebYIK4MKv
7qC5nq1BGmFk6WUBX69lKxN6Q2QUhm08ozyFYG56bQjHyu4B4YQrg7jqYfK+UFiFTtWdU/rafbNN
9mhC3YrypKKlMYe6LnOrArE7ZlxB7AvtJncoBeG9CGExq5OAuJ8Uok+/L0q41y45jur9dZfBSU2g
gx6s9DYYwdDjyKb6ejzbKqgrIOSuVOnDopb1XkIErPUaGzr2roMu/hWkZCJcQoVJod0QhyCb7jO1
+An1KEg+9Em3q5OBNgJPw1v6aRTCnP88gpR9pCMKGcizhJeAGQsaB3lWcwqw/ICTvbXbPqvUBuMe
zaC+ZCp60UH3Ykz1TakKkDiR6JmfYZzmWMlFNkkoaoZ1sgFRaJmjOND7vXyI438Pes+gmF0bFSui
WYgKdDWGfm8mPpr48+oFOql+KYnksHlODYMyGAQCmQcoMBiwJqoo6Rz4z6H2kg68SzE43jag6nEN
cA2nohuB98FO4ZgP1imZPpUS4KYCbVzUn+TvkLo0fxEcCd6ybJSR0DiAvIvBkoZRx2jjYSF0JAEJ
rI3z+AvNQT/gOls0EUDVdi1vhp2zqd8GxxdVeHi3HmJ8ZG0hgXHZNGuSkRi5AewY89lo7bbRAKjM
VXB9iQIU9tk5lZFsJhNuhhSKk3Z8Z+oPpmgyiPe1TlbC5kaKuZ2b7DdnaW2Y60HLWnR+KIcZ3Pbo
FwrTx+tLEsExZyyZwEve5dg4TfuRWz9KBPp1OLpx+nodh5cjwCjOny/EFnrSprAV6fc4zqfzJCPV
6M575MxwCeytAJ0K1LWPYMP8EsAu9d7z0h+mcnB94jpH2ysGe869VQsX0oZEQU0ON0FheI7xQNRH
ZUIWN/HjatVP4pY17kFAX7WxJApUlSXgdGJMn0aVjj2tyhrdVhB3IAS0QHURKO2RontIcgSN/jxX
6WBsGEuUF4ksZpkI6AfNGlTELINOAkm7MzISunZSytvabt4wSidqkuIiooy/9EhByIzlKzBJr3dN
hjizmnILjV4K2ImzIVE+1CyUYq/RmzBfFyMpBEUBzv3mYKAAWixI7GLMkck14ROXmTmgYF3GxrYi
Byts1tdthnPKHUz1LoqkCAAtnXHPEsqetk5QxZOzrAiMWY59s+0w0ptYv64jcaqfy3QE5NQtTCdg
gn35KSd3aVLQSTIpONL7fg2pelf6dKgPWkW39ESPHM4BPMdaPMEJljRnEOxpgQWlx+JYHOyf8cr0
yUpdqbde7MYH+UsWfCtOAvsckzFL6CtM6oDD5lVB/CSvKxevNx88WZ52iI+9e4MefMGOXn68c8Tl
bJ6uUlZGmhLwsFtoHf4hv2SR17vTFow9vhOEj4qX35Dtv9PsnYMyNjl0Kng1pmWZzuMs7fTaG0xP
61EdmkQqCJzA8wxLYxpcqoIaZj8CSyrBtiljYYtO/GO5S/076757jPzrO8rdUBCqwkrRdHIxMWbr
tER5Ry69lkzeDA+T6k/NKPpuFy4Tfxmqxgq05eCu8aw8/2xWOSDrOJPSw4vHbUM/jh+6KfJo5WXG
j5iKhJEubr3fcOiwxBCsCqosxi6nqLNz1YLEWhqh4kWPNUg2aHJvZP/8VF6ADBXaM0heoGzHPJXn
EG9luQBQl78axUHKVy3yXCDxa0ASd/1DcbfwBIq5yct6dKxRA9Qk7eVMhUogCfL8JlKxh9ne+OcO
c2ZljJfUoFQuO+2yhXKzyuJwB4LLzfUVXfYTMhhM5FqAnTPRCTBG57PR7ifFq+LRtaebPr1p51U2
eGbo5vUG3WqSMXlm8jw4D2Z/h2IjGhGeBL9m2cCzUIL5NYyNpiqpKlnHr2kpqLV3OogMkVV2F0Kr
2tw5GHZX5VXT7WIoeork5y9bSxZw5JVt0OWhw8RkDEmCDndkdzj2oa2+Z4gF1WY4SmDxsZVsPTmV
C2IGf2w/SifHgyIsRJ9i+fsXi7ehdYEmExXlXOZzI98zDYkEv0owsK5pGBySUIonz7KJKlOhbSR0
YdMi/NTN9k2XBdHN5T2C1YOqBGkgxBsg/mFWX2GU28xtrJ4OrwO0wcDbjtFFCMFFzUvoqFursoJ6
zGAaYxAZ2dswlEFo9nuwJoqYI3iu4/SnMMfMCA1tzHtsRIlSbBQHsvNLw93ZRP9lx0+BmB3v7QJU
wQOAGqv28uxFs9eqXLtd9WQizy7h3U07N63vtLgXeJLLsOT3di/xD/ja5AuWMwdS17RxsN1Lgkar
A8P8qcn3hRKkoxFk6W08HQsRNwF/X/9iLu7t5OKedZwsAi1LKA9UcxOoyaTlvpkWw7rNk/GdOvXw
cP1AL3+RNWks9M8qmVs7npO6oEtwYug/U2mX1a4UVm48eouEaj4LNvXiHj3bU5PlIg6VZkrVeglM
yuomqTrIGYbwH7+ur+kiKmdQmINC55bk+rKmaSRQvWw2CrEOZfJYOFjmLGxQWIz9cgvRnyrLi8oK
S9WSg8esIjKCAwNqyfHsyfK9oedubT3Z5lc6eHkFFQn9rQpvyT/TO/xe6R9olsClGyUDbCCA7ptx
NairghC/AAdkIuRuvnhCLkhoX7Hx0VB2ZmsQVjtKc6sCqahe4nDVQsc+OqCS4yraDTrprdmb6X86
/CeYzGmw5jkvlQqYZobWHGuVy7onhXs7XUnGzmzWcxiYkp8on9fN5zK6ZNbKnImE2hLJFeBiKNVr
nW3bHw0Tzt3rh31BMKvW+2G+wrsZ46OhUIKT6wOQJEDtVEOxna2gKl06ZU6hl7Cb9pkM6X0yDJDQ
e8kl0X3KPY0nSMsvOfE2/UhzeRyAVEGmqwYDg0YhXCWVwfX95C1oeUuqi0QfyiXMdlYKHSXoAmBB
EmoYVppGrh3Bj5a6/pEpRDBEyUUDDytUfPA/0LKeL8pu2kKB7jeeBipCplBznT72Cohvhjrxri+M
t3/I8/2BYuxTQ5UzAsVDiXxb0fqZ1htubqemX5vG+jrS5bsVJnkKxeyhZZQxpQWgqnLXqR+qc2fW
R9Ls4/oH6sba/CErL0q4UelrlT0oI0YDBb+A51NPfgCb9StHtMlh9B+hT/WzKG5ke6/okCZU74pE
1GXCu5JOoVj33YQ6pLeiyutm6zuLXzK81SuT+jWqXHYdr6ieCxbH/ZDoMIM8jiwb6B06txkpNaWs
oyE+ZGlsnY48kzr2Gxr+l4NwArNcJCfnTbPjPFF0wCCK3PWVvpoBkYzGpi1UQbshZw8xyQCWZzSg
QvKTTaBKSf5/n0uXDIRnU1MFg1y0GBi07tJekn2jHWMXzb6tIJ64yEyBXwM0JAZy0MCH5NT5Gsua
mHFRxBVKQon0oKmO4xMVbuX6eVjMnblyIaeIwUCITiEHxjJ8zY0WVoWGh3HRvJjEl5P9NIMv6sN2
JhdN4K4iGtu5rIdiXShWYAAPWpkoxDLraioqmW3zP6Rd2Y7cOJD8IgESJYriq446uqsv9+0Xwd22
Jeq+r6/fUGN3XMXSluCZwdjzMECleCWTmZERau4Iq7B1tLgnbWe3E3PGFvlUyIByMnmCGHZMlb0O
UnLGAo82YtuAAq8K+luRoUvKBEW/yZ7UXAN3ebJNeLyJIOxeZNyJyVqX6IInxCeDKx3NRl+Yn9Ol
GCEzVw6FBiRhXbuFj2hkltD5mTYPlxdjaa8BCY9iBxg0APmfXcfRtmZdpoi4M3JnaLaUIEUY7oP+
icR4EzU7hnP838xJXjeHSJvKptlc8JyDHlrjt1F3F/rPWd/Z6b95BlCUcVRUwaFaAqLI09GlRSmG
WjVzKG66iWVXyKBHsebW5EVYdk33U36T/7WiIjYbw7JBjgUuCboVpzYD0tIhTPrc6Sq30ZHlTX5l
41MPverLU7ng1E/sSA4pSHlvlhqOEbVmBRITMk5QxNImJylWMVTzS00+svCskI4ggFCh4Hc6pjEY
qsoQsAXa+cG4VwaH4AFNIM7VdDblG6a5ebGpABeLdChh/7o80qXXHDYnTJvoJ4YgvbRJU5NFZjoO
X5u0UT/j8jujG9LtCu6oFDCgdpsMK+diyRUem5Q2atj4Q1abWEWzrpxp4o+pvtaQubiAR6OSwoLQ
1MeedjChlOGhpNVGCcpNV4kbGievXTiuYMqXEjDHsygjvomZ1IXVYBZZ2f+sQjBaq3YSBnfIgV0V
evuoBNaGI1HZGG+1tfZ41BYeWifWpWPBc96MBcdowXUdl14ZgWeq+Ka0P/3gxQoPefGoWV6lPxVr
BLtLL4ITy9JBEQoh2WjBclVGrlKhbNeEB2pGd5WZP9dFshn7b6MebpWgc+PocdRftG5NQHl18ucT
duRnY90c877A5Mflz8R/aMvebbiTRndd6STdPpvwFnut17owl24RNClyoFMNYJDkq3YcA3XIDFgN
NYgTPbL63u830Zr25tIdcmRFZpuMI7/NFQor1MCd3uJ23UzajtDvZMYOriQxF6IHCORBDXXu4ELT
h3RqBBvB2geeMWhIPitZvDWLl5Erj5Wa2UpuHiIKzDYNVxrHVozKT3VwyWpK38Bol6Mf7pn619BP
Bm0o8qUHFgjbzNzLLm92qJLDBWUC6q/EQsISPFCn2wVlDB6QChELOEOKhtik2o8QTLtsZGF3nBiR
DgZNzdRvdBiZhvsGr/QELLzghkjoyk21Nhhp7wvF0nJWzHasDyB+getDYbdeGcyCNzVntYH5jQrC
C3mrZyU622OGgAkFXSN5mYnuJ2+kERKMa4uzOG+6Af5B5LMRnkvj4QRtF7kKU4V/N3W/yv6RBY+0
+ftXAAb0x8p8Qx15jClGRSlRYEVhSJQmdml5pg+62PdAL53eX9lwS3cswIkaejBN3EmqfK4qCyUl
MptjKXhPPno0RwIdZdIHNu203uvbrbK2L5aWbK4JgGYLJX9kTE5HSHPLAlcmgkG0N7siAOaMeXlw
W1mH0hAr41s6wWjax1ECcezchXBqy6pn1QsLtvIUEp7xnmvPYf5mQd+LNp8ToMDwwH9/urA9ADRF
wDSTC59aHEszCaIeFoH+tkFHC22q4KChcZckf42PQmPAkSn5fY+aQ0zLeDal9E48xDuFvOp0sqfc
WqtjLO19puMJxYHqRE1QCsVqdFUXQ0BzZ2yq5GfmB/mHVWjKW0/q4rFmxKfemCfBdU/D5JBMEzuY
I4GaqabxcF/7FYvB/dIx/QFIf4jLiyksO1fV024lflu4k0zEb5Aj0EEOD0q609kv6DDU7chyRKgJ
NvLGrO8hcmwnYGzQc8jSVO+XV3tpLwO6AjwHQcwP1MWpvcBsi66oYS8ERW+cA6X+PiAcN9V7S4Qr
e3lxbCj7goUCWeuz4oZiVHmrz2Obykp7hcrV6BFW3FRBgV7ZqbiNk1zsMPg1LMRCGhny12ji42jQ
4ki2nI7RL0AJ1seALRf5OzFuCE9caj4U5IGQwQ2Hq9rwUL+7PK8LYz2xOe/HIy9osKnqDKsunFlJ
YEomNx1/zAk7miR2A+Btg9r3ZYtLpboTk9IWH8Y+GJgxm6w8FVyfxjadtnPBUmO7QkNzerHnwY3B
3abcZMVDwV8uf8DykMH6qKnzAZM9Me550A8mYHVX1Zsid+vmmwWidX3yULjNgjXh4aXkCNOgXYan
HRIAZ144TPRSIK1bgObH9F+sTB2/scDQHicxEM3Ru6R570093hEjpb9L2vIffAg7r+7AvGEPqOTt
jaymb/Dj+DZwtlnfIGFA462SG33vmmUXhl7VmfErDZXBTU29diOl0n4Hk44slqYF2r95rmIF/5lB
OVyL0fZV+Bo2agQOZp3scn47dvu2dBR0GLboefbNlwIkCiiImD+HalVHevmg/LEvXTag3gR3UoAV
DKZ9FDuGeC0iJ1DBRP0c6ruBvhXBGhR+IcY6GbLkf3qB6J/Mm4aQh7D7pU63xpqm7sIVemJCuq6L
rkumQcWshiE4hYHPUMH+jPIqT3fp5FbzZvUun4QFpwpuShB56aCSBRWqNI9Kr/F+0qfCmfjVCIGP
zrJ59SH8LVtdsyVTyNpAFssAaw3y9ad+hlcp2sICwJkH5XueuXQCSiP2dJLaw7QGqVm4Q9GFhlYa
RKkaP8sQGQ247kCjVzhNiopfdkCk70XRZ1fuLk/fUkyHDie8/+CuEfbIzbtap5p+l2iFY7QUIPSM
GS3EgRMjdPu6ySd7rFVIJA5czQ6mYjW9m0ZoXXPLYEj/FghvAcB69CWzzzty43XSGGqnq0CLh8ND
PX3m4q1BzXGMUXWZ1tjYFueXg8Dki432jBcYuPWgiloMO5nq3PYZuO1MLXvLOXtTEkARLs/y0smD
TtgsSmAiry1PcheEvgWUHI5Fmd3mAViAwO/gW2zFzMIGxXg0EzQE880gPzpUQ7UabYoL1FMxZb6t
kkfUT3n8oa/xzCydczBz6eC3wruWyDjnLkMznwH6a8cCP0r2UoyRrdZXYPQF6/s2zcM9vP/lKVzK
jsxcu+B+gWIcQ47vdHtYSlUVpZbjDlJ/q/EW0bqttcIGhUQ3xJuYv+f5S6C/RNkaec/irP4xLIsi
DUUbq40Ow4YCov4WXByKG/F76v8gSWeX/Ub4V7zc0mknuFMb9xV7E8H7lN/Wa5t2Mew4mgPZ2Q3N
mHatiU9RlMqhOJe9BoxU6lL1R8RqR692JD0EkwvZi0ABdYjjZ8PKk2VpKyOlAnZ/1BxQ/pH8LdN9
PTD0Ej9tcS+id2EIorb8fWWxl25HQBZnsh+GiFEmtyCsIalvwkqHQku/ScgPP91a80auNhE02qPO
MYF9XbE6f/tpRsUAtR4uE/QdQzNQLi1TZahSFkO3UQHoaGQObe5V5goAkdoaMHq3pQVUtV9EUKxs
7vNJPTUsuT7SlqpC07B2mnZLoush+TWEa6125yHjqQ3p/DT6mGtpCRuc2P301qd7hKyWn3kVI5vJ
XDk15w7ixJr83KRjJdoO2ghOankK3nCo4WU/FR+aQ6RzRn49KNvLi/dV8byweHJFtLAKRUAEpXaS
PVo7yFUKhM6hueZeYoubGhzZte58GzfPyba76m1qr8Gj51zLJftSdEX55IdFjBErceMFjDlNtrk8
xHNHNM8pMPRA2oK/SW5G6FqF6gaJ6lmnsQ33jF835UuYeBC2+2+G5qEe3cR0QDMqmnDAoTtuwuGn
MYA53kl6tzXXjtz5NXw6pPlgHFkyuz4NBwOW1Pwz722TOUnJ7PyvxUCR2kZmZ/53VgaS798xAs1X
YoKWNKrR1g7WF8vYX56y5dP1x4J0gkc1JJNlYvdNWmSPAokxkaNZ3Th0ObDXAXXrfu2t/eVqz3fc
H5vSibZoGPJShU2Rla8xYbmdJlkJrGaS7lhdGIDGBCmhtoji8V20RurEdVpemwn4G+xMKPoHaaf6
sx1y5VAZ1nBQ+6H4bjRh8g0N9saNEAziNxbvBIL3unGjwqzcsm2s30mv+i/tqI4fyBOGTlEOhhvo
ofBB6l+SfUiK5NMqeHzDuqC7Yagx7IVqDi9R09zUjUD+HUycg1tyXXx21ljsrZjT3cRqaIyoZeQQ
NO2D0kChXqQPj2rB0m1c0kd9UPjOyAn1KkXcQxlaWVnFxRMGoT0cLqRMkOg83Y5KRljVkgzCvdo7
5DAhJ2IzaAfGh4GtePyFuBtb8sjU/CnHO7/quaUoKdxxRPamAq5QC7XKdwWgG41dx2EBEgovWWvK
XHLLeCuhLoK+bzDcSdsUAo+Rkhk4CCNeuGD32oxZ7PR5u69otg2DCHz+NbIJ6uvl07E0rxaYgQAr
BLoZJeLTwWZdx9rRSmrHr3HC2UNHI8CYi/oj8vmNqv11nyRMHJuT/JcfMqqoA8zF6kOf1F5tPUdI
rl4e09KJPzYiuS5WWXzKOxgJ8l9ZDkSm2yUPSLbZSX5NfHPFJS/URjGmmY9glmRGiCKZExCMQu9D
UX9hJRP/R2/ZRcVd3bfj/qlVdLtGbhxxHx8b8HV/XB7r/OOyp/nqa5wVL+a39un6Qa27iCwQcDiM
/ES45ojptSn/OouHAc69k/9rQ1q0MqV6FQ8VFi0k4FCBmgRxGcQms3fS/jTW6FmXRwSgD5JZQDHJ
mEVLhxwi7XHSMx2KKCHzjI+B5itB0PzJ59P2jxGZpjfuDdVQIK8Cib36BdCzTVZx79+szB8TUjhu
FhNUlRSMA4J2Xmgpdjk2jtn9vGxl8fyCbG5W7sXTWN58XG+4EBHWptNeoCZFTNDpTZFrFQijVuvg
iwfryJjkhPVGn0gewxjvHn3zXrMKt6cfVpK7lO3DZiXrsLQR4PD5/J7Rsf+kCfTbrACtZ4vHEym2
AavsGf2fxSsHaCnOObYiBYdQqoB0U40DhDSjHzcIdMCTeh8lK2YWHskngY6840Z/YpVZIyTIAk8p
tsYASg8oH1H9rVRtrhym/JmNHu/WnOHSLB4FWDKgKQNdEBqHEMdlPlAKYM/3cXXFzL68DdesSLMI
koRsymPcXuXoUdqCGmUT+r8u21ieQvDMqmjSm5+e80ccXcxByY04G2GkjR6Daav2zxPdxlpo+8E2
FRul/qgg/P33mNg5HPhjVdr0hkLyuhpg1a9/iPJFaCA46q6Vbq/HjzHwS5cHuTiRR9ak4CNhYmYp
gzVFeRf6pxFze1qNcBZf00dGpFgDWKwo8CE44kTFg9/eEX47qNCRyK/G0K1Ryc1ypw/cuFBWLuYl
Z3UcWUkLWICaP5kaRFas8rfTgJyUCG/bHkVjNv5gdbq5PJdLIdXx0ZbuxrYfptGYcLSDKdshh7lF
1cOudGtTIP3dgkg1G+5UrVmJB5ZW8NiqdFtyMOXxvp2tknfe/ibNFeFPlwe25rOkeRRoXaiJBhNt
MyT2yMcQZG/kHWCh61r7dtnW4nBmsjfkSCHUIreqZmCCbTqjq50e3lfVrKveoO+VWOseXRwS+AO+
rnwUsqR9XzR5BNIcmKF4r0Hgmd+3hfFbD3L08A/by0Na2IZzT8R8r+AsnbV5VJEwyiyukKezdnek
Qrd0d6uLZOUkz+sshRgnViS/kY1GHmoU+MME0vZTY1drYdnC9oYBcC3M/FRI+ErbezRHMcY+DNC4
Ru6f2ZNmbPL2aaqoDVrGz7BO7dry/xrYAoAWnimGxgHfAg/gqRPmPpCPQdWAaAgozkz1UUQ0HlgR
2kjvNoeCRg+XF2thY5zYk31VgBKTr8Ce0m0gRBjV+S5J91Mdr4xrIYN7OrB5uo9ulyw0AbEMYUgr
94UBSlanMbdx7cX8BXlOUmaAH+yGCNnk1m5aC4/ANczJwlE7HqqczsbDiPbQBK2ccbxJAOUi1i5e
a1tbet2eGJGiqjRo8Tqa1y9WRs8foIYRcRs460PNkYVgkdfCm4Ra/5jjybNyJP4f4xACRekMWlqq
dCbiiU1jT9rK0RGM0Dy2FWuTiNfMeKyVudazB92VHSkrZhcPCoDH/2dV2rJKkZAecowVOBk2WuBm
xMHjcKOW2wAK6CkqFGskCcsL+cegtGd7X89SZcIwq/qmtO744JTDygNmcSo1EIAxoP+BmzOkQY0G
84ugAOGXpormduDh4Krl6Hu+pqfuwDO0SpiktXkIBR5qTKaNNoE1qcUFFzc/PMCYgM4MoM+kb6gZ
vCjkomunUpWfVlG6QY2m9Mvnf8kGgXo2cFbw2HA7p8eyjcGKP3ITkSUgOrY20g1l8YqPWVovMEsA
9k/BJIMRndoA6+eoxP1UOQGe6X5AHDLdhvmPywOZJ0O+D46NSHtfSVRLm7qxcrISVLPxW0K2qu9y
5vTV9rKlr2rIJVPSujQgRqj8BOMx0Y5uOkPxIOhrWDyiS4SjS70vvCS+CZMPXd1O7Q5cbZNuCwF+
y/fLH7Lku4+HLJ2DRqCdPqnwHUoaOIX+AnSKi9jTjvjf174MTYNuLV7AqOSeUR7FEPyhYUkwYvAf
j/lmJApwTpvLw9EWx3NkZd6rR1dEyCE6aCSwEtHU1Wp3GD8s9apTr0HM6tPrjqUbnxxEfKMxZ2jf
afzbnz7qtd7RedbOVvfoK6TdOhaq2jetBicqPDZiOQGTKykY/phtVsi/NitR++LpQPsVGtWNualN
uhjB3eQnCoM9NFIUblJTFKcY+UGbVRV7feGwa3OfFzpwQfGAdTyd4CQqw7gIMcHUntzSG1wKxp7R
iSHBHtuoUNml13viCto2ye9qN27EIXr9VXjpHbkVrrbFpfwKCraDulur7y7PwT8fJrPemFVftkOP
DyutxxgyI/q0j/WVfMeSgyAzexZV2ZzJkdZ10vsxAfqgctLqpVThI6JdM17RydNI+fdOVTs2Jfki
MXJtmHQMpwGFD4ouMVmraS6t5LEFyQWlJdR74gkW8hQUQRpQlWulsMUb8NiE5F2iYQA7SwcTItrT
6jo0vD79EapQWPdaiN/UB21YacJZ2gUEqE2IvHHTQsb3dHu2VZaOkTbvAmOjWl4pDnzNxFf5VT7d
QG0gmweeJdABS7vAN0K8gCLsgtwur+pNvUUbZ/0ptq8juLIKO3XBtGyjjJoyu97lnrISVyy5uGPz
0s5Q8pQm4zxEUVSOCj+NCJ8ZV2L6N3bwZrEA9LNAKSM9XiyzV6NaYJjjcCdM14g+zPyOksfLHntx
wY6sSA5bJUoPzQJYiaCYbio7E0DJeo0x8Qu8Iy8ZmOAAuQGsF+AEaSygvWtZl6PewK30VlG3FXDp
1gs6o9rJ1ml+HfP7FPYNNGglHl87aUvm0fCLfDnA+CgcyXnSZDSDUMvH2iHDXW307sAeWPhKh0+S
PYEAPQRRuHll4VDod5DqujzBC3cRAWQat+6M8gPB1OmJUHvNjKsubL4IOCbhTZNhV9bvVnj1UNnC
2lw2t7A7T8xJR94Mx1QF6LwBzWC08RXrRlcGu+oQ09Nhd9nUl0uXVnXmFwDUZYbyIvVxOrQQzGOV
z5PG6a/AyrLpHd/NbQo2DLe9yrdd5Ex27n1YbmnTbx0I7JgDJV33M3Xjg+6oNnuvVga/NNdHHyTf
QWBQNfrJwAdNLWS2fo0sdOHqwiqxu+CmqMZ/8SDGBIAUEPIv6LyQS0sd+gQMlsEekEzcVpzUcDHq
z/ot3PHYfu9TO2d2PK5EG1+SC+fz/sesdGZJ1aEkAMih85J6g2oHkOzcol/M9vfGvThMO77prhN7
gNgG/47Ub2r/4Psf9c6fKbCDTf1xm09usxmdNQqBpegP8wESOjR1YcfLmfSgESpqlfgw/1nZFIfA
bT7b0rYgFB54WmUXNiR6nXS/hg1euElPzJLTfQjdDUWbdJgNah1thuApfb28078ggecz/mdgkv/S
VTSylgwWhs/O1XeGJ27z2+itfhaO/0hRd7GDR+OtQBgGDIJ7FXqx/fs/foK06GkR0yAJ0sYZndpu
veZDOxhu/nyf3ny+Fzd027/6DlZacS2buuO1tbLpliBKJ5Ms3bqcBAFqq5gCZXcz3EHryMl3IJ6x
9p9v+VaNgKS0le/Go/XIt+xhtH9eHv7Sg+3E/Oz3jh4WALGTCKBNuNG7OwsqxN2H5kLawA4ePjUH
SGNPd6rBXmmLXGA2AQYEUGaC/+AdL3s4HkPSLJ3ixml9ry42lAhkx2eVEheFUbW5UYIrlKRUcI00
jvpdhN6wVnxbvLvQuIDqClHxR355jwUrTNZj3qcGj1K9sWN1bruxHKPc6vo+53doNQzA6ZBmt5N1
W6y9G5cuFB0ELxg/KH+AID+deAUCdTlg1XDy9NqK3CDaZ5Dc7ruXywu8ZkY6w+jAUAm0mOA6FLiw
Mj+AuOpTqcJvWuOvxKhkvnLPTjPIftBlCoQmFHVPhxRmkH2m817id77TuOHWf7C8ZD88WU/aVt91
15AVvMl+P9KfyNdscJVsane0IbP6unaqlj3m0adIw66imvXQWW2ceMSx7fB2xJMu2oCWG70nzlA5
kIzZqpvpiu0vz/fS22DOFmlAj4HX9kyyaBg1NQRLDiahAWsoG7YK4U5TYWmHdLJDMd4hwfqjaXSP
1P2KM1ly2EiNo/cTRwudkVJMlCiVXpYjjhVounz1V+d/uzy4haAWLOdzVIIjg0eI9PvqSHkfzBck
WsfGwQ6KnEGZXQuSyKnToPQuW1vaTsfWpJArCsp6BNt+4yRNs88qc9PUujdCOyYWhj2G75etLc4d
hgYoIPorgAc83bw104K+7fMGLgcc+HF9GNRk5eWxlOgHg+QssIH2lDmDemojiPIRjXlF4+QzOxwo
E6aZqqqyvNjPr4Gfv/IhFaQYYjf3qUw1eOxA391XugMFqbXDuuQY5oZM1L2Apz6r4ZAuDfSurRon
UyyvGBrH4P51OibbwR92GpRwQIi+Yf2jlptOqurbpB33GdHQTlzYFY0O6J8EBRakftoeXvx7lP2I
UdSi6CTK4uRmFFaP5tUEoIa1hobFE4buNsTHOvomzqijYwMaQIGKL9fKN9YfNG6T5r2wtm14TwtI
Cl2b6iohzOwvZNd2bHOezaNr0vRppao1bAZ1bAsgQjJdATmMB3aPjZrfDfxGQ2Mhb4Fi26xSoC6F
38fGpW0TJj4ZohHG2155buroyrSeaq3xIpAeDX5pG+PH5bOwGBUcW5SPXmbRemjm4RbA5CGHEmbv
MRJ+JjpiAtPuSxdtBSqa0XQwPtcNpDO3QpkZa/rxepXZcfGqPv4a6T2E+kkSqAO+hkGTkQ+HBsi2
mLpk8CY/9ph/X2ZvqgLO6fi1TH4p1uPKbJw3HsztOXBFcOgQBJMzBjTWqjIkLeafPFWIhozwBa9b
QvbUtCu2AZcTi9ZquItrfmRTCksNoWnFYHQN6JMfw25jiSvwpdtc33RDYefBimdacLUzaz8avpAU
QXVNCkLBFxRmTAUsI63RHqvwx7KyHEET8Oh/74q1gue8XtJhOrEmHabK1yozEDPMNQuwaW5AUeb7
zM3Nb3Ff23F9Y/y1pjc6qwHbYQSc8zOeRhofqCSNLK4RWzKReHWFVJbxGqWp3ab6Y9/+TnwQbsdr
+IUld48uPQRU8K6ok8ll8siIusakwOFpWEZ6S0CXDEoZ20B7cL8niadMoJxQgHv5QdvcruJ9qe8u
b92FS+3kC6RdFI69rgRQDnN0lr9ldYEO5IZUK1fJ4uY5GqY0uYbolSCfYZOiC/ZBAJUo+lCZwkEF
ZtMY/wIUhSGhXAZlNFxccsMlixqWDhOWkgvVY2RyLPGqCfHU5NZmjLBrtWIlpJu//2y7/rEodwUj
bNOirp0Rm8Dzgv5x50PxLk7+RWYcAwN+Z96qM+Pz6RWjoFWwzyOAeRU8ySDNCnpHdaUQuOBUTkxI
bt0netGTGXuqRtkOCUXbHDYz7CAL3CEUDlHeLm+/xZ0B4VAQqYGZE67zdEj6IADazEsMKbM7Rd/U
/l0lttAa0rNVQt7FrX5kS9rqXcbHqu5hi025ej82xQ0X5kM78W3RgaNGJ8ojMURta8jE2kOdjPc+
8j1eScOrNgGfElin0+fLw1+6uDjkPf8Zv3QyeFf0HRf4Jj+NXvS8/g5i69skiT/9/iVF4Sz2fbdX
/C2NI3syMjz2g09iBmt3yUKod/IZkr/Nc9pG1gwTr7NbaBVdabWBPP4La1e8zbIdCmjO3ERryb1I
U53lqO/AjggcS92yIN7naLZaRdcthScY0B9D0lqDf34Qeot57axPNWy35tggJeqz5yCEgHLyDoXT
nWZBmmVs3LR+rUl331L+WmCGtSy+jUbVBcH+iptYPFxHHyUtdo7C96CG+CgV9E7sYCBOrK1tyl78
2twAWG5f3lyLXunInLSoiqK0SkUw2e2I3HfjDp2bA09z2cjyimI1Ab9DX4NcdurBAlYNEeB+6LoM
WbHxQSpPAb6KtZU7ZHny/hia//9RfJ1HaDgfoxpA/+ynQad7KJG21oZmbjt+6n6/slRrw5oDlCNr
VR/WAvBuHAhdx8vVVnm9VSBQxFX38vzNP3R2dfB/hiVfHXnKAC9JAVsPxXuNrHmiummTOg19LUOX
WfH10G8vW1xKreFqRLwK9aeZclG6RmK04uZf4P8pHXZDOdgaYACZKOzEyG9jfXAUs9hY9Gfb/qbZ
LxKXNl6Ctppx12zTlY9Z2qPH3yKt6kRJGWcp7pu6jzKwaELcti/10DVEGO8uj3tpSY9NSUta0Bws
zAZMxZDLS9AhHIh2H00pOMrWaBhWRiW3sY5tMZAB0GyHahDBLZHxB1WIyR4uD2gxejwakdy7il2T
5MyHGV9Jtq0wXpUcXRa08RRoYiYNcWINSLbe3A4Mtcwu8phAvc2A8HlveZe/Zel0wqvPrOzgzjvr
77bUvlVANIl1DGZm+wp0LcypOT30zYfQoLOaTWt31lLoAHYvIBIg+TzLyJ8e0R5RShVa8Kb6qD/z
Ck39dR5B2pVnpVvqBHrAgbZyWJfX9Y/JOQdw5BX8wgc2PYFJZpXMCZQJvJKihyJcR1cKXGeWoBgA
hj4+83tBJU2OYaeCm7E66xJGee325KFl24Kspc++6vUnzgdWgElCT7CKiQQxw+l4zHYIwlTHGwMy
zaNn3IQu2etudj1uEtdyETi7oTs4kDFGs5+bbd0fV47lrfj1L76sSx8hXdWCFbQyVKiFjlv0nECh
/oNf+259I/b5nt9Ydvkz/nUgdnxXuNa3y7t2/ulLpudVOFpPbbLCKq4wfmoiy6zqtr4m03Nev5Km
WLqEdTyTO0vD6CDpGoMi5fv3aGO+f9Ir627a1bb50BzE9/Qhf2pupw9T2IHhaJ6/EtWfHRXpIySP
z6YgxOjwEdWc3r6P1I2m79L0kIOA4/KMnvskyZTk0INEzYDthClmJ+/QQDcHu/hInw/di/Lb2hnf
GqRj7i/bXFxFAwUFPPrA5PN13x2tYpwNIGEdoYMdaoHNWu4U4edlC+d1i3lURybkVRRCzRQImTt5
4mp3pS3SbeMqNrt7ArT9U7XD3+bTa2Ur3Km8dFu6fQEJTLuFZKN5216vgobPrjJ8DgQGwEJHEHGd
4U7jPmKFXqAcZmhXpL/KDCS9f+er/T5fRbbT84EnNDLe+HtuwZWp7miStqOYxazrMc83ZRtPu6zj
1WSzjJqBy3ho3Qg1DW8DHra5W+Vpedv3SfIoJl1cJSlJ861faWhTLsvW8IjpJ49EscoDAUAKGHJj
KHdDMLASJL0F30ISr6jtuu+h/hLlkSI8U4iROHoh6GPClQj9CjUx94gCS0x2oilr/Jtn0RiSxkAt
430N9A9wFZJD9Mc48KsKA9Zjqnpjn/mOUdfKvm9mg2UDOjzSG1s6tpDe6cq1otS514d55KDQv4D+
D9RnTv1RyvpexEWQOoKQctOwOHizRh35cr9aY4VYNDW3SICzBA8x+SU28EiLsihMHRDWjzbTMrEP
CxNE5t2wlo853618Ri9jpwI3CXSaFHhFha7k6KdOnXAs6mvdrMQDj7n1Wen5eDX2g7niD8h8DUvb
FpBvULZiKiHR9HWajxzCIJq2r4sSt5aTPfG7fAespuaCoAohQmTHh8bzN/Eh2Fou9ZBj+229Zts1
5NPC/J58g+QHtbht+qDHN3QohNCXkL2DdXXF2a7ZkCZ2jNWgzS3YmLI7tMpV4SYSj5c937lvnak4
/5lKGddTDWBwUCaYMKZxo2nJbgxr9+9NIGWOoiT+zPDS003PoDRTGj5MKBHbCJPd91m8MorzNAtU
Uo5tSP67A6No1iiwUXpJ6EX36bN1UPcE2JgrvgUjVGFPa4uzNHPHJqWzXAsWUk5hElh3ENkJu/t+
ed7OcxzSoKQtFqiGCXJsWKgO7DF0SGUbDv2G+oudbnq3djvHumNXmaOu0VieBfuSYWnfgelMgKix
yhzrIbnvXFQgrXd6Te6FY+0ZiHPSDX/RXrobf1WoddEyECEmatgzJ4S0V0zaNY0oYdnMhW1kT9Fb
DtpXOrjmZKvDx+UJXrgMTFyzHNcAkApcxn/AvfAE5U+I62h3Y9ehQTlwZ+iz6Vr+dvTN7arwwtKB
xka1ULScaxFf8LMjx9VGYc6LvAMZJyJBdbhKox9oMb88qgVvjFH9sTHv2yMblV4pYAqCDWRcxe+u
flUDNwrXDtxZQQzro4IYEAhFNK2cEVnXtJnZxwdIMj6rV8WjOW8LsiktG2H+ClRoYZlOTEkDCnvi
D5UCBtOUXivQMknDRxM6ZCFHIve6ok751/BgBAnQcMc/AOdAIFV6eEJKHRjArk2dorgr9d6ODQik
jltjtSV5YalU8FogTYpGKgAOpHMWELNEF1OHNjgfAD4BpOMkbkPWe7VRfru8Kxa81bGpr4r60a7w
CyNXpwamRrNE7ju7Qw7j/bKJhc2NHQEgAUSAdH72pC2NFHFdARM9MLGpr9/HUKQL43F72cySrwfH
OHjGgUeF4reckWwFV/ogGZHX6Tft9E0k10r0EqAUa7iWiBDFXU+D00e3RXJfJk+XjZ9j9WbUAQhv
VRBDgyJEJggx0XcCvVdwJpGHfgRIbjhYey/exluIO4/2uOEPCp61PYRF7Gdlu8ansLSKILEB1hvE
FODdkNyjqiisE+j7dzT0NKWzYvCawtLSIkJYCeoBkFED0YFkgbY09028NADBf6H51UQeVsPFhSck
5hDsKnjkANx8lkuCGsxoppqJpyq9jnuX/w9p17UruY4kv0iAvHmVKV91vH0R+pzulqccZb9+g3dn
tqtYQhG3F2OAmQucLIrJZDIzMsIlq94dH5Lj/AC4SC2tfqgbEaGpunTWbCQ6QIQBUHxVTZpRHqRG
jYVhLtntdu9tQDHIk7hQyu7cwr3rfXXtnKqNdgo3zRTYWwykepbhRl60Ev2Ya21f5kVnP4YluGen
MZuLpsIsEzRcOxfglbR3Qw+cBy69T1d4Xcrv1mPiRXgkJd7pp8CD2d/mkucL29ql7c4miZIR2O7f
s9/TzleiAPiR++7j2/45r8cN2AY3w8HEKOyDtS5LFxhQ//ZPuC5Qc8tnbn62/K7W06phe1EGzpP2
DrZMaKIbazidNwbS8UF9qATltmvEkA6+XDz7UNtT/uEn5Uzish+iBjqECl1PsTcF7RFlsLsWI9b3
o8DYwhlij3YU34E5QBLDfeEpykrMHVYIhNlGLiR3BgUotMNvf8SFUABsPFqqiIJIrf+Jkmff0DbK
OqlsBS4EZegOfMO6SGNhaZsgRQWQLg7qAr1PGJIY/Tyr8NpTu47f0McPD5jqlZ/us/c4ACsY6hOt
e3tZS0fjwiiXyatSXBC7gFGIfayjDYjmkP9u2o/qzTqqG/UOshzNKj4WewXRT5BpLJQqMUmD2I7S
gG6qyP8uvcRy5hHy0dBWhtLnuj6mW3sX6e74pd4jLXwgr4lvbJOP7C15StdUcH0uBCgT40AKYEaA
AODfl7aLWmm0OIyRG5JjGJ+S+mg5vwd1c/v7LriNiWvTxMCxiZoP31Kws4TQjGR4Oteviv5u5v/e
91FrYAJmwDdelx1I29Ep0wnxKownDJmvkjutE0CV2C5wEQzvA4AWUdyAECBP+avmoW4OPXvsKWul
eB7sdWm96eZWNh5DAJYg2CdwyqsDDWlDmIEcBFOHwQ5dbo0sh/KM1Cz3EpphCtyvFOJaiSCvERnh
Xnt1pThQDoMRI6QuhRizRtataHuutp+JNOrIXPD4AJCNT21lBdWYcczQdoDAUqz5A2bSbjvYlRv/
YwE22NgSmHq55Jl2VZX0ag4kf+346NTYzqMCdSD567aZha+FuAciFUNVMKjIw9XCsqmQPVeoXNbA
HqLHOUxv0b9OhgxAnCEvAs0o4P7AdHK571JbxkYDJjOPxNoDZNh9gyhrNRK885eWcm6FXdhnkXzK
h7BLQbYOzrlsC+TaWkm6O81q/71/4dDge6GwjFlqvkrXjyhHmvOYg3/CONBRO1oWdPiK7i/MMEIG
0NHik6Hiw61mllSzMaCk1DaaizBu1ZoriSQur8oE2BgTZ9GCUIsGRRH+kihrglqmmQNnZqwGJwnK
eQIzoOm3efo4SoMfC3mSr4IOZ5KLASkYJqyRggofc79eKQdJ9SMKqZ+NqFPkK71ZG4ngNmJ/8SLM
oVaG0i0uXw3sFphwvPySADGZlUHRVrJtECCBNS0Fd4KRVWtzth/7sBDcDNcMZ8we7nk858FOhDf9
pb041LqwK0DIMIT1usuDytwVzrpMvdJ6ybJXRXmI43cnErQHl1YJpSNgI1E+hm4tZxV3yZAUDUpM
WrOLYq8cqdsm+3Z03FIkz7IQmtDiYOqaumpC14D3GqDSMf4CU7j6t4UWHro86/Be/N059OF2eFoy
xYRDGUIdVwb/RtVJ2WKuDd5imL2MEfSqO9rxBIqitpZcGk1/EanAwgSaGUwuYC6Dv6EG1W6VEDKN
XqOaIMpSXdtCT0b0/FzaK9UAPSzMWMZVYus42QTvQfekVDLLz6wItE85eUiUHKoeBMQXhLzf/o7L
FjW2NtRi0Kq69Mnaavq8qQEXtHvjVz6NaxX8u3PUtG5qZ6vWJIKbXmSPe5m0I8QtrBj2qiL5LWPW
tyXjbgwRzaT6wWz+NVcPjpyK2a//Lo874hOy6zrP8EFtMkCB/RkyEasyCW5/w4X7xVKR8wEpxjBc
PASTlJNjl2wNY6YCX/xAeyMwlezf3/sXVrgvFxVdk6UM0DDG6kpuwveO1kdt/o6SRtD+WVoP2kwI
irhfAHBie3h2X2rzlKZzOiES94/54ACmIWGoShB8F24Y1OQYCBfXC9ojXFjSU31qQgmvtlRW/Fh+
k5O3EL0lErYPdfKjEEF9Fs2BnRBIFxNQe35saxpjWdYrdmvO1c7KDrn2E6wfgfmrApap155ue8RC
FojJMLB0M6rA6ym9BmAeuYUmj5c5zreU24FGEsE7YCkAIj0DbNBGmgbO7MtNwiGSdbVFrMXjdSt3
QPEN0ycquQDaGYKtWvIH5E+Au0EPEIAhzlSi1MqE0QVslbVxNACj5E2risBI10UrHNVzK9zlYWJC
ljg1FkRzvfgpzYa5C0etuS/VfnpRpNnaoKZcrdG6z1GStNp9WqFD6JImdcBxOfRPZhGoQ7/99zuJ
TwwaLMzigRmPW3uXVzPJYx1lDSe815LqfqxfbltY3EgMnGsIIDqmUbgIrEYGg1UzC5DGSsA3VCjp
etSUGqR7FcROaNyL6kNLJsFBAyJGG8UNuNCl70BYVAtbA0E4yYv3QX6bM+2hQhfRQ3F5dXt1S76D
ZgyKI7jNMBnCrc6qe+gQpjAFHnlMmBv6b4cWOxS5a0F4XDpyaJHj+wHviXcRF7QSqpFyHiUErW76
KGvol0OGT7CY6yIX56OcESeZDDAk4iRI9SbMh7XZBebsReCNMFO/rDVPj9dCoeCl0AWcCvIO6GtD
NpGLlIoUNdZsAKtSNXSbmNp2TrpDmI+bCXE5bLpdpjf+7V0TmeQcpC/NKSQRTDZNDc1p0x3tbxr6
eRQGwNGRRJDMLZpD6xrc+Awow4+q99PU65GE4ExJsu4s+Z3I1a6s0Faz1COdEl8qRCy5S0cAk8OY
RUXer0O1+PIIxPU8GqmD/NFCD0Wf5dVUkL1eolRuG4JqymLej+DBLgMYxH8ubakWNPfKDmcgRPVd
ywZXR66Aqd40+x4tV9JOdfgELRjdEuRaS2cPlUsk49BMu1Y5jQGAnDOdgZxaC6D84r6h2SoEzPO2
syyldGdmeKxuC3VatWP+KTdRENFXKOqAeH0VT7Pbp4KraGnbDBUZOF40YOng39iRISmpmrMEeQx7
tw3tn049WJ5ExxhMudn69soWz/t5oOS8JHJ6G7gb7JbZaaekeSxtiH1k5bDOjWilzvnHOBvvTXGX
mvFfXO8GxujwiMKVi99w6TMplBAHAC6YMNzkDrnqlmmKq151C1PwPlxcJN76KPHg5EG2mzNll9I0
DzOATCaltrKbzHzojhatVZAa6YNjruM+bW3XxFjTCfp48aOKQc293TWxoE5zvbl4zuEw4peghAIl
4Ms1G9oAhlRkAR7qt8FgulNY+hE1XCISRb/2WBjCHBj6cOydxRvS+sHoNAf1TdCIEfNzBDg/Jxs8
VYGjERyO6zN4aYqt+SyXBvFOpY0gJPaUqXFbsNqUSKNEKYTICHct9YbR1goDABVhELVfjtRjdleQ
CC3ZAIIDgQT1EhOh7HIhid038hgBJJBVjW/m/aaw8pUmiYokC2aAP8UlAEUAZA186XkCBWhYKTKK
9K31AyiCtRXiyEVVJAgkAjs8G68moVI0aFAZNcFgF1fSqpXGIDQUQQRZNAOiChZ/cdPwrEKS009S
W5v4alPYe7JdQiXTxIAP7UTMIAvHmJErMq5WFZUeYFsvNyiqG5zh3CFeYoJIzg4gF5KlR7tMfLv5
NKt4hRlzbxax715f3azJgZccirjAv9ucVSgvxWmYwKqd589V07yqFS42GZ15mbSuIWVeEYm0Nxbi
hAJYDNRDGI7J5n2k16I07+Z/dJ7kVa995dOwnpGeTMawun0BXNck4Yh/LPFeEiZl1I4jLFH7xbAd
3DqBBBXtefwEgXRIg1rUPhAZ5C6cnJYh8LMwGLc1E+DTrVM6rEz1LbHsoJXeLZEw0eK3BCEh5u4Z
KoG/UDtL74yxzUpPAYB/ih9GjH2AFLC3BEnQkp8ABvYfOyiyX3pnU1ZyFZpYWKpoqOm+6c7shakn
Ge+F82aDHvpfbhwY3fACB1wGbSzUsblopVuFkgwyqAGNSbvrwthL9BZcDvpBMqMdHnuBMYCBahA1
V6+OO2eWq9H0mWog2MNshtp8SzW3UqygMAWh+MpJOCvsV5zdKVpS0qh3YKVBXQvLGF+0ZKVp71P4
I8/2ITiAb3/MKx/h7LF/fmZPLs2sji1mD4R0oW/GHnHeIEX9F1bwVMRu4UmK1PzSCl7ZcjFR0AYR
7SCPayPykYZoyvttK9c9d7aYMzPcFk0zBsMLZkY/zu9W52pfIG+UTsmOvplb+lA9mpGr/JIED6rr
NwAzi0Y/6tWo4l3R+iSR1bIwCubN8rVBGpfsmt+W6VvqHShqrByjpT+mcnN7rSz2XvQ3OJvsTJ7t
W0RbzZoq2FRGsKD/HoGFQRPPSU80FpG3XB1vmALZJ5gq0WlADsddA2UMxoCm1ZnowrEhxy4+Nvod
rV61+aHXBd9yyR3PbXHL6lRpnroStvQcXPZmUIW+XlauJJpgFa2JHcOzz5coelKaMezE6NWUI+ao
yp+Jqa5SAh0houFNIJoBFKyMH2Wdh6irm4h9xequjH5Z/QvUnlzhxOySX+BWQ+aLfjtKJtxmNSSX
B8kyYAbQXzs/mcNuBrN7SPeQYrrtgksB8dwUt1ejno9lZ8JUlm7D8odsbY3o1//PBLdNpKz0GgIn
jTcoI5gz76Xqux6jvwiBZ+vgEwGn1bMiVJjPQc8xSGXSgCHcUNwktM07lAZl7/aiFn0PyQ2SKgvi
LHyKY9LKRqPJhL1RfZ3TNPJmc/QbUP/IOYE2uPaGZExgc9H7gNNmKqcMisHlHo6O6a9mCMFyWTZ+
xi4SEDZinlp/ur22ZTtIBTDGxpgJuQ2LSqVhyJMG1DTDNs+8dAIBqAQKeRGQdemeRDSXDTS2GL6A
uyeTAQKn7YyPWPc/2mqPN42rlesxC/rG10ig/HvlGQTBM3ts4WcBo6hINKgj7KnzBqKqmorX64el
HEkleChfw6hYuIVvmGhusbEM/gSryYDIjk84HJ0T3mTKW7apNsmx2eUvClppLkhi7qEW8cvpNtmX
tLq9gYuX2bl57lRrbdzKDjPfr8oTpoJA+Ee+gBJeJ367ict/7ZcMiYt2OWoU4JLmx1vUQlJymkDj
rFTWrRUM9BjO/qRuby/q2ithhVHTocyK9i7/Uiv0zFCnGTTPdboZjYMZvTSjLzmvt61cT7Miu2Fa
FCAswLA3IJOXPjINyjwWvQYh0J3kJoGK/27Xyl47qTtnRSO3XIMHVl6loAMDb2LiQ35jn/i14PV7
fQPgV6CKhsk18Fpf0ZCrupMWSoe/nTc+GKQlMHBWq7i8rxqBp17H/0tD3JEY7ChWDQPLHbXvSHKL
3rfaL8EnFdngDgP6/zaVMixGxigw1Gu39kpbozi4TgC07VbRGkK5QJATcPhCQD4wtvLaxqi2Kshf
FzJLtHDw9gZiHvURi8+B9GkOQeYBKEn02nybgQLg8525BtngLysgm/TNOKK4JnhWXWP1Wd/ozCh3
FBPDAQEQM0q/J+CIgRfYNAcgZrbtSvpsTtPm9sde+tbn5jj3VexMjqUe5tLp0Cq/zf4b87y3TYi+
I58FdRVGN9sZNl6hT3y03OJBchUZ0Ng3Z5c80aNyfLhtUbAog7v4RqfLKFSkQbE+bVNjC90U0DXe
NnF9FV1sk6Fyx74AzUSYw4T1pL0hffQrN3kma9Er+59a+2XKf2lHu7QzYgQlheIv9mfbAFl+6DNP
WQE99YyzEJTbadVtXuyAuNE6d8NkJRq//UfH+JZ97nUVmVGot8wdhyCEVId+oqv0o4CoBwUxbb+h
OIMWzqK8Tban3+O9eqf6c5B8hXDUTnBtCL8F2/az67iUSaqFFL8FVP2B5seHFBwtGIVwguyQfrXv
1au0Tk9P8XHw0rXo7XU9W3h5MA0u8jnGZBgZ24lpZwYhCLlcZz8FCvDWjIvB/s4+pAd74wgOD/u+
/PdH/5PdLqihGzxMqZLqSaaKDTGsRF7ntNg3USnoTCydlnMTXMSJtFSG8iJMDFK/qapok+C01B0R
tCWWrihcTrKuA0mLkjDnyRboumlJkY2mWvFr1lDUaAtrPAIw+hhj1gBj5E4lSPKXDingjmBBAEIc
bQguuOlTaKt1yB58UB3No9OM3kffB/G8ZWhH2rhFJog8S0nHmUV+ODisDXnqevY8Kl+jEpI4Nbgg
SXiYzT4WHAe2LVeeASgKppFtKDnwt5PaAZkeshcF1Nf3WUQfzSJLgM0zn8chfOxkUFuZ08vtqLd4
CBhL9X+Ncr7SynXdFDISRSua78HU5puF/W2ns+dYnxNYazMgiqcGZ6OcpAezbE/oha1l60XOoZ2l
9ztiWJDzjAQ39aIHn/0qbp9rkrRhWOBXKXRGP7Q5jUPllbGoK7P4xZFjoUINHC0AEJfxR7eTrrNH
HJRi/DSpDgrZCKSAninfzxgCskSV+MUDY7HXG4gb8brnbjEqN7Oc2lhVXnwADMHK/Q/F/Jv02r4y
RIF+cW1nxrj7rHbMCNAOGAvbIrBJtsnarex4Zrxv6VaxY0FYW9yxM3NcMGiiJjGaBp9yDkN36Icg
NWRvTCRBWixaFXd7dZIpS32IMzJSSGJoP2IgD+QfSvrW23tL+nn7cCye/bM1sTWfXU/96DRO0uIT
lujuIonza/ozGsk2r0WqwyJL3FXUSqRJZPYONsnvMoN8EriA2mcC8r7bK1reJR1rwowP+oTcLgFF
pVup4uC9rekupptPTL82bkU0ZIt3HALYf81wu1TjtBlWhZuhopnsh2WibKYh0oLbi1n2hT9WuO0h
iS63dofFmO3Blq2VZr33w7aia1PyavvjtrHlHWLD0ADBI3Hgzq4xktmB4A0Uu2zJkzAHYZmtq9UW
OKFVwfW9uC701gEIh0InnrqXblebo6KFJr6eilHexnzU6jcLuuFz+ZgRxVNEd+pSVEKxFihcEAux
eeJLc0SbMQQbM4Fy6NZmzanpYresHqb+vdEFrApLH9EG74sNpA0akfywN9GR+KYEL/gyUoxN30TI
LtU0WZPKuM+jlD7f3rMlN7QNcCiAIxOwMB5X35Oy1AsagT2tSYNCjU5TNK5um1j4eGwyBnUPjHoB
Us/tVWlEjT2nUJV3pIekP6ZQiLEq30Tp2RZhmBdqOgDTQ+UKzQlMJEK043KjmhI3WVlho9DP9dL5
26kkX4EmZ5VAiA8laEsrFVceJjQw5kdipILj9r9CVlyCAmZsTIExQXaMt3BnIC3tYjKYyLyN6tbO
SNP4w4qmLFDoIM9urmbZMwmlIZBBvriVEq34Bh2x6fVaWD5Vxig/M7mTUzQRTJwSia7sNDFQybGl
w6A1/amjykBcxSjhEZWW1d+jXbTvWT5qnoHxgXc2tBh7owIOghBo7i+MghuPbW1bpyZ3IE9TF/FG
6aPxV9KZhXZyUkvf2nPYS24+y+Zvc6TgmdPyWN1WgCEGQzTn21mOrcKnTmaEez2L00MdtpOOgeSu
ll0wcaDXOo2TafmypIPbJjNLBzPSwMdUbjgXOnhWlEojbitb4NGchngIctnswcYe9r/7bnQwYWal
IBV20s7RvHCYyXZStHGfKlJxaPNieLazuXoFtP4FsxT3MNVvxpJYwErJ89y71HJKr4jVIncbEBev
kn7IPzuL2t6sVPljhwbpJmodJfEmtY8hqM6ECoAoaKpAN7Oh9yDYZa51I9cCM5XTrZITNcgVFOlM
bbR2ODRSQPqm3UqgetoZfW9vJ5D1QeQoH+OA9lJHv7OwU6KdnoNDDr+6sncNRZs4qPXG0nZDDGZJ
mpWF42qjM0AlIW+yyqXaVD3pTZIib81wRwOT+VpUzcRo1Z3V2IfQHq4ts3NtvZU/xylFn6/LywlK
dE40gis8DdMV5vfSCqSrffTUgaPHfsrzsZu83iDqGxlosan0sVI8c4aG8KAo008ZZLs+JmkqSFJK
Wf8yOdguXyEY51/PtQ6bamNgilfKanunR7XzjKS72Ey0awHLjgwzealGoxpcyGOY9oYoHT2MamWR
XYvWgu5P+P8DUstx6ZaOHRqYT6RTj7kPx5rdLqlQ3dGGsl91hOivSRFlIYjrIWghFTIkMcOsARWp
Ynh2M1eI7HmlowWdqRZxQcn1bPQgBu1H6P50Gh1XMeL1ro0JYKwSdQ7akCcqbEdZ6lsyjTbQd0wf
GzuctwBloV05j4kSlCFN1vo4R25TAdiCJRlD5Fe51W/7JpMIMrJR8etZU35r4ClP3bZPkET16hi6
ZjSGB02S8ifZKodfzgwRucmZs4cJeiCbKGrGZ6g7pDiBqT3vM5KGfhEZ2kPdKpKXFKiBuxrWvDLq
PpPdGZjYz6hwEhUTcFX0oaaAGJ8geGQP9yEhxQ4CuRJ6WzLNH/ShdZ6oWkf3BSixP4apBS5YzjRn
PQMuTzazJbWHWMktXPNGEgUFzcyHvsrlzh9sUKQdqJxXj4ZEyV4FOwpY4pAiusPsoAWo6+0Q2BHp
HNfM7H54ogMBviut6c6crck3iiINMkOB0NLtm2FBfAePYgXSRhYDY0HR5DJcD45VGHYL1vmpI7Iv
zaUHwUzPKmMPZd0V7vYXo/6l5w0BQUj23LnZ7muKQEFZHg0hzY/Csn0+dJ//GC4ja2W5aqOM3bw5
wLT9c0EKQHc/x1Hz5y76XdbfdWQc4hBJJ6WgbBa9bRcvr/MfwF1e4LHLbTKy4v2Q7lLS+V1NfNKq
oGvUXSlUNrpOAzOP/QKtXIyTvQl2g91N1x+AVSoAt2W41MvdkKQ6VS0Hd5fZfEEHwY/BB6yR9rNS
fs7RnLgOetTULCM/r2L8j1GQiixkPsB+MYABpqgBgueWj6kCbcwtsKqatL4zwu4LR2XXkx1Bt1qw
0itaIvQFz02xn3L2aimlbrZoB5paCYLgiQP9sDpAbdNtZPDjvprJegTXu2imfiFnhaAte0MD8AWe
bO7zZnKuh2jlIYnEFWjMwysY6zbzLANMRyzA4rNHafpxe6FLqRdwqJiaBN6RTWterjPGzNOcM/rq
pE28ATNxkRp7krQFFpim69u2FjJJIARBvcmoIjGTwaV5PVgg9EqDxGesfdNocC3q3zaw5B/nBtj3
Pds0hEG1Lm0YwMgYaE8kvTiRIXzPU+g7miSvBeaYu/GnAQQ3gCIik0S/jtsu3Uhxexsztqt/aobX
OH2LRKDlxU/2x4TJwcniSZoqaYCJUQN12dj6rUhmXbAIPr0n4awPpgoLXfNl95vOevmL/jSmAdD9
wiA3IjlwlJfbos2SMWWZghdEEheu3eGur1tXUpR3olYH6K4+zHHsVjUEq277w9J5wsQRep3AW6vA
814azrR8kito1nl9q0Bj80uGFqe1k+I5aPPnURZUVRavB9xTuv7PUwZDLJfmpGKcJJWiQWd+Ep+q
bn7XvCknZFHb8ifIBSaBvSVv15k+AvhWAVXmgbCkq7tWY1djpjzXZZDPX5K1H0WRcMkKCIYwfewg
PlwNIHcxnrWyBv9IyV0LcnCINtcaUoh/D77DHOaZHe7sGpVDQWkqYzVF7MqltWnn/FAiUc2JLGjW
Lh0qRgYOVip2cnnQySg1g5HGcAukG4fcng9TJorkS6cK85eICqwogGfzpStMPYYw2wiuIHVW5PYm
sfx6TEKPqGi733byfx6MfBgCCgbnCng0jGJyXw4vjRqjKA6ykmB8x5sH84F7uq4D3Zv31QoSOk/h
ygqsF/Te3QnaQDsiKLUsLvbsB3B+PzhNlucW+wF56ybjjpBf2SyItUsldga8/s8qIax3+UUdkP2P
2Qwj0gZpfx0ci4B+gdB+na/MbfkdPrf3w1vzKRqsXmo8wy4o/KAOjUocX93GLBcE0yX0t9rG/Zw3
VuEmn7HiRdsnvG3VTZF5QtgJc47rDf1jkttQLZrnIQuxVNnrt8om6nzzvqeQClY86cPc6I/pTj1J
9/JG1L1dzLbB+Ih/MYJVMBxcfmTVqKZYo2Hr6evxoL6gUJb6yTrcAFOwVl2ANZKnZj3sX2978OJ5
PLPK/vnZtT0peVc7qYStHe8zKJ6E6t1tA8wBrz/on2UxBz4zMNs93sYRDDQHErv9Pv0NBqYV+mrK
z9uGFq+A8w/IoumZJULMFoqS+IBF42Yn+k4OSSABVLky1s6OrrO32/aWT96fhXFhJoqjpKcTzEUA
6pmK4er14ObD820r1yPLSIbPV8U5JN7HlaX0MAMJnJPhyiDHfe8hdbINn+QVVKsTwbKuZzw4g1xE
0c0x6XsLBrVvgHmL4yx76uB27+1zNPuaaHlLuT6beUa3EFAzoKMuN003SiW1arjHlPv0vV2rH4Cy
HO07Y2eI/GPpNrXATYJbGwk+HjGXptq0rZ25iKgXb6NH7QlispiROaTv9jZ+1CFuv7dX9Ee6dgR3
xOLBPrfL+WVCTC2L0A31lO8siF+Jn4wuigrjI7DZhqee9M9UcuU1o0P7C98BuRYmg1B6wwAq56Lg
Za/jMjORX6ZyvWlJhpK8QafJl+JU2sblgOXPNdpdlWYUiKu2nj7Ntdy+lIOl+GGhjJsS80uQhq/k
Mrj943R8bT4unP82zq/pbDcEs7qIC6SHzu24LSXRZM2iK6POC0oavOwYmvFyx2s5TbTBtpDXzDrK
f9qTUn8MarzJit6rCJAFxa+qkh96I/76m8X9n2GeBg7ubrfJhA8fpspqsCDco+Tr2yaW3erP4hz+
9Wii8jeBo8AbdtVB+QnBxR2uSfnFjt3o10E6zj/y37KriVrAS/H87Js6rE5zFmXpXMZKZRot6Mzl
V1qpmyhs17MF/JulR25WQzKsNu/bSv+4vd6lcHtulwsUudYA9SPjkxYSGGG/amlnVS+3TSwGCDD6
I9GB8DJI6S6XRupptDEKyC4Qz0L90rgzgSWX329bWXT8Myuc43eJpGflxPYt+WlX204Eh1/MmtC6
lPE4YSQ/fIpN0nqQkwhZk3aHRXg1hrxO8n3tm9/1ytl2GwiP/sWK8MREXo/6CT7d5XebTYI0vMSN
0auv0nDI5NXtv7+49RhTxqwVRBcMvufbYI7AGkGOhGdyCeDx6E71Qz/LglUsW7HAngXScpBDcMFi
GGJEwgGrmNrHcgjq6b7JBAF50QTaXniXoHJxRRATKTbt6YDLrp7+eYufQswFpUP7N358ZobzMHsu
8HfZDV6n4FPO3CLc6OarXAieHovH5cwM98GcXEZpnt2n07QpqkNmbTvJz0SPAPZjr+6JP1Z07u0B
XjiIUkWwolrenB7k5jO3fEfZ2mOgTAIXWEy2gMtGjQwMS9oVW5sE1nB9qMEY1f2wu6Dug3FnExei
2TtMuAZ96kKCCaTsmiC2LR/ZM7tciqCAYEYxG2Z3N6ytO+kR77lj2Xn0SAPq0Y9uc/tELW4dI1HG
JBWo0TVu63S5M0etTSgmJQ/JbHhGmm3T5mcmVYJ++WJSzujv/mOJ3z4D7R0b9zC2b/I6CNaZe6N6
U6a3mGwzUrpyuaXpQ1G5bSTC8yxfkGemubCkNcpgyR0W6XyjIeq8xU/KY3HMIpdsQC0O+XnJi4/y
vvRlESnGos+eWebuyB69iYiSjHoZuPCGx4IetO517E5Fehhr2b+9l0tYZsUCoSnyOxuctwaLOmc3
spzG7dDUWGdrQZBL3oVoku3mYLqHGtkGLcejhlntO/VRYJZ9vquDCd5vkEcABQrys0uzWknqzJjh
s9Tv3xD73fAp2n7ER2cz3wtMLX7PP6Z4J0oH24nCGSus3kGGs65Pxlf2qzxOd2MDtnZ9ZdxnK/kz
+ohdYT2ApRU3VsnX6DUoL5cdWyUUNFzHLdb53jqRzcdL6JV7oeMs++zZSjnPUfqZ5pixx0ddQRlh
c997ybF3LU97zEFibh0gsv0lAjGztObWEvnMijHVE0xXYuL2rpH2mXzfDODfBeopuL2Pi9cfq2Sy
WX40sDhHxfs4LTDIT73Eyf1WV9zB+erj7W0ji+nVmREulGZmQzsnRcCRjBBiII/oUt42sPS5GLYJ
BJtQLoAy56XfZ+CvKuwIh3tGt4aChnyO8mM5gsKuatfEEqlyL4Xqc3OcR0RUw5heBXOgl4X2Z7Tq
mqNUrQrRaPRike/cEOcGKgRio0TFhxtX2jYt3XpjuKM/7gfFbfaAEBqf3V7agAztYRSdb9EnZXt6
FsGq0clRUYdpiHZ9AyNQurOfBU6g3zWV5zzoq3wdbecgDIjoNSOyzLmkbDdU6wp8Xcf+UcS73Hqe
coAfNl26uu01S75//nU5t3Q68M5QCkMGQJg1cct4rQ5CXb8lKyBZwNwcw3dcT4C3RWdTlsPWJIhA
eGDn+yh/a/RtHrpdupfjRwlM6BWYCg6p+gwC8TAWlPuWPuj5L2Ch/Gwr5XCA9AmrYtLiLp+egCBw
gWVB09V1UhEp1OJqVcx3gjEQSEO+YmrJWTHbI1LDZLpTpZ91sdJEbVORCc4zpabtVYmZmErlgaQo
gJnhivYivu1FcAFQSf+3FPY7zj5b1pOi6gjsUGft5D86KWjUICp/a8YROGs/nrzCuRt7QRq4cK/C
TcCVr4JD3rrS8JjHIcdbBVYVULApylfftW5RuLryNIYA4XWCM7AQyi7McaGsLxOgbxQ8f7SoAVqy
9jEguOkxKIvHnXf7uC3cAhemuGA247VoDyZ7afVFAEqyXdSawW0TotVwrtH0kgVdcpjoi7tZeZuU
J3t+In/xZMRCwMYPChpMM/PzIvUAla+SJQTj8AQQjpFsCRVsy1KZ7NwGPyGiSDQktMK9PNm5jylp
34kKF3OlHxS0SGpUBxSKxHMybupkerj9EZdeXBe2udt0UtXRMQbYlvX3tAqGbJdXmzJ5neugjV8i
Y0O1p6neDpWvyw+a6d42vxCtLqxzHplpsa7XI75uAUXXWP7ZgNIxiyM3LOXXsuoFHiOyxjulk8d5
xl5dnXOvaL/0PgVlcO/KxR5gztsLW3p3oeaJ1E3HgL9+xSWtpZXa2yFWZkxIl2vpAAFQd6DRfQ38
G3gGPkoCrClVHtHturP1xLWz99s/gYUsLq28+AXcTVAWtuQoGVabjn0Z2PagAODWKJ6l1IZ/29Ti
hz1bLPcUgcpS0ckEi+0SYx9L0arSjZ3mgKEM3L9x8fO2teWFAXyCG1bD6DG3jXI0xzlRsDCj3uqj
P5cALa5vm1he0B8TXGzJk74OJShk/g9p37Ujtw5s+0UCKEpUeJXUcXpysv0i2DO2chaVvv4s+d6z
rWYLTdgH2PvJwFQXVVUsVljLVTEXCvzGMplQbz0l3S5O3q6LWvdA8H39rzqzuourR6XgZhtUJF/j
EY0z/1bdNrfWJzoxD3nqsKO+Tx9ltyqdf/+lbcyGCWJ7DBgKXm+rQ6J2EWS2L3wDVFOn3WMMVgmc
yEWbd6PtMm/YZNvSCY/GHf7hBNu90R4a2ZDKCsgBbr95Hvz//xAhAFQJzLJP8UPYfeq+JTdAe8kM
l7aedcJYujvuvydeWTnKS/6qHULJ+uHq9bsQLhoSJn6jmuErj+m+7l2i3bRgsqWbKH8qjUoS6tbK
BGeqCjZVDHVi98V85tvSA7jB7kszuN0+9sDt8dRuQsccpVRn68YF6G1sFwDUGVWKc+PC6VY9JSmu
L8NwGixVgQ4B89CTE4/dbcqA3oaFPGoE4BAO3FQFBCVNPM4+sKsgeReuutTilwhfOgzVoZm6+R2F
Tbn+Vp/h5HRsSddeH8ou1DneXJj3QpbwYSOrTEqwieM9c8xPt+jKdA/xQ7s3XvCQAtm2o7nRln8q
3mOMvd3r7ixTU/jKhPZ2a4QQrZiYWjCwbdMmXl1z0JP9DHsZ8uR66rDQVAgeZZxHFishblTeh5A5
vDrU5j7zgW+lv9jGAyA1nKiS6LiaeQHpULVAgWRdYK4oEzV4UUOozxNnRLneMspHIEuoAD28fprz
z7/8kH8kzb9kERsZq4A3pUNSgMZTBPgKrGIQUxIG1oUAZQWMdhaWUoTbK7KaFjzWWev2LVJhq9wC
CXUbEhmD7/qp/SdGzPKSZlCmxISYId3Gipf7D0nj9bakxSGTIjo8sOnCATS+bpDs2firtR/i3Avs
SfJhZGIEb7aw0TCC6BgVQdq1B9JEH0qXV+95Ev9UOy38W4PD+BHagSjQY3JWB4T6uRm0ObDAhjYt
XWUyXOCGmtQrW22jywpkF84ryJktZWFuY1wrWlNmpRuMWFOeF0xAeV3WrgIys16GHnARpCAMI1Xz
KqABRCYR/Tdsp5qmA5TCBHKHdUoKRA9iDG9FDjhcouefUQraz6Lu4ldS80zSGLj4gLN0E2PP4IAA
db0IuNMO4DDjg1K4wVTWTjzV7QNrG4x7sxyt5QnF8uuevHa0wA/F8hkDbsHF3CGgO7tAT6BtBSzW
jr/ZzZH7ezW4xfV7XdJlTIRqC1EijtdUZDqL9KQErtZcgmRYYSrCL6w13IT67wmvD0QxPsaSHkYi
rQBdzNNA+LyZCN4uwGtZYhezrtpirPyidAGA6B/SUcu2Og++mFlwiCusyhItxmwi698K2z6Saiy3
17W/yGkE5QX/zxsWdCTAOaPU+9CpgNVl6r1SAH2gS51yMk2nY4qkfrhmS7AjqAsULgZ0rHO3seLK
Knss0KDB5HKDuIr/qkaJNwY//kG3hRwh6Pi4DbpYgxzL773b3CvywLWrByXZWlQScVaPEQy1mIBB
i+7/LTIuIoGp8IRrLAdkANjRgijbgaWnar22VvdMv7FSCcTPqrgZPh5niDgnrrX6rMyYOsBqOAmi
fTUhb8C6SeqMWTHe2Zmtemnk35apdEr84u6bzQW8WCCrAsQQcCvPP51WUSDRjlUJqp77mfYD3PWk
2v3DZ1vImJVfnGWc5JpPesgYYvNH2wF0LopcbvnPaG0dzLDGjIzp/b1IE5TkALoD+uEFkHWX9ZU1
8bAEXuCLorh28NWcDk3/kvUUO/8SYWuBfClMuJ0KTn2saEala6L5Hnafegx6baCLEO17qoSO399E
TFLlXfts2FTDdQheHXw7wePKMOpIPItU1Gk7qO1xapHR9oYkmFxWMWAeeDqgG4/JQBCxCnImXo1N
ZWCFkvbcMbTnIHI75Ebo+TGPBh8a2D6yn4qFHbhBEsXXDnVGrsRGMtzhAuQGm6bATCzh62QYcP9G
myx6JeYbN46B+ZRrEbDyX67bzFoU+003gNfozDwrpIEGD4K4UXCmakifeaEeeUY3IRswICfreqxe
UQtZIvyVNYSdjlwJV1TyGY4zpjuaxqAKeK2DCM/P4kDboXJIad+jPPx2Xc+1m3hmU0MtE5x/mjjx
mfOwa7BSi8ZO2iGSPtlIPHIC6CLAM+alJLDJhAm+gQVkNsQqhHXahx3saJt6afxeAQVHkz2w5z91
9laYbXWhl5C81VOTJLU5i1LfaPodZdPr57b697H5Z6C9Q1HRE+wjwMqsVdr4+42dPath9wOghd6/
iMAoLpi9CbaFBBElqTW7qGD04HxNQctGStkW5SVg1nxK+n8ifv/7IhjnJclImiDFNe+LyC1PwyHZ
jQ/VF31rPBvO9/KXijZfsWk21k4BvOXhuoKrcQvo9UCwsQC/KPZuJ7/t+rjFtYoFZJfNIKegN/3r
rsqs4kKIkCaA7E6z6h5CNPu1Mg9Z6gH4zYUjAKTnPvu4rtGqVSyECaUGUJSMFcshjAJgQwXxg65K
7G71zIBzboO1A3tVYglHyfPIpHWJYligGoDh9LHdBwTQuPknOdgJR1DArJ/4bbIe5RnGkYNYVtjv
CN4Bm6QLc09VG+5cP7S1dAdTfoAnmempoNV5RqCQGIvEDOHPJvWmNY5x5LH2JysTh+Qvmv90Xdra
J0Kow/w1JvmRkQvSbCzYaTlWyAE++942oDbmkkG8tS/0RwBoHc/VGavJylILAoz+uwklKvMYyq4M
mQzhJg4NvWjyGDJGY2vHjxq7Q6J9/ZzWLsClGoLflISTkjcQ0XenMAah0KHknpSbXKaI4DAsx5OU
a5BSa802q5LtCBymrK0l1rx28YDJDSk8wE7wzJ5/xiLOmQrFTt0cBGi1bS0ntF+TvgT6xkdu/7p+
bKsKLSTNx7qQFNt8RGoNSSUopw3QhWbGLm0kCd9lIRdBbanPrO9CSkXHZCx7HFsXTY8APHH6Ctd2
qHqGnrx2auuFNgpYHbrGERAwprZz8iLaot97V1eD7MfIDlfI6FOSNrmuzc+Vo3JvP4+P83BWAtAT
07GB++jvRy/fxK/Wu6ytvJo4LY9B8OVRZw0dYxz2YNlvPViZoqnYpmDFASrCcdB1B8FrxnzwwkzW
NFkLWgvRluDlId64XKdQOohuh+FHBbLdfjOEWIn3JvX5uk2tyMLbBY8XXJEgehHfg3PnUCvqFrIK
NETaj76w5olJ1u8AmIdtlevS1k4V4tCDAVo86JJEkuQUg2G2EeP1boXKna4iLWUtCjPAE1WALNL1
nyMg+EfSOASdkuuyV7znTLTgPaletw1KyaWbqbfoP6fVW+5LRKxYK0RYQFlimBrTRdSj3Cj9aFAa
lESqx5h7CrDd7a3f3bTa3xaSGRj8UFYDHShKaheEJN2YqCwycYydsafjMSzeYtk62qouCxHzXbcI
AymoTRI/gog82sT8tgJoATiNgDVoy0gxV26DM2WEADrVvT0kJT4M+OSy6DiW34bgsYt/XP/8s78K
STtAl5BO4zViMFV8yKaZ0jUU+EVunzpq59hu/l3bcICnyliX156yM7o4yNRNin03scqfRIaRzqsz
4AQZj8HTeBftxg/lEBwySOOSKvxauF5KE4v9ZmGXAFEmpZuewl18Kk/hNrq1TgRI1dOO7epd+/X6
Qa4kOaiRgwMQ+yY64BiEwGgmeR1OJtSzWex0GLJue4kbrXnqHwkX7D4JjexB5ZBAlIduOFnNIfO9
60qsf6T/tLjAt7TAANv7HWSMj+iQ3mFB0PisN+PWfw+/Kdt/eG7RmXMTg6SoW2Iv8dyZQOJCu0mr
SpdhuQmF6RhTXn2TSaLrmiMtpIjlaLPkGil75O9c/9LqbkZv8vi9nXbXj27txlhKEfJD3c+4EkbQ
JbbBcwcm8eEmjbdK/G5rd/n0eF3YmilQUE6iyj4zNIq+ZHGzzpIKs6HhWFOUvIwGWElluDEni0lO
b82uUUknQGab949E1EQFY6k+iuq48IPea6b2ZiT2PxwdWkt41puA7IcLnZsBIOG6jPp4dYeVhiRu
cIux2FFUtOICs6/hD0vLDtfPby2KY8mFYX4Zq4hob55LbJEAgwYGqUQ1YAW2qxyqPDHAKrERfAFM
8jqRCaPnwiqt4jxV50w43xScu+NwbKZ4O6obLuPOnU9KjOZLvYTcvlBKy0p8iOqGOzJiqYQWjg/g
xMxrfKz91g8KUvHrR7lmikuRwoVY90k3di3y4jwvjkluf2kNeqvpwFS5LmfNv2AjKM4DVNhQxdJM
N+GJEijw4qFVHZq8VeabrTu9eVCjvXSId/0c/xMmFmmKNhsLk0JYGYT7Ps1P4cj3dusfIj13FHP6
SY0BwHcK6SVarsWqhZYiPmNI4t6IE0SRglmYJXgdAsDCRbegd5YIUiXnSem5VXK/jdNuVrGn5fdQ
1bE52zC3SMaTWWL0iGheTML7wfpKDN8rrFfcpbu4oU5r9Pe0fAkGHa2myCHAUb3+oVcNal5AxUQW
6hPilnquKalWmvDNwQj2TYOAHbW/qkkGPbTqlai//uZChTkJIUBtSNhqCkKoQV4a/7nV7ut8N30G
4/s/qIONWtADzxsfYlWnt6tOqSbEzwR9xxHPQtuM3Wb8cV3KqjZIOuZhMpT1xDSuSpssrHRIIUby
iN/iJmn8BJI6L0uLY6vKLoXLcW1k2tZCnmA9UzFNCGVIg/G4pU5NPqfwWwFsPML1LbpBt5M6vvjk
1QRoj5HKWMhXnWQhXIhyyaB0aRJgBh2DVTcWe86I/5yE09bEyV4/1lVbXEgSglupqROwiXCsRbJP
jd0YA7hTcpWvKjOz1qHsR2YyqnM/LIe+05scykThZ615Vr6Nmp0Syrjj1r/YHzliFhTA3Wmf4otF
IEjYBpsmdtDQeWD+Jt0opzL/l5NbiBPcq0yijNUJ1CJN4kwlkBN7TPD/S6hYCBGs0G7tjkb1/Bjr
n6t+nzZPcSDJFFYtYCFCsDUFYItWFEMPlUGBYjti58mQrUuuCQHNLt7+iP2YFRRsIMgS7msFhBTV
CSTsdXUKZVTsqyUGoFgi4AGC2Mau+rmdRSW6DuZAkGRZH3x8CULTATm7G+p3HHFpiB0aP1vZP/SE
8K78I3WOW4vnMh64o22GkIouftES17BltZMV/4FCGPQArzZBk3s+24WECtMDiAWI4/pAXxMNj69I
C37wgWGmppUxnq6EWSAz6lgVQUBHwipYdT8ak9E2iAeK+qkS0zPG5KDko2dhkFOLP/46+JwJE6zb
HIJ5NBnCsvTIsejZm07fS9qDq6e3UEgw77ScACTboTQzYRJpoq80fUqa3gllOPwrCdWZLkIg7RuF
NCX+c8Gj9MortjVb7MzblVdb9u3ItVeQXgPeWGZ+K451JlYwDmOidtdn8/dCj9XAPEdW3I+yntr8
24Wk+0yI4FmWxQO1rKEbFs4OmVVhy0A2vCXTQ3AjHunFkAbQIx60m64dnKGxoUgqCdorOeGZJvO/
L3wpzG2kvQPETObOaE9Wux1qsKhqeBi1mVt8Xrfv9XMDpjtmmfEME2++NlMzZjeI3uVYeFpzUwGi
7rqESyI4rGUDtO1/RYiXXloqTT4oEMG22r53x43uDk5+o7zekfv+a3DSXPqC8ZfbcudvEoBm/ch+
AfD5+o9Yu3nPfoQQNFhTW3k1F3exW8N7x1ZPAwCkCxeg0SUYd7jqojNqyMSuh6o/qgvRI7Q7pVUL
SE0r5jTaY5Z9LQfgXQ5OMEiCiORDmkIQ0YYoaaq57GoYJchvd5Yiy17Ww8cfZeZfsDDMQumKsrFn
CXjQWr0zBJs+3mXJTFrvxequz/fXP5rs9ITAEaGLOEwZBE6VN/neND1EfYLtGq/XJHiQ6679RzUh
evS5nYG9B5Iashs5qnqqk6uyaujKUOSZCQrxo9LzpuXRnI2NGOH1jOi9zr+1qu505Fseg+fR6WQ8
nTKjEGIJQZdRJzr00tQ37n+Tlipl5ybkTGrVGQYb8PdbO/yujP2eZPl7W7LtdUNYy5uWRyd2nVqj
DLtpNu4yAMq1BcaDfYNNDY2g+XdrAACbHlkuEyo5PDHPiGpjyLiBQAxDtw7RhgAtcJ/fRAfED526
1b3yghiS/zWE8Rwu6czlqjJMJF/WsJH5+BRiLUDORxk5aKiHmcqHmcrGYFYV/E/SRS27ViNsrHFI
Gmvsg4BFr2z+xa8WEoSoW5gm52S+y2orcczugwXboJGE9tX7ciFDjLFW1cS1NttG9rWyn6cAjBWP
Q9qCQwBjzhJhqyGJYhwWFC+oJIg9QlXpzcqoQKJF6KOmoltjeUNz4tF9qeyu2/yqay0kCSGJgOmC
J/ocLZonwjxGNnYpi0jrBvBHGyEiaQEFxUkPbXoFCVO3UbR2A14LtWydSnULAHBklhNomHZ8S7Kv
Ref2smVs2S8QAtQIyOe2nDfZm+LT0D6AZ3/9FFfvrMUpCgFqSu3Jz4ZZw/wt6J9sddMoDz6H43pZ
A8KCUjZ3LzEQEXOPTbmv5yEUCuI9WtquP7l98BHoodvJWlEyUYJzGX1NJ67Otoj6pDJ/ry/R+KVL
jkzWVpNJElxMS4q2N5tZUq9gTvkmUkJXbRxjALWMxMFms77I42ewcJsA2wR15vMko5rGtvLnCgmx
3hUgaAfGj5Y9NLJp7FXvWogRvYtGaRPMBcHJ/G7Y+DYnw5fMh6ya9kKE4Fyt1akcIBQwPes5bH+N
+uG6actUEFwH0POGFvg4KZrHDkkCj/Cd5v/6vwkR/GfUK6sHGhCEdIaXa5kLXhQt+PJ/EiLe7lld
xy3qBHiX4h6K6QZo8Y4ZyeDFJeclXud1h52TZq6WquZrqH+LQAw7SEYfftfrr1ivJTiKalpVmsya
mIBp2veZw+6/0Yf43npQ7wA08U4OjZe2ju41p9egdfLKqW5kYFGrzvrH7izhIVBZGAC25pxvUGyX
dW/Y4nbr4pREJ9WW8eCttaoh6j93tWYnWLwJlIiGiVlBWFB+90Hy5Le9N5W//OElCestiTWP92TT
2jbgZrItM7Kv101HeuJCvAj9IldxUyID3aondeujzrmlm/5X5sbg4DxMu+Lk39Sb/I1sH4MfzfHt
uvzV5GOhvxBH2lY10ml+Pgf9N718VbQJdGzGNlVVtDQNy8kTUI9eFzn/yWs2JsSVIuz83prznbZ0
KmxW2P6mg7MonSQSy/xFiC9A46qxrAw54Iq2Bi/r3xVdcjvLRAjRpa0nneD6h6naW3N4ytMf0iUD
KnEH8UIeNbMswMGEqs0JcIY79SlyMLD2gHy0nrzglu0AcV6+063/FL8b78Tp9/SOu7b3Oq//Z7KC
gERjseFV5ZYy8uD3x3tJ+YPdPOmR5N5ZF4HdjbmxjmeEYB9tqvUVmT1inLgTxvvEf6WyaY71Q/0j
Q7ANblB/UC3IiNLxNcrAdDTo2wTkV2VZfM112YjKqpdhNoUAoBtj8yJteVWzmmYa8g8TC0WVUTg2
33Z15FXlMYzBxioxy/ViEUYtdAxKY/1KXPjJjLzJhmxE0fepecOsNEwkOmHFjjnZg34nxX9Y9eiF
OOHWqP0psUcT6kXkqz4erQqg2G4mgx64RPWbH5YLMcLFAOSq3OoLaKXsrcdxQ26jo1Z46Xv5rXbU
Q7yLj8kDc/3N9XC1ao4LqcINwZIUPbccUlvthNFGMryHiiQTmsPERUTE/h4gx/C1LvBS+zqlRhag
v5FinZbs1WTTcEAHDV4T7HRzcKa/Bt2fT3IhUIj6NadKoinQKbVGejKQHQMEgKE1ScBid/345uMR
dPuNLoDXJtCx4HHnF6zqZ0qtqU3m8m4ASE9sNLu2LBpJ4rL6kRYKCTFjAlREPEwYQOR28jjloRsF
5k06SLafV+18IUWIGhQBogk4pBjpzgLlof6QkTsmW3y5hBgRvo5wZK0BUsTBnqcppwDUaG5KascI
76pyMxRvXeFa0Q3W6CL/pmuextjV2Nb+p8c7QA7ABmtgO1GEvO/1OASn0txxQytMG05s/GbIYvCq
1S9kCKepYQRHZ2h6zAWCUPOy7IfZfm+njep/Vvqmki3qr368hTjhVBslAO+2D5V0/QsbP1T6Ytg3
0krfirmDzAgMDAaYGDCLLRgioORZkc/frhkBC1P9CH2JDa5a+kKAcGq9HupRaUJADS6O7JhpPwMZ
XMfabYV6FFA05gsSEyeCy9pMCa0A4VwbC2DohO3RZpgzm3jMji3W5u4Coic7qjfZ/nqsWPtEGH+1
MJSIlQ/22zEWyTgd8oHZOYAVU+PJNB8x9jjQm0RWslk7QcAVAYkC/BXYnhQMoactCPFCbXYv6vkR
OQRs8pRc211XZsUSMFiJZWyYA+psYj+jQThUgOqSugTb7i4JfeKkZSXLQFcwr1VAT+uY4rRRbMUk
4vnHKmLK0yyrCjcft4N+3zOns7lTTZ3bYQ+L39oMS9q/rLp2AP/uqeyvm6NQEGV4Zs1FKnTPBfk+
Dk7pW0SljB776EOvHsPg8/pJXj7SzmRoF5tZJvOZUUNGY+uPlIJOBdMGA/mIWXKyY7rXIvQhgvFr
zBWHcvUw47xe/wkXLiH8AqFUpdqkNVILv6DAbqCNPLFp7uAYN0Y7eAwApGMkY1le/bAYZp4HOuYJ
fnHBt0q1hE+qXoC+MZiMncL6+gufQBOB9Y2+fQpZVz5WBLRZW3Ae8cbxmRkEJxXwHHu8GDpty1Od
HGPb6v+6wI/DwH4J5hcwBQIQfjHGpZbeYAQFq84ZuVHJB6nAijJg9zhm/wDAB1k28IFn/hWQCgiy
qKKVemgmczp55/evA5scAsS9NMEYDQAxXg1+w9kx615DQxJo1z75UvL874tg1OW0jsI6LdDtujWr
WzU/UPDbMu3ODF/VSRL5LjN2nCmAXDD4DxSHywG/WA+DbCRF4Za2ftIL+jR2L3ZXboKg2JZx67Ra
f0tIcrIU69io/te/N28s56N9bhKsRP92wIWuEW8ZxxAzusnUfhtZ6NBCw36ihWFf8qWO6E0bSAPX
7DJnieGsMeYzDWqAXQNUrOfnqwyjFvoBNB4S9jJQclRG1QMIQuImRnAy1N4ZE2CrlCD99j8zXYbw
dbnbAfnzvgqISpB2X+yTan6oml1r5G7RnCwQVTcHqwfQqTWCSmJv2RsLELL+NkViErsD2yayfOSy
Jzj/AGxrAft6nr4X8VZqO/IbjgVdtwcdd8adlgE6SPkVRtQxlH06HnT/FvNuf/+lcSlhcgv3O64N
wZ+mqA6qcA5kgImIT0lbZxjgastboJM8g+j5zoz9711it5L8/OJmh642FoR0E8D6BOHs/GOrWp2D
trotXL3SHJ3njmmM99HQO0QNJHMEswaCXWFPzETWiheHjfH8c1F+qdfgrSYF6ME/MBiyQ5rjgfDd
sdv6YKJHeP08174isE+B2w9RgLb6/WhduA5PfbS57AxZeV0//15dpBhyIclGtapd3zx0NnE77m8D
VQZStHKmZ5KFT6kUmHTqFUhu/Ifej902rx0lDbbYQfckSs4P+IszxR0PCiwbu4xi11AZJxAYZIgP
7aQd9Sh2cMOcgBDqAVZrk4C4OSvDbWE9TUZ4M/XGrvkHbs2ZVpgiPGHqEE4rRIt8iioa5lB2Ur61
7LZRGqdsn5pYNnG6EvVneEcV1MUoC1OxfQMWeL+BTyKdUvmxtroNZrFdo1I/lLzdgx4VEOCyGYcV
yPh5DBAXKnC8MLn5OxNYmJBemibKapCZRAdW7CN2VINdne51cMxb+3DyMvOdKafc3tL4FYOC81IY
M+9BE3P9M6/qDiY+THcCuQJbNOeewzV7CJURvyMG+3ay07UXk91a2KlKwhs7lc1ErJrvH2kieAr4
DKsorhD/c/RlW/JeNaE3DLpTykLeWkCgwPHCwQJoFs+Kc7X8lI4956BdRxLnlkqE3Sr+lKvlTagl
T4NdP14/xbVsFdUVbKyj3mdahhjXGzKQSNfVwlXt0cH7FlMJ24QTRy9vc1T1y40fPflgb7Qil0Qv
14XrK466lC1U4rDkq5I6o5ANUK3Jj09q2O6ui7h4PiHL1wH/hrLivGwsrnJhzLMMLR+TZ6libayY
u4yMyAKjw3Uxa/czZbic53F2LHWJy9OM62ARakeEt9oudlEQ6s6kZ8EjWCNsD3g06S7kxW1sGhCu
BV4z6rETBiMSw4C9oq/THroiGyUusmJL+LAE/4O+FdFeCENp2ejZaCIpL5KGGy6Sbf9khcmUezZN
q8Axay25YYoflxLBs+8JEVg3MEGOc2AEFDXC2roRJQDrVLEhXwcbWt/1RgU4FMM1MTCagnOh8VrZ
5vCaHZ+JFPwm4rndd8O8lI/uSVW+2jUBjFO20ZXkwdRqcC+0oYPMZnBSSnapbbu9TyUTHr8TA0Fv
+BH+wywR0bE/eO682YgkLeZwphpgUV0KshMsxVbss9PaG51krp/gwtO/25HhlKzegenWRetqH2UP
tWXsE9Y6flQ4sRHd+JaxC6kC3gZZvWTdVJlmAowJNQXgzJ3/SAAxxQE4jBHKOiz4x0eefAHLiKl5
KBe+xnp50KMvaqM51OhfaAbc0LjGtguVpHZrjgl3RNHfRkXgAisDDgC4vgmJT6QpIHPQQTtZsww0
W00teRqtS0JrAfzTJt6AgmWoZlOlfH6axjrdW2q4b7p0Y6SmJNKs3RDY6GQzKzTokcQIMBBNiVmN
pUArpAii+yj5jIpiq8sKkWuWPu8hMTy/UPGCuPPvl48RQwN/3pcDdx3QwjBWtmWkBlsRV7rXzhrN
d5Wr6j4LzfLUmI16soxavdHzEoifqh1IbpA1X0etHICFKL6ihCgcb9GWqjGBy8I1wncjfbD8X3Q4
RM1mSh/C7Nnofl6PtCvHjGX6P+KEOyNuI0qiWVzo31qAICg2U/2myxqHq4myPdeKgOMys3wLh4yt
UqqxedyjAZBzdPKLT678ou3GRDmW7gDRmsqC9SVK1lyQWoicNV8kVlHMi85M5k6iq3r1e+AoTz+S
ysErGlABoZM7D8fwp/LAXdOTkcauHOqZ6PkiWYgew7Ju7HnjJ86/VsRNaerU432vyWaaVy6kMzlC
lcLPfFI0HHIUmm6VSnETG0B7Q3PAXjImnWRscGsp4vJEhRSx18JoiHqcaNp+mWp0psrnPnoiilf4
hVPY2+uWqbK1hwfejWhWzZSVYBM9P8YJ8KdmriFJxEKSycEoOgz1rqkaq9kgBhnHuqWVtgkAmb4d
sdr7Rsqaos1pj9qxNbMOrfJSHbZGomEwh4/mGGz1aRwf6VgQsIFNmpY+IJxXu7LPdXMf+cnwPQGC
pwG+h0DbhFOAeyUATdVNUwGIyKN1iBXXyuiKcDOAhuGYkkIB0h/igJZTX3FBoKB+2i1p9rTpk9Ej
ma1EXhfGuek2g2/dMQCCMpDEWOWDFujkpaJq+gWw1RbBNpA14ZnakIC4eqT61AmLNj7wDNxpYMiy
E08FzCZ+g8XvwCytMSclSvBdrSOwelCjftYqtJi9kVf9hsct+YYiO4KnTiKj8NosCI0tCyt6DHrs
WDpt2bepmzU9C3dNpmSHEoFsAmlNqntJM5G9XdGeOG3K6eTYM7eUEw95hViPHuGxT0Kbu1UQW58F
JkjckZv2ryQo1UOm2dEOZa7Rs1M/NI7g8Cw87Ol0OLcCh+wETTzGHib9uUsS9LpcTvTsZ1WO/NaY
7KIBWUPs823k85A7mKxivzLbb7+DKWK03CRo6g/eqPlzgclP32HVaHktKDJ+pQzH+2QWZnCHsQ8S
A/w5LTSn16eT3oIGpasTdNpV5K15b1u7Lvfp4IZle8haHh8xRJof+FjRA2kH63s1lH3k0DzErl7d
wMKUetDyI2MAAr7NWWFtqNJFgVenPL/Bzp1/S2ip1PsxV83ASyhRbjMO23XGghZfaD36ueNjw013
63GqKq/H2HTxWA5xeGPUo6bPWP7V5ORDVc1jxkXDNgMIVLZx2Dd3CgMwkV4P0eRUFTbYHaoVVH0o
WZeXG96rPLhV2lo7DT1tNhpecT86e6x2tmHkYI2CZWSSRGP1vrRRCkQXBdEc/a5zr6zrFtaTYR0z
Jobr011Y3dL+axLdAUk0j/da8QujKaN2MiwZYPmaaDzLUaS0bFzY6Cefiy661q6aBKlWG7FT03V3
LPhMMB7CknJHIW7su21B+5sqi5wmBSOGXkiC0koIxBSCihafOe8eiA2XXCFTFiIZd7kCCAF3x068
1+GVxA0j2Qj/SnQHNQogdUxQbwPWXgh/KphUG7XFUh1wAgzjrgSpRtTsR//F1yLJR11TC9U5gl4D
BhAQbM8Pthx7hM0qKF2/0VGPrfTiqJKBp040VQxkViTi3hSoSe5M3Oj/GrEAtUjgJgPlzUaR8KIs
ifJzVwO9PHdTTABHabSxlfq2VcjBamRkRSs385ko4cZMlY5qigFR1VDtLZDoKPiWAFJ3A+3h+vW1
cqQ6NumBfIuxDrzchCPVhtGurbHP3bjLN37GSo8qxbMy9JvYzDZWqmyGoZCk5isFgDOZs/aLvMMM
YiPsYshMseSR1xpeIc/XtZp/tfAiW6aL4sKdX9qR3oxNjtEA39FBbpNgq9S3JIsXq2e3SEqF924e
xrybep67E7dxfytvUWLfRbkBQo50awb6rgv+euZhbkYQC8jnMEENJY7zo2u1sYmmHh6gY6O5IRw5
DaDfI9ka1Yr9aaZmg4Ab5Q00u0UxaKtYZVgiM1TbTc32mLRA8vZiyspea09n0CzgLQhvRo4oBqrR
GEqtDCLstcNfv1RDYqKxME45c9suVbBjZwT4FWGcjJNj9LpvOCPynW9+xwFlA67o5JQHqnkTNp29
DwMj3NhIjG5o3WsbVU87FGAbI/G9pO2LhyE1sLJK6y5MJHFp1aAXhiCEwIihxK3NhlCbKKf1Mao8
SahJygwrcXZp0+b8IxZeU6AYqfY2hOhti7mrvco/a/2RRR8G21z3npWvD7BUQL+RuahlGoI6POat
qRZ4bAFmDtdn62nR3sCstf92Xc6q/yzkCBrF2HNEhwQaabO/8OTDKglg1ONtktpfma8fyySRhLu1
Fx7sGgUqagP0GNjb56dod1HOCMcSfWmgRh3+D2lftls3zwT5RAK0U7qlpLN6j+PtRkjsRPtCatfT
T8mD/8s5tOYQyVwkCBLELZJNstldXTVTCHwF+fwG3laqxW9D4em5X5iaf3moKwfSmVlhQ2VNWeg8
hdnOGoK6eDSmaZvL+nCWbxdPPdUwAWVTwV6Fa/98bAClNlOvIkXQozoaGfFtFnWS+ZOZEI5ureII
AyKYKIoMezGM7/U2kVwPK3OFgw1k8EhMowz4pYeAqaTPF+oBR60fykb5EYX5pgjrf8hgnJoRUgpd
knO7dWAGhA11fgsmJARH1wunmRsY/TOoVS+7wNr+BbUYIDAowEGOSVidgqFmVVjIhUJI2K+q9jad
SdCO5kFvQ58U0+YfzDn4mcBhEZTFBHPpbDO70/DoDlHj0+Y8sJjt6zVHlT6+rmXo0LWtDITNf9YE
v2D9OCrQ+QLiS7mdh4bq+keTXbfWJgYuoJRdG2vJJ/Ar29aiMwZaZyH5ZGaJPseggfO4/cskgUu2
4/A7Tx/dIfRZ9zGCqvLvJ9NCXW8hyAHiTMQqm8aIam2UMVDejoFVhTWdc3OkHVQYpphA7t7ufl62
uLYJAKwB8guVaDxihOUr4rFyKwKymqqCwNZo30aRBRnhTEY2tuaVeNMZyF4ikQfh0fMzw5kmkmCv
lR44uPv52IScumMQc7zotH+YxJPygBiUGSHy53OOoJbwl0pVaZV8n+yY1uDwlVUJV455w0U9BoU0
xOuqLpYJEzVuEDJDTyme85EmOaoAw6RcOUnyK4vz64nEtY+ZLwO1RAMwIwP//bfrt1TbF4+BauQC
FDyf12oadWil4QPQvh2hAoGMZTgNP0OlkUmNft16iyVi4Q0GUAyQfOeWzJFB6c9k3HPN8LnM+x5C
NSjgtQbkn60MjyII/uLUliUuvzrOudnls07CkbSqq9DQYJZxQs0+SIgP0SUalyGNeslZ9vXWObcl
ZPRKzkHhrmAyk4aAchILWu/+Zbn+m0SRBq/m4M9IYcdLnBsblFTDcOSZZEsvZ+D59Xw2ChFf4nQq
+mRbzFhU/k446BdRMcCpctuyXnKDfj0fYQl9cOBXAjwAD9bztVHtJEb4BEYylh6GXPVr+4ql0M/T
vNEoqAFxu7aQLNGqO5yYFLxQjQeiIt7mntlDMa3SaKJ137KS+aqleG2Vby+v1+pcnpgTvC/peI/Q
FeZya6JQv7L7e9ZMSHA+/IMdABshX4brBiWB85kcAC7WpgkFOyfPr9049i2ITCsg3rdLGdfb6gye
mBKGVNiZ21t9ixOj8Urnhz2iljSC6wmvClsmW7luC49w3NnqglU5H1anO0NdlHBFy+gcJAB/kDg/
MF0HpgJbi5ujZHt9Vtu++L7+n0GRpNiCylXZI/HtAdO9V2vzYCfNsYnUfdm9tDG7hR4Fwm/7qtLw
GnBlOfqvlyn+j4GX7KIEsmCgzocLMbQqzBlWEU9KP2UGDeefoSWjFF71yRMrwgJWgDR0bQorg6sh
Qcqu1DjddGBuAdxeAlVbvd/A5mrCI6E48CUT5jT1wKMCtpQ20Psc6dyEplAfifyag5k+8scIGDaZ
aOHqPEIbCG8MXKlfblW9s1mRDwPOlSncjDZUDjQj9W2llcDjVs+vP3ZE2M0UKwNacnoOBIMLApK3
pgyGsqO9s01DUNPzd+g2Bpc3+rI4Xxz0xKQQUo6OXlqKAZM5FszFPs9oX3gNe0vRZKrakvWTWdPP
HRKtQAsqHxNpDlQPv0XKg+1ex+a3uAwiU0LKK5tM4TU/2KVtlips2T1D17c/lZsWNRT1qURheNT8
DNDwy3Mps7hc5yehQVajSqQhpPK0Kd20Vu+nLliMZs2PunwfjsX3PBlv7a7+uGx2NUo4WUIh5NIg
1N07FcxGHEUjlvuxKWUDXV04BHXIi+GdDaTW+dD0EglikkyIEyBU3T9x9tI2RyB7NH2XVpSXu8Lc
zHMOKuJ7R42prQKWeyTd3sBbBYpmlwe8uh1PPkaYZ54UTT/lGHBvPxTdFNTZUSVEYmR1Vk+MCLOK
RtfUGhhGnGUHg48Bm/4eqo/TmaAJZYE2QJpcsECwVHnbzzjLMIVa/9GYIcR5qMNkWfXV+ToxJIRF
mWmEdQp+XW8A90rVo/xmPGm25Oz6agQIIFU1Fsg2EjFilMehbJ0TdzlIzMFDAW5bgSi2crW/XpZz
M8IJopAkMjIDa49GpR4QTDUMpgSSZ5c97OuVdm5FcHcF/UFt32IwDtqQivSJ5wll4c/BkmTS1+0Q
jaCQjShB7OZyRrTw5TZiH7O1t31oHWa84KgxtNvB1mU991+PJwxKX568gCDBs4WjXncgAjGaI/c6
uEE8fTNSzyF+rJjUSkEWCyEAVXIgft1D5xaFxSpiw84idEh6lT3fgCmYtlI8zqrbOWjMRboH4BWR
9LQnY0X4hEEpBhr8y8F8zkwSbsPMlTEFf40dF0wlGgLQV4ODkAjBFJgG51GbTO6lWXXQ413fGjcm
6LLZqy6l7l7zC9QxTai9GmjCEDdT10Aj3ilshI1Ax7xs1G8j1e/Rf3K0fRfiV/7wEnndT8BXL7u9
seYip3aFBdOaJHMm2+IeoY/OIb+a74Bsuu0395qX4+86Wm47/DWJqEsfUQf3+mdQGQdQpwx40O7S
J+Cxqeq7XnUFWEMwPBsfl7/wKyWHg1U4mRlhZzpVBTZgY/nC23gbP9bPJIg9x3cDfMGxDga/pfPB
ofpDSQ/x1qC9JTmAvt6E5x+w+PzJJT+rDDwvIz4g0Q6cP2v2o5buzeJuMnBTSFK1K+HuuTHhikhU
PaqUGcaQnNfMa8MKIgWM7M6m55uw/sbDYK4lR9Kqm59MsHBZoEYPwfsErmflPTW6hCJbayM27MMd
kd2Aa3MJFTwVnazYvxCnOZ/LSHXCvlIItlRFR8WgoxvSCYwyc9T7HT8Wz5edZ+U1ZgKx/Mee4N5Q
+TPrlMBemX1vTUB0bor6Da8/z62ulYmO48bp0McouUzWNhWycg5wAiZ4ksWWvLEelTjLQ3jMeBum
eyVBqj0KtNilWb3T1e/OX5M3YY+YgAosOUCDoLnnfFrdpJkzKGTzRVdo4G+kehpDyT5c6YA8syEm
jpil13rLFdxcnH+by9nvOvQmJW9AgQNMp91ptYkG7txXnWHL7CjI5meiGpK9uII4Of8KwYHSPInx
GRjpwjNXWz9ZWN4XY7XRoPWa6E+oGOMpc6UoyZb3HZ3HXEKHsrZZTmZalFjIKs0q3BKzYPduwGqk
x83nWbuy0jsySipQa150ako4+CoQyDOCNLWnIu/IUc+IiG90H1D4Q7CdNTvS/8vhc2pROOkqy0hJ
M8NiNj2mbAvu/6gqoI1RA8/+vSFREKseV/8+53m+pMKRN3IEJPNidSTfK9Olpizmkk2kcMA5hWY1
TQ0DTTmjXAj1RWXoaVMmV71RBYYRPpWQZEMp/uHy6bN22J1OpxA/KE1Y15DOxGFnh6jvH82spaQl
Xh3/StN98vdZmWUekSMByQww2mJoObcsbYBBxKuw+I0ecCRjaOn6hfb98qjW4q9TM4KT6AxaUmTZ
Ae2c7sJmujZbM1B1JnldrAVEp2YEr7CSNlIbiHksfBQl4H8zMTYQwSGpvbs8nv/HkfJn3gT3MFg4
pZECSxza5mD6DKzk2Z59nWyNwZutzfKEt7w59sEyKAm/Vu8nE7UvwPZBAYpus/OD2xkbrZpNkJgO
uTX8KjJz3NrZnO7Lmjgd7Yqwf1Bqs3mee5P5Pe+qg2nVQ8DT4q953pYrRFvUpzRzkdxbnPkkyjFy
u0sIjxuv6E0/Th/rbPbwSjDNgMjK3p8lvfMU1Lkt4boKRwsUYw1GTXjnJ8MMmzA2p99ZZnvcfS2M
yccwj62VbZluv5Iawu9q4/XjcKX2vxWn2MD997n67moxyIjdrTEq2zQJHxhPj22DbihX3192kzW3
t7HC8JPlSSAWtWEkAtaibdC39lQmPEhUmxqRjG1m9Xo5WQXhzFdiAEEcwGo9Rf01lvuBb2rlWBUq
VWUvDpklYRu7qJSmcQFLjht5FQnK+rFSX9COHFS1DDW0egCfjErYyxHSZGAQhG+V+abl3xRglc0J
QKiaFlbiKd2zljxdXq3VOPrUnYVNjRgJkk42NrVFtqm1V7pABdVzCoAs9/vu3p2QxZIpMK+HSCfj
FA58l0FFsiWYU6O+Jx181jrmzXM+gyZWizYlbyH/hMTk/eRQ7h4yGRDi0we/7it7IWpD8v8LEoIZ
U0iaNmk8C3z0PPYGu6NmvJvTGxwmNX9zogak4A/aCFHlx8E92Ooz6WQ92F8p8j5Pkj9fIUy9mU1d
Pej4CnJ7a79OXrzlfrpv0GNFTa9FjEgHX91X3ntNY/ob5UF1k/nKJg9cf3697AarNzDAwf+bEGFB
NBCvcJxrDcgr7YzqwxtSJQk1oO7RqWxvmY0/dpZM+WX1xWqeWBWOUoD13LjRYJX7hJYbyKb9egNc
koYfMR6rJUa9PFptyiMv2sA3d6PsWb92WJ1+gXDAJjpo9PMYX5BBCYHBEYDDqWVsncbyeLrgbiIX
YoU0e5pbsKKiZyHodvoWghz7n9wvflrU+Ji8KKifQ4U6frIvD33Q0tEbXo2Hd/Dfbap97g1+5ss3
oWTwYtara1rD6ZfPqruMNNTK2eShsWvehVmseXNtTkhXx3p2p8UDADtkAKVS0yVxQ9Mi6X6ZWmqa
NAsn96dquilovTT3Wm0Lp6VR6ZoQ0RzDFuzVGbuCykrIaE+s5gHkXd1mitMm3gC74mK6iwxk10yd
iRfHLIyCwsnZIUqtdleQ3jhWhCH5yxTtflQ7+xuSHOiMBKeBCeW72nlGK0h4yHg0RbQawg59JECH
cmOYb0ri5tuUE2vrsDkJmKLodHC68qpIG+Ijh839qeDtd65YeHDabpQcQBHj3lYmJz+g4eqgGWKu
O9oQR0/9OS5Qc2prwp6NeMw2VkhUH40hLh0TxUT+uDFekzbr7ip4dOG7IxC5bYUO27kt4kcl7W2a
x4Vz1+b9RGgGpArSMVNogFbOsUpPbyf7XcWMHWMWlS3Sj50aoWxYqwZlbjyC2gM1bUvJyYDTmbWH
znX5kzP30yNIANmdM47xLXpwsoPTZ9oegDktyIde/Z0wvb9Hakh97Vvd3fdljJ8YOrzY1BPBgs+T
1u45Kl2HKDPVezUcIghx6aXzvVf79jpmk12DRFYtP8KZKBv0xnShFwE2sQN2rS5w3+bcPHTppNlU
j1u33CBPZqIFJgyBv9fDrIPoiDroE3VSXXuYxia6N0M9RuazzsObxrX1O2QBYgPq5U7xRvhCFVSl
UY1GCMIVh2aMuDvVLM07NczaQ1wYyrVrtzma4lUnDbgdTr/BtuN6SjYNMjasz3Tipa0r5EVMMEgY
mYo9ol8nDwg031L/LjuE/ntJk61+W+0T/3k4kv20iSnAyZdP5ZVOwCX+++9YdoUop4ibyu2XA9LZ
/uyQsdvF34CRn+9Lqr/OgROk94DkkityG95AUCWmMu7m1XgE1BkQIgS0HGRG57HulGMfm1GG0beV
SduJXdvm7ARhN/woUuc9490VKbFoVjXtLw99pTkZSpcnYaRwOY6tmw121WPoynsLZjByFePJ64QM
DWc9tQzKyTeb+2oa6PFbxEZqVURSkl1MiGt/+gnCpTgaMRTsY3wCYYWvxiDTMR8mc7zjnSyfsLxe
REtIgAHhCuD7V3B9wgxS1GMBzkSt2YRGk3mV4/7IoGq44UaP288G87uhIMGt5iwB6TxSclVVSlI2
a+M9/QphyknLK0dFBRFK7+wmVMatqeznYsvA6Hx5cVdD6pPhChPbA3WooEzZeB3UYakx5T+gBfTb
UpXXLnFoP8v20WqQC1peY0HeAT0svh6VPHOt0Uwbrx2OBi5VdN/BfTSAbdsIb0S/H8HIEPz9IC3I
pOngscUvsR0aHBCguJtgU+U/S4JQxnq2uUWd7tmSQZLWx7e0IaEJClhvMaMBPTt1EbJvFj3PaPSM
8Wjl19B+8h3g74i5SZifaJpkgGvhA/hzPulJADcRqz69m0R134LoE7cctbr0GLdJUCPPcXkeV80Y
UPU0QWBhoBp4fgZF3VSwPsRboZp3PMNFrVzr7e/LNpY3nLj/rBMbwhsPSQQDgFvYiEjNNhoHKwXL
Ihkl79r+OrWyjPQkcxBOk9ExDVb6gdMaHd1Dn0GB1udj5F0ez7pDGMhuAXuAGqqI4U3ssk4VBaZA
vxfMYFcccF8iDPJYU+0t1tq0RMIy5o5vottGcm2trZiNCXMNEwcaeB3Ox5lCdKa0ljpQpVw1430W
XpcyZcq1BTsxIfKKRF3JIMEKEwy8QqA38IdcBvBeu/twYvw3hcJpOGtuhpZkvMUzBa24k29MGTqe
je+pkr9pIQ6RHKQ/rayUur5yoFdbVHOXIqcweRYod1ht49io+S40aKZte3dj6tAn9Ox5hD4MJYWM
SWJtwYCScUFRiUve/nyonjim2U1KqeMp5rnGgwV/LCZqy4QCV218irwuvZpAQ5w7xVgwdEnXGFdu
R0emb/W+3tX1L4nfr12k1okVYSOnrcPzdoCVBISXGt4vVZU9sHC8bUzH00Leoxef+2Y/+AO3Hl1e
ymDma1fb6Qcs03AylSE4MLSqQMTWZtMLWtm8cU7ewQa5UztgrqWanKtHysl4BSe1Cq0f+hDjLeNt
C82J8blNnvpOlvldSw8A44e0K9JdKpjYhFEVcQE5PcSBc5d9zKrzUehTYJGMGk101ZvvPeM06YAa
64zkYKKv2Smgv1CyBop/dpxC6u+jdrTrJAFVYCsLWyQfJ8qYlMRukyjElA/oNE+Os7NFZ6xrNehT
S330Flx2sXU/JqgegtsFnTSCH+tu24TRMhUlKBfrEgQdEL40y1KS1V89few/ZgRHHk1tgGIuzKT9
c1vfdjOE6syNkzveVO3SGen9Jvj/G5jguVOrhSzuYVEtZq91opw6QIdX7Sg7WGUzKPgsCB1qU2uW
GSTfM+tmjAZap4bkDlqdP6Bglw4IgLTFO8gkWZ2Avr3xQuCTmux5SG8i8Dc04Y852eICpA2etZcn
cHUvglfWQT/QwrYllCjyuuvsUAcTRGJtHOaARRGEEtB31TaX7azOH2DLaKwHWBsX1PlmzBBYzlUG
Oxbg7bO5j5E27ZQsuGxl9SA7sSKsUuEgC5LOmEBm1VdlM+WbqFVeSQuyAl3v7it0bEssro3r9E4X
5q/QwkHJl7DBSlXKs8qPpmMc/7o8rNX7FQTaDjqolhyOGCqrkZYnigMreRa/4s9bjTs7TuogDWdw
ZBiAl92XOpIZeSxrcv/qIIDwGiBGQpQOyLlIi6AmIIp0qpR5o1M8O5Bf2+mJwwMy2NY9B9H29vJQ
v84nzIEzAGEzmql1R3hlxVGfOMxFh5qazmAOYhm6+TU9o2MLVbTLptZGhvyAjdcyaK9Q+jl3ySSP
ejdGV5GnGfU25mVQ9v1+TMiu7RrJwfg18tOA2wdUBMwLIJkQoaHdMJC+aWDKSZcE4biNSSPZyGsT
h+Y3PKVUUCB8IbIKY0WFxhe6OdIWzG191HyQGG8pfSZ/74wQzkArpkZQkNZ0UfucoTxR13wArAd5
HFPtjn0OvcE+3Ncq2aotv8l0dtCyGqgN5+Pykq1UVFH9VlGkA3cnlk7kDdD6qktjMjNPD6egDeeg
anMQ+vYbm/HrwY73LooghbIoHECsBxlbySx/PWBgH4Tc6KQBUxIoWs99hndlC+YflXllNIMCsUYK
xxj6mwj1mMBMFWQWSff3T9Yzm5ZAzwBaNDhlrzFkmn10mr+pKHaUuRSkuLYdCEb0yc6GSolQ10Da
OlegJbr0hrpbdRjfmWbtrJnv8Mrd/MMyOoBuAVhMdBTIxa3H3RxJSoN51aB7ZQlUCMrSUWn7YB7y
M0BmnY75Rf+UgZ6p76PtZfNfr1nNPbUujNQZCyOKGKw33UiCoqjArZEMm6E22VWcKBNUBIzbCeTG
3txqqsSDVs5yWNcMF+BWFxwYny5+EmyjXXsm7mDBheL0zrbSgQ583Lgh+6FN+iFFcr3LsqsudiN0
7xEJGnBtkdFQhnYbvHLRWy/4b+nwyeEuYRDmsK+HZnwA3/2DEqkveOi8Xp7ltQPpxNTnPJyMc5pq
vKhxmAMLXYPfYyqLW9QTYs/mpgwbY2LXnWdCMKXoR7fQoApGBFFBRZ9ax4gamEKfdWCw+nUwrffL
o/nM2Ig2XBscjFBesHXoB53v/AKM4fOU6dAEd/ZQllDZcZ4+umyX5wYtm5e4tY929H2q0RjyjWkf
qVt7LL9W6k0x70i5RUXcmoM62lr1ZpA9U7+uqg4iRXBEgiUS6A5RF6IZrciserCPaGAq1WYgSyJv
0t9T9+HyJKzaQfsg2jEXMndDmIPR7dFZhKZcr8pBBzaFYG/vaA6WanDF/IMlDAmHPbBOYBc/n+0Y
TbLhkOSLLhm08eYHEBdO4e1Y/Lhs5qvjgO1kAceCghlJT9GMO1rm4IQZil5DbntMaYEgCEMZQGJt
2rATELch8QgqK+G0azoFivIxGBr6esyPrloq1xXXwWIwxE/RNDR/nXvUwf9uWrijl3BR9FQtBK3a
HILbgpMQcVO3tTri2ZWMMXRt7hDHL3z6BjrvRWIG0LkZWV6CB2IkuyL80POXy2vz9YWMYYA6A2MB
whcPh3MXIFncT3YBKobC8pHtC5FAMuMj6Gtpau7NThLVrI/mj7Xl309OK00LEyPPYC0ZrGBWIYqQ
E//ygL5eOxgQ6L4WCBY6HsVdylxjiuYK2RW1M26U3Am06tUdH4j+pM+QILO6n0nIZHy5l41+ke02
crQfWS3QtIOya7pNbEF3DJyVxTaxE68DHByUCZeH+fXcB0oZjA/ITOPRoIpXjDPGqduPaBSrG0bd
eaPMqp+Zkit8BQwDIwBqgQMYxNjYV+frFY4Qp1sSqmicLny7GkGcrHiIydBhkT5Pqf3YV08oPPtZ
eK/q1vuk1scRKo6u4TPQg14e8QrG8Pxj9POPaYY4dMIl9nbde2XGMd9CSyTxM1yBtHWey646AlAQ
uLOC8vb1OE6SY2xlyk10xLkuLj+QHYkVV32EpElajQx03M4j3muRp3eoAGZNLovclqPq/BZEw5GK
ZhlkkvAaFRlLqlpLAByIkCWfzMTrlRYONKt3jETvlt3dZiwjErqoFbzN0kllgvx46asDZ9j55GrI
dzoDynxeeaW/zQvcJHh/TQGxSYLMizc80GkJeMr3gVr0XkYroq2cQtiwC8kS3lT4TTi7TUeJLX3o
gC6eaAOQ9k15N8MsGmSiaxCRPhk5xWvupnjcQVV18/d+BVZ2EJqAnRgnoXjfRoONLooK7AD6dX1l
UOfg7DPvuXqp9tlGVudZc2JUAkAzif2Ap51YshqNsDOTFvOsfEPKdOd6xXb0iv0cgLtll0ruKKk1
4byNcwKhpYX4gAX2ITooNL7NfWRa7dtX81jKnm0rQTc2xsngBCcCqIZp2kJKMN1zv+4poyMluQ/0
IJWSLy8Xk7BHzmwt4cDJVWJraElxO9gaDl3wczxm2+6FvaCPCg4y3spiv7WT8Myc4KHAXoLSchla
+9IF0w9y7Gl/qPAypzWNvrVb/v1eRri8AvE4n07hBVWiYD1oFWw698Uu9oH+84EEvHLpBrwcDJ1i
5mbcvsaBuim3T5JNsTq96EMEjTYeUF96LIfcVZqJw7b27n5kPzbhte4BernBxTofqr10OVeOPAuJ
jv/sCZ5qJZ2a1ctymtd4398O6JyD/ssL86LtHFH9Fmg/L792vHJ7eaArN/eZXcFl22FyC4XBbufV
GyelPx+sLdiG/nF84HtALztI7MQTDn2+dawtjb7NQd92v4prw499hRae6/Gg/5Hsf8SH7jjJyncr
WBn4ELpX/2dX8CG3NKCxnqLzl79kP5DSiGh4xX/yAOQuAZguv993ksBkWagv+3LJP9sq2j2hfXi+
L63WsKAzhgkdlPkKFPjHtmTB5TVbAU1iUCc2BGfpZyArSrC6gAXd9NyrJrjV9pN3+/AS+mCa8CFa
caPvr5Pvv0A69zr46FfZbONj4ps37uN3RzLgxUO+DNhF97aBhhELL+TzAQ+JlQC+pmOnVI/19JCX
20nmPStPm080MiIPXFPYkOcmZsvJWJgtiWlz9EdQD0KQCVJaUuakr3rEziJNoVvI1SL/ZokZVKVK
tSorTe4VsTcdkh0S+q9odL4H8VY10MYHSwkl/nzXqZJJXL06EGLieQ0UDgAdwj6MTdaBkgdNz+Om
d3b1HXrfvMC+VbaJKrnvVyfzxNLy7ycXB5QQEq0YYQkM2qYHlSt0+EhGs2oCpVckMB1ovYh7IOny
PkIzCkxAxQ8qgqGxY8nekUUuq2bAM4fnJ6gJURA8HwkvkajuJ3hepFzZ5YPOdnPiTeXu8m5bvYaQ
xsJuBljJxtY6N4OWarMJCXpb2/fRB9aXZlsSREApO1dxTucAwEt6M9BqF16TvS4JYdZ2F94dOjTW
kBL6wj3kQnZgZAQeiV6eu8l2dl3rbpLBlKzY+iD/2BEph4pZK1g3ws500Au/N7xap4qnbXFGPgxb
N5gtGisBRhmAhyv13CnQ/V5GhbICKcX+cz/lThYiOvGJ0ZVJrGUVHMe+bn44DxEeXVcJGsWnd7Lh
u/iHMVPjjQfRo7oDDeV7snFldAerPoUXB2irXdBPihqvWWQWejzhC4p5P4z3BNhsMMY6Url6mR3h
CAdwy5mqGHbCwtjEHcQ+if0dBPMlrSZJWWjtil+Swf8bknC0JBlaMp0FEDSBgdvWws1gAVsOfVld
AyeL/Z7zelNrkgfV5x4Xr4VTq8KuUdrSQOMErM595UOrwdV/TRro7vFerIC720NvATWMttXBybEH
zf3lTbtyCwOOD9QOeChxX4jpb46Yv0xLtGvaJPWKEDXtUPIcX1lA4J/ACaYhNbBovJ+fCijJOng3
oTmo1GI62egtfE3zb8nsXx7I2jwi/YXbfrkYwFcrrF6tR6CWWNpPipxqm/rW3Icb61r9aIM+ANfz
tS5rPF+7is4sCitH9Klz0djaeE2Q+/CSu+HObWiHOdxxGRZhbZ1ORyc8K3odWi7VYisB7iAj3oBk
4uUJXDlAz0YjBIB636DLIIKF2t1bTU6Vxi9ljAQrBUNU6k4WSQhQAFC2O76gxNStfR/7XZD6Sg5a
iW/TlnxcHs/68qBL3zLQqw+/EBwPuANwo1TANWnvWBWFQj4CF9FI+da+lvU+rT2gEdU5oG7SFhYY
sRI6JjarIwvoWX3r3qrBfAw3LuB3NP2R0nSLIOLy4Fbd4cSc4HrMqI0BAldAwvWG36S9pzmy/bSs
t3AunY1I8LgsNMvZ0AHeICBEuTe3MbTENmiO17aO37m0DYz75UlS0+oq+W09Xh7f2nPkzLrgjQD0
MHsuYb3zqiW1dPOz36heeOf46rfqAwSsvy4bXHlWntkTHFMZO3VkNSZ0cO+SPECLum7QNAtpaUhY
NNcsLaKpEHrXQfYlUoUb44jTHspF3lQceYuqOVKgH1Xit6EkHvuEeYoreGpJOBF1RWezsoCJ7OtU
ocPB3lrB7d2tClnG3UijbU4POnTSaRh0sobX1Y1+altw0JlzcDwtkjbVfU9B8u6Ft9m2D353hDLJ
ONcc9dSU4KgAWev5ENeNZ76VV/EttEqvlftGYkS2astHnDwG2q6IE15hPGiCpoNGiwKVTb9p/QGA
2suuuBbcEQBoUY1GJwUqOcKAWtLqiZaxZUDzBijQCLkqNMkF457vXiE2++Je64/xw3SEVsMh+5lN
ksNlLYd19gHCYGNWNtwd8AFOONCIv7DqxlbA5/luTT50PNvh3TTf5+YGlWNwBdFGfwLdp2QS1lf1
zyQIG5IXcze6YANCnifdT/f2Vjs62/Fo79WPYt9THsSbno5BuAFPEE02ZAsRt+1469InspehytZO
25MFsQXIByt4p04TvmV2W9rb92Yl6Zr5zOp82aoGmHrQ5AGuMltY8ownaC9UOWD9SEsghNkWtLuJ
EcNEMbKi5i7xu918p25le2f13rJPDAtLXSpoymhGGJ5zb96reOuqHkSvPLac8QmahreX13UtGjy1
JyyrolZlxgvYazV0UqJywUOqaxxP6+CyoeUHXZhREd3vKFPTZQ7WTEVDqgah6KOZHJYCOYrjlrkx
4vfL9lZvrJORiXVeQLzStK8wsrfo0DD6CzcIdu3sIej1VXB7ObJzQjZC/fxIqio0sUU2Rtilu7L2
uYm6z6awPE2hdfGbyMytxYen4xPCKcdSM8tqF0+BXrvqj/xn1EpIeFZDtlMby0Y8OWWtkRWdpcFG
eqV63a/wMT8qbym1b4x/KIsCd/3fhhMBsGhbbsxWw+S1UPEdnwrtJpcxqK8lyc5sCHdgbptt9H9n
bBPvY08/lH6xBY6ohUdk+2bD6bDTn82Hy474mc356vmflIcoxUK5XJhElkNbjmBo7jf7QI7Gs4vs
cUPveuRiTPT/194zTk4vR2pX3am+9voP6SaM+88HCKs4gBQ8AWsHAm+ohLGrDlRGxnZMJRt89VBG
CRBJa8AsIZN4PsymrYgyIxfojYD64ulCXVNyB60+KXEgI5WKLqQlkXxuInbHXO0cDMTeoi7mpR9g
F9BukjvFz4N8O+wj//LSrUdNJwaFmetSJw1jFwYtBBgQdKPPrzptvk27ajdIBrfuJie2hOiwYUjl
8RC2qgAsn3bQBegM9UZq7ltU7MGYUMT0Lrx7rx+ioEXxKrsyPCkxysoiov8BGHTUASBT/pltO9nw
WcbBoK1PDAxfCuSHCFnkrRvv8rSuhBKgh4OaLsQokIkQk2XA8c9t6pooETHuK/aWZy+A4s59Qevu
Ni4li7g2JCCyUJB3gMj9Ai9iOdgPeAz0m52r8ze7Zd8nLOnfZzsBYfpjRLi2u7YvqyoHcHBIOEXX
46G1TTxXZHRNKzMHtQmAioBUWeDFwm3N0lBLyx599hBWjzesJ+B2ztyalmV1y7jrPIQmY49Jzqzd
5SVbudsAaEMcBGAD0A2W4JxtH4edoxQg9VP3kRN07h1HBJhes+ytaeVMkCvR/Zk54SwxIwyfmDDH
J2wENcgUYPnBY581voaVvDy2FQdBO7wNPBhZgBuf0feJz0emW3fFUuGb2b4vMi/PZQiYlSDrzIIw
HJLnVh23YG3ltUa1MvOa9MEsrqtmlPj62rydDkUIW+MBx2aWwpCt3jdDRcuoDmZ2RPca1FP/D2nX
tSM5riy/SIC8eZUtX+17pl+EsfKUo+zX39BcnB0VWyhiz9mnBRqYqKSSSTJNBK9EybOK8fkKcqFj
uTCOd7NQX4s4GzGyUkeP1Ww9ioTKHNs27jvYYEvntfGnMsr4/lR0ajVh9NXprUdS7JvkJzeHvrV8
SL4iSoBvH61ZzPL1dTYWGMRBrbd8SDBf2+2GzC2m55473L21dmskZu3GMJbyuQLSFIRB8Xv26fH7
jLqF4WlP6nP0UAUqiCWD+46+FT3WoMwKhnII+rwMoGYKAnM7FR+M3lVBrxI/xT3nBbW1qf5iIQd3
e1SbHXhV4xJYdHxOhoPJKyVvvYnRI77cAtCcKlp/Hu3rXUuMOZQyBbv2WpqO6BXnIRhxlwPvn46z
ESxLtuXijl9z6gNbbrjGZW75UxSPyJkCN4kajDO8pyFYPwUOyNbFA9ahMo1eGBVcscynGiCWMSM/
hogRueHo5m3hRrrdim8y/UJzzxxPpHqcrd/3HWTbtn9Q2TdaAaV3uV1sM8ufVa69y43smS358r+h
ML2JQ5lbVTHANjw3g6zCJTwvD4rJm9rd8nYN6mHI16AjHQM5tx4YWqRvIxXGGOLvMt8NxRMm7Gxo
P88oiIvf79u09dq01mhMiJdjVaJZAjRMkOgfcTaAEGiUSf5zxIZ7oFKkORppy5Mx0mmPyaDWE4U8
AeNi3+7jtNAxu0xNj2Y8tYSt+ij68k1wukAuUENN+3YZkhKEX4UOYv85k72evnd4cnex7Kap5Q/1
DxlkR3XfOWOFQS+xP1NlUu2hRp6r+zqbD3nc7MFfd0Ct6KqJoVtZDefeu/Uqu/mBzIYamxKUnhZ+
oH4e/fRhCKIdpBkDlTrhTn0uQJ4VI1YFaAG+/8m2ItR6YZjHxBAbYPNMF7b27J2q54KXytnyv/W/
v+CvAlSppmqmqoiAMgKFgk5B2rtGfEjTh7C3rYJTK93aums0xtsh+y6kMsaRoNnyMTVLtvxNs97u
r9jWobXGYHxc78x5qCusmJD7afaiIGuTufL0dB9lK+mAuQYdVAmIe5gnYT5MBD3vschhyiy/DZHh
NPW+kaDkgDyiFujtQUUTQc1LdWzZtgZlvlZrKbUZavDCoX/Nsxctxxv5rPPeIpunFk4rsAlAVmRp
c791ChUdLMk0S4jrLjbe7F7bIDE8fC2vOoce5nCtwVafeMXKLecwcHlHGQyTeejtukVNjK4voEgO
46rMS2rU3dr+bSY6p5Ky5fFrGGYnm4UZilkN/4hpMJcu9jR4f0BPYkwgMIVEncK5Y2x7ysouxlOE
Rm8H8Y9DTtQZwSMDueQT3kenAnpFQykaUBWKryW0162651ymeGvKOIwch0qkiFjTUHxMuq9ZFzQj
h6tq6zq6Xk/GWQTZKGcxg7MkY/7Um7I9mSQAgdpLE/ce+oc4n2/zDFvjMfsbbQHUDHPgKc+ueoBW
7xfFcsPn1p+daY+qot9O7v29viwSkxqDsCf4bDDqiHFV9oxGOQxUhSEQ9Vz4NaXDd5KrHIitVP4N
BmNVOUtiZgnwShA1PpnO4PVHCWULYoNs8NQ7nSu6IsjeZE4Y2/QPBY90jKNjNJ1tTh+isC8GBbec
pDbfk7DYSaV+NmONZ97i45+X8C8Os+kkrTTrJgdOXCSvbf2adNZen3K3hZaGMr2PswBalu65TQYv
GiCUTRPHnPLX+99xy1hMICwTm7iyovvoNsAo4M2hg4VOMyhDDNklN15EkbOem99xjbFEn9V5quBx
1vYEGIbsjEeMUD8JTuLpezCUzI/dvj8Ufh6MX6WfIWdfbBoHKkYIcWjoY2ON6808MrMCVzttBpEb
WP/tsgV5bxhyckiftzuafTGkiDk7EQzOOmNghnp3LNYl2qUtu+2/i8M+LM+lPNqTSO3732tjMRcs
PJ/wuoACMzvZl83ZOMchsKIxhUL1z1nVj1T+hvw42HGh96YP4A0ywMmZ/aJ64hpTfwb7ijs36PJO
TV/IH8Yoe+H8qOVNeOvKtz+K2alqizWFsDVIrRTDAx2LJ6DLetpPiavoX+Z6Z4oXpeOAqluY5kKn
oIKl9NOYnthYU6nIyGEVpviYFfpznvIocT8fizBrBcGYpcSZME51Qx2ZKCCmcwYpEMH5W0X7STjE
ELy7v4yf3fUWjtmLbWdRIW4BpyQi2MjQapW3EGrgMb5seuvKKsZbB72Sxi7EwumZtItav0xRulCW
4TkMkOz/C5PAQAEGUjBoWWznUDT0cQo9COpIKORB4BqEQx5G0++DbNwmIDQt6qIJbSoZHWvMwukE
NFPga6ROI/2O0cWDNCCuuEnoCFpvF6kTgwxV3t0H3XI/iD9jC4IhUoJU1W1QM+YRDKkaPlZVYMq2
US7QeeOEr8W92F21hmAOCKEGQUkN8WdHSFJHwBxRirQg6Nur1/umbDnEGoe5jCV1hlWtgEPAIWW2
VzxxZ7S8x6VHeTLkPKhlVVdHQS2XUtaqgMpk4samXTUyWqmdhp7y5Md9q2TeF1q22wqrIZk+FSLF
8u26yaaybZ7pXvUsR75iZtIp3NzOHMmbg4N5jZ9eU+c1cnmH/FYEWS8tE0HQ7jB0IIOEZ3bEK6CS
OZf+gH4ATToKkSsIP+/bzFteZiNA5T2ZShNwGPp5EeQZ+UJMM5opLoJpBoqwJLiPt+mhS5cFmgOx
F1hSGwnpBkXoOuqotT8rp0o9m9G3mec0m4u4QmEClmUleYG5T+okRTCY/U4QNDsJjyPYuyvzIer8
+0ZtdHshnKzwmBQeqevKCHtYVYIm+Tc0xIoviis+Ku+gUI56u4oc4Q2dCDv5UvsUY1rR8/0fsHUO
IFQi+7VQbGKy+tZxe0UTxniCveCptjOoUiaqo7ecROXm7liBMJ4ZQdld+LOoITrmRPk9ASPefTOk
JT59il8LZQ/SAXi6sv3KcwZGkDHEOhLhWpcPJPraRIEx/kjUn01/1dODXp0jIcjEl/vAm+u3wl1M
X238EEwRWbxs/HaG8Gcb25qBi1HxdB9l8YJ71jFfSWh6yH+EQKnJRS1/qdNJRqYLxcOoIjYmlL1S
/9ccJ/DLlV3MJxvLqraQLoJftAcr/Zr056j9qvGO7I09vTTeggYD7cW40TKnAUSgxZnKQKlCwUkh
X5OjHJWZVzBfcy4HGzkVQKygmA8VZbk8GGRABgB9jc9Sb8+75DwHwll9aBq72IPs42h9lTi9MRvh
BJU2ZCaRoULJ6E+vwso9qlbolGhIqUOrsxmONnirZ6heqFKJvLYHrZr7frLhjTdwjJFUGcASnwGu
kk+F8CSlO0nguOLGMLd2g8H44qhXg1mLwGi0pwEqLNAy6M9d7vaEOGHiSf1vCu5q8yiaj01/1MhD
m1zbyO0Q2GLO6m6MtS+/BWrskGLBcDtbcJZaCMrPQwZ73eiiXDt82fKb6jxBtupEd/FT5xeCHe6y
E7nokD58bXmkrRuH4M0PYLYJCQVUQDL8gDH0w9GvYje2vvbWpYp50rtcW5nztqnFJE80QEFhuE53
ooZhT/Vn7P/KTj9SP30vJWhIRA+DTU6dnbxUwTde8wnPWOZsNM1yNGoLX74r3EF1oclkN4WXRB9K
+nbfj3lIzKmYG+VEiQ5bwfjTh8c6P0z5Uzs9hwnv4Fh2BBNZ1x+QbRKFeqqipg2QGvnUqB8049yr
N2p0mN1b9JBAumAudA+3B0SrVnKoquBgnsarFl4xajLmfq34MzlOowvjlCgGlyNPnPoP0xhjGGa7
sSkUEK2hJ5l5M8QR9NzyEfURiyrg9d1H4wg6wCClli0PXm6CdyhzIkvfFdUx6s9CfAQN26QddeUy
aF/04RHNYLY8QYkiCrLQTcvem1t7EI/Z7A+la8x4ACn2pO5TMzx24WQn5uj1reZQIjjt+NbHFcaf
vsldkBe6Y4BYGIrUU3M1qOiPEJfEuymS7YQXATc8B/zJ6H0BZ48KiinmREHCBB2Ws4Z7ACIgGlVL
65xlEKTyaoh+3HfSjdh+A8UE23JQZ5rLC1RySnS3BU8/skyJ4JqRq1ecyL4JhqFBFDzwH4b3bt0o
mocuLxSA5T10R4rZFwXdptIXYTiV3SWtqH/fuI2TeQH6B48JbF07gXZMAl4mvImYJVHkl6jV/bnz
7uPw7GKimgTKl6rVF7u00C7awjflH6UWKHMcQN9tb0I+/V8DQogM/L2omWN/sG1lghyboaxD0lRq
PDGq9sn8MdGzQOprInn/frIbuQgZg21ICiJ5zR7/BTFACRdZnSNroTNVr1OIzmLdHwjHOzbO/Rsc
xhUrSYnVFqyJDrGuY3bOpZek54TkjUB5A8E4oDIrVoLqV+fQUHVkyP7p/16hFYsFgk/kGRfpE5lx
BXlW9IjEWCw17t4p1FP7Kn4iKefOsGnHCoU5xHrJFPREBAp49WwFDahlubvvYZsfY4XARPxUiC0Z
3U1QcCt+VbWnTEh5IVv6P4GwA82qVioRNghK8lqGdpb9YEI4jEdFzVkrtjphQn7BUEtYInbaNe5l
F2N07n07tnLM66/+hwxidUNumqymGqheMNk+nxP9pE1QRijBVzcpbpVAsonmNokHPMZFcNgZXi0R
Z4wlN+4hPTGIQTg804xXo1w+EXN43vwo5hQhaEuiloDVLbpXs3yup0sUQafu2EdnKfMgjnd/ETaC
7Q3c8h1Wa5CGYk9SefHJZAh6SCELyXsuQ6+dUwrlfU9mD3e9ZbaVtezhLH3omvpYkJf7lvAQmGOj
rCPLHEUgDOqXkAQylTh+v5V/vVkrJkroST5jFgVrlWvii5mmqY1+A5AcW9PD2AuelZn+CJkw2j5Z
EU8UiQvOBI84mtG5D60xRxRfirCxY2zy7lpAEV4/jKkFUpQjgdbY/TXddEZkvXD0o/TwqfjQNqYe
qUIMAQNErJB4iZqi98YxRtBGftOfRPrrPt6WNyrKosyNlhoZnfS33miOaluNFvA6q/9dNOXLiFxY
JxFXVLgLKm9stDUWs6ADBfVAnSWYhD2hea2J0JNXfTPO4fOr/NT8KDl5qI0uIgwUr0xjQrMZqnkq
EcD1P8RL8mY8Z5fpV23Z1dFAHdRztf2b9sidD9ioWK1RWe7hypDzqM2BitepN/xGB7t2Bnl7Dtmu
ikfSxfl4GnPtN6WqFMkIrKlJXALG8Zk4Wfpk8rgDtw651Upqy4ddhaxYSzGvkgKnUFBJztVjPCTO
MPESRDwYJhB3UtwoBV1gNNExh0OK7Boveb8xMHLjFRoTfidzMqZuARHAP2cGzZf0hZwklxzLL+pz
qtsJJwxvnnnrxWPiMEhlxD5bPlJL3qJvhq1/UNB/CV4S9A5aU4Vf1VF+QQ+i9Zi/3d/bvPVk4jPi
Zt4kDZAV5cdgvslKa9fi630MrnlMAOmnTBLExTf0s4L+vA/JpsfkoBG3gyjIY/llPowPGdSLbTkw
ec9tTkDRmICCU1uPxxrYKI+jhUm6qg4mp3XMu0feV9EmgcFpqdvoh9HBpC5DaxG09Oi2ZT5mOBWJ
VVEJI68QLhzza5EfstTLFRdT+G6SPkM6j4S7rgvqyRXqS5oFnOVetvTtZWX5AaCVQUc66tPsi2Ye
58jKiYrJsaGxsx5tkZXmTCIUWmxQVUFGfYp1bw69ovI4yMaymvegmZ1TmpGZoG8ALJn6ET14tClA
5LPLhn2SnQXrWpSnpv5SKkFjvFma3csQsIOavPhLkr7peKNotjhmj9ZCnxKJnkK9ZDibdbiboY5l
VC/IksjCl6JsXKtK7RaMg7T5GGPRofQagdJYrXaKHKNOue9VzOUhfdGe2jlDoebDBEuoQFVnnHxJ
hmqKVxUQvzqUAvHqYU+EIEz3Opltio5LM9CnoOmfs/EcKlctInaURm5BfkbJMSrApohbRYFGtfkh
T69EdnXZRwdghWl8ck2LfTr5IsV9lbwV6DAPd6mxM623snpUKDIC5JhPj/lkG1Lmms3OqJ9N6heZ
Ylf9SdMPafSolycBPFLGu4W6/3zKmmOp5BjY2RvlU5EFpP0WDi+omxDr2eh3pW4bU5ApV4L9I/bg
aUp+tCp66a7D7PeG7CXgYS++iO3X0kgclERsXIoy/Rybjiq9kvRZKL8pU+tamBHHhYXqEKA1wbNW
q4dWcK3kh1xqjhp9FadLkV6FCvy2KKTIPWYBTB/u56Tla1iDq9if6W8KoQTrJIZXpLH69tXMvg/N
YMf1qQcFLyVHkHUTa3Sy3o9UrxVbaEzXJxpNgSZfc2WwxdIMzOwLaG78IvEKi1d32qiugXIMbZQY
IhNRFmL5PQotChst7lCjBK333tg3PgV7SWLnpxbTsLb4oJyN18aDhz1jSG7iXNy24DHKKamLEg3S
1OzOrHOt7BoZ8Okpd2VncDKHXBvQD9rvz/opcsnhBwpH763HGz/YGBNE1WGFzGxMvZx0o8Gh9qdL
KPTkQ23P71FtF7i6Ok+GZ5wrrz1Nu3hvuJWbBsJoi27k8k6Cjfhw8zOY2AgFzZJGA36GvDCCADp0
9QDBeAAdwiuxccK5ximzv1g/70emz7egW/OZY66voEQrGqiXjZEbFx+V7LVVZXcKz77l9zPx78Y+
5qQTs2KoDQ31q8IuLqqjHGMfAp4Yw+8D6oXHdtc5vJTSRiHr1jbmhCtisMpTE2tavNV2vCd+rYJX
AflH9xs9X/JAcwbOtZlnJXNrzpUGFOWLGxvWQdGCcLwowu7+B9s6RVcrifFF5j4JlmcdorLYKnr0
XdR2s0j20Iyz2+EbKk6ulY/f6CDbIDTPFg1jZ5Ig+ZD0j1nGe2F+LrRAvRBZ/2V8bNm1rF6d0YW5
XgiQvTY/osmu8SD3iS/04NGBtAYIjK8TyB2EfQpah9+gzP6oDsKJR+277M8bx1p+A8ZSwL9l4Xew
zQ5NXrVmqaTor8tPqvTb5DG1bxu5AmC8CCX0oYhoMmDySkdXW2nXagrZNPOJdGjH6SqIKqPfaGpy
O51UvLVjOxyRzR/iXVSlEPvRbFkPwUxeX4dq2GemYktD82xqPd40QsKLpH9ICG/WA42/f+MZCqm3
7mFZuVxZS5sELuiPVmwrPtmnbnYJ3e9ZMLrzE24aNkpfdutDRtYZfArl9IOW2s/3/fRTYMF3gRop
aKQXjmedvewNQjzlohziajs1vowh0xoHXmucufMNn/bc4gAL2TKmG3Cssvl+K5/zSoegCpKhYCrU
CVbVU2T/vjWfdx2DwsRJuVfmfETTr9MktomZJ9yZocAdkF34XO4Vh4x2iYIij/mYZxsTNQlGN4wI
2sKOUD7S9KXS/EFy7lv26eBhDGPcG1lkoRU7GCakorjPs7p4t7TUvEpFlen2WE7l2ejS/LfQpSMn
wbzlIuCPBxWProMvln2BZyn6l/o5H1CnDUSQAYqYT2mOsvLlvoWfcxl/TPyLw7zAZ1WGWAm64R0L
F25XGn09iA7yV8FyopP5TJ6qo3bO9prT8jpVP7+XF2RwYSFEKgvLOfP9ImO2BivJQOK8x9bbG6L9
jhkOTwnaferh+szjHOYCMl+zi+ouaToA6md6SpCyDyxHezQ+BhBkxwfzws0TfcrYMBYyJ56gTWQw
MJ4HCTww+5ROD7Ybu8EV2idOG/GuiZvO+nc9/2QdV7mUjuRlP4lAG13pagb9jzK3WzCQOsvDeQ70
a4sba+zQb/Cmace7UGzuRjzSoA6CxlaR7aGYJMiJy3MxoOMNLcf9bljSi5rOM3JzWyjgqcaIIURc
2OqOTk2jsrCsuAV3v7tAdHRPONWH6nv4YHgQdZsvxUPk04ETCLZ9Z3WaMycHptG6SDeBi4rfD/VR
cnM/dPPv8svsaE597b5ztuWy7W5OqsV1VnjL31cfUxPknMZxCSJdGS1GlNroD3aSoMUAyQBCITzL
OSv7+a6/IK6OcsZZ+wz00aK8hFN9r38M32a71P34udo9VeC0NH8U/jy46UE5jI6ku6Mzuc//ug3m
9idYzO1NEdSxyTWEW9DK1uKH0D2aCTSe3qGwxrF282K0cP4tqQ686JjYk/ZanaQt9sqMgheZq8s4
8tQTtyMr5lQkE3oVy3z17ScciYE36rL7wZmkgTTu0l187aiA2uUrtaMX7QA9ADRK+g3nON7cIitc
5tGWhk2mJBS4ViLv1Wo+oVTtROXkxTzaq+1V/GvhEhNWTtqnkzbTCEim9Z4kb2ri3d8FWxENrS7o
e0EHAW5JzKYz2iqOhqiGS0Za0CLzET5ApGcggUTyS8Hr+diyZo3GbLlCr+a4zYE2We9d5JeU1/jE
A2AcQjcSbZQWAN18VqWfkO+8v1yL07Ix4w+TOO646NZhRZYleVIUvW8Gpze+47Wh9G6b+Jhssbjq
8JuWLJzl/4/EKiaXI3h4jQxIiSL2EM+LkXbO0nMR/YzCzI9kBR2mOXVJb70PCQF1EKFvYo/JBs0s
L2Hecjz+c9suAgeoYqAOs+htorf71hGnSK2VnuD3ZL/BeWK5FJ1FrV2eLuhUQlaEipyn7NYWAzsj
BtBAv402GiZ8qImimjHEqZ0oBKOFcaqUApM2Xtm6//KLmpiiXWnoMjilEsr9uBCT6l3ol93XWgPr
o5jsSYc7Wprt76N92m4M2vL31XY2ZTXVO9A/On2NOfzXtDloQ/w4N4NblqmtmLxW/E/+yuAxJw4p
5j5NGuDl7egXhvJQ6a2tmrmX0PQyllxtqE9f7RaP9VqTyrlhJKDx7CXUE8aXpv1dGz9Hbmvr50z6
zVczmbCFudYkrQhwqCV/tFka201KhKMUDSe5KMCIClIPj5gjMlkVqETRufxboFXG8R2etUw4axOo
b0uLtY2AJ6aL8qHTYTh5NHhU2JufEaT4EAhcahd/rk4rt0Htt5BxJWuduAKxgY9UvFRlaFF+j3mk
tpsOukJawtIKaRAMi2DMByUK+Q15VzxWMNA2k8YG2aMdDbx0weYKLvIkaAleiD2Y400VhhzlvOU7
1kBKJCTzwfkyy2c95+XGeFDL31eWoXW0EivISzmVIT2b8vA11SaHDPq+0SzO1efTRX3ZBSurmJjS
pgIhMsUiqpH1qFo65Je676rJTZpv7oIVDhNNUjUi4R9mXhJ5yuySgThyXLkEvlHnL9R0Cvowm47G
oxnnLSUTVTIjHruywVLWiooRKqu086azMzSbDkTjtQFupFGX1cShswj2LP97++HqoqygqQs0LR1/
5RVYFeXoao7RnhYJWlcKqBK13e8U97/MAkExuo/itHXTOnQLPX9XMWF8P4YveDd3gD9f95/fwzYi
94KBvEgHPmSCF7SEQXRT7fHq0z2t9AXdzS2vaof/ItJAPBeqMyC1gCYd41FCmWvKSEAmSETov4jE
8NRycueqcXGkcOaWN3pnUINZgTFulfdCafYjmB+L+qj0R1F31OQ0FG5pvCbQXLfe46Ti2LdRgLnF
ZD5yUc/UgKQ3tox0IMm1oFjIyqXpMwpweueq5TkSd6jWto0d0vNk7qThENMnI/Ea/ZhE/75p7+bn
qMwzSRAmJVZy/JxWiz6GrP2py1lQjSGnG3SJpqwrQdUb2UNkr9F2zoQ/qYpKJSkBkxpdMOrkq2TO
j/e9devoWEMwYc+KFD3s5GVhlxy9emxx+M/Cg5S9heK3/w2KcVIdxQ6DStgYTSvZcfHYCrVfGUdN
QCqG95LYCrFrsxgfpW0cFhD7BDlvCSYISE2hmWtSOR0D2yAmeM90TQHjH2NQNlpm0grYdVkLfvA0
huBkeKwUwvlEW2cuhg7+gWFsaZK8DOu5BfMvOY/Niy60X1pyKXPq6+Jox6C455xPG6MOi3v/RWR2
26yoBHNBQOzI6MTlzvoF45TLVNmHRHDmyel64v8XziGjtxqinX/kIm6jOMU9lHYLEbYY0VMKQnzB
wHADvVjSC+VJAHzOliNEY6TgHzDmFlPlEYnARAI1j0rxxiGBNwpOXYHcpfL7CO+X3lOlt9J6rJud
2L11ks2VDt1e49VvYPZ2RJCwtxoYrOu2FX6M6lOc4UD2VAEnWOWFaAEx1WtrfL2/zlxcZsNXhhEb
QwvcZs7sPHfE/rFs7Fr2qxqanWCNrFDWhf68hJvBfejN7bKymNkupABnFZmAXHVeLvaHWR9Rkgvu
g2yGTIwhLsrC0NVhb/7CMIulEHUQAoHQbktROFJo9+U+xudU5B//+QvCXOwHq6GGNVIwLFvXsMIV
592ygkY4FeqlT4hTv1ty0NKLWf6gPMmyzWCwso95ZwsYuxd6C9AKJpE6DdTLyYsQK5XdIBFr7SrB
4A0gbd1ndEXWkKdDhcBQmGCgVSQVoxmIQvUygTHOso3ED6sBUuc11HZ2ZulxlvdT0n5Z3r+I7OkK
6qMcUytA7I2Ayp5ePkzZbIfQZyIxtRW8Nlq0zEAy+j7u5tKCtACNVxZmPVQmKsxNUcxJj/tgLr1V
Y2xbeY/KdLfvwq/K8NHW8+4+3ubCrvCYCFDHkpYOPZSnNGvGnMwYyIPoVaVsg532GtV6IGK6Oskl
9z4sz0wmABRjPyJlBFjZEt6E8Huf17ENHkC/VD6kvvAGueLkajav6DqGuHBMImMlse0zXawWFp2x
sok8+bI8vkpzdU6kKjDN+ZJKr4kEiu3B+pVNAqTNKRQ3LOEdNE7glQiDUh84Z81mjEC2ClO8yiLV
yHi0Cr6DLtXQezDXY5DL3dMY83Rol1j26eb2D8QnofG+wkNnjgGhdKjBXHApRrugCQY9HmnY8rXu
AS1vwNWzVeg0o7BGA0eXHjoJBpM7isJ9Nu9InHH2x+KP96CYqCebeZmIy1fs6Q4qHObwTiVesNl+
XKwWjolvRKezOFHYYxQRskSKPaBMl+WHJERHCfGo4cnLswoFtPu7ggvM7H4MAHdQfgVwL6LjJ4zs
GSR96q5H5/XSkKjvlPpSG5yrHW9JmRBg9mVmpgJA0Y1oCKodguqg7TmmbYJoyAotmSEDPLO3LqKQ
vBjN5buRzNyNCbiGwbINghrO8b7p8isYJq7Usj6ZqQ4YkO6g7+R7A/rVaOHqTf0wHDlgm26/AmPu
EpJFjRJk4Qv/JbGn/FL1qjNFqKvydO14QEs0Xe0vPZIa3L0BlJCHdAggu2obpjPxOsl534gJSVqF
+J+lcATRwLs6Kp5jcfKLun2+7+XbMFDAVmTw/kMs7daauirjop0RliQlsQdlQn70eURF/H9DYQIF
yaomQkodGrFU20lW/DLVSZASi/P82jzIoH37H2OYUNElRh51poUYi/ckxkxVjNRoyY7imVJH7sx7
FfHWjgkQZhMOalcCLiovsQxiBjSSJbw5Gp5NzF5FEiC29BFLVyDj5TayFWMQeS6+JbkJAVcxwyO9
Bs+gp+Qzjxpt+2WAowo0Njruen9yMCtXVzshpsMALUrIomnNERPCNNZspbxU5cGiLojSurqxo5Fn
8+Zx/Bf3D6XxCpdEcz2h9o3jWJLtHJPX4ci7gGzeKFcQjN9PULfIcwkQJknQu9/YlbHTEWjl1MnG
zJk6X5/8POLpxPIsYzaCQUglYswbNzzB2I9V9zY3Oee9s+mVK8uYTaDpSYd+bHw0qzw3BXGS8sWA
d97f0Js31RUI4/qg9ISe0wQ7kNq0VWHfIgo2smK3+GD6+ESzw8zrI+UtHbMR8kEsSCcDkoQhMov5
ISzJx32rNkP7yirmwNKVELUoEzEXhJo2aTDcUQadfk66hBMPt4HQb4jUhqaI7PU31eMhVBVIsKrG
8CAVaQRqQNPr0Z5Zmur7faM2T2Ho5fwHi/lUTd3mVLfgD4UGhkdvlBpXoa4SOyJoV+9DbXvFXyjm
E7U5CI9JBShJ6U5KNDmp+jQuo41iF33vm3yvRLM3VCGvc2Tb5f/iMt9NFbOxTzMsp4wY30GXT49e
o3HgpLk3I/FqIZkbhpJZAxgNYJ2pujR/qkCJJk0lprr8qrG8KPbvLybPR5h7xtz1nSUVMCqPvB5l
gr4KlPZD1Xl0kTwc5qIh5UMP0h+YJdcUQ054+tUJShPZc1emvKi7RNVPD4Z/lvCTKASBgkyYmMCy
4tdk2EPBVMkgE9g58xDaefYMQYNRfClVuru/lhtza0ggrICZcD8Keq7PGOt1khaCpenvNrQiH+PM
NsWFpM6EoKie+36yrd50B6jsVX3oowkTvNyxLffG06jWD2AB5NX97ruUJDLHAaGG2vY5vjFNXykY
lcxHWoIhPn/T9Y+s4TXqbW9PcCpJMupfKtv9rkhTVTU5zrwmFyEl6PTlaCdKaxNpP5JvU57YVsyJ
CJvOZYBc1ZCWNh6213nMQllOGgRtpG9sI/Za+rVVftU6pyyynX9b4Sy/Y3VjELopTdtleMCo9xXZ
F4nTCj/yZlf0j5MUSDLO2p9N91rnjxM0Mu871+ZHXGEzcUE1a5nqy5mu1Ltcxxx39gbpHbcz/S5y
xY7X9shbUiYu6FUrpRIFXFT8qpOLWjm1iZExjlGbp+3KKCYqtFaq55UClD6b95rW/ZQ6mXNbv28I
ylm33ywXU6siCSASqIDFiGuCYjfCQ17797/P5ulgLul9CbTKlsycSqbVyzQtIiSAx/IsqGD1L8Q3
vTGe7sNs35ZXOIwP0rjKulBBjFGGd5RIJMVL0fCFRl8t8kTonHU7jFXEaBPl4C4Xuk9BdYXL+J88
CW3bzcAFG77d9PUhnBUbj0c3RJM/CBW82PrWkvhHlUI1rjZs0rUnw5hizu/Y/Jyrn8H4pRLORBno
Esvy7lCp1bFFs1AxjrYszByozSvNCopxzsLSQFQHqTywlf3U4DhNisdd5bfDO/jDd/eXl2MWy8aS
tVlIlOVNGTV+FCcOsKzJEVXO1XMziCxZbkk0wD/MTgWp6qinxgAnradAbX+hA6QqCzcRXY2+NiKv
h23zJFihMd/K6oyMGiO+lTh8yM2r3h9l620IY1D3HknlT5RHhsoDZL5Y1oaCWpaLeSS1Ix1Unmep
ke2mvBSKp+mewksHbcavvxaybctaHGNyU4auPdL69oRMw5zSl/uesd2CsMJgLhVhizYSMsIoMRcf
rWQAazva/e2ykHtXysdLPaRXsPb+aJRhdv6PtO9aklxHsvyVtvuOHhAkKNbmzgNFqMzISC3qhZaq
qAWoya/fw9reLiaTG9x728bapqujKjwAuDscLs7RlOGhdIc90V3kD4NTUEi+VRRx6GSx7Fppoxhm
24OnLTQAmLnyS9mCi9DQhjk2hHFJn0PBxi6paKIF6OqTUS4uMb2CWhGPs3zHQoqujejgN9VWySMr
HxkZw3bfVcbfSQJNf8TMPyrIB6KUih8hZTctAR0jCpoJsKBW1roUY07FzNyhUiVETiKcPC6uQt+U
5eXQPqpEtYL4uQwfaLbjYi+G2/Nily+Zf9uvMZ7AJABxwSnHfQFdCOlwIKgTxbly5YlIrLi+NTnj
ZTCRA1LNMA81WC7StjvZzRyBplpJWcu6L7sjNO9qFGU+dc4zCabcDP1RWI6mPjTqYALBBRSXmE93
pO6GYmbt/O4t350GHsJo3kX5Zf4g9lqtcyMFhxaDflHrzawGhQu64Pz7zj+26c5AsyupwGfIV0xj
0U9MBI+fT/bTCwwSZ6j8W70mMCoNMKo1GrLFC2QiYRZ+xH7CETthKzsdSYVhk6uuHWm7TFkb3lq8
FYGWiml0w9C/Ie5qIPTqshaqkfq3XDhAuzYpwlDFCTC5ef68FrVwImq2a27HGpqmoyhxo2BcVy2p
mXjh5j+TMtu5xAOnmjE+60lwaaDCDOynOF1jAVu8mdAlS6HrsvqtodRv0XQklzgeSUJ1IrjsQysD
YIBcnozYCaPYFPLKVf99CAV3BkqNaE1EKyYImWaXYR43URJpEAlsiejIb/tr9b68YtfuBkw0zwXA
Copm7/1EFHd+P5eMeiJ3HsqwIkpD6VfWadjrIJpEB2Z4zbyLWrL78Oa8rF+UUvOodCpsdjkGwHht
EPnictwapucA/hyYttZgqtfJIdnmF8ZgPlEzfhAbz44qUwHLwsr7Yskepr+AfTVtVI3lQFWgPkO3
qcOLHiRU9b1e2Kr0en6ti5XCqaSZU+aJkbLWgyQWXsAl131ty/SCc7QoyLtC3QjApIq1/NACWvMX
NZJnRqjrjccagh3GVMVxQFx/R0MTDJiodvhP1YN7e1HJZmwF9qvreGvlbHlNmWbGyYYooE0Ij22Y
/sa9V6/Dp9LWnMBB2W3r4UBvQlu3FavY81thkx+Vqe635XMO7c6tcoc4CeycVrjfyS/Fht6Qi2Dt
YbTk2kGLhDFajFkjOTgLBGK1H6IwCXGHdVdugOG41WtryQ1OQ43ZuRcpEAxpj8sjdU2AG5okAWbh
Wsf7Ym5jKmV2zuP0nTKMVxQYyCkITbX4mCcYHv+Qa/ROxGRjSA6Qnga6bY0N76lzXruX7q+p+Nlb
geQdemsTiFcEOUSDdtFitlqKn8p+jXZibTtnfrFoaJamOlRK66+59NA3d5X78/xiVkTMnwVhHdep
5mExLBosFjDLlYfNEK/S/K0EocbM+w264fO6HTdN2RC8yHEX1/q+YKeGO630EUoXwPSmarL/z5Y3
c3mgpm0k6kOsx58L1M0a6Yazp/Mylg3/32+JeajGQQMCrhqcUtCica8RSHeQZ11vLwrO3kL9rtSD
3XmJy4b8W+LMAHojAr+ZC4mFOLoUUWCiFmthwKIMCTN6I+I8kDlmppyWeim1o5Gx2r/KjBbpEUPJ
6vfzK1ncOwlcHAB7ZDqfS6HoAGpjNkoRqt0TEHsd3bi3GZFtoZ48VOv+M3mznUu8oY/CFi4wEreF
csIcYNRfhvpL4t506hqR66JtTRY3fj4JpTUahBFVIaxvBjQh74uoNP010PVFbzQRMn4+ERJ5DUgQ
SghxW+GAqs2igYH3t35Co8eK2q0d1uz+AGJxyCIKURlanQ20rDjV8NZ3dzK7INVKbWlx75gEQCsN
hBnfUvNaVfZ57OIu10Ae1LcHSbcDsYZevByTTaTM1CFVWE7i8WmsH/1TsRt2qF7tkyOIRlhoonCb
mWBa26cWOSYbmpjxUXfWOCa/j7SPwe/kN8y0pKoVohQRTKB5P8kICh/R0/fxfM+4pdsAV7L4VrNA
N/mkO7UlHwaAzm+UNSTBtd2eKRFyo6D58rAPIHQC+3Rr8dvuotw2u/BNvPs3shPlDspgknPeGpcj
tsnaZxoVp6xXSwG5YWbqxMTg30W1Yx/uRy2bqC3RDTPFG6qkJ2DigQFvDZxl+eExkT9q/MR4QFYQ
RUYA+fzuaCSIEt3LNnRw9nQDiqLb+sK9ZVfuYHpv5xe+aLQTubOLPVTLnKspzjxszQApBOUIDD/g
6v5HUn5F6ZPVaRF6vzsZqwuKt9C94DHQUcEFI1aeb+OP/faw+b2YX6mMiRjGS1cOjXETvcSKfe1T
RphtSL5J5Z+DTxH5U+Rt1zpmF53RROrsZlfSAZyvPaTW+QdxFTuOdi5gZnv9XkXeMFib3v4OIvXV
TH8FpZNVenlikHrMn/YW8Ig1PN20Z/w/DAtqVxwIe0DcfAP23i25TLfVAwCm4hty2W/Pn+iKnf6a
2pj8iApo0fBY0BshwVZaaZOBwUpey5usSRk/n0jJAPLf+KPeCNBmu6oAJPpnXSt/5yqeHODM58RF
OrYpQAoN30vJKWtb+O88cnqkCMM1qOClfBry2ypnYHtGbmM+fJ9ILQk0GZMViN2PgfdhoCbDKLBZ
0AMcRj81zKwTJJw1Vu8zuobsuxBLIYNHAZIEwH+Jz2cPdSmU5VaMYx19uAlCfhs1w0onwcKZfREx
82Qs7EKajRNQtRptNFfa0Ti2M/CSnFfApZf9FzkzzyWnHhniGnLC+FL2H1rfNzv1pmR2JA6qD62n
zwSP3fNSF9wlhII6GAjdqvENES0VBvAyS0w7qHVgqcDjTMN6q2EMgOj+Cl7xmqiZW6m52gOoAaJ8
XXW6rgckXIvsk3HCXOn1+VUteDCsCl3EugqUNUS/X80swnBT43FsJYmtJHys0k3alKYLkM7kjetr
yEvLC/stbWZuhYcJvBgTa5YrHVXgn+Xh3vADM+Irl854Zc9ugy+rml3pGBuhWtxjVb2XbDsf91v+
06DlofOfGsxtnd/CtUXNtD7zM8HiDIsiwNONQX+jvVVueyrX1H7hivuyqJnWsxRQNQxthFbTB4Yt
gB9iukl1U2nts8faq7oHILjXK8NFrGKkfEX7F4VjaltTMBE/4qx91ZOGMZlKCYTzoAZJrt1176Tc
G0Drzcq7OP+5mmZe3NXfAufj2bknt3knIDCTtq14rSvbiJ4S8NWfP7ylcqFhTOTMcgIeN4RLSzya
Kxsm4DnBzrVr1epMxeTbV3Ls7fI0OInt3ZFLdcWRLfrLieyZnTcGcIG0bJSNsWQehxuNGftE/juj
91/WKH89vIFjXiitISd6VRz1wBxFd/ht7vSb9FYgL4np1C0yo/bK1q4d4exh47Uoe+r5KPYxc2Lf
JjvXUY7to/KZAPGwj9HPaxU/0SrNV5za4r7+GmRSkDzAnOrX9RoqprFdF4J1djSkynQFoGfW2Ki+
Q+nowBmeSJmdHmFVIEuj5oTFlpfAse6tRLPaAchjhY2RcAe4yyJEIja0jOb+/N4ubu1E9uxE00QD
FiGBbK9SLnpAr4Oi/BJBGXCy1N15UYu+dCJqdopJjBnjHBz16A5otyQZtqwP0dyuW5kam3AXD+fF
rZ3d+Pkk7utyN6/jFOIk4yWXbjIkcNs1Z7a2e+PnExk8NvrC78fdAwxnkN8k1c7TDvpaQ8ziUtA3
goYtCrg4bXYLlRUAyfWI4hYCKDmxi/zdX300L3TMo6zIQY3NgIQP9rmvSxFVkyc6Q1THqydJrw9t
CzCJdngZSHnkBnOaIX9Opfsoze7On9Ni4DARPLv1gjLFd46BQyBvSkNY2QBHUrlmi5EsNcydUOV/
vXL0ZamzKyjhetCr+hiq0JybHdM2yJl1bnMjCWIlCl3JR4x6/S2G+L3A+QXkp9T3mzFWCSuCUWjv
tekBT3d+E9dkzBxVik4TA7UQJKRxangZuCbt6VqpYlHbJwuZ+ak+rrhSlxBS17kdNJRbLtOdQZMQ
fmVrwdBSXQSnBG3XMZs7YlzOFLIUUs96bBsoM7NhG2TXofvilpeKB4AATM71T4zv6/A69/el/3J+
O5cfWBPhM8Nu2ypLgxrCldiJ+IXCjp76xMNd32GE/g44+RiE1JuV22YxNEIxC/iIoLv9hnk/gFC6
zAIITUnyBKasrR4GdsuYk3PFLEsVQyyhRROy+TuLncidLbYrfb1Tx7hzCC6HHiNOquoBqrt3uuxR
KxO0wT+maOLO9EcerbKIjZr5zTomwmd+py5jWRvG11AVNSZRjll6pfF39PvagXaotS1ge7xi564N
Yi7q8kTszOsQD9QbaIqCDwDCfKjfiFo1uSs2kvZ4fncXffdE0MzZAOylLSofgnzN3/d4TOok3SgY
dT4vZmU98+xYCOCDLuejmM5wTdF2T748mMQVplSvovqunNk8R+ZHipdHAsJC9lPKnU62XG/vYppK
AMO4bze03nQlqlNrbUtLGU40v3DOqaQB7UWZubksAfK5NoI9VADv9hoXw1yerYRkqwPjUy6yHQNh
h9cUe4WGANYA+Pug3cUYYIuNx17+zJN6f37blx3F5BfNfGJeJGToiwZvqfzG15y2OTUx2mb8A0ed
XpO3pFRMtQIe5Eow9aub47vd/N6KWeBWogGNpzq2YhAgTJe3lcpMgNydVIC+Z4nm5MQzpfCmSvpD
o48EsnTP/WQv0zs59g8Gd++F+tbqL+AHQEaMQU38Q6NFQBBm/rbKpM8yLhwPRGwik6jZlGjsBGyi
BdaE2/NbuBgWTnZwFhYy1Yh4z7GQuLluqr0XvgsMqCogtej6ldNadrC/92x2pRRu3hju+PYUDLNS
d6XbbWl+I1UnBW8KoplMuz+/tmXj/y1w5lm9gqLVroV25ArIXSJjV1LJUrvOOS9mVQvnTjRVMrlp
RrtITmj9ETpmVhPTo1Zb7EGim9S1jaJdK7XbFcGjln3VQo75UUD16dTQOHrwv17SuYHpM0YRAOfB
ZekGW1c5qNB4PF/q8C1CWqsLrSa97MAQVzem26441wWgCcgHEpwKfDKDavMmEKI2cimPL0NPVKZR
Ir+1ieiFEjDbFbqdANFPy66BlAIeDGsobzkqsbF/ov1fRzP6+jtm1wkjVVH7Ar/Dr4Z8g+QKOHrA
d2QraXFyszAwU6b1m/Ob/125IBPD0CMGHEfQMPMA7cAiL+IywjHjKlZ2nriP1kqK48/+dryoZo/g
Ojjiedt6M5SS3qGoBbCJHHVfNBZz9D/pSm5KPgMT0WXp92ul+qVloZMZ4AVMV0cmj68qRUbs6FbB
srr+SkXKPuk3Xvd5fuu+h8u4QSYyZnbZqYbHPE/Bg8q3dAK1CddSJWurmFlk0IvY7cbDSXyrQY6+
vxLx8/lFjD9yfjjTRcx0rkZmwCAEIrT0RDRQSrqO6l1W5V/OIX/dq1kA0+I8pNHMrE4c5e4ja5/c
5EaXVyrkyydisHGMVcHlPpOS9Grr9TFOpGatWXmb6G9wY+LI/y1AG9+/k6e6G4AskEYQkPd3RbFN
tEffvWONuxKHfb9isFsYpx8n4lDvnw/heRp6Eo1xt9zGkzH/CCzIwRxyl3+oYZ0+eZxEHxhmqe4H
N8SwfRlH7sorgi1u5TgAiFwBGlDnQOtDqDK9H7zKKjbZldi6e+8H90zwuyd7J37kVmqpVxfDh3yn
2e2zjoa90CouO7KyEQuYa9gJ0J4CAWi8H+bAXLKQB9XLgwpPKJsdOjv4ob7Um3wHsvDLCK3ejnEP
8J/zJrG89N8y2ddD1kmj+MLwq/E6Upt7tjYXv2jVkzXNXG5RkVAKXXy/L18W+U41Hoy12t6aiHGJ
Ez0FJWFLgHRdAbH8ivC9p0emsgYUu+g5DB2WC9QtJHxmxtbowYBOHshIBAaf0lc8Lzt04Jf6yg21
JIchVAfrDubzYBRf10KjuoOWR8Ata9R4qw9Rcxe7ut8CthjvTNP1eyjmeQ34Hk3iypAkGZkyCf+Z
M4LiSR/JVUHQtwrgZan+6anUDDOovQYkdKV7Oi9tSd9+0U2hqQzAJL9qApPDQpVFtHINp6J02TbR
VTx71mYnFheEKSaU1DRonj47K22goZyouIIl1tmp6vRgDS9AbSC/K9Xd+dX8Ovf5jQK6YmQeZJmD
wmp+XmUexnEJ8jV/b+yqZ3aU7Q6V+ef2KrJcTEq/6/t2M1yp5kN6VE/9dX96AZ/Xzthp4MaorDVc
uKXdnf6cmTULQPsNfo6fMx5i54KQp39cWfH3lywIfyYrnhl0kCUyQyd5ZckbfuUesy29rmxtp10l
h/qF2M0hPwLhFuSu/S65BBrVGrz2koVM5c+svWKlQD0M8hUgbMTxpR5cuRmxM7y0zq90ocgwrlQH
oB+yaeP5frXFMEYlumxBeAereSYIh6M+tdVOOQSqu40TdafUFbrEAuqI+BMpbZtm9Vrl+9dzYK5g
0CtFAjcHUPznOb2ea1Wvdi346O7UbeZI7wRNi2g+8a5QvO3BhWTHdrClex0Y472pPHvb4aC/03f/
Ud8E9vkdWeiB4XBMo10BowNTSbOzrwLNUwc/w45s+Sbbutt9YqmSqW2kK2GVmGN0FLu8lD+lvYfJ
nm24VR/W2OqXnP30J8yOvxtckD3zFA4yPCDHztS9XmzPL3NJw3RN0oBEgvFojMB8PfekVCRBs3GV
+Udd/DSATR0Md2rz86+LkWQVzhBuFyzIMzeVhkpLMwWekHm+VYt9QkGuFpmJsj8vZ2nH0HMCxlwD
IPEALfq6nE4TSV8OGsoU/g+9aUzdRZeUenNeyJLPnQqZOR7V14ioRiEKbq3gemjv4uYRT12zrsuV
+2rJx01FzZQw81wpHhSI0t1LFSNJaZ2sWP6483Obm0qY6ZjLOjUnDSS0ynMSAA/uhMeIlD+UMPnw
OVuD1V96Mo7MYmMPNLTum1V1ZYHZQgPpnOw+Be08AWxQ4X/4+bui/QjSFXVY3L6JtPniXCNukXRE
L02/E/EbyVdKRYubp+NRooNdhWrzqlgkR2DDaRBO8Oap8i5lehXlSOgZL5ryHKJ3rn0/r3mL6j2J
3WdeOm1on+hj7B42CmY/JQCfhk4ir6Ur1sSMTmMStxSAkEzaHGJivlcMjMOBFbJce8gvnc00+ptZ
0SBkj3hJWIFU4anJD9R4OL9XS55t+v0z0xkiKU8ahu+Xyl3e/GyBcGf02yZZq60teQOG/BJk4erS
5812oPQIAZ4NHQCsuNT6Jme7BldUW+LFvTu/pKVzmYqaqTPxU0xCCJxLLiN/PkTAcXoS+trNtyZl
/Hxy+qRRKy+sIEWnh0RqLPTDqGQNX3NZiMy5CkpRGY2KX4UMwPJSK2NcCjqg0WOqMKsCtt35/VpU
AfW3kFkKpPDQBen5EBJUMfA7AzB8owkMxLL+GljeoiQNwGd0rMGrc/ohlqOcEkp4ymjKOM14Crud
S51mbaJjoSMROQMkDmQkEDCuOm/M7aI+YAEKYoBCVizBtccQg8SKPIBwWS1NjDJZfcK3qI1v1JI8
n9/NJYOdyp5pn95XctaihwloZQOgpovrwZBW0jxL/lSGN4WLQxEHjGlftcLzBz+Fvoz9dB5cTp02
tlJ6DJlaAnpiGmAIo3Ajm+nFU6q09UolfkknkY6AwozB0DfOqkZjrjYEuC00dI7rXma1uX7p6tVK
BmZJV2SksBSZAVQRCKxfF1nHBAScHZ5sKvi74xgFqcyuPCs3/jr0DZTlt6A5u5LoM7C9jG9DmWK8
yZQKt7pLk7ylyKJhdnHF2JZ1cyJuFnuhBpT1SYZIQg06E/OhZhzSnd7hko81dDkDCL0yfFvrTnU+
rMVJS2EFMt2cG8h0G8h6f91TOZVcqQt05NWQ6FeM2zz3NzI46f2I2SOxG4CQzxvDktefJhJmAjWj
7pQqHb0+B5AFrXwPU3dBumOCXYcNyvNixfoWt1cDqQ1CdQW93fNke+xKg1BKJMzCqD64PNgnqm6G
Rb2pWQ/kNs9s+uvQT2zJ/zi/1CWzmAqeeVE0Wgik7yC4Gylgg11KhFl1+/NCloxCw/mBKw6R1Dey
UpobRaSquK2Jth3cLQ23uvrGh7VNHI9lHu2iY0TGDwadxTdEsqhuFaUGl4UledcqhkCznlpBFO8a
qdw3UbULeH+n5i8RwBEHL7UkIR1Y6q90DS+u1cDFh05oijbvmQMghDGCxnIwWVexhc7rMPPMpHAw
9nN+T5eMQvstZ57T7lJa6uieGoGyw1s5AO+elP8YXGo3zAMW1EcfrLVijr98vr3gVadUoQye4BuS
+pDEjdTl4HIL5NDGvZTsigxPsLBzr2U5O3Zt41ssI67FJLbG8bJkkhh2UJDZBhsRCkRffUCPqa6w
6PGUlflb2F43yecA5t1y07V/Y191GaQAmoYObwB4fhUUSB3xIoasjKo/5aBGDl/K4D3KX2r67t6e
P8KF0i2yEGDblMF2JiMKmi0qbNO6h4fBjqJcUDebHvXKdiP5J4lvdGmjMx8R1BNbexUupuencmeX
fRdFMqFNibyAsvnorBuyK4uN/uOWPOqFE5RO8bjiZRZPj2tACUR2AP83CwjVIUaljYEIXo8HS+eX
Cgh1pVcaPvh/HSIfWzqRNPNnMW8zPRglIcQyDWbm9LWNLMVdiWUWOtS+ypmpiddpcqePclLgJ99K
O6ACmelBvqlQbbHFtXAtfn9eW5Ycy2Rlv66QSeTutuG/9jBAMqJyT0X2lEXUNJI1rVw8rEmibnbV
D6WWNUrWIS+5VS1pJ91vMkuRTdCw//DuBivciusc7zpzeDm/wKWraJogZF8trxqhrDK9hVaWb16z
b7yjZ2zOi/h/5P1+JyFnFtfQWM4iAhnNBiTH7BHz+3a31/el7d5l91Jrp5ZsUZPb3mtsXWC2xPo7
L8rpKme2FwPhSSYxdndg7Doa6CZPBktFs86gXzei2P9a8H+9d//L+8yu/497Lv/nv/Hn9yxHwtBD
O9nXP/7PKf9M/3Edv75/lv89/sN//8XZ39t+Zlevyfe/9OXf4Mv/Jdx+rV6//MFJq6Dqb+rPor/9
LOu4+vX9+Jnj3/z//fAfn7++5b7PP//84z2r02r8Ni/I0j/+9dH+488/JFx8sOz/mkr418fjEv78
4ypDY90/jljzB5o1Xxf+7edrWf35B5P/SWUFCUVDH/09WIT++Ef7+esT+k8wgqvoLKEyQwOEAXnp
+K1//qGwf+ICAv8mR8u0QRGy/fGPEhnx8SP6z7FJFnN54GYHNR//4//+xC9n9fvs/oGk3nUWgODm
zz+0UcbkytVQn8PIBdARQMk8hhLzJxPtVcH8qosROGWNvqO9L12GPfsM8ivf659DtN2B37C3Bq7/
kMr82ffJXlVb9XUAa9029YsPTLKC4UmvryVRRcBp7fNoJyea2XP0CdfGC/I0bJNE6Dd1pRupL22Z
i2vkXp9zngNVIODtx4A41CwKsY/8wgx4vqFdCUayn7LcmUkely4InozgrgJLw2nwDzTal32U3EU+
j3IzCbkZDolFEAYZSh/dZgKoleOUnZ6A7SU8eR2GcqSuMiVQ0G56nQxHH6NJxyBJjdhUmsLyaYqp
1PQhzopHkQzHKoqOyMWgPtCrZpCSTaimVhIAWqzOUtnpNVBXd1mmnjj32VHDAAVNoz14djAx6e7r
In6oPNnYlshKBIHyLmNA33IL1NU84FwBbEB8GoanmeBOsBoAURKpyi8rAdQyLfvwA+lD6GSXg/HF
DGnypDXUSfRAuhdikDe1p+dmmyp3skQQTteAgUjABxt37VMhZDx8h3sR5Z+yT5pL1GHQtKO9DIl2
4EnnbeSQfaRdYgHIybe7ntykgXtBjby8bnit7HMFk2EBgLJIyZU7oofGoWDMrONhS6TirVQxDaO7
n4lEqC1cjOMMpTgOXm9KceLfI32vmrJSUkerOTOrQti8Y+mHlhTo+W1D7dZn8b1f3MbAkjLdGBW3
KhDdXdChHBUb5T1eLq/VCH6nhJsuI+hxKvAzE6kaNkYYJJY89u5zHZ2PJCiuyoJVJ+AiKnbTV802
SBrJcSU1t8scEJGs9nZ+EauOH0aOnFWapQu8O3KkJq2AxtK2awmePeiVRrpVEw6jRDdJmqUmFZin
71r/B8JbdH2SJjbzVrvmxHM6r9EviE50pxKpCapDxZHYACePGhssIFHsJAMae5Ynb4Gf7VtpKHcg
r9gBtfpK64dTrYOTRWLNthfcNb3a3bWhFwDyXrPCAO/sIgGmdQ06Vcqyt0xLgYCEuQmzGFLdapLC
xbIaV31hevmi+SQLTKVXbJBvl50pGy7mqzPtBl36T22MflVXUoBDVl/0rryFjtsFFQyI8eG9qsg9
jCMWiHJBsKllg2qjcUR5IT4J8UfF6QS5wxhug543UnfMNKKqsXOGIyAkuebZKfbdlyzG/KWRH/R0
Ew5PNR7Khu87aIDcS2HN7JJo/hX3h5syVvqdq0tIahU7QCCmllEP+z4NHGoAiKVIsk9SKDE3cSAO
COItRM4/PI0iH1rZEieJGQQvvAngobysN3EqhaWi1cYxuAzsLyaAE9/1OxV+Z8c5EPHlhGvbrMs9
OylFvJUb6S5GZbs2UOX1/V3aqRSIutpPZZCPBsu8qygcXnnvald+zg3Lza70yEOTYYyvVr3CVlpv
08EU3OYy8Ji8Q69r6oRJIt3WgyBmF6LPJM2U6LKMgENecNiX0Rl2BNSsTGkUs2nrd4E8DbArok1e
8K1qiAwMPTifLJF0/Lf8vWe+bKPdtjJj+tkUwaH2/WsfP2MX9VkG7OFXo/JTJ0gw+gf0vBNAYJGX
IBcuuh2qIDENozZ5VsBmvBSUZkTaEqP7gednbOpsAPmYrFc7kQuUYBkgb8NYRsQKxFs9HC7DVgBf
aKAgvhm0Q+eKZ7nDnN1APGsI+9sm6nGsEdmpwH8z8b8GF2nG8LzGu6iP0fcTR+RSjyu0AInWJoY2
/KAROVSy9qNPkouOesEVmCRCR+NJCyLw/kUKNADTdpdeTFD5Vrp3w6NmpGQbz5BAUjgciY88BI9z
zSoyvvOq8hodjwG0GV4+r5t76oJJTQxWrv7wcikFroDgR03dagN57nxNRpf6sBME44K0fNWFvq1E
c98BoU/vuyeSGY1DRffS180xDISt97GZBZ6wB58YR09DXjBWUnIgemUPQdiZXZOmdiXawOFpmr5n
jUTQa9p4sNf2NRhQkdSN4UYry94G1JVd8BMvlQ+pkasLV4CJKdPYe9l1YJb1HtGGFh5lzPL/COrG
sItM3Ra46wK/wcVX4l2LqXxLb3ugvOqaUEwwuNyEnfcqjPoCTFK7QK0YIFClvYbC1FZOyvY5jH1g
uBHPcFIF16GqipOC6zTr3mJe1XboJS9gFxSmpr2AQKTZKkGtbkb6l4o2hsVKzSY0uAJ92rVEyosg
U396uQBIsdpIZmqggh9CrQ1hBDYQMYDkkDfvedBzDKQZSLdQ/8HTKmkrVPW9L6tiY/BeuaO0Ezee
glu1lnqEB1Kle/uoEootuzl5AAt36dSpRJwsz7kd8pFYd1Q4Q/HzR6ToqmPpRvU1pwQYHEEirlQ3
KsCrFpIrLwn4PmtKeoPBTf+ny6r4slL79Botkal/4QPTbiuDzwnjZJ2fgM13UC6lshw2id/7Tzmo
wfeGyAdLDIP8ZpSuexnjOkFYERHgzHdQWqD2S0WLoUEtrZ88JHJfC0GUg4CPRQpErQ+l31HHoEN8
61GMUXoprdACD16sXcnC+DYaXHbSCQkOMQgBQpb2QMst+K4OqnxjBLTITdnPyp+GngF9qA5TS9Hd
6FVVws4WrOQHJUnKU5UU7GKQ+1diuNVHZEQeXE0i7o0a6A/wF/C+XXEIVfQ1ABa5vQGpou+A5sR9
r7sWMCwlCqh7Ae4zO6wEMCk5K9MjRUb3Qo6K0lG4oCcswT94MG6496KornkSiCMt1c5K43jD61eO
3n4CegyQcOBl4IjMPyXMr09hGkuJkweJAsShoihu2s4ghzKvBnCPM76VAFUFPiN0p18ZYS5MErno
mRoC70A8sJQjm2sUcPiBDigb5qPpNw7U5z7uciduqLHpUxZvlTqs31rOiIkAMttWXs/xlYxgSlfz
6QaFbUQISC2GZo1GePQd1IjuqjbiL5FgCb5YZnjGBmTYen4WXODfADk6u3K16MLVy43s2ipuNKN8
RcqJbusqeY+RzSO9areReqH14JnAz9inVVM9BABkjrHTXG9/hEl8AcJm3Ntxu2cASjvVdcJtrfIU
RGcA18v5r/3FPG9Cty6LmV0V9DLztQ4Tj/JByYDc2RbRpV6GSGdX2Y2WZfVFHg9YvB9eSGUC7pMo
hguLwR2jwoqsutPih95tHgECDWSjCNhH1eAnTp34OzlNvU2WGReZJ6UbkbPsRMDekyX6TleVhyrR
mGYpjbjp2taJwLRn+BctYMScwQVVMh+Hv9KUXimlr4IqMt8kenctBN7IxRH0ZIhDW9cWAYw4ANit
Vcoke+CEYgRAspT/zd21LDduJNtfwc4zEVdtAXyJm4kQKepNtSyy5bnedBRJNFkiCFB4iI+JG3E3
8xGznpUXs5vl7PpP7pfcUyBLZgIQSanSLUfLEQ5TlBOFrKysfJ50FheJTBACqZ1OvSkK9A/kHXDI
y41ZdTg/Hc6QAZSf75fLODh5eqyh6Ac5zsfDe9R730yWNdwAIbQi4htOZXY+r44njSeMxPppPkwm
rarz+aw8PmwdVUb3pWr4eF2bQYVipp6HDfcXf61XJn/F9X31UJ3OAS9cOXeOvjwCEOBjDYXrF/Mg
wmnA34oD/6jamPu4PwA5dxLOFydhNe4PH+3lZVLvzsfDa8Denk5K1ahVn0ez8/gAzvnn0enBdDQD
WByQjpalh8Y4+nle90dNCTPRi+oncPdunfnSPwEydmMSPH78fDS7rAHjoFF5/Czd+gz4KJ/rD+3H
WF078b09ejy4Lh2N235FLlvJDGNeH4btSvSpFOEM1OVT+zAeXwMV4bK0TNBMEGCehoOZJvXKwahZ
jy8Xj3A+aoF/4tv1S89e4OY8jBf2k+uhF8CezeeY+IGpaOXD5ZXtHTRgp02bM4TCWklc91thOAJ4
2wRIvvOKf1l+glmOW+1gWG08AoWyNUXuT0bhHHcFSBzMvcY8rNpN36/eRB4eX15+xJS3SaPmY5n1
+HRYKcufx/IBVaqLx4d1le2rAwqdOHTduC2m2ZCCQbRgI7CQCxesghrrYELqMHeDt/2RdshVVCJP
aM/4Qy76kFJKYx/bKHgCIZJkgABFufSh4qjmIIAxpT+IsnmBP1x/bTsfAM2NH+QQ0h98jWjHBofy
S88HXd72N9teYBWdUSGYOoIeJP7yWg5U7A8YVYO4C0LC6Q/ikJscOPyAikXULB6tWfCH48CRKQfK
1Q9Vp4zuKVUgsfHqDiJP6Hquouh3/bP/5u8hIc9HqTmS3iA9RNKNNuJ2O/9AH6E8gbXsKAFBVgN1
/+RPVVRvRXwlR+rzX0iQL5XwjS9VYHPjI/nbVTRz41t9PNJlrZ+15kd+pWRhLRV0BBP0L8+lG4qw
P1qkXyzWb7UKLTaFLwYkoqimZP+2jFzY8vmUbKN6BnXqe8IfaFLpGUN42pRw253LfqDppMHTKlIL
pmQ7AjFL6xZ8Cl0Ly7ba8jFxIcSadCoChwxP+gRIIndgdWIRuxGhroZ2m75HEwRC4VnHEzeUfbKt
DnoXkIN48QlYzF5b2xSh7PVcQViDAWklIBygE2kH/SIBfr4I8mJNL4HXf79ejtq9MuoCzA/w5vp/
tzPZEKMQAqmZmUo5dOqLrN135xbTMCEypyCrTKmeiaWAOIdyqmml61UT4kxJX4QZKVNd9MZEo1C4
nqaTrtVmYC7W+kiIKkxb07VeBuEgwwKHgQVXCWJFsV5eyoISA9lrtycQtaZ0GSTs4yTDgyqDpvwJ
9nJIlqoKIU03rCOSgbSOQ9GjWTrnEOlhY+IIe1CVrhLCplTXF5Jas9WayDB3L6muTNOH/IwkpNUQ
/liTUkIHh0F/VKr0bZbGf7sTl4gcmvPMqd4EFoTuh8jK2jAVDr12FoCs1Ul6A4kopeyTowjEHA61
3E38nnURqfUTlW9jcJtdUzD/pnt63EusdhIRiVxTZxDLv921Oq27+9bJ/1hKeNwQDMvKP9pm0FSP
rLZz5CCdXMbMxF2vtXl/t57N5KLfbngQ2o42sj+OyrCQSsiwlxw0lTg2UkbG7sTmundbI5t/rd+d
+y1LqIY63Ou9wHwfIrjDRQr6sDR3/M0fwY06/pK1t1EAlxXG9Svvaa4d+7ih+nHGjLdRqmhIN8rc
IulcJ6oNXrfSVhIGU1evamX+pYhGJkRXNS9FjkzqiWfU1+sWfIzsJtykDB/gIBmytqPKZoqcr5Jd
qucsrNet+aM6CXTFaIJNu6kBcqhQ5UppL4cJz29hFA2zFUbVKhocVFUn2gxU+yWAWvRWF1zb+7qR
kBmREcTqETAk0FDhlG0gx6E7aavRtO+DGgIZvn6Bw61mBqsiJExcSiufANzE8F5tNwqmQSwmdKtw
VVVQduVU0H2F3ptKVYFI0K1KfisO2/fd2mI4Ct2epqROXg1w3OofBCJRn1pTrV76a4Pdenb6rRs3
Hrlhzqwout12vV/RffRtYgFFu0Eu+fVluiVcl7uTNt/mj3EXPwdlvu2rgWlIbBBbSS9gW8jwOEx6
1JbcIrf7X6FymIg0otcQYS+hkc7cBb1xBPd+wjCRnkcXvk2P7ElXrVYMAmq6o57yRZWxJ93uyIUf
NhITQUhzOJJNsYDPVORzKCwz04U3M9JRyV2nr9+8k2Ai/Yx9pXpiTdeq6frWnTtNep7sa5pKQ1cZ
xAPx9WzYnsOlO0vEAFHvhBpzecvl9aw+R8BJbnIB2Ar6Y8G9tKc0X0KOM/uHYaXmdNsihHeiUgCa
VmrUVrbFt/dcMlBf4whpBkGcfqCI6Ce9nRu3qFWPA+sukyABAq857VWC5ErGcZRq0xv3SVINorpg
TA/O6inXSZ8aTxhGY067G2JHB2KQLr8b9GDoaqJqc4EVrj++fQe6CUbFpQ9oQi6DqEgZphhVPIy6
l34flNIHwiqzVloBbjXdmTID9xohzm80su4lOtELlTxiMeYM/NTZ+gQGQW4EvpAhOdcADzNfeRP+
TF9QkaoxqLiOoFaRU2PQbx2V7WzBCUYBB80IOejxYDrGMGHi0ddfPXey0CTVQQOqjv749oOWvkBb
4Ak0+IsGRwULxHO8VreA9adTpKH67p81WfUSwDTYnQze9AhacPZXKfmi33JH4Va5Xm11p6a44vUr
ixU2V7r+3zd/pV8pXTx5lv5G/3Kb2d9wPbmkx5FBwJsBZFvdhMQwVxB6pqLR8qyO8J5gm4eamBII
DhUC6yt2J4I6E/loX/JbnGBPm+M88AGIRS1+ROr1+t9+DG/A4FDAw9KkFCvsrWUGey75FmUpE0q2
vlNLF0nntwko2CmCu5b3tx64LeGGd6oOOvaQ0qXGGIPYHPs4PSHZXQYTJQ3q0rWqVnHTAw8FNZTJ
RBNSEs6R2scMMDA2Nd3O3XDpDoMn6ROWcBikWLzI1HwoqExjniTeEGVAZLkKhtGU7onrT0RIksQc
2dyLEGygtWhVBoFrRWp0CmGCwq0wZUJz6fZHGbIMvD2VuYI8NX3JdLWnIgzcIj9na4B7z1tgZXnp
Raqjp6pUTZd8JntI/mTKP+oMO3cGB9yPXGLu7r61VvHSbTbSmRsiskbJcvABRZp9Ynqpjm1T7qJP
Dl4FORX2IQPd88SHziFMsBWciel6L/o55WBzuCgXsfDoajmiGJdumBEwYP+bM+ESgdu2WFBnyua4
ga5F/JSRhjLDUbuW8SjJmiYAwjBnRccLnsQ4u2QGHl9L6HX4qyhmydR2qsEQpmJ8nczdSS9IwqGm
ldriHKH3duANwBNCt7LTGN+t1hAKFZla7gqDomgr3U4WyxHTfyHvifkO+lEGblQQzgTVFRxXMzA6
MlaPzZEkuAVsCEb70RLaOsMBuQtwy9GD5xwy6Ap1ot0sYYUqbnrmOqnWRFyZhv04vI7ONFMAjqIx
hgU/CTh04UBTSp0Zh4PFM3dALw+Hw0nqzGS8XFUb0CUzSNunsaqxJ+YPCk/0Y95+mNf1tFfSHw4C
6jbmK8KSV8dy7mFc9SF3wIElGsNBOaGxQKvklOu7w5AKNIdX03HDbE20Qjw3PYKocHWt4AuMF1IE
bFcwucac+h64Syquu3i7tFwFUfBEuF0HoGw1X4j2ekn5+nel/otcs1oZ2LglgERhxD0Kmkvl3Y97
v9CaqqP8HgNrQ3RoETOFwaM79oe487XcK+3O4CA1MC91hnDsJlk1Hsb06DZwJ5ND6zAYf8BfSPyB
1KtTLCgxkG2OBLk0OS4KXRui1JfK3jbRL000gRqDZ8rkE3cS9FFsgArI3c9jkMAm8OrCgDYB7a7K
3+0rYNBnENJyKI5883O/ZFq+XVyvw1Ga0RRT17p3wwGxN7YW0u4ZIjt5kPD6aG1NlcG2bQ0X01jL
nzpGHHnV1iNSXAH0nmedJTC+iE5RYIWm4t5CmUJIyXJYGa14JIMpVdccyX1VjXcmgNBGGHHEYLmc
iR49hAqD25S7Z6PMNbDbbth9svOCgLpV87U2v/47dq3BDxdPQabcA6MTzclfuf6CbFpBE0XyauP+
WvayVgFQAc1Xe42i9HhELhcYmQx0ZS/DBY5aozYACYYiQmpZr1DpH2Dl649vN7cR4wxiNW9zdRRS
uiyOE7L2M2J12BwFqghlZYgynOI2LtJ+Nu7GwttEFYnReiLAvmhmm+yaopyNDdkc11w7WCr9m630
5EgP3kiY+PrlU0njuDJSqvS+sDlqtlZq+ADYS5FIyKo5yn/vvv6a+DnUYwbD/A6eSaao/5DBjO24
i/7I9Tw32mQFZiDoj28X5nWPWK5f0OFIZnVU9IaGZh2OZFZHIaMI69oNMhEzhSRvalZ0EPfN9uJx
ID100O5BHUyOm78bUC/NKTFc0J2v/wysbjD5+mtaEXIbfv2X35e0DN8pMfAabeEy03aXAn6b7mFX
+MusgnY4kIQ+DXMHnCN/iDjBGPU21qmIiFmEqd3mAg1kJZmx6THg0ZxuC3EY1ZegKalLBTPW9Me3
66Rfcj5IOlHKVCh+kZOe6M2IueVwgHesdGj+fHMk4xoytLow5kh+C7215lw+7i1csnc1x0EI9hCY
+Gr0DRT1bn/q/eKwaeP5dxiILeyyx4DhXfv9fjuBeUP17zEk/mWI+AIQUeilzXDpHSOH2BPygRJm
UPTHIcBnqDHO4KABJ2fooREvGmkZTBU9AyPaC6EKLAlZjgWPkuymMdx2DUTyqb4sMawVAepeMKB7
xmFQdEJpXQPgiASFOGI3KCanuRcOCwUdAUPrSv2rc3y3KQ42h/d0gfpuNKFRJttqXpipRQHKWaoM
x+JSTKlqsDn6oa8W4XCxzKoz3PfmbFjlpa+CTKjbLjGweGVbFdBmONJXwAocj/IsYTjX14Jmh5Da
NuczJi6JIHdEKgxcRqUFUrUZWebwERAyHMgnGrfACE4OXnhikT3THEmhG3dKIxZ2jWHrbtGYhMre
ovIH+4iF/jhnqmC6ljmfbwFjLKfTXBfvVhyXPZOFaJsciinUhl5maljYDNLRHQmZrTZMJ2Wbavyu
eJB5TsNx0q/wdq+3KySih5rOysZi0ESqCVyZhVk153BopE/LnlvADo4y33vpxmi6I/zgUHUfgbUV
PFkXMUozptaPVgsZ4CBO1idz83F2xeFAEVg/8CrxRTSCN/+jpf9TFj20VuaoD+5MUWXhLYr0DWCm
OGyfthwMUOzWElG8ybQVrvHLllW0p25Yc60zkmPAV/ng2vN/rmAkNx8KEDqgWLEkjXCrCGxQKL3/
+99/RGP16SxcIAWIFZwjiw2EjyKmAqytWuLIYXYlKksOkCGlacEaZhWWODBKEJIfi7EW9+jHEymC
Bfwlaf2ESiVBoo+YwYgBKQwW7UkwHgRgYFeM4UZK2klbrylEN4bNuxKJDCVp17MP0VhcU9MUTBX/
rTjw5EEfnXAHUZRoekpLr5+xM0Kzu/YABdzDAsoMl8C1mMajjFmzYs3Oi+v9AktFiHimEb/Nt1FX
NTAINn/VWuMirEEEXvyKEQhegSN8l/GzIlBLjjYHeJtfAm9ccHdWUWYN2P96tYqi5aMjAHPuPDpF
O7xFJBj3fYXBaSrPUCq/aTY67eO9evTDoVoRDRJxGBwNOKiZ3j2OovpGKJY0u8KRQW3CbSJuDYdt
0Ay8IFudx2ESt/oAWqMAIhxTTE6BCtcfqdLKTJ0eR17sVHjjFxsKGIyJswTBaRI9xT2vL+e3O3kd
WJbwaoho2By96SrAAOSThV5iapkcMbjSt25IzZ3dSnW3pfMpTLKLdThOyD0KTpaYlEM2DiDnmisv
bdz7XQNFoMnf4aWwGgAE0HwxCcjmcJQDNQBIkMVSZQh9dZS6DQrR5Tii5s1AQfL96coF5JQ//HOR
V8lRvpoG59W8AuCHKUVc9ByO9ulmEGibDD7+yihRSoijh/pUPshNmhwR2VO0iKrpInr4Vdq2J/th
PlW0dY7UnuGM9V2IHuhFLhXFAVC1pp9mS9Rmq1a7Z8R+lQmkYzc4Lgbgg5HoHMfAmnMX7cBrCU3f
od0/QVu+p39HJAsoV1ooXtLru2+iK4QMeihj0pTSe5OjtK05ChFzBbBxgaNic6AT3bgzqyk8F8nN
TOKGo0H2RmbQZjkaV+6Fj44bak5wAEjeCARzyQ5ynFnF4F9clNJTrCb0qupHvV3sbmXcB/Bn4eWC
WQMMDxBTII2rVyjoaOEJiHnZymyG44hLKkKgqjhRxgE+uML0PXc9IFb/l3UcAbE2QiV4qmyAyauy
JBaCvc3EHxE7BSMgzDelG4xhmxJJdThMiS7St3S1HKn3bgJ8hsxiGSTzZ2yvXMESnyYxsiKar0r1
YiKF/vj2w5UzMh2O8HJT5UEVpLU+tHqhqZUDBNZaDROVKmiYP0RAmwMx5dPmcE7MAPWD0PqYIK0D
e7HQjKupUPohhlAdIQqGKSy7exjf0fEpmONi6vhsvo0Sn/eP7hYNkfm2b7kygVQ86nkasV7AdpC3
ANDa5Gxy1CncJVGmaMPhyGp1v/4HBfQLd/NIYkSQ/viSKtmUFx36/zbR36K5OHpb0r1ai++W+O7v
PfKliDkbyNDrs9X3YLL/5f8BAAD//w==</cx:binary>
              </cx:geoCache>
            </cx:geography>
          </cx:layoutPr>
        </cx:series>
      </cx:plotAreaRegion>
    </cx:plotArea>
    <cx:legend pos="r" align="min"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Map of English Counties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Map of English Counties</a:t>
          </a:r>
        </a:p>
      </cx:txPr>
    </cx:title>
    <cx:plotArea>
      <cx:plotAreaRegion>
        <cx:series layoutId="regionMap" uniqueId="{5D27F2B4-81BB-403A-85E2-6FF927785A91}">
          <cx:dataId val="0"/>
          <cx:layoutPr>
            <cx:geography cultureLanguage="en-US" cultureRegion="GB" attribution="Powered by Bing">
              <cx:geoCache provider="{E9337A44-BEBE-4D9F-B70C-5C5E7DAFC167}">
                <cx:binary>1HvZctxIsuWvyPR8oYpA7G1d/RBAbmQmKe6UXmAUSQGBwBqB/euvp1RVLVJVUtfMHZsZmtHEBBKI
xT3c/Zzj+ufj9I/H4vnBvZnKovL/eJx+fZt1XfOPX37xj9lz+eDflebR1b7+3L17rMtf6s+fzePz
L0/uYTRV+kuIMP3lMXtw3fP09l//hLelz/W+fnzoTF1d9M9uvnz2fdH5H9z701tvHuu+6o6Pp/Cm
X9/eVKZ7fnpzCoM+1eXbNw9Ppali4ztnHjv869tVlRYP1dPbN89VZ7r5em6ef3374ktv3/zyeqTv
ZvWmgIl3/RM8y8J3hMswxKF8+6aoq/S36wF+FzKOEScSff3Bvw969lDCg//BTL7M4+HpyT17Dyv5
8u83D76Y9jfXf7IlxtfR102L6uMKNvrLkn95aZR//fPVBdiEV1e+sdvrHfvZrZd2CX99q5+d9Zlx
z79v0p9YJvyzef5spK9+9afz+24S59Pn2j39Z9N4uVs/9BD8TnDEGaVUffkR3zmKJBTTkHy9rdTv
e/DVUb6Z1X+9ee3ff+nG4ddj9p33/PBtf+VRL66Dtb55ydufncD/N92tf7QQIrKH8v+EtXFIFZG/
WfNVWEDvBKWEYYV/tzZ9aW79cmr/Ayb/6RtfmPebQPLi+vGQvpza/5+mj2pXjQ9F8fuu/2Wg+Rsn
HL0jJBRUUvxHqP82FdB3ijIlBf/d5K9O+O9T+h+w9V+/6oUxf2Dk39/wf8m6f51j/oix8UP3sPqS
vr8J/j+++3v8f/XoX1cBkGu+htbdE+R4jCFm/1EWHF/y292vEfq7c/H60ecH3/36NkDvqOAcwrzk
iMgQSQQ1wfj85R5+hyk6egiTVHEE8ePtm6p2XfalxEASsxDBA4xzivjbN77uv9zC76hklCuJJYav
EPpHdfW+Lua0rv7Yl98+v6n68n1tqs7/+lYcx2++fu+4ThlirhhiIecS3kkwgtjUPD5cQqiEr+P/
Sp2vxqHuJ61qU0adDEScT9VeLEsW2V5+aHuxGq27wUtbaaTGvTf1XRqmq6msd/NMtDWtXppmO+CH
RbEzN+Ar4oKHDKetTirqtSecRs0ko6JV07rJJhw1jsYVLz/MQf/YkPR8KO3KFxxFeHYx5lXks0Av
UlzMQ6PHYEbaznhFRlzHIpdMpz1asQLePSRyN8nl3iym17ZPn0S5XIlRXTDT9Osc4+4sC4d1US1K
V9lN6/M1wR5pU03hbiiXObJJ2UXNzOLWmtOQd5dN0Ia6nNL3dYtvRsVWqOmuaZlfeZrfhsFw8LR7
rvJKzxletJjL52UpTrxBVwjxTRjO/apq0rMWN/e5yvVU2I2iau0GugFfOPfpuK+ncjWk2Q0y+WYi
PMoytjWmevKDWPV5nUYiGzZBHd5X6LblFoq7wYaaZXW77dv8gXm4xObhqR/qZ59Oq7TL7wgKr8AL
cdzTctJTOqxbEZ6FlbwqMneyVPOK+MXHtUiiHPMhGpt01Mlo4rytmtVYeatNZw82PTFpuDOJ0WHj
t13gt5NhJ1N1Deltrcpw0qh8nKaq17TNKt3wfg2oIW5FsocwnERz7S8kD7Yu5Bc1Da7qsJo3rF1q
zdGCtE+TB5MlmjRWiyK7bXNy7WVyK3gZq0VFVW9WvSFXUx3u0oLHwRzctOm87jO0lxOKwoyFukKN
7oZkrQp6naBOrcwyOG0LlsSZoX7dUr/3rChhtbCMwt+A98VyDrPVOBiiCXZaLeEUd4khcS1dHtM2
uA47djKg6aPI51b3CTw+9k0aLcu4LUkVL6m5sEkmda9YtS/6oYiWIDyExnDdTxat2nZ8P4vFxnQM
owXTjU19FyGh9qOMJyaoTmYWRn7pQt24Yu+z8HTss+l4Nj5Ny3g3isbpEIYDP1lVrBpilFG3hgN8
0bDnxo9l7LOKx3M25XHSdSepwWfNSJt1XZTvjZTTLqVLHy0DP0mlif1UX1SV+eAClG/Z6Fd9we5c
g9qoXtJ+vSi7ylC7FqVvdcuaKQ6Z35GcaqLsp8WQ+87OVucNuh341Olm8FWM66pdETv4NWrmBzfY
RHeObRmid0Nlr2zeXIQiyHWTBE53yj4vONkmNpGXeWGux0pOKyT6JaLYhVqqSp1YvHCNBgHRpn5A
k79sM9xFcvD1bpD4fVfS1VQAwBlZ7XdTQj/DKlaBncN1IKfj76RzZ8YoEGg1ddMhDKpDkA0Xc1M9
VYW/nAt5Y+lwhfGw7nP+jERylruu1ZNLNn424tyM06a3Y6oXXkc2m4NNifuN6/pOV2bQNiSRnZIg
Mm32KVXu0jal14hJ9NHiqo6ML64rr5Y1a+cxQg3FUR5kVdQkrrgSXS/XVZbkER/bs9q7A8n6s8ou
5UWYYPBObC/DFqcr2szaT+LOYM6jVFEd8OJQh+zMJOAzk3jKWbcpZqGpmXNNm77Sg6h0m13WENvg
nFOtWnZBwuI0RfmZYwl4GRqeUMr3MguCqM+c0NmUrFLDrma/PNfGjnoo8N60/LIV5V2bZgfa1lFq
kzUd5m0QpIXOl35jGHuuifuAu85HTS3yqFZWrlgndulsILjjetXC+3VbZLXOpcyjIhhjj6zu7fyQ
tVXEO/kkR7SuSXCFS2o2EAiy9eDqYxwVn5QJpkhWQx+HXZpprJqYsIRrnmcoSjCJeeZv6g7d4old
dAtfVpWsD5UsPtosWYcdt+tqCE6MyPbhCC+oCqtrRHnUm/wOF8ujzcJVv/B01UzBwVGzozmPhrCO
5248SeYyj+c8W3QQzGdz/pEPyzZnbUwXeYNVsaJZUsRtvlySNPPaWkg2qiSrsqvus/Y6z0SEZhJn
pNqaYvC55uLD0Jg0ct6unAtj77p5r2xYQDQq4gZ3IgqT/tbbbDsicxhslaxJidPIl0o7DtGi/lDN
aIoHlGGdpSnTeT5sUSHvsan2HN3MQt0saXEYy3xVMgGncPRnKVenJmU2ComLpGBnZUbXmONzW9DT
ri/vS0mKXW9q3ZYo036o9hUPTtN6iXNiV4R0XAc5RIZlXgWzslo1uI16dNuN3TpRwbpz6aSHQWhG
54PH/EQYPOmkp6ultBd2ztPIFOWsp5Almon2XhTpTUiHiyVTcWXb86XB68Spm1aGsGei2c64uuEj
RE8oAUjkRJLBPg9jbGqRrq0hKEYOpmDKM6CSutVovIpECNXBLNg2IO19jfOzUnap7pi9zvu4UiLO
xtpFjGdXXcseStrFqGaffG+COC0LqQO5xE3ehauRkxtR9J/GgN7J2bqILOwEQsudL/rzdiouHJ98
5Pg4xVOFdjmZSdQtcxAXdX2StGoL7vBg7HKalHiDZPNpYKHdmOATzQauh7HQY9vcjTjtdD6X2jZQ
sYjWbibVn7XGXA6T2oc8I+AMEGMgSFQriDOP3lcnDLcbyFGFnuvsntTmQxrgUZeWr4RKTzOSXGcW
ahMXprGoxgsztZnmtHvvAvsxYLPX7Si3JC/uVVg/1dWocQAujJP+CiJYve6wPZTKZ5rVxcHLHqo6
ETVp/lgLdFZ1yRwFqMZRF9BlXY10h6dqXguWLnpEmYmZ8brq8hPFIR4xu3c2GNbIZqclHVa2D7e+
Eh/cguJwzGOcNrAul+yFVGemRau68Z9QY2vdExoVHNKvlUuq81K2q14Gd6ELtmnAnKbF8NRaeTfL
+rxDKtUl50+tKrwm/okqeaGkX6eFCzTh88OY1Z+FzCUc/jw7IYV8T8hylzX0AWLXHC8h1Jiz+OiX
/CRrujs+cqg4hn0+FqluWxHoxE2ntUrOqWxPaVEZKBJMuZ25ehzT+UNSB/djG2ZbsoxG+1ZeddMy
rXOlSVA+yCEoIijYOQRdQ1aStMtGyYSvvJUlrKqGmGTLK1LnZ10gIM0PPYSppZVVJEbLNQ3IZzQH
i26HdNfyGao3cVPwuY+JSUqN87HRpOaJbsJx1bPerRBub7nzdzlP4xJizbLU1zKln6ahwjqwNeRg
XpZx2YR8Y2RdxUXZ777l217Aice6mZ1Js9/42j8+/uvwOwn8hSv89/Uj4/vvT+fNc/XmffHw+Oxf
f+8I//74ImCX3+DgEXK9+PAd/vsLhPeS/vuP4d+36A+jUKAfwb9XTO4RSf32zFfcd+T/5JHvoQD/
CJYE8NtvqI+/o1gqClhAhAqHQBL8G/Wxd0cP4ZIopo6IELDYb6iPqneSUwCSIRDPIWf8N7IPOPUX
Zvr35xeo7wXmAzZKAtoE1CUkEwJ4CvIS84Uj1GEpRUzPPI9aqJ1MoqKkO0sxjrj/Sh6D1f58MPaT
wV4BTG/VyJrmOFgHB1BOd8aYXd6k778xwJ8gWfwSyP6+KKUwZQyHih/vfwNkecPcnPULZEp1mEuo
jfdz9tkmOErG24FcmmbboFOVfT0Cf7k6DDTBS/zMKJJgax5yAUkrfDWsSGw5s55zXTK7HnISV4OM
oL4zmgFkLQGsqrFZe3vfYKjW5iF2xXz48dLBmV5OgTOClaCIMEAT+Oi6367cY5K2QYelhuB3ggrz
YajH9WDq0wWKsB8PBbTVd0OFioDKIQQjVLwyphtIE/BOYCjd61MyZlGK1XVePeDyaRK3hADKS9VP
HOj7LeaCyOO5CBkKGSPAzHy7Pj6Uned1SPXSBXifKK5ik3fdtgJseUJM8JS6OdQoVXU8BujgRsE1
O5IOCVLZ+Y834Pu9FlQA50eYQAiHR5bo27mohnZQzHGiMztEcv5Igmhq0xXJfmLTV+585GWEFOro
XEyFsNuvjFqXQMU0cwZgLHhYzHXf3goockgBZZs/0OJQ2cMsTzKX/cTCRwu+5IOElF8Ia6UQAYXi
5QIH5XqrpoJqWfszlZDrVJU/MejLiPBlaQp4U4iNCo4Op6+PTMidxaUgeqQ+StLPBSxqan8SD46G
eLUORUPBQyGERFS+GqTqCQ6rsiJQi/er1MYFjlsHfktDqHvT/4UVCcRgVZxJGcpXmxaWmAxyBuQ8
qz5e+MeFoqhQ+x+73veWgXUc2WZJ4DzAwl5aBuctVHsVWKZv1kF/U/e3P37/92YBsvEYzAhBQH/i
V2c7nIOB4BEYvRm7s5y3uujCSAbLTzz7+xAiESQxTghmDEq+V46d9Z1FgW2pRn266tiB+lHPUNNY
D5zU1WR10G//7sIUYgJyJ1cA+cAhXm7cpFTAgpyNUG9eDMVhRs2mnoqfDPK9dRTisDAJdG0InO6r
nKoAKoSsEDBIsUrVOS4v//4iOGaYQTxAEAtfuRhv0mGmCbzfDjd+uB6zuGnWf3MICGyEUqCdIcAD
H3V0kG8yaA7IJ2A1ADraEA2lKADgEKra/71BjgH2m0HKUYoGORjEoqMnQ7G+VqT5ySBfkv2L0y8k
JqC5CWBhCNBlr6wROMMSZZJRm9b367lFJ6Er2DkU2DJY18Pk9rTxLKqWgO4UH+lGegkU6zioWw+8
82058LNmHrKHtJC3s5eZTgagB4beL/GggONrF2c/JVM1rcOAAjlVpB8EA2QGycqft70QGv6CqCO6
7DDU4qlLKKBBgfK1UNM+wUFfRRPtrppU0gdgXGmvJ9UE58WYhbprehrXneILMLQSrYOyIHA6RFdt
x7YrgjijY/ZhMHm7RT2ZdQPAXzO2zABh+vkWtV2tacn4JssgFfbzrAD+2IRdtkDkJTpNFka0DzPy
XqIya+JS8XrUwmK++rGxoZZ9GYQFxFPQKMAOCoPe/cqjqiUP0ZQioWfCzp2tYzK5yznnsJgAvw9g
g6bFnv14TPxdij4OKhQEM6gaoPR+dVLkoHorLRZa5erMtXfNCEHF0/GCNNW+acmqH/lZVWCvZVPS
GAFqniSJPLF7H6Jt1iR7r/qfHN/vi5jjrCQJKSaMQUHzKgipqhR5OSxCVwuPmrC/9F15wlUVaFva
KAOHCeh8Uy7VuQVOLJ3RJ3jV/Y+35k/NoSC4Q4QnUL29OhUdNuk0IjBHW47RAGx5P5RAUaQxEK1b
mxRRWNnHHw/5XRo+LvubIV8lFcpzn7AWhnTJumEmToB3atwjKx/avvpJ/PouBL8a65W3JRmg1/a4
PB/KUlcT1xkeh7+b6mEQsCBRXCIeUv5qkKZwRdU2RAANBjxQN8VtTSIs2ebH+/bdWmRIAYFBnS2h
TJKvTWXdkDZ1E2BNh+AG9EB1UozO/CRnfecPXwaBp0GaxPB3+DIW+9S6njConbMwiNrcFVFQs4uZ
hqdOlWcJyDsiaH4SEv5kYQwgp2IgX0KtRF+dThampREtBDkcgNrTBYUmKfn0483D3y0MTr88dmJB
ngSQfYTf3yYZ5TpDezYxzZL1JLe2j6d+BeBLJ63RFINAdJKBCJSRXYucLjOg2ZqTsctWXX/O2YXq
f4IavjsFoNYC4qdQWINBoXPs5XyqpEtTYMIpUIBFxJZPJTkx08ZMGDJg/OO1U/IllLxIfq9Ge3XM
E5AcOtE6omugQXnpdyNDIETSYltSCMNdeCbJUzKRA/c3macHyPqbvOuh5lObhlwmc7hPpu58WEBo
kPUEpHS2WbCMWE8vMV1A4rvLS2AI5y6AjJnsOx4YkIbDAyH5gXPcaBQUZyKn62Cpor4KniTKWFyX
wGBONYmbScWBS+rIlX00L/N5UAa3PMt2fYLee2afGynOmypcq9nc8mA5UxZkk0XeToKemYWdB2x6
3wA7nuRoAgBh5MEm85oP82qq2nXTlJm2idkxUV2qOTg0drhAIl3NoZIRJIbPYwjGHxIHNE++rXE5
xLXvdNbhp2wmJwNMfLbzpVPh6eDkwfPlkrJmZQKb6qLoY+mJgqPvzkubnDLfn6RqilB9MYVJp3ss
N0Mu18IuLhpJeJ8nLdbhVGoqYTeaDODUlBgoQlzcSXUoZHMxV6k7afO0iFT6Oa/5uXRWra3oB10S
d8BNva/KYovK5bzrRxInsn+a576N8DKeDvSRkyoaKrLJODsfPEh1qViuatt/AIHjPnc40LIEaI66
4TqhIwhA8w0b5gayzPsZqd044I9TUL73uHrmLmtBSK9ikiVRMOawTY+in+LRjJsFXTccrkA6TZde
mxFpFQRrRsOTGTRnUKW3hs58ndbXvgEyfXzMcfJ+NtVjV2UrMbpFS5zvqqVRUO6rU1yEUZ8TDlWL
WVmoQwAsXg+p29Y9qMtk2Bc5WkMxvMkLcKM2i0D1uqKgfTfegCYFkkBbxLKc1sDf76hK172qBpBP
AFECC9wPVZSEIXC7Q/dQebGWfaCNdJFAwz61sHSSYKgLsguUhMsmrdt9WzY7XgoNLFK44ijddQXo
SHMxQjtBfTU5MegFt1ZXeXGlxvRTxcpT7/ubkRoftR50OtydMIQfSz9LPc/1DqjdcTWA6hLT0IHy
0IMu4BCLg7EdgfBW2wyBtpMMaLVMWQMSudrJNn1YZH6bNkESFYJeNG68r8LqiXdsn/ZVCQJb+nGs
PfhRM7kNmdFnms+3eSfA9XuQIu0FW2yp0WzjxUOMwf3yZBq0bb0cdQtfmXxeRSBRXMPvSWbRZhnK
Q93lHxqcZHqmy0YsZJ8gEKA7INSmCYQ8T2QQdSqIsbcxafqV9MtF3SQg135seAYUPmLbGoEyQwGZ
Upscxro+DWty6wYD4nEP+1aHfq9KHxWJXGc+GSNa+/1kwkflx7tgam/RmC1RPwGLtIhblJdsg8pk
gSoazxEkyzVtsluSbKs0AO6+xofc81WQyx1tkh3pHWDidtMJcuII3gdenCBhrjwx6xnq6RQNuu0q
IOyDHGIwKzUPQBIX8oqxIvJu6qNhGTqAA8/Z1F+VOYlMar0OmjBCVQsyPUrPXAeVTM4uS1wesopE
A4h72QJyUkrWCC8nitW6lqnVjbUfqa22aT2eDMNAVqAU7wQoJH3+SQ3ZXkzheRhkV32Lrkpbyhg3
5e1I+mfW2ZPCBhcZRMiVEgzr1qoItcO2QPlBiCsSPlM16abwEerw3uX9Ce1YZBkIH8NTQoExKiBE
FGM0LvNGwjEvVffUKAGyKsFrk/UsCsrxkdg5ohQUbwU+CWjqDvXsys/jHkL6jrI8Gl13lwf8yvNm
Oy5BoiFXHhYSbpxqdi20NXTygedmlTZyrVoFwpTbiDDstFd+BcpN09TQ7zHhtXLErbO+LG5cx0DG
SDOlW5lGrRW6W4bbBZJ1ZIdsTbhtowmPKwjl9yTHpzMr7rLF7HOanRPqmK4asQFJ98qKbFMEtNFB
xrdi5FdFzWLIV0w3QbryYQnuMgOwFEeMh26azEfeivOg54DJisUdvXc35O3nNEshG/aR5AUINH7V
eC42cpJXzsudh8YJ7SHZJM5GJQIV2ouPrma7rFFaViBIgc4DIeHKkUJPBq1Q+zAmBrJPew5ExAdX
dpr5Ns7dMxlZDmXWuXPVquqhcQI8Oik+VDUE0sUaPdq0jFFQopWpb4akFauE1mubhtu0WqZoYZXu
5qDSrAMhyYw3QQL9E9AScBB22HbQpB6Z4KHmk4Gx1UGUwAADI35CpP88VcGqyJeI2ewqzOdN43wD
IZ5G1hhdMSBDgscgaB8dDv22Tgrdd3W/aVJmVrUFrd/WdNFVD+0RZVKuS1o/h9BsgH113ZYi2eSq
AFXKwFnKZKvnim/G6gNG7q7x3kNPbtBnYKUE3wu83NPe7mSYmKhMmk8M0Eeret0SuwvRjXMmnlAK
Se3DbJbLxHW3XNbrgib6/pKuhFnsHfV99T6bBmJ0HYCrgzBHt9biYCULYfeZrG+7fHg/AVuvoTml
2/hkqg+iDsNdQINDmi27CbJfkCZM4xZtLO/Ps1BeUt/ckTI8anlNt6px+5HnRb1ilRjOlPH0LLTo
cnTleZHl+yXIoUJqy1ancmQPRpW3nCfTiaiw2NYdHdamBIqxq+c8oqRDQKR16bXAxj5BI4s7wVw2
sGPQVacTP2e7QKV13Ih03tpl6kcdTF0ZBQ7IfIan5D6lJZxnU5LdWKn8AP1do16WCt4zSxXVhU/T
OMFdCk1NSXAJuwjVrDRB1BTQAFYqVGtmVAv5CZpakJ8+uXr4kBVNeCyGh7hoSwfbSC6mKnxgUAZE
GbfQZ+WWMS5HVEUhJO7jmUlP+qJ3A7ShSX9Qtkv7aCrb4TCmEPgt58OZS3LoxZkH1Ebd0Kv56HHL
AKU1hu7ABhpkAmmryOXhFCkqy3UwJfmeLwE7ZdMMVI3q7oxrP4DAwE7YJD+CHu7iXgzgpsjOQHil
I/TIVCJYhQb2gFvRRGNa23suE2jgUCIdfDwVysnYlamP+14NTwDKVavHspgj7BS0byFIDpckl/2h
gPYB3Jb92lZBuJss1DWt6dB+YvlZPfoPLS50nZqzNOMXVZFBFJmv+hTHENvbKJ3m92MmsR4CuxVB
EAeDiN1k1m0KeN6x7tS2UB+NkN1ndR/IcOMNv+TQESbbNgYNZVP04UrUbdxhtctstTGdiIHSgKIj
3QI5tU6dewoo8L1tsmyMxXE3C+jNMQDKyFaUvcZN8DGrkxih4lQtFw3O4cz7OBnzkyRh6xLk7DEh
a15DAMFi2M4GqL2RD2uVdRc2haLEVZDDfDumcVXiQenFtM15sogG9JOgu/d5P66SsgT53vMz6eSa
dgmQYMA8GmxX0Gz6uMD/g4hH2uquzePaoSirqjPD5xPm7KbuJGheNYqh8VT3FVS+BL4xVlmqLbQ8
FSm0vQyBdxon4bOaMHjUkk6fwsRD0HHzDS5yOBdm7avuES3QDpTQwMfYFCTXobI3gIhjKLGhIau4
BtLHasc+pinaBxWD1JylMtTO5dNuykvoZXBDFudgw23FO8iiLcie0AIVl1PrVyMxUAiVYKvcQXdp
vrHo1jkVI9Nt2tCtJ1forCh4BN1JcCIIXi0JmTYjZYCBgjTUgxnOBCLnIxD3UU5UtRkuoKej9tGc
jeOG43RMomkGfeu2X9SsAG7T4lM+DJ3dLyP6bwrOZDlTHAjCT0QEYufK8q+22/t2UdjdY0mAkECA
hJ5+0oc5TfeMDahUlfll5dcSwN+jN2uY13wZ1jqXurilMBUrOa/LIVI7rpwhF4+DDP2lt0K/jmQ8
44WcQn0PYwKHW6VlGxUw4LJIuhZchGjLzcmT7xaLr1dS8ETzfAwHLkLwYKk6BOyfROGwD8HhvUzT
8EhoD8BgMcnwpDw6p3GR70Rl9jEYSXRIipgee7v9yTihlzKk4SGf/X0OKnWuMrivtchw06yxcqxK
IMfwNt7z/5xT/Bh0fMPEBp7JGu9adEn2GqUTvxZmYme/F/llTIPwdQXkfEBzh1JhfJm/ijlSrhH5
FkZNIlXHqhWodYc2gmKKA1cJXkpE+fiHxuNyiH0O/V2z6Mitw926sZ1OrS8DRSo66P20lQw/5R4N
H3uus8cwI8H7JGb1g8t+qdkum2wWLyvJn7NisoeRzjCneEzqRJqyQS0cGxB4qMAOWFTkzdFtkp7n
Le+Pcc8f4jFJn0qWS5xnmXZH6Zem7+V59YTcK4KelXaMvzMHF8910XKnpc1PGASzucF/BK2GSlFz
M7Ifx8HN9lQwisGumLImn+BvN7lf0A+qfY9WQKrZXsV+4m9CFt8rpZ9R0V8WY6dDp1NV/FVxjj9l
h9MSqhwkc+hW1fT7tkKJYGKTh64v0crTYUD3m8PaaBJty4uCgNpY3f+SbMLFoiHxOAZQaxLQv2WU
NN0YG7Sseb9eVQKhwaEg08aisfjeCBOHorTctflYRH0Vr6k9Tg6jVbwu6dDSctrNJ/A3pw55Pky4
+nzAcOGROUUPZkOL3qfzQ510fSbO69jrZh85f9V9Qe8x/roXm1r/KMxq91Zzteo66zXvT35N+qYL
7HrWNL2qsU+uYVHOuk7SKQ4w+YBhKqQvDm7JcPuFKKVr5v65EnDyIAFQJcQH790WPGOgRodtQ/0N
sjf+1noeHycfRqcc0ObnnM5x3PaEmzu9DvK1tz49dVlqn1kEvgomCx5TsODDGQLvmsJq3eLrZBRk
FQFLRUz3krFJ3EzDsF+52POPYJmSvVoYgJ47DhoRl1sIOd8o8ZR6+VTm1kyVBIH+GOq8gLivRB26
hV4Vz94AhptvQ1wAHyJz3dyYgfkXU0bybzpRwGeTtvagVO5rNNJkbXabTW+rGMP7dMn2Wo8hb5Ng
uo7bRK+rKVmNPxa/zSvo+yxMTTsa+jOoBU1XSTeoC8kzWPytWhkiAx525WFgDgJ25u77ML2ocf6K
o1X8Mmi+2dNJooLLsVo7XzTjSD2unOGG4Tg2ZhrHQ25U0ISUEyg0BSSWspgrxbscl1yZ1HE4ognH
l+VS5upUxyGmkxU/mNjvUxTNajeQivB9Ficfop7vC67EQqJBIC5S1cJzdYkXntS2pN+9tKZazZpd
POsnQKjqawzwwQJJdXi+0dzKfjb1Orj4xFwp2yFmd6vp74Gi6dNg3PbPbolrM9KB3cVgU+0+fdU7
i9qgBBqKrMdfC5asnaLsIxpBpGbiHX9kOAHziy8qA8VZdhH9j6UkA5a5PIdZKSqY5M8qIfJ9TQJ9
iHq5XkezbGeT4ynv3tNLhkNTxziy1yHup+scenQcWTQ2aiz/M574mu4j+NUYPVE8zX+3ge43WTTM
t8lGACJOqApoIpL/MEVB/iAdamcSkQfWuf2UdEZfKN8BeVL5nabFdLAm1Cdj4IAJkli4WX0gL1ts
w0sMBgT3dzwlBxNH3a1Oc9+wDv/fnOn4bnJiq8dk/r3rJ36gHqoyjzoLCSzTzbKkPyGKUuPjTB7m
kX3u1EZtx9b1QKaON2g2/g6rnupUAaGZvOjPOK0SVx+llykwzrbedDNgxdwDvO/G6K8owmhoBkaD
o1Eo7ri3VVaJOMHXS3xp7gTfZFeLaBzviyIITiUyA7/ErsNJMlPsq4yo8t8OH+a6dT0QvGmJDIZl
1ZujSRBbaF3MorAG4M/3djYx6Jo9ijqQRiV8N7X7s0766JDyKcIFGCQfjG5QBrPkTY8jci8bLGdI
jOIvOo/ipZBTdguOVT4KUszPUsyXfBjKhjuNIa0IDF5jt4ePIjYon6EquxMObHZLjEyGGqXQV9C8
gza10pI/HhN3d+LoRD/dhCyJ9oORrYf9+em5GVE1cgVliTJjixY3DlzXfZifMMpFr3hDYZ3gyr4U
67Z+dZF9gFcGbyiJ/JNP1wg/dN+dB+1ftSLx0WrVPa0rYTveujUYsvtSuosWY6GXasiWnh0EajrM
pJnPkGUin5DXvpjHY8RZWS9i2o9J0Z3zMd5Qcs2NRGL7X44O9D0bAhJWtFxfU6/6B2r6wFR7tEX3
g7A2r3e7RxatQ1I2MaGvAR3/7mx6GecSekYYjTkabW0HV2UqKPKaBPtLZMd+RA0eZD2H8fdqp/0R
9yDtGmvQ4sYOKhLToa39vvka4xrGPzWnrz2a29ctlbR1DomcOC74+7DFAXz9QTUE0l0tdEdrzyzy
JVNvgmckEMaTKkjeEHRc32Za2DERXDZAQB/m1ImbIdqhpBU2qRZc7BcIig7d7qhvs4Qibm+Nqjg4
p2O+df+xoZdB1cXbC4yf8caS5aVjU1k7XOonVmz8hOF8ONChjz6MRqIlHcCORz4tL0jl3w8pmsE1
X7oDGRCZcUEyt7qYk4NKJYJHRbHWQTmUR8wO29lq37/TbNmOe4yrgdGd/M14eXVQcmm7YW7rMGis
/pabmB0WJeMT2tixmgsLSDXMHzHSB/Bai97ZipWEH1ngSQ8lu5D3pYjYMUOiCZrRsF21gyMMyUeR
8PfsJwX++7n5hNFetqQf4rXCKY8kJuc5KuotD/6wLp2b0Wh/puC5v7t9vwsY+qA6g959StB8rJUZ
yuHgeFr8agIaphXZGcpPsfbbigCBwCyALjlndUw2bZu4H95pCg211bQa46cuCHhT6r3LK7TCwIBN
z8gImH9JbTu4QcpKkVE8BUCga4b7B5hvvPxzOszlNZmm319uBAQKUNf/m7flKZ93/E0LUea2SITg
Z4zS8VjJnfuWOJy42RHyvu1ublFdRHYNZ57/pThKUHbJOLSr3lxywZlyNxi4BVCFMHqJ6AD+YImz
9BxlWZa2CvGSCsjca+x3gtxBjxEHUx6yE8nRre6jIOxZzd2fyXt/MaMIHjdd/EU3ZePah+Gv8dv3
HBU5CuYfGeUmAp2p5g36ny14Q9ewG++iqAi/ynWK3oakLz6hBz0WYNrfS/S2b6rYon9IBYmvoFNT
y9Ypc6fRim6o83R+IHSff4ugeMOREZUfSP+zzSsU5A5C2/wr+nfC6TMLwezXivbiwMRwL7I+vuzU
3NqEXxXbvucl+JpM9kcSoZolL3RdeAqgw07PpSiiAzT1P2sWjCDIh5xBn0D7tFojwDms+j7detkg
2AB9YF3lUenwZze5qpd0Na2Ig191Zvzql0WceIdMFzSMtd0RtUsriOMjIcc+38Cj26JrlnK5lRP5
5nF23dRyF2b9iQdZ/kiKIQVMvn9GOsf8vD+zOEE7aUJ77eYReZ9oF08ulttD7lRy9pu7LZa0mw9i
H/vWslLDSSEwlSK24cXa+JaxbkeIbAn/pB4tGpujsaIeeQUw2g9lyJI6ivi9Lg1p2JrEz2Ua+AUm
O5rcSia5+jNrEt2NhG+X1fpxwdxABEArFva1VzqrZTaIZoMFgeOW59CCtwTyItBj+hVymzwO3bx2
lQ8xHc7S9WhACkivW5/gMWDu9qdkWtdLum7ds1zDotWD+vF9wA/7qDUIIqdQDx2uN5Xe6wAqH5W2
/MY7zY+M49PfJ9JVo2G3yOuHSOJANKEZThiVuFd4yIeTZ/Btyn6rEtrhOOtkb9EVpudYz/Qhgu9Y
WpUBzOHmAUBbXBUBXP+8WSXvq2QPRQXb4m03G6nRna6nDIm5k81jXP89nh6JLkLP18xo/KvY3pQ0
S2EkBc8shA4kBuigAx5EE+cKIRVq8KyDogkcGQ7dytc6nQt/Wkt+71gaXnXss3uG+tZwPkGghNir
RRSc0UMGL/GQqdOadfZgUrm2nLn3EDd4xbNQtrNdTVPM9J1vqzjukxpfS9U990nw4WZ09BAIEleP
kYrgzGTzdhdYcRdNsTyWZrq4vkQI1iA9EUmEsRL7uOrhxQ3us5PjNV72uUL/fFuU6Uvgg1NCghNZ
AEYIsTzPeAZbky4U2YQFqcR63Lb5zKX92iffDvm0ITYK8glrLqBo8wC4FrFwNqCwISE4rNUIMbvy
cA0BwuaPYvC6htm3txhirm4Q71FB/oRjcglVgcpe7gVunDU8qm6768DSnQsU1z8heuIKoPGI5F13
L+Jpa5dtmOqErqQaJ9YdCRdRI9WUIdiIgBKEg+wX0qFgE4f0OIUd9M6sfyBD+p6k6gHJDYgp8z+L
fqntMvlQOlaij6NI8eGd/eZd73mRrnUyYAQf5Y3IE9T4pafQ70y39LgnUhoAmxrFT47SdA62FGpy
0IvnUkETkksyNeG+pW2k/QW2uqzjfH6MTCRavnnES8yUfIO63++KiSYosTaO3wr+221G2wOsWKik
Y3JeSPq8q8VXWo9dzRKkTrOC3+pl2O+RADC1X0zc2gBSikfcsZZ2BxmU5Bu/o24qn9SKACnPTFCD
slmraBZTDY09vXSQPFHCIMsvKtKQSMIRwcyInNUmkOHyUZnWsnAY3dAsooudpvlK3cwv6Y7wVNaV
2bNE59Nk0B+efD4jwk3hBifFmJ/KBZmWgazfWQg7lwxaH9MBTkHpkM5y8/JWDBtSft2KHFC/gr7f
qA2PiEoE7Zrg10GrRQ+4ZzZTWQWJR4wDfDY14BP7Tcw954PMTi7rTQzAZs1e+c7eeKeiKgqX5GUk
xUe08vK2o3N6hWo4VGxTKYRo5EptYQIgD9mX2eV8U2aMt8orDwODw1b1kXiepxgpADUmN0kHFa7q
ssgV1Zb+Rg7jUA5oEz1+DiR+7/kWXHPFAny4sEPedgbdKS89uSTxpA3y1Tw69/1SnhJGRG1dkX05
7CT65HF+6SFHQScfEvdpkmgfmy5a6cs4bRr9DlkaynFXRwov3a7I/7gABceF/pfwYzeug6FcADE6
QAGV9dZvd2OyfKzUZojaMw3BPlTQi5Fm3XD1HAY9JU3mk/XGxvB1CLVJ2bKB+yNhXXBkBV9PkPvC
1iIlV3UipE2WuU9i3XziRXHXiWSuIvHRjWF+cp7+R9FtI0sGAGGbc91OzMpTLAepqoC6HdJANOGL
H9Fsu4oIn58EJ+68+fV9TGJ5E0gKzcdSejtsGz+XUA1ctc90RTBKeeRsE3Nf7JQ+GZY5DGUErf2Q
3+Zb/6rGeP/P7hTY47TKR5p32ZVGLP0X2jnWlbJwn7ve7U0a8TsARlmLAnaL3QsOxk40/ebPpToF
6UrvXGfRQfeyZHeJi/mN60e4ysaVEAQImsOpHIGF9pFs+3iXp0RAZ/TTxxj8ZhXD7skLEj7l+KCw
80BoDOElF29mnrKlhfuWi5sgCsRdFoAiSPDQ6giNNj6Vpe/+JD70UVXO6YTby6/swMmQIbi8yGbu
cfSzqQdv0vcf4DI15nI5H4KQPvZQapqYwcDZ6XO/DgogA2S6PLR3sRuCSifBf2zz89VHfmuMQpY+
KSdaZxrKBSlIWg9epY+BcvF5WHjPL9M8Jh+lW5HGDucQgt6GUD+UMfqJDnw+L2MenSOR2Zsi1PRj
s/iEZinKu3FO17to3ssLs4t+XEVZRg0BL3lJqcPN2XU3QSzsdXX5D7Ed+zbJ9tTbwNcqYEmVIDh4
dVO0HbN+H8F078O3nfzwxoi6dXTGXU4QljuWKtoRIuSQ7cXipKwRP3at7kpEcWFktUMWM1HjHlSV
9Bg2q2Sz7hyyYvnHSRHEVfgrMmT9qAAU9uMDdCgoLTSvg3AK6qxMop9NyrCJp4If7Rr+s86+2EKu
p3FUE8NgHdO7PQ+K6z7NwR0C8OUNX9yI8r+gh4pwKDta8oZMRNUR0BJXFQJiR13EqMhc2IzhREw3
iwXgc7Ce980cGnQG+EqQ1NzkeonjX5xBhOS8GxTaJATszNd1v7MxeN9BuhlnO8VjD/vjnOi0QVB7
b6WT/tKpAg9KikT80cANfyizPSRMDFzQ+IYlQ1g6o09ZqIalFb0basSOl3qwxnwC5Zo0hsko+RjS
RL2sixlrxNc61fCVBkvVe5ajC0wBL9tZdeVBz2EAgcYkSxX1pK8G6LmXDGNMAQB8T9QV2wlimO8h
CvElX2R/Qa4quut2ARFpsh+dWtV7vymn68lxcygZ/6+Xkr0P4WqusDPfvN/2+1mYqe4n8VjG6gdg
1vYciZw1U5wjPJqgC9nNr2osxP3Gx/vfRHqMpQu/XBbkTQzYTZbLoUo6/gG8DYbwkPxlc8wanvlf
DqhEoS2VRo/7G0OK+YgoVv612tygZnZwppIZfrd2FBqkMyddJvYge+OPI7fvkYi7NjM+/DN3L0UU
rpdoRXcIk/+P63nWzJnMvrZfqaQrZt2kBHwF7ohPEALDgxmD8Q/3XfhFTRPoUd4zKGpV2k/2loDs
NXhrQ/8FxAeHNISoM+X464hzKFN1m0dyH3/0GQGx5Ij1IcdQQylYYrfX+cwwzhbY6UCcVodtje3T
GKv8D/q/t7UQ0S21C8iFad4wtIQIBAFiDO5jA30UjC8B7pykDXMCKd5wNhe6BPHXvBcb3O851Qe9
xBDeOb5nten9ji5IZdu97OpF8qmeC7hP0aAuW1+gz2EEkrhARSSxuCEE3h3sm/I2mKf3buqRiJIg
6hEYBtPv/FO6A9qCA/1FLaaq0W9I4jAgnyzL/rLIj9e0nN5nuZlzlwH9YnZFfRSbQiCA4edB4z/U
wMfiZsjoEVPvW86CNnFbCvMBWVjg+vdecF6LbXzsjYNysVmsCnAYsLBchNxxla8HVcIckC7d/wxM
5jDj075FjibBtz7/7NKEVz6Kvh6J6lrnu/l2GcUpG4A3FKPe3uLUzljeAChaTT3eXdqdV5Ki2YbL
NF19qj+t8Oeyy4rKGUJ4DRiseEG+CqHsopviChCIg13b50fUT9W4DMRPSJX7GfiwPQc+dUe+YP/M
iIoNFHSxbzLEPou9YB0U1pC9pBxxErM7DH9W/NAi36tMxtK2QY6A8qGk3h6LJNwC+DJl0hjv0QKJ
da3HjAOMmCi90Tu8Q+ic04WGGlIzhOBmKJ24x49NP7z6TfRH1KIPibEgRZdMA/pMkHPAhTBd+z7T
z+XIgJ0tUajPOtzDi+zQmbhsBH4wBdYcEEnAio0Rizpimt1GYxSgeY2jt7yn/5Quv8fFKrRZWIdB
VYldPixQZ2jtW4U2XP0nctJ2aN2wwgfKJtzhBlP0ZKrI+hZC7RnZ5RogQnKduefXNOfsmIOwP3Mm
OjBQPnwDur81kUsRDE92O9TxTiHJaiKPbND8WGwCqH1m7Y8KrG6XBd3QhB+pDYB+/k4h5gQmkN4H
sJ6yGgoB+TRULeh0OlSnMujvMFfAoiRws6ME70KRFEtaAvQIrR+z78IxuDzpmlfCd/0zMGB13Xf6
EKqQXNZSj8cRpfH869nVfC4DMBCFVxfPBZH4K+V6Dgvzme1b/jTZxcPNwh6F1XP0/SHGrGIOMCam
HCKe4TAMeDy3S494I4ijpYHxLFtZ4t4T43hONRLj6OjyWhr/kpCFXJCRk6/BbPNbhM2D85gwIAfA
GGquZghDhG6Ix6nguksAL0R7eYNUi3jrHbYDBHsaXvre9i9YaKJrbpalLguOAURu5V0vFhxEEaZY
g4Ss+wHI0AQ9pLBnGIXmAG3AIQA7LA2cMg30coyeAVnMmCsEfd0GhU0U9ncTxorbWJVS3ewTrmRj
ARiETY8DhWGzQGICfsi9gyqFcSY4o8RjnQOmpgBdbYScUhJ8sjDcXsAE2eOuu0fUKNPGuI9ZDeP2
GMz6ufcK/QJfy7uNBB9hyG9G5o57ym4DLDD5VVrvNBCElK4xmldHPUDt9A4MscPWpIUc481+ZiSO
rhlkylNo0aNESRq2hEDQRkGW/4hNLBAzrMWRizuG3cywJCPUQxtFnmFniqUQsxfs29neQkyo9SbR
W6fZeHSeB7/yQQAmymEk2Zx5ijfnTip+gSa5AOdLxTFN1i+akyPJY/SCyzya0wwsRqgIPdg88Lvd
FfjJS9PMhN2WEXKjXur1iAAOIkLQZ7M0eNs7f8+X6MllDtGgPbvNjRlvS9zs0gbYURJvV+ZDqPoM
x4nNC85nkbKjnzGYomrPegihfX4NBTTNLeiwKGzGiFm4lwgOKtAVbAIBe5Rg+UQZIQvZdZ+80x/J
+Ius9kB6cWltQK7XexL1P0SzkxzcaeqXL22Kt66fT1T2XRvw+dTFrtGZKSqu0N5Bc30ZExCge4eL
sOuX2y2Z5harf9CnxTFcQF2rrPhHAB37AAZaNrBnz0FSKTBaXMrHJO8frFgbBARrZJhfuE0PsNua
uFxqhPnqqSyPAk4qvItbmoSo5qasHEFgABtUklr2Djt5ikUA/7BYg4aknL5yrADDTZg1VL8b1QuA
uHI8RQGEiQV3kIzxfhLZH7qlqLEI67yyAnu5ovKeRtvLTC3uN5n0n9w50PWlTlsilugn7s3vhxB0
x27FER/Y9JWmETltEPZ+i/pa43eCpjf0IRonBgTcpBf0sxq880bbpFvSCkTwt9cTvQmEOe982uuB
Y6MUAIYE+7V2cxqY8YckwMoa59X3Mqd/AXaYunPsZoscXmG+nowewBROvEGgHFyMg87ksn/BlN9q
4IChhiedQqwrfhlhKDUg7zoQ38ZUPISxZcJXqXGnRQmWcLGk3bstbBjbKj6FtzCXL8P4pVVx6HDh
hwFDsccNDguvHruFNX2YN27D5xd0SxUX44kaUxclVOOuhw46lkTXcOex4iUXrVhMI5btw0z+gP78
wFNeKwfVriD8ijDtZ6gdaA1587uOKGfphfke6+Rwf8+yxja212Uqv2UELEqi1T/ZeG6wERkoYin4
UZa7O61wV54CvBnYq1rc9QO6JOik0EQRPvnMsfHmDu5QfhpzPEPgJzu+KGKgVtLssMCGQSFQt0xi
hE2n6WYu+hPj6/S7Q+cA1fswRvTQFf6AuEyjAa0PGKw9I/bIJpYdKRz9Su8okd7yDJBGAk1y3EXN
xuXcI3HxQrMkhWcQ41pQIkPByKlZHzq0M895MrtnEHPY9ybKFXu2PNY1AWfBUgnKxUFiZUtNUaqa
fsDeB8nGL5+taILwaYs8GuEVlfI+wIGvaJBmhyjb+YHsAcEYXr6PeSjPmzWvOPl/wgRtkfz9JgIV
0MsCEQnTy7S2SBWhoylzoxPYQ3y/+jEEfLnwCesBQZtgAnJ/V4I8bp94OK1KyU816KXe+8018Sz+
y/QGTBDbIVFFNFa9SPaMf7bHMsDvEs2pOu6Y6G4yMf+ZfY6D7LD6KkYI5h/e415t4/zJZXxLI+yp
cdgsRMn3mj/nJZhdMaS/ButBLmDHMXeq6NDhuT47hWSLzCCq0f7IpxzZzKVJDCY+GDY7yqWvIpU9
447GEiwKUg+4Z7BEr0A84SvGwVGbAaSRPydrciiW4QjmEh5x/jHCox99DvoJhUe6/4DRYGDM9M26
TsiOhOkjUNEfSrBfSqknTqZDMCRns8aXnJJbgc0SAxx/SNocX365DM/7Akd8BoBGfo/bUmzHtKSH
YMaHk6wnxyHvBzhJPTrvIhVAjiE2sxAjkzpgk8YlmMuHfQ/OwbC7mhf7qyccu7UnXc/leMlCfoKD
UDPPT3hqoZwBvSdtBwe40pgAQFKQt6EXgG8/AK1AMMK0gXn/QVv1Dxw3evn/3LggzwogBktzNj88
lgTL8GzwoiVKcJRg0Vh4xPNswhU1M1hrACnAPRfY1GWwP3JZtkGsdtCV6yvkk0vC5qMjy/1I3gCW
iBb4xDFGpAy7L9xnkqDk4gOq4w7VMlz7hix4EKI/Riqss1EcZ1x2KcfRGnzjkv7A571Wi7tgfSfE
+QkqAAPIsR1iWmKj2X+QaioHlcYZDA+A1MPiS29DA9fmLdW0KYMfO0RP4wD2ZQDDvQQ19fAHS5i3
4/IyJePjbn44rEc6hdcti1uqgHFmBAxcnyGOYDXeaJQ/x9t8LSGjVFbzg/TuFO87iBz2ZxnHUxGJ
asYeqkLsBejwYgNoUNYCUoxicL2VRZTBjtjcwn81BYhI23zI+Y7x0wqsF8NyhXSIL33GD3ixh9KA
T0vzRx32D3EZ34dmWdtUIv/kuuRkgHlLAGLIDog74hQqfUZuF8tOqaInhCRwI2Oa6/5uVjfwkRqR
ZdcJnya6thvap1VRLhUOIQpN2u44siGShcr7uo8x3k+uWTEQrWAWoQo/2jLBxR2rmwJ9nAasl4gV
rsZaRxM9g8Ou8nysk3lqUs0e1xTbDxN/EVsHFwfJRKj3isYgzj1aUVJYtNIwQwmwo40VrTTDvxKj
aBS4p2mTMdSl5cnbzzzf624W9b7+rBYfGQz/Q9otjRZ/p+QvCXg1a/AJ6tOgt+0QGg4FwAIJCcHO
CCxsNS2XFhL6H4Dr9wJ+a4NldsMvAIwoj2pVMn5OqOXYJlZpA7iLpNn5f+rOYzl2LMuyv1KWc0QB
uJBmnT1wh2tJp+YExkcBrTW+vheiqjL4GDTSskfdMYi0yMx4gAO49x6x9zqpyg4gu1Iy87qXNs9e
MRwSOuqnhCYxUXwakYFd91o2G5sbV9qFaOvUrjhI6V7Kz66tPkhVtU+rF1X4y9JcV/WK2pAeUv58
NDMghfU2aoGk1fuQhaAHuzzbocr1MOWIehY0D51fzkvMCulGDm4blxY4CkJN2rvpxUMepuD4CqSN
Ir815YPSXUWIgsPyKezxa/Vnr/cRdS+k6jqKs32Rt3M5cfRu3wz3Qb7RSZP0TYgiQjnnuT9vxeCU
4lj3GxOJRUgM1IfubNSchK3NoiJ6rQ3kd/xUnGF46ZNwI4Qjue08GecpSq9xXHriNeTV2bRwQ69e
t/3KTHdokKL8QCFfYOWhH2PxOXNMIcFZGJxdFIjnNlXFmNQnlw96tqetjF+JSlxgbXJlnti/zOTY
VWzyNhi5+TBUlyY8lPUFkB9UxImQpbvclzDWrbXSQ2XOnINZNq4jkz+eOzMRmCE5yrR7vBqzzJ0H
1sug3o/WVRD+kqKtCuOoL86BtE7Gva6xAUPT45FkYhchRldRew+XJvvV6YiG5DMhYVJR+s3mcXoz
+IgXqjv8evPU28V8mD4OjsjcF8NOrvZFvVC0Y9NeG0jFdRprN9iW+nSTD09KjAVNJmvd5ZxTlUVh
8FTJm8w9qNp+JGPN03eMORIyp3E8ugIJ1MzsT0AEEIR4/TLu3tzoqbRugpaQhKMjO7vFtgi4/ZUI
9363rotdQDdc6R3TfcFnqUYA6XaTwzN46sLTJEEI4zMC8qWhnczktfHiFZTfcx0bmGdemqZ6phP4
K7Tah0w0FacBsoX4RTVlNNUZwuHCw4JqHWvadEZO9/DUuR7jHjZRnK46JbqGy4aBNwye2L9WWvNU
0/UdtY3pDnBDqYA9ayawEmCWOZ2DsKaMF04KQ0q81TKyKVEOhMLUvn39IIlfHvBO3dtxXmKZuc+p
Z7ViAqxtwnFfuwXR5XIA+yqIuITEOmtpXgoKLAUScfS71666rSVWTLkyhtDpkc+50o2s2dgp0Jhf
rHBZVudKOJUg7o6vNb6KPF2K4eQmzqgf8CzPRhtZtGPIFw38QHGgi4MaOMj8pZS6a6l/C7EC+Vtr
OEKW6ONrWXmIVMezYnoXB1xBae+EJnWstch3RUg0f8CZO8v1iP5NT8P4qITeUu9f2chSf12n9Hew
ovbXkhUgz3hrUO42aAunJrY/KeRf9PIk2Z3T6JsxPGXjeYwWYAnnDahexEV+iUOimINvzTjAktNo
bkv9wchXaTo18ZweJXq/SfsG4uYvRbmyaI+2LGgRjguqBjOzvhhk+clycBfquIzdV+Q3hA5HoVyN
xZNmPufpRerpD1JiWUT5Ke43fqhNpUTwpq8VnqYCvkVSbhPjnIBZjdBn4u/s1jbC926tktglyV7R
8XhJB6oqswalgn5QG3XlJtjS5ugxjXAX2u5cJhzg2ZloZOn5mem4TPy7IT2VRFzg8TJ3xZnu03JA
pOrbx0xdiMkhvGi1q7Rc22x8+a1r3QX1RuEgCahJ2KjBaIo6hNo4E5yOxg0Rk2vcjexYarCMUWyh
QutBFss+/y+4s5Sn9eI+sw+1RTnjmszBVV81hUDlNg/QwF7jEau8a6tZucqtNq6zlnjBusKH7Hgs
uXEWsGDjfZvf2TAsm7WSLy3QRqqVrsqCxxHOYu+YIy5RVz1yY87rNJoSFtpy6OpWDad4YDwX+X1h
LNLyIos1kuky2tAW1rE+e5uh22r6ofKcsTiX/a+EGDUT1nyk/NmeqVy1mKZC9FnQNTYWTMvGnuNC
k7pHH6lttDH7vVXRLn5P0JO3SEyfgBZbIzaDZI0rHM8vJ4N9Gza/TO210vZFdW/SLhRUb+Zqv/OG
05A/Wtoh1B8NoBR9fDMaOP3UhV559PCcOlNWRn+ry1e9JPMS3hPKDnLzMHiXTr+vsB+NdMdqk4r4
W8zx3dW7utoFzc7rDnpZz6TyNsz2o1ihiPAMDKgBsVMK0euBde2LdTuwt2OxdKWDUdyCR+as3QHM
1DVHGdd12E06mTTMZoPkSYnjt2lBdccuJ2uDnePAKZFusvsYYGKrsWrX4Ty/1vdKuW6o4dv0SvuZ
ip25tE61tSwTeqrWorHRIs5VgVqET/lkcZLHmXKhgELXVBL3unFJ5Es1rPX20YMeUgYPI7TJrBQs
b47YAAUMpq5FJYNkL9I9t9SggwzSRd4cIzW6qvRHl41OzZfs7Ja506yrqPjVFysBLaY10Vgbq6Jx
F7jWZpIyOiPYdIEaW/+lthYJw1ppzz7tlSJetkgu4nJlh/topJ0kxU4Udqu4wC93o8toi4pdrB/Y
1qlxlUiPiOjLJKWIdDbQfWZStrCKbF23EeksvpF6nRhXJtLiWL0zmrUckqtoR+Eh91kj8e+jUxzs
LT7y8JDF+MhXmgkeubru0ehU/byeXPfhkUq4ShG72lRT5NiuIhA6Ue2oqD0blGX9TVFSIUMwMiyo
X+VDt4nMwam5T22ZhieyZanZ5cO1Xju+50h4sMoFtu4QRi30Zpe0T43otq9lmRxUXQ/aQ0nWaWln
1Uc63tHkaXdqQVBCDILs89IY9wNFds1cS7Iz0IgkHqfMOVeapd0XMy3yD5UrneMEV4Gnz9FbI899
GHTz3GFsVMwpw4/Yzbd+pV+SsrrzMJZKPhqbbhvVYonrFkcTGNCFOx1zjylKywkKbT/LdGqQynfx
QyPmQrvo7Gda2q18NlnTY7O03BknBYH+3orHeZGtauLryKJa81DG26T61QTbqNzlwZzMW46vsvxF
1d7xa6gBcKJsrYkr3AsWYlf8K/q+pKdY+A+lRc5BKG3kt8g+Z4F/0OVLyXWC/BLK9YSSmA0Biub+
VMLd8cLACSjAjg5C26Ld+OlT4K0LXAg9THJRL6SOEMy1Vkix2BTleQ1If+TIgXM+x5JWt4egkG6l
5uDL6Q1djnVMrok5J7pOhrfIbvkaXbacXdk6hSzR5aMbps8xzbFfYaIrf6ne1g1jpy9eeimn1Dag
5eWcK+apuQ+jWyQognUQ9j7CXwXb9400IRuWZGCHpG6evTwkL3MmR2CBf6KgB4sdEF3JPPXpmk8K
1LumudYpfxK0M3xhiYB8XqmOIJQbdsQqY2QstfTB48FkyOTHlPruvTc8hc2emL7g/6mfe05Q5Jii
Wan4tFNOICAOLDERkbgnqzFxlHZ4Nii61upr5K0UBE36nccWy+KLrCugJiXPs+wcV71K0gdEzmF6
q49rPXl0afmxIJXiThRrYWK2ob/qF06Mvrcor410F4SXKDhJysoqVu7w5FVXeBATeyWzD0VrYSwE
SU/EWRvmc1naY3+YBeJMESuUWicCFI0Ftat+qTIofjyv2TOhTV4+oM1lAbOpOGq6QuM/A3g7DE8V
NTjw9fZ7Wl3ROE4EmcyyoBke7KnL2+Uh7996nTU196VXVXUa7dAm62w8YIuT4/3onppEoaDzVpfQ
2tOdr20kcVeJ3aiNJ8/NNm4sLUt3Sw0x0JdhSX4Q0ZGdM5YiTheqKx1l94H8eiCMpFCj5zeDdDHF
mZ0b5hdKevKBZNvzW7P6XRebZMBglsUroZGYadSADP2q6ZbecFHxIGtnfoxt7X2EZTFFDs+bxwo6
Sr5LBCjyo9AXnYqGmRkIS8+9l4J2XdTXsWIu/fGUdtZs5IhpW5DLw0EJz0p7byfkra+8R0+DmTIX
uCo1Y3As46oz5jqCnn5cNp1K2kdteIvcFZXtmys/ZsMq5IhE4blG8cJbyfpTwEtUFtZ4QD5D7HgK
YjalQhMEF/sQHD1Sr34JytTDmE0sZKIBohoXr+jYz5AtNsIxMWHbOKO7e3pzofRueYe6uYwseCkk
ukQ/G2BZZOHL2oOuPwzDCPjB8ZV94u017c4sCJ6vDDIJaQHFkt6CHNwnxiJTV02xNcxrLNW3nCSe
tcrtk0ktXkQhmRBq0sVU8Mld2om2S10UmgGegNTaQ29/a4Phl6G/Sv5JyOu2OmGq5Xf6HIPeW6vs
bX/Or6M/UJBBo+L19UXiO4N2Ep0DJVs0wTzUHdgts65fkE8qtPkTG4vUXCL3q7RNMZzTxvF1UGwM
9fBWeXOxykvd33vuDmq8L83oKxQJZRRjpRWS01CBGyYvVHxEIEndczX4N2V3GJRVb2GwX9cdq2eT
4bWItoI/2V1NFtIGnLAfwTggdmiyi68bjF7QcbrSwsVTPsysqNv1XKbzzFWoysC/wSP4ZXTQIqRa
U+VGmpxFfUcBSfZ2NGNoVW7k0ts1A9aVaLQ3NAxN5E36pkelhNjuKBLs0Ym0x8eCv11x0pEanR+u
paSkVVLM/dhbTpm5N9C7cmn3miqVJn/FWBgiZk5IeSgeJJklj+vFr9qV1RgrIRiEkr6VCId94y0V
6kvTuVcGaJnMSIHBYGTpqafDODV6G8N1GCIm/DVOa6S9l3okbdTFvmckKROk6ztC0gSpevlr6E0q
6hqQgiDL7pSZwKpTbyexVdLeI9o3goWKNSyeUz8jiLsNYaKQY1nsAN/fxt9ImHCalAnZawl8iLTQ
Pt0FeYZUJRm6WsrwGiE4gRCwA55b0b9I5tnk4/7+il/8brCndCVslWllIDh/v+JYC0Fip8BNkPZZ
Pu9xfiRX31/iix8lFCHE1JXCHPDnvKEPj1bLW83sIy5RSUezPpacesi4DPQC3UZX9yXts+8v+AVb
67cLqr//JoveARKNRqdwZ5MXU7HUgQZ5eJW3bd78cDFl+tM+fTm/Xe3TE+wqXw0SkyYb0Q9oyJjW
mU6UEs5NUs0xsOeS+phLOvpgKis33//SL9/eh0f76atVqkIqTUFtqE3QAlA9UQFReq3702+cCKzf
/cbpPj68QmzbZeJmPFFVc+eCjkZKEoWpw22vJCoDFGTdZttAF/r+56nT/f/9ugYIawWrsTA+oeHU
IbJxCHPdhnSPU7tKX1talEq6RBy26DXQZahAKWcYrjdPhk1rPWvy2kAr07uN07JrTtMoIvuqJahJ
vLOEPD2zt0FtPH9/p38jTLJiFfGvG/3MZp6MJFZZIaKKxtRpehkBIs5lmHLFD0TDL79tTVZVUzFk
sppPrFy50MvRg8uDvsLh+/Lbs+U1myijRiqX8+9/lPjytX+42Cdi8pgBKmhGLibX0GwqctGpUDKP
1X3rC4YOoaYgZtoE5q2c38rVY1xC0JNfqQj5Sb5CFYd0DJVvszTZ9A30pkk7r1Fo0Y2fQRyAMzQ4
AwK2trt4tX79/d1/uTY+3PynXcBELRe7tPVRC7ITRAQe1PxRZvzwQpRpff/tGzVkGJAwwDVb+/SN
BkLtsF3y6l2iUE2dYwiZdH44FXqSlDP9gALQq0t4+lpWTwXx5ve/U/1yA/rrBvRPn4QlN6mZYD5g
fwWVw0nuN5eB1oIOD1y+7TUGenXzUjitudEZHOHJJwOTn2xsC/dXSooT1O+VdJW1axoqs86MFt/f
n/LlV2RoKmRn0yQC/bRBlm6Pz1LG6yhjajJxttP4KSuNLE6eDzywmidEMZXw8PsLq18uSsOEW430
G4TO9L9/2LXGIsuzoe15+xhKmBbGkCzEqdJOt4jZyOPrtY23JKovMZYmRTqGfrRIgo1a0ZvED5bV
68Envs6WMkqGpjJmioIjv7vpEHZ7zJAZ2uCHW/7pjqfV/+GOk16tiKRGfUYxaYaNBvIa35WqzEf/
h9Xx05UmXuaHK7VuVPgVlAJyxAQGijxry3utrjcDdszvX8PXB+SH1/BpgRgpwnHJZSHaQCLO9P7J
o0KhbvMQOzFGbSZKeQjmfZ/RE5NGBmqUD0lA7ynLhHH7QzTyVaQnFADwGBVNFaT+p9vpapR8sadw
fkUEmnD7owoDtLdnltScgjNKFMiUg/2ria589xg17zTShvCHu/hyc/rrJuxPaxbltuJlCY9fmubg
tV6SO6ncP4ZNWc+/f/xfXAlKi6awDAyZKO/THk4nFjA2Aylmo5puJEXdebg76mr44ahWvjiquY6J
5k0R7Lr2tEt9+KAiX7NLKnZ0n3v9lFW6Y2byxR9iyEetfZXAoxvoGZbx+BjKN0ixSVSpRMZxsi77
+IebmV7hpy2ZiR8aUzFhvpoQdH6/lxahCnUpXjFwGGhDC11FtLBIcIuPJNnFc9P+NNJE+emSn/Ya
s0I3r0z9Pp9yt5a+2PKDQuiRS4x/ewFhpnInY7YJ6NzXHmyKzEmk/kj3KhJ3qC7sGHn8w/dv/quT
6bfH8Gk3CUfPDqhas8aBZjTeOgs3k+BH3jEgcBZXR7LWWLGRUp3pQ6j2zQ+XV/92Mhq6mEjPJtNl
4NTLn55JWVugOStDnjnO4bBzDvzdWfIfyeywe1gu96v7/TKZ8Y/JbPfmrGar+SyebWaz2WI+my1n
/G0z/W2/Wi34r9Zz/sFxFs7cWa+d6a/v79eeVsJvXw3zd/SJSm7IEHn5dn7/akBy9CI2ASyzJXCH
u4fdw8NhmD8ss9nhsOSv03JzczPbHDb9bPaWzGcvs3Z2bGcv+/NsEU+3vbhP+dtiflzMt2tueL1+
v1pfOetmdrXe3e1+uOE/s8HfbxjUqcrkV0Of5o7Ynw5WSVOiyPNdBgzMk9nd9BgfUMzMnh6eDofT
0+l0c7q53Hizizd7u7yd387nl/P5/n5/v3/cH2dH/tpur7dX19fvV6/vr693r3d33z/RL5jL5HzA
qqfIiNzv006bCqswWIfTTosJgqZdTlkz0q51BBbJSxmev7/clzvdX5f7M5r9sAPleAQD1+JzpzcQ
EIJ7waIbf5i48fWa+nCRT9tpxJyzCMQIW0t+1+fSpoh0xqHB/tZ3wNsiOsHtASX5zB9uEAqk7Q/Y
6C9/o1AMg5BGBn77aWerYgATfsC50YaMbMuo3GLCyvp+8f2j/HI3+3CZTyvX5lmm1YSnSMirRupP
7hRA6uqpY65gDtLjJ7j5V0EiCPW/ftinvcpSCh2qIleMw6c6e2jFRlM2aXZn109pi1YIW2f575/B
v13yUwikm7quZzqXZHwcepOcLiU0PWH/cAD/9Cw/rQIUCHAje1RmI8qyIt4q2HMVZkd6T6qAEy/f
yLa1/P71Ta/nt43Btj7+ss/ZaBczJdFT+GXCWtv+flQptVCFDH9Y38rfdsxP1/m0GNCcQ871uM4Q
3hfDLYZ5p1RPxrjH8ayEb2240BjLie3y+5+nffHz2KNVgjNT//tcL7zRpvJnlEzLGIjszLd/+GFf
JNmmpRMXTUUxjc3r95PAHhI7b4FYUlGGoJCWC8yLAAyo1oev9Mp/WGxfBci/XW76vR82rtBj0is+
M4oH+bENHhX13bNlpw5v3GoLcY02CtMyDyodRUv8MHpH+eJT+e3anzaUaMgby7dI8Q3i31lQmOO+
8KpHxc66RRt06qxpLBIDs7kvUrDKbRfKSHSMJ6Ox7irQBEe9qruVqUjBDG1ou/v+Tf94e9Ptf3g0
qtkw5Ubh0cTwl9LskVnEi1ZnYJNJHZ3CNcJj0DKzHsdUXE4THmLHUJGb+eshvVPy2+9vR/3ywzAU
wgSOM6odn0KErsuF3VADx5R0b4dLV5g7NV5TogIS8lroSJQAUNU2XlBkY+ZmBFPom5jl7m13bRkv
fnS0ELqI9LrCFWxekl7b59lRBU9i1T2qBPWHlfL1p/Xhhj+t0LjPAxNeNitURYIlU5j37phZtbDg
WMzWRmDvShwDRdeiBql/Oiu/2B4gBDJEfqreyebnwWEp3lM3nbJZZtZ2J4+RvHORKS8DINFZ6gn9
NVcTxoN3SC9kaSzoE9ZnCQf2Tw/hh/v4XDNDEqqFCsgGKlFJMBceNY+JNciQGxNGgKc8JpFm77JY
x1wvYz/AFVPN8rBNfwjYprX0aVv++Dw+TzkrQysLxoGP2UVanbQMT6YMrv+wor/+RC2FAiEzNf4W
dEMSCKCl8tAliyEWvsd6HfO2Q/SD3rOvQWhZAqXu9wvjq7CIn/bXVT8d32YTjFofk3F5GN4WwKZL
Z2To86GyQ5ybTQLSgvmnWJKNG8UEnS0FUJOGHtBwPtAX19BF/9/ckaULmfzPZnDmp41NdUupNXLO
JkuOnksrp/wVPCD+djoGcddlchN1mKHM7pzhcW5V2NmiF0ugAz8MH/rypX+4j087WJPIDP/MiUrR
HC8YnnIcRxXtevDTYvvyvX+4zqc3gJc7EmNLYNrWxYZGcitvpWGPJDjHozC2EYziVY9hRW3RtMW0
SHGsFxAjT4ZyHLMfnv6fVYW/feof7uZTbCXJZgMOZLobBNIYEGvUREGuOUFszjGcz4VFz7BYeQZ6
QXdntgD142Imx0tLbIZkCQqYpnWoUa/z6Pj/9Ky+3BCmmYYkJsyu/FyRpHLg1h3xBUzJHvjYLgLQ
bSI5tVD8782A7uVt5j3K/z376j9/Gw3KvFr++eP42o//+L//3x97q36cewvwUeeL/c+Pk3X/4w1n
TT0cn5O3f/7junl/z+Loi3/np7m38h9CTH1Hm8q5xvw60+TKaVbW/j//oat/UExSZabz6ZpC8YB7
+O+5t7ryB2/MtFnWjHKjfKf8439u7vxfX+B/vYGvR9Gaf9al/vpS/xwSazBa09JVHTo1efTvEQZT
AkSpyOg7rDFpV3LJgJk/WYupHiEH7JBf52HyCrb1kgwK4KL/YS8y9FueSPw3VltEV0lr3uglxD5g
BkvhK06JbKnRIx2jp7zURox5s3DsqnIJJrJYGXF+KzKJed9aUOzpnKIL9P8FbLRiw7i2YfahNx/k
EzoZ37HiQUarrJTzXDHEPmEqwQJwwDHJx0PuQbCQC3GlWhmztGObgShcBQBS0gaYaUtgHBK9eWPc
5VrFiQvtEWZUdAJ18ZT2wxM9zEvm68qiq7qHjJj4NrKa3QR/LLQMIaMkrK1wdW1RcVzpQDgORZpd
wdC8aKp6tvLh2ZI7yK2IzcwWw68HOAvC/V0fARvCmbUodeYv9G7OTl+i9xZB7hiZtoA9USBPSzWG
6FQmJfpuGcrWKWhra6tbE8lLFWhVbfVophGODsQVdV3RfKqOZQw5AlbHVW8RMNiyWDCeBg2iMdwl
JhM9sS+iRwVa2avGyZPMlzIpH7ygoo0IYSyQCBpdAxmHsFDZQjtSreAu6NLXLJDfS63DEph5DoTF
W4bzGUtoyFfwotZ5jTPDb7tzmYQQYOp028Wog40RJWxwIwbNYSbgrdHrF3MSQCRtcfQ95Sxr5bwN
mosexcuxS7cNli4eB+PGjQoVUxOvIVGAG8A8i5sUa10GPXiAq8vEP6a7RvU7OIelZk50GKHDikri
G0sdrjsZVRMl82Xr16QJkbfw/OpFqqsjzr6RVDrcl2qH/M7rgGTU1kJE454Zg6sgw9XTi+TklS4u
WvFcpLrndKl0VUkmVGeevELrg+OKYFXs7VDeZ2G0b2pAYdKIyrgKwVmNh1bRGD2kQ43LmHgWH13F
AAri54dw1B4a1N2DqQDyrl8G07AQNCrXygRoQxj1qBXhPGwvbpFFcw/tKpD64X1yp5QDelXmGjxU
DfqR0dXOorNu/AHpUF/nb4XGNzsoKupvC/G5W6IzMYEyRZ0XLeUuWgWj2MHT3Gum/yx8XLCwi2yT
q4FfLBY9zHBMmtiiRg24U55hUVXeylY/eUMKiFB4T3oHdRpT9bOHeK8qESVqWewjKlW3KAt2OrOP
Rsma2q+Bdi4pdxNiSDOb4Uo4kHYenD6++XQfFlCHB2YmBGlZY+eM5JnqV69ZB9+6sUFEWSro/L7u
JXSNjPqw0oathjdlU2QiXq9uvcx+sBPEIE3/MvRMrVLs+5gJiWqB/8SrBxyR6SAWCWNsGDESOpZW
vg0MR+BBW3S/NXvZueW5U9BniZHsDvb2JmA8ggNxQHV0TT8R9/pzmw8QOUbUQc7P3k0zeytggiRa
d+pypaK1noNB80m2VL5zI1fOCpLaIi2X8kR6MCrX20aphhdfiXSnHiGLuLH7liWGfpNE2UvUg2Cm
cZChadYQ7IXdIkl7BgxZvHNsjBXqlMnxix4OQBZCfoywdYieG+QnxnPpqlG0g8TUm6TuNlYsA34v
L5lA2Gzi0fTRXswSIG7dwKQNeL4iR/jv42LoLCbuxmG1HkKmeESGiLeMv3luzbqY25QgCVfBDeou
8lkt2GTmgPsoWdeusosrN8J1qC/BZrwXk5+qZCgMqJM8Wlg4hBKMirE/2DPQH+bMq6xD3HMXsg4K
1gqvdTwz8ai8w8JzNIW+q+2DFTXEptJ5b4YV3w5lZuL3G6bpXxGvnXPOXKh+rNFpVM1X2Wh+aVVw
URK8GGGxsLpsr8v6raeJTQlzFVQh7WylcOlTejXjZqaRO0mKH2RcMCuWITASIAKJ6qA3QRRHve2X
mqaEiy6aZNIN78rMB7hlF6v19unQYAmBkSEzoyGDabeWAvEiCM2H1H3sw2zhtWxH2W1n1LsiMnZ2
kN8CcpxH4JRq7xwwcBSzTdlWjJ/CJfmCoGtwNIpOuapL8zLOEibUWi9uFe+jMFm2Y7plDiv8wy5c
4vK5UcYI+0QfOQ3PAx4trnLxrEkj9r08zfFzgu0yvcchG/BYGePSzGKMbh5POR8YuGPk6nMBFgHN
Zqo44OzVi0U/bVNFfu9kRmkfWiO9LQOCSejJa6Vm2Ehe+MWqtdLbHit8no7K2pPw5+nJ+N5JIV+7
1C6xWT+OjYXRtAY3r9rNzHLHI5+YI2SbDLK3mWZRrJnC4nFYtdimA3PJ/ArG4MEMCHN0k2zeqYop
UXfPnjA3AQ1HI3e3ndwvA1GuOqY+1a1OzbEFYM+wFi9dclysdEOfIyoAos+IDh2YW1A264BvPLEi
rONDuNH05NAD/GAT9Fj2jYGONHpBcYCeOnZv5Sz9lVYh458iJgm09Hda8QxEeRXF4bpnEEw2aEto
Mpg9oviQ5BleZW2Ac9si5LGiF9cADFpy5qDCJWOGl4aFRbFPgcB1JOECQfSwbbIETcWQngHaPkqt
urXMKdPwSkcKCQRYvtvECvm343QGwMOpQsglQaGtmlTskrTb6XxWDDzcQM5GGVL8kgprKRKY0vZ4
AidGmKC3OchVHqjlPxbYZ7Mg3Uddfi+Rzyx0ubupJteSXF3lfruRYCI1XbevLNILtT3JDKBD9rPs
bGYuTMMeTBu6PD817Optx0w7GJQkJQyFIkJhFBFh2jDcJMBmxOQ8DSuxChJMNKYpPxiS/ousyXDq
6g6wlR5vQ+3Ym+giPVdldBh4EdVlCoKngFcwnsjB91WWzYt8B1j2CCJ5rhXiGEWsKZUIKu0ug9ac
+gKSasDuHfbhlYLFBJ7EwSq0X7FqL/tqeMqCbG7m7JcJyqsxv4mb4S2jQZ436r6zwGNJMvBJ2T9W
ftcsYzDrigucOcufzdyVZ3yHc1kZ1nY1vHdWLSaWwC4Mhr2CnXHU5RsNrANTM8ZrLXEfYvM5ia1l
nmb3Uq1F7E8oAnsExRhmFjDRb5jNuOxVVUMP3C5LzuaCsoIblIeqsuAXtNVCj1PHHkooFgi4zQGr
vzJyBgr/ZCrxwVbKpYcyPJTkk9v5x7TiK9F7zFLAUTj10uUYYJorciPaaiX6qdBPFkxmPmpduS3j
eBdU0loumHiYxgdajzugGoAWdYPhg5jjNAXKTOIxFaNSAO2AC4nsjUzVFrRTvqoaiPAilHd+39yU
kg9Mr4HvG/R3Vmu95wZxlByeKqVfFS3eGQaRVcs4eW6gYaW6uRo69AqNfEdD+a3Sq34rMqwlWoIv
xLfxZTTSU6lTV9JifyPqmDq/hMuwUUc6KGhuK69hBKPwD8Ewsu8CW8Fqfxtn1WNTovFtAUWFTYye
HnmwHcbXvcFr1MZ+76lsgCWiazZxTOcew5urEXdg4ebTlNKOCW5JtioyJkvKsX1q7PzoStNLtftr
oHRvijeR1sJ10ysLtUG9Po1sUMF8+HqzgwqC9655gsxg4D4BrMb0LuS70TlK+VFGq+PNQ9cOGVPZ
KY0Pl9Gvx71XmCnM0B7IujcM8ay0u/XY28Mhgj+K88jEVYYeLbL0czz41wP2acbP4KaL1WIzZJo4
192LVfWg3sttUID4sH3YA/W49dz+LWtbcBli8WdS+m+l3ofgpcyq7L3+X9O/9q8M/fd8/f+3BF1C
K2wzXYjs9ds0PWtq/z8eszKq/KB8+5iu//Yn/FfSLsl/0Fqkdz8NzSUPV7jCP/4DfXn9z39Iyh+W
qupM0bWZF42oyuTC/5O2iz8MUAW2aRiq0AW8zb/SdvGHII9HCYAWRZfFv5e263/WbP9K2xmYa1IZ
4I+jD2oIWYhP5S7ka2ra6qE6M/A0qOBjqeExGAt4urXIS/KWCLEmW361NAus3lZVMrkJWpIs3xrG
YEGiJmZpwmXkV2ep6cBdiDmcCYaIYBdPs+okMBUgartrjJSpoV5/DvyJfedJt157msjaDBAbl5Bv
4pmpeUtzdFGWKk9jkwyO6Jj00qnte1BZZ7V4b1Jpx7Dlu455o2VpH3M7wGOgrcysc1pk7f00lgJ/
QXynT7duJlek67KuHlTYrK6y1KpTQDg0du91QJdoiJ28xriBe61sHnJAJKlL1Yx5C7W5DpXJxmqn
8OCwsvZhSPq+YHoJWAQG7lFTyKRhmdj2vsyKmWQH+ASs2t6OXfbAzMBl2XNwpCruh4CRNINyEVb/
MBgQ1v8Pe+exW0mSptlXGczeC26ubTGbqyXJS3WD3DiowrUy1/70fTwra1KVQE7XomsQQBfQqMpI
RjAu3c3+//vOcWvMtCnFoVZ3mZNidhKavR+pDgHABfzBk97hLr/oBVWMGp6KbUE76dAndVN/SC31
NEwOgvFC7dmbpJsgc1mTW+ULsBjOSdZ4gX43PvV6GLwGjayXMnGqvZD6tFGpdqXQ7FH4mbiuSq/Y
FpMPnkTAEITvBO45id77vuF3XfPqTvpiE0kHyDt23z7g5gkXddvwKzIV9jcg54ihcmc0ETZ21Ltz
oJ6KD/qM0PC2VTqWb9wgXtW888YTSxofFJmudVwVYF8CkSVRasvmVsj4S3rjQSu9bBUAs91wI6Dp
fttknwnbXtFmpzhsVpidW9rmqW+lR9PQjuZPNb6AIzwh4emclnx8EVQtCkrMGIDWkNOxzuRPZdi8
1BXnV74ZtGZEVC0onfraIsDP7PF3rNfeFoTtuhbafqqrJ8jdi9qptwa3YqvWGRS0DunPp47rplOe
K/1OUHfdYl2lgGYfSxrMeoqnybEhQyTuOpqGbeNRaBbpumiAxHicmosKuVrppHem3k4AhaibR/GB
WN+tW5gEsW21zYEsYn/mZ4qlQ72MCJfq/nNON3TyOVdzSuTtAx2SumEK9iGH2MwnPth2kHQXLtQn
DDr8lCXTJZ9HsROvTFNGwTMMo2hlu8bB0vv5Is2qcbDl+0iXp8S+QKq2vE8hruaxc2HQS/8JwF8s
d3FUT7sBXtPCtaW77m5YPj0MobsyqbNY44Pb45rMmrPVwzYM3JxUuEWF1x2uoZdcayfayrzHyevM
9AdRv0zjiAPOI9Z/aApqMFnrrlVpfeboMgqrOxbacIC9i6LnMyuzZVPxlo1suCUi6q4cxU4ipQRY
u1S/uJkKflwiLXs3be0TWeOHE5cwQuWhN10wGw6MqaR60KA1phWTCLvnUGC5+dkfnbtQaN/tcri3
06/KxKnAyIu+3bKEsc3TJNkYKoPTxac5sBkcSQEhwj0h+vJXzRAtiefOB7eWq0oBkyBf1dGIkW4y
3TOMZc6h/UvXdnDWms+gSw5ekULooqYL8n9Zm7ZH0SrtaNpNxc4GUjkDkY6lpsxFmzEszS1R7sFf
tpsoit/ijh83rmzMpXx+cgfNd5/J4y50X2xbOb14uZXvqyIiI5CSfmwy6xJBOYRDj456VPesjy4j
/sIg7a9F0om1mNEqgTD5+Tbo/hlKvrjGOEMyOfvI9Nuk+4/s7W88gwegKLEqOThWkvoSBflR1J3O
Y90ANku/U3fiV4upwNK3zGdHVcMCGbuxCDI18jMYjqsMqzDkOXBQzFxWYU9AxJ3S2374aHABbDzf
aFbgTLfdUH2zIg+Evpybx33pklPJoONpcoLOb7DecBXvHz7LkNuwvRtayz9RsJPzp5NZ3KGw2Vo9
FxbJz/ZgIrbugJzNa0qLv4GFPn00CSKpTopD39r2Uk71syJNX4ltauM4Vf1wFj5KmyLaurCpl7bd
33n8gZJAncBtcOGIWY8Xc9cv7W5cP9n3HdeRQFYXLg3PRhshlmCU4fh8vOkkQY7VmRQ1xj1pmDvg
GP7ko7wbgCa+6Hb4GHLbZHEEz6juHS7gcXRj99gd8HqYlGub0d6Ftv/Q0C5NbUDQ3E9HnfI0VUgX
vobTn53mbNNM56f+ZpQ3OiKfAr6f4EqNI/usJfbLCDl+W+Ss0amR8dSEq6+zNF6awxcz8tMQCJhY
De/icZm5GLMHORxr1XxvsunoFdkHsxgEsDdaiHMSwnlaksrUPhkjq+Xwmqceu1G745vqrflge1A6
mBDCOgHG5uqLdobU1vhLm5K3km4efPXqOXT/McXSfLD3ykYarieb2eGWtQnTJ9te535DWZ+3u8ms
Cm1Z5mnrpoVdKFrnERXz0G6qmNf8UIz3gM/d6p1YCUO38GgN9hWIVK0cPJg2V9ggQUCTX62x2Q6l
8+g13DItv9vKgM81d4jLnz8Z/4ctpQxL6iQv/vFS6nb4XqjPP5x0f/51v5xxXaI9nGNRy9qcTT3O
kP/3jOsKmhz8L9hodP7zyxHX+AvLIov/c22TVLXkF/2ymbJsaREe1R1TwnS1/sxmyvspDvDbI67g
X8aKzBWuQQvvdxtsSajGTgVDvkEEL2llNDs2ORUQzQkV8YAqx1B3WMa/Jk7H0BLhn9jJkwdLMBH6
NhWCohaJJdTES+yivBdrZqpNuw8CUa2sqnzstR6iWPitzrTuJSrGvbIIonCHBzzU18dS+re+Nh4V
8jqm61R2/Kk7jYO9isrmmsTRAfvsa25yXDHVyH9pvbmxcbVS704J1BGl5CGhaeIDT8Z7iHoUgywD
AKrJsfepyNwxE3U+y55PdWRXt45pX20c4aHGJMy3gn3jaVfaAGqdetPcnVXxqjMt2voJROiyfh9r
YiyeRMYcnPWgzIEeJLONZaVy9wWTLgiJfo3q/Yg3rNsUXXbiLgNoB0gjs6VgyiI0UrjddCxOm6wn
+W9otKgA+tD8YIpXuvpNKtIPFc1muP4kgvycShC4LWewUCrYB377gGWS/jo94aFRn1acfgMcunMT
Dli1lry6VnMXD3gkvby/5AiLo0TaOIb8x1xpBz9vbn3pfVhF9OK4/tWfsFc4AmF9nXPOkB8RvuO1
yRKMqbg0APZwao+iexk1N06VbBNfZ0gG8ooPCOMFLbu6IbWfsMPm0n7EeI62wivfYbFuo3448l58
kxWPSzM7aEX7DBB90eJqkyOKcJODwJjr+9rph1XtUPYils8Ypb4N0vHqpu5BR3WCmcK6wsB+Z0T7
VMWNgfR2hGE0X7U0VI4Ukt9xU6xwy785TvggnVotCxQivIWuuddA9e1SdnfNt6qAgiFSDUl6LZdo
zhriZtmNUDNWyGTIP4XgvBrWipXrhyh8EnNp94m+pvz3NLlIOzyYm5nApdNROQ7q2zGUK2F1l66J
nqBFfkOi7NNRzMZFOkJP1jMUcoO99uZGoJ57B8caz2qmBil411kabtseqW549UuBy5nPCW9fCgtl
t4lH1l4mH/SwmFYQNhja5qex5NbSkfPKPTPdQxf9FqcWfAHzNg9nD6J7Y5o84RN4AqEjjyCTbhgk
sfDJ4nVnZWcnCZ5d/UlnpIm86lsyayCtmKx0mXIk9uwZaqNehm7pXhsGrXE2BMuAi8camcKTx+zK
9NvnSkBLzqJshaOX84dmjKdazSPadD2VUGRoWxnGwEbR1qujPlirhCEOcTF+7rUd1f41qEZs8wZI
LBVP90VgpytDpmt7YgVsVyuX/jpqkCCYsDjyhtY4z62mpj+gClhhezoaQ2Gv8oBznYi1pRbEt20R
7esIUmwAshv7T3DH5QA2HxdQCdXxyEOkgymO2yQbU/Fi9gza9BFivV/zeMgVU1yusBM0V7GuaeyN
EeU1AbZEWgXrNGTWrfaU23AfpbfXMuAkGQJ7GJVwYyLE2ykjObvtH92qetKb4l6glh8b8ypdYyti
215EPN+MRp3nJ1qM7kwZTOM1/Lg8W+HywZF18kc98aGf/kT0Z+sQaP52xCDZKQ8hoU6Jwqa8sxTQ
XMYsvEQpMKCcGIsTnwHDcqeT5VZhupmCbqkovtc8VxsYOwpGfMYfYcRz4sRsBUdHe/ArRvi9uaYq
AzY92Moy8jZ9TKE/GMo3zuZkpEp89J4BTawP3oMpKNZGxXnRdaejHoEvIlMw/zu5glkmlBqRvHia
t0/l9Ggnt0W7F11079rBmx6O2yJMX0HsE1zbQKTniBpt48G76VssNfpOtfltN98S5ZVW1JCAQzJT
LnBDAH+K0zM7sY77QIso108/Zkz6zBMs1mD1Hko2u63bPwWpAacXhFDGD67S3qmY84/wXWQfO5hr
ohI0ARKeLRCcqmtvfjfpBJng5hH9nHK80InRPWI63jhjfk9nD3H4c1cDqO2NjQ5fqtHa2wgIfjDq
j7VOJMDr160b3Haq3xij/5LwtRFLQnnKb5GDGR5IkHo/yPZttLCzjmptMwBIXchh1bJutI202JkO
FQMBNA+nAEN3xX+bKJKu1vglM/hNmftMUuNG0STctDUXVzv+Kvov2E58l0R0X04qPskGc3GUXUvc
WfDjzefCE9HR0LxzYRTMKFIOo6UaspXWNu8jcTwNBSTvsORYR/mHZQGMjvJs6TR872ZazBDUd0YT
nCfNQSEwbvrOu6/gxKJWhMIwn+mTgZF0qnYz2Ay39950e1adPf6tpGbMhCrnHDW25ACQO+c0Sp/c
jOApkP9YmHSB/HwD0vogQ7B6HZK7CLc8iKzK+fB9Rr6WHtXrsXAvQPKvvW2rkxsAfGbjyFAMUCZI
H8PDbx/7xF67HljgiCGVOLZ7HL34Po4hDIYq7ratOfD2sqob3y1IdfHDXniSVATZMOUNOjwAoe8F
yJFuzM3vsPSBuxew+NxvXeBvZOczXHkH/74g1LfhpxJAcn2fQbTN4YMNcEVTULGpePR54rrWuKvc
ch+WYquUv046H17kqwPEZ0KiA6lKtOuWe8+yFsYFx9VdW6kLIuullrDNwzJtVBCe87J5imI8hgbz
CABoKvQIVBTJtUxgvqB03fRC8ziPT/GqphnORN59bazqgu/xLhCxx0fRbjYAh8I3o9TVZgqhSOiO
+4Uxtdm0eMqEHtzpwOF8N7yoZh5k4WYNvRL5rr6ue+29pz2mxYQSobay0Z9WUFHbVct+3FbWJRBf
uspWcgAmVKu9Vbn3+MbyOwVkuGmHcx+rn6yHq0mHE5iwbJskbXmGdS8y47vhx19ssDh8+eplNDvq
ceMaa9raiYgzZfAUR4JxKvxI2eQ2iFFsi/vNxJNLT+zn3I72HhwAMw6uOGzWU2DcwpPd6m75VIHU
LPToW5vl3OnmBEuAJKAttSc35+dsDHfSIAFsSJaZXcnOBC5KF1VrF2zJyNGs8AlkmPE7LwWYyxQF
uyhsudEPexC566k7Zh/5W//ee/Khq3VoTaX10pjRbdrPiDe18TzkKs4Q7hv4LHadbUJNW1HmjdS3
UFYPok63XtU914X9WPviJpf4fwGh+KzcCUsxTRFKz46IB+6VpThC6tyvw8kYgA6ByShmBIyWTSxl
2SGBow17pAleiLI4/KjHbq2XFAW6yH52W2NTRuVD7ZDK8q2u2DKVuYHp/hinBhwqEyYBh200GkUL
o9O5d4rgmLOTbGPnrUuDb4r5S87UatmN4tOpmURkvkYz1nGdNZRQlq71yR3YPNcORgV9em1sKE18
8AGJR691Wx7Jj12SOngDn43fvfblwe2HL4cZ0KrJw4wht7k0ECMu8yh6GDMkkIPGMrnOxS2qLTz1
uAY5l0XktfOE1dPYq4Uex/sxh09XdPBPEBJ863WA6+GQhkDAiYthpziIkQKzreRbo8xkV4U5BrJ4
AsHGYGTdM09gKjmCiprh03yIDbPiJWPDDgPLjjsiN1eF8LTznASI2+yhS9w9GT04ECGFpLio147v
32qQaFZFmGebKecDVXcm0h9uBwjO6WwLXM3YcdWO443YufOONiFxuIAFyisrkWync3nDTh9ocEUq
unZOoJMOY2pvkk5tQ9t6qnUO6fgc0siCHf2KfHE3ePlGOAn5ue9Sq7R1VFXrouqOMmi2GpARUq3Q
fXq2hGgb2IECjFG8X4HYsJxok48y+/Ijtru2C0IfWd6CncCS0y320OmhUOG6jfn1qBn6+Xnj99jT
gLj++Sv//5fLMO7zJP0c6nlwZriAi7kS+Y/HBI9hqxQBpF9vw/7uv+KvEwOdTKpwWIo5ug2KBJUA
Va6/Dgz0vxhCNxHqcIrk9+DYHoHnvy3FxF/4R+khOx67OoqlJEx/NTHg3Oaxv2LVzg3f+TMTA8Oa
e0m/TAzmLKth0LQk+e+YnsmG7LdZ1oowX9wrXGMJpxzGj1aEocWo2mdUsMuqrXZ6SY6pH80NkqsP
0YcgOQb/NBGtYejITqYZuxccJdEpcXUkz9N0B0T30avjL6eYBEGpUFsndQpN0biDDvfdH9alY7ya
Y3fVeVGWgXgYOfWbebyX+rhtDe8eaD/ZEXNBqnSvBk6XQBQFKtYuh73KHZwswlPaW9sG8LmXJHfs
9O5y0z0p561sei5QLSRRfZsU3q6suPc68P3aJzwQXIy7ddvfT4wWk+7B6Ixt3j8T9l4pGAYcAqHo
Yyp5jNjEoyE/hvLqmN+l39wW8y6GiAe60zt+Szu/vNH8ZlejcFoAoTmY/aeR+lueIq9tZe9q8xqy
3ohEs9Z9fjcuyYcGPJOVXZTFAf2Jdxzlvq1nn3wfPD7hHx4qZfeuoVpSI6sEXiniPMi7JhjOIXQ5
F6dkVX1lvgl70t0MHUUNGbw2ROBjz7/jhfpN08gIVJzCf8qi+CbncIAQ6rGvxit9ikuIgJ5bSPLe
lEV9ybQMv1up2qesH25sw7sYYXaWwLzKMjmbAPeLOt46FDgDoM0Jf9huzvw0wDi1/NnRfNpt276/
ayOO2NalKYBU174plnAhmx59RlfBWeMKWVJ6cjNrMznpazugGYWBxyHR7bk8FWaJxwywGdDRxagb
i5Jw4tA1u8AYl0bIhAKkKjtLLfcedbvb4jlZdemwaRLmsxWXXgdeouygm/HRU8fKbbf4mpeTm2y6
MjzUDZ8AjzTkWO8T/s5z/tYSCKegadg83PXMyfWWD5pF0NIJGVjrz0WPAMQaVn23LcbgC3/gRxpe
WCO04bBJMky2Y4a/1tK+a91MDS2+sBVTsUU/qoNoW8e46AQxGxOJfDjtoLhHRCgyIixSh86f7lOW
qegbNU4iQQ9Hg7r7uhBcqa22/OiL9ElLMAlI/yYMw+5mMrp7U1ePBuGUbLZTG/OqwMJgAqfUWVau
IslcuCn0CetnwNmfCkD8h415LfqvPMH+8fN7ib6zf0vTXz+/f/5FP894LYa1QCl0RrhS8LE3qRj8
POK1/+JaLk9sUmmWbpJzIKvwtye2PlcMdNOV+vxLdPOXJ7Yl/zIHDnjLzMkISf/0zzyx/1CQ/ytx
wKHCb/AbnH8Lv2431kGiWtMe8T7jRKjwoqBKsS8wcY5KZjc+Py4ksNe/+hb93ID4XzwB7gjDNfX/
+d9/LO06LqF21+CNZVPMc3/XNi0yBqvlGHJ/096m6LGtnl3mciZSiLo+W+k5BxvkHUIAjP/8C88v
n19eTiQ2HL7hfE3S95ZHt/p3X9fIhNl5I8egUbaryXmdLPK58l9Ue/5QtuZNyx9J8u4DZ8e+5rff
0bBtEp17nMWIIlhD8rVqDOeMBxJUuuUDAk+t3f3zP9b82/7dH4vCJJkDx+KPJt3fNZ06qdpEDkRP
vKK+kb75GMh/VWD8u1+Cc4PjsAWgZPe7L4GeUBlBzpdoy43WPjG6/ed/hL/zN0OdhvMSjRt3/ij+
9ptm4N00BacCEiLqJnYIxjQGKu3pXzQT//h34+mUqfmwS1KC0uFn8def9vy/DzecQ0C//bvx+HKC
EhM5If7f330aWMqx101YuyZlSkrzPTMPRDHInPKd/BefbsOdnyV/+GrcwOd1jW5RfPndt9HHL9S4
FdvwDhmO5opTb3OIwgYOw9GGVGfceOanP5hnp34KawvDgb2Nm5bvuNyW5n3ohBcmACBDwW1DRmZq
iAZMeEuSL/fCmgBRXeOMMOzYcC1Gdt/gG1zo0jibZnwmlwVOflYwxNZGI0hN5ujT00EZFRnanaEg
/TnIlab8YkmQczlOI8BY7dkJw33r63dhan5OpboYggMLHShHm25kos7m5D0PrnUDc+JWs4e7Uh9W
fqwPRKIi75wgf3A6gNx5tSlLhgYI8va2m9/LkbpC0l10NwCCJonhCPd7bwi16HyF8W1G6GdIj+sG
PJv4DEfzkNfahhj1vZLGkUHrGbg9b0tvpvh9T9N25dWmXKWNupUwTjmhbMhXHALJPKK4DAZF/VZ4
247BiwurddmbxrcYYunCYD5ieXPSfjYfDX7EKmiGNkvSTOVlzAN1qOIgXcrge1w4t55Cc524LbhA
U50F3cM8w++XkTpte5N0dPs5ji2Stak/dtaHYyLuy81t6DC8qgfOOC7XOKogeDu+xUpoM3WO0EMD
otki2BCNT3ZHjScY70bMJX0nXgctuwP1xa08xCHREi/HrK4BQ+38D5euSY/EcNIfSxhmHQ+wgINr
xKRDahojGeMwEnOuk2IXWaOzCYrHmjiE2X8gSr0bmSpyzed0hpjdw2eRT6XkWSiPIoUnG5sOA7Vo
nSBbBTXy2AVqV7ScXczulMY6yEziCGzDW8D0Vtk+APNZlnW0jezsJq1mv+6w6TVrb8lggwy5A7MW
fE9JnbfQnn2D6WDVNW/kpzYeubfIYzand6cg4Y9u+jRrrPCi+8a0DQoOlwT2Hfb27WQba0dn+5cy
dh7T/mJHxcOgsKdPghlBTjhWMgTP7exY1+1TbwFkr2qDYV5zYMn7QYbAY8ZbzLMiCAbsZlaWwZJf
a9mKKZ1MT1/1bFMkcp6AJnaHsHOgJeTwt+FVwdvkxc8s8n3mw9alVP233Mg/ncY+BS1BvdgLXvti
LjqUg0Lvp3+34vE5blw+/e0j68SLPSUZ0NtkNdU8ZkQ7fUalvqtqryfY3D4OdczEqHMe+c8hTHRq
MNm5aOKXUsCUHa1p607myddnhx7jjmHAUFebngaXmnISC06zbNdePQFg9++r8JWZ+yrhybcr9FDD
dNU+W4l/7oviaBTm86QHD6GZgrIz6pPMamjL3ias/X5pFTWWA+ND1j1E3epZ72cv9YAleXKf9Tiz
tzrYgFUKaGPJMWJjEYgx/V0eaM5KFuIcUz/U4EFYpb83W1RpLVtL1zwoU5y0mmWhGz2we92MLaF4
Eu5Vk29iYCE8hYEMOsxiWnw1tp0uMUi1y27qmr10vghnP2SxuYwCmspaSf+HTgP2nuBGNS6DFPs+
ExnGMXPZseYKp2nFApxRz3SQdsFQOcCxlCSvVpLvgqI/dF1nrkVe7N0kPLbxu2R35w7GraGFD22l
P2TcAVaizJ57s/2ym+SQJtol5Bm5RlsnCIHLpV51u1SPz677YBpfFjmQkoCb3oiTituDBfkhgXCe
d58+iH4z5QnB0oie0dbjpzyTzSerUOJIptgwxESFl/UfZjJyeaQPJflIesK8gvN8YLR24qFOsyNe
9qq5xprD4LDc9ROXs0pXZ+y5WyXLfeXKE9okZ+78APznjrh2sflw3mMCJus1K/SSzikaBLGRqCDQ
i2fpk2pshrVBSLzeC7BWudSeu2fy9vPtOtyYDph79GxrHubfzFgcRzu9hlN0ii2o2Zai1FdiUIni
h8QNQVDDD9PwP7i980CBdsUbC7iCxo6ImqdOo2I+OGN41kkwomBJ3FumiskqTSc1f3j3XVx9p1HF
+5DBJ9uAHI8jhVZ36w3eg6q9fY1Ee1HzuvFhBWS6SU/SfVWFzVSfzgmpTSAG9J7EgwIMNET6Wq/e
ejpw1G9vOeC8KMJpdl2hI/0ye4gbzTJ+Nu7ZlaY8HBd1Ea3z9k11fLj99CUveKRObLR6LE4rXct0
nGpPHbEgprbFJgmMuec7EMEncJhRGpMsq5lhnnX2fjx1cQw6d5R/Vi3MWS8I2L5rbwVKW3438gwL
od84pX0wvfr7kGOxj6elnYQPRszeUlFITVprmUTsxNDEWsGTplUfShj1bq7pt8yGt1h0I7jgbrxM
Cgw4Od3NKfOzTWYVXwY3YlHnwMtdfxvLFDzTLLsNiWKy89n2+YvQ1bWs6/oDoxexSy30yQGL6ZvV
JnvPYDsay/FBlh8mEwa7g7FN06kCYmeAeaeWOQCvE9PLGE33XWrd2zUIcpDU3+6ttZWT1YuCgXEA
ud+xLs+JFq67FI5MZO5TCqREFRfsvhZZZqzSkLNANDSPTuVAgEcrzd8w26qhQWIAsxjfyRcWgHWF
xMlP8wdPjU9tgGEvoGjh0XqbGv9YzYNek+wvhWg3OeEYfW7i7m7gUEs3zKiI8fp38cRhAKObRvJ3
0NKNGGznUHShg3ix2peYm1AEn8lz7Qfex1qAfFJUjJgcJDZMrKy6vA7yXjkdfxDS40jApkPTxjuk
r/UiCjzwhTbLXfvL1YE36h51QGiD7LeDpt5DMrkoTXsuQv8QB/qnNiRPQEUes6a4eth78iKgsG0r
corDspLxuAgH976PxS3ZlateVfcRtdBcEmTxOvYATFfyqI6JLIRbN/ROVi5qhmbtjqrLchpR0QwJ
Oddxhh7LnGGbXZKhGEP3kxDTMhm1rxBUcsvrkIWdPCapxXpAogxSyfRektllq01AblIdytMyXgoJ
pXsgjAzPjdOQBelej0ii2HvZs4SfMIe4iihA0JfPUzHdImKimtlV3lK1WEBxF1IYMt+mNCdxjxe6
FRIreYBFRnECyEfv6jfiKWjDcwyGNjb5oc0drVllbN47Dx/U4F7DPP0sKvd7F0RX6nonJ1BkbrX8
yWQH7hTjFXy+v9AzrHJ59Mba+NPyvRt80Q+Y4tdOar+g9qVZXnWbduatpEgo+ar3IcOXlDOUmXWn
IcFEWcIJImjCYap8UY26q4L02Lf966Rbp5x/sEJNqXsRD3P3JSB0gi9rw88JQ9VmOXXS3MrI3Ake
iSZHkMRFcTdaewaoayHnsVfz4ds4yHIDmYRcl3q15+FkLJ02fq7IOYT5tKq6nv3eR9KVGwIsO3Yn
W8vScMdoDcs0/5mZ3zGR19GpVyZ/lT0qudF9Fvpbhde9q8uXke5MlfociSuwKshFhR6uJyWug5m0
B6NK9VM/9hS6qVGmeUKDgJWfm30ELXqSJPC/CDAtY82ueVp9Cr36anQQz5wLyBDRTgjc9TB4FHSj
+q0d+2Kft9OuDhlX5OB8JtHfOZQNI34OSYQtTMXvhnHjuRHTrd/Vu0gjbVySROIyzhmUjpfWja96
Ul5SXFRGG7+kIa97uyW9he3JTa7RiLSMlhQ7kHWA6dTk5aOV8a4kmlrLfCkGI1gWhPLdKbp3jDAh
MTOesobtTdC+251/bSq+WZ3lPRujyxFS3JfOR9XMM8h5mWi1dNsy3v4Lu00RK0f5S5C2m86nBB17
7Ie0xjk6EpkGc5STN3THJktLYplj/8I1n2dhZHxrVD0tzTQlVaET2UZ96+vEgXiBUOKgEWl7m4oQ
/1L17qb3gEDF48bGievjLJIVqrEiuyO5esn7FtHutE9QDJdat3UmiqJ7MM69A3aBLrile8/C7xdB
/NDxWCea9DBoFSCX4Buq8JV0tHVvskUS3ncG/es2J17eOf5Ti6pXhh88i3izXGQcbvNmbrJRRMQL
mlfuC6f65sXPSBfQis9hGvCDFZoL4T77GA/E1NwG86B7eq8mugB6sWPVvyKMTBqay58xre22JozD
ZhcU2L3rBgdJUsWjlJ4L+ysmjdOp5FkRplxk5NWz6ZPCAp2OdMnCz7nVi4gYdnuKUQQ5JJUwW10s
flEMDrhGGGLwUvS96AIBnpnocOlwtVTl1Ui4EbXjc4gFUgs/wv6VC9yGF9O7rQ27jIuHiJvbnu26
O3MZmnuy6v5yMDVQbqiZSC8B/bvXsFtkLgITSnQjT7iu9E/tXALwX3Mm6iiCaTPvONh9pUXO9jJ+
VNAg8tGJyCrHhH1TaFF/ExITq9t4UX+cxpDAe1afEMWsKy0hmmNeghz0ls1DucKajidWL9V5mLJT
lgR3DVF2kyyJwTbAYbtS9uTsrKVRMvSulbnUpPE96kidWS317hlkoKG+4dtlVOfeRYxMP76cGuqr
vJI9bds12drumfUzfltzJthURbU0HDqTbXtTpy0NlnA/IAmpOXREOm3cCul3z9OpScKnQI83aKJX
P0mTK3z3Fp2XPkjXlBCOvi4WP0mUywazrRGwhKVNAxJ+9jhUx3C+9FhSrHPTvrWRO2hGsP5TqmXS
dtP7f4BsGXTDZ7Hob/++cZk+eLhgtvAfrVxuEAU3QiS0l7SnH8blf6dxuUhooNXGVtb2v8u4nJlI
ckV5/8O4vHP/343LTaB/1WrXGQ8D/b4fzuUfzuUfzuUfzuUfzmWMNj+cyz+cy/8Dnct5Mu5jGvud
OW6snhQR9qXvWd88CGqzYW/G26iivz68AvehzubdaH15DKS/Mo1yjjPjv/DXHnA1TcJ7UGoV+eWK
yVu4LHR3i7Fp5sLd6nV6GD3CP3a5o4C3BiZwllW7rpW39FleRB0ZYifFSuuWm7j4MAf30BlswJri
xBrvIkIGd5Z5EI2815JkRd5jq34yS08aivRiS2aQtRnQ0bL/VrotHSKSpy0LBeFSd7K+egZeI+Nf
JqjuHaUdjJcjLVMbqUafig+Hum0QNPs0F7MbcFrUfrlpaDPoo3/RoiKHjFisCw37pWDtYo3vMkE7
7g4lgC7a1Kremg0LxKBicp2VD0kOzkLXOfsLBzlrZByiqfwQolUzEWcHpxK6Qf1GFuGALfE0EncQ
YMbGPjjkClFnqlXLzg5vE5EfbL+/2pV9pghxzIMK06q7Nwxt8UN9vfihvv6hvi6GH+rrH+rrVflD
ff1Dff1DfS22P9TX/yb19RxL/E1I8qfMIkQN6EKO5/3eAC1LqwGeggcxpI7pja+AVoYqAKf9L+Kf
f0iZQjj7iaVBfBo+nP47DxL1F5WIzIXtbNWkB8n0hYuhuvvnUdY/JD5/+iJS58/0X+yd2W7kyJZl
f+V+QDNhNNI4vLrTZ7nkckkhKV4IKSRxnmd+fS9mZ+bN4d5qZBXQQDXqLRARklwczOycs/faiDDV
n9W4eWfoMs9yY2XZDE2QnOheBcPTgQje4Bn4j3/YXwStpHUL1OVSoQlfYHR/FLSa/+Vg679cwj/9
wD9dwhkn9d8N6/6//Ig/S2b1/2yi9L/6OWQCGjxyyrb+Egr+X8tb/1uuiP8vnXBkJgjsCxgX/gP7
BCEO/yi+/nEhc4FQeQCRvzdS/PM7/OKl0H8ShIjCozGRoWNzc7mlv+FywDFii+M/SGEiOeK1/KeX
YvFJ8N1QX5pozBG3/+p+E1gwXFdhf2PV4UVy/o6X4q8ieeLreR3xZUDHcP8cNuTW1ihVClJwIQO4
d3p2/d21ufyfBfH3vgnrL+ukheAVw4jpYtRbrs4f3/b/52mLP4di/HElXz4h7j/8rAZ34c/vbt7U
YqoJHkDVKyFIqwADbAPVQBPGdBfH2p2BtIrg9HNmNxa663tfL/Hhtpsmdg+B8yyH7IA8dlvK5K4t
tT0Id9JCm0c3m4DMlwz625t51pEOokDE8Y/Ay5Hhey+qszt+maG8q2bzVPngI/ZJ8TT62ckBkJLm
0zqo2pVTVpsEWmcLP8PP3rUpj8CVYwk3UEjieUNfePSDD7c4dZEBxNxGFTfjFvN0e1oweLFnp8ZW
+QzA1828kzB2Ij0/23qEzje60QYBVUxCGtCM+cECl40k00H9S+xBMx9lcXbLeOcHT1aZfzr2oTHL
8xze69a+GHB8zXvXkDdRBgBFJg82erjC3KFDJfXZMb1x7A9uO52gCXfCOQQm6LEs2dbI08RWBRvf
EOiosZLJ9jRa970Y9j4Y4dzfmeVbjK8PZSRK9vWUJWerbl/gXa9i66F2g3XdQiayzU2irWfr1U89
Hd1H7t4nfbXtnIwLYB4zoKSOMd8OjVzFE2ZrxOCZcs9djge/9wEfkiKgIw5Lu/1Mn0miBUpS/75s
27vOSGHZdWjYFywd9yH04ULHItxr5A/mBfp8cBn6S4P4igbOObcKdycQG+zHWLa3kw2dz82nY8hX
/PxK/c/qiwdkyZH590vvQ/tGbM6/QJT98pW/LbnKUdjQWCNxr9k23/OXFVf+hHmN8BuSrfA7/xz9
+uuCa/yE9QRkL4u1NFmwfrfg8lXSkGy5iwXHwHj8dxZc/WeL3B8XHMDDhLui5hUs/NLi8/3e0eOb
k2Fhz5ersSNvfnLcazfsA6Dl6urkAYrNylLYbZxjCcJFOrHl4R7p3VP/LEfEiofeBpX5UETu2a9k
jylCwNy5DFJsQz8GhwTVp2wAHAkXWp9xUCUkGcNs9zUI1L5rHpo8hpWuH4L8M0PSbC0hMtpArgx4
PqPE+OAnXoMudx4hQQ28N2WPmiyN0FVlPqvCum2bre6+ms5LbHs+FFiBlMt4bvTinEjjNh2HjzRE
jTS4H5mZez3BKIjN4VnciPaMmCyEkpNtUhdJzDZF4Q97kMZt2SBtdVHvq3yNNsdEoTSboCjygkAG
4xb0UDB6qjr7Cp4li2GM+kuAmIUzS3Zhi7G3QxJkB85tQ0eXNFv9fTKAsoFfS83O05Fyd59uCNrY
yLHrBp911+3Gpty3wA+GOrjvLfesoa704/lsaPhZFblnSst2fedAiBDRjZrxQCvre6N7vn2T5NdM
+25Om8R+GoIGNlF29BcR4mhiux3OIpG0upPvrvZYWwvRs3wI9piP5Qqa5ltu9O8OGdZl0mxnUg9b
jH1+QnTL+JKMxqGS3+3I2U/qvnY+c1Bs7txu6p0w3IcsUJdprFyoGtySpW8eNEzfq8U28ALU7F1D
Szy6wwuCRTy5iQdt4TPRg12nugOYjwt+9W9GW7+5TYUWynHOpAvdZTU5kXnlNXNX7GLp3BUFTGgr
ZQ/LUbZMt/WMk6ok+k87q/gCWxlA9KNT7JvH+aKhNnyzelzPh9LfE0Xm4J32vazxCKhwb4rXNtnD
ZgdxzCPB1e8v2cKHPsHJ6B67GmF4iBSeRTS/JKyec3xR7k0ZGhvSD7+3bqx7ncZThN74G94h4pLQ
Ksau3JIRcsoyfPN6+hpmwoeYpH0GysPEMvNmhNzDZ6hjetx4Ljnmrf/dyO/cJV1P1966Zq3I86ij
fTYfQmeP0fI8W9NFTbdW6XiaUyPDbsVLZW7teIbFqp+1diCGSezytDsiZDzOhYIWnd5Dk97YObDp
fhT7bEjPo95vLR8ALE9gK/r7zLiXtbGzBUpO51YV8zVpk69K+XLVlvamqzcRMkByP5BXZy0wDJn9
GDF/p322h1ikFTfY9boNrKzBa2VRE/2kcx6IogP5Mcm24SEai+CJ1J7cS4y3lpHLjpVR4LOonqso
L7GvP2ZmdsliJNtOL7y6sPZtceL53icafhlHwXwLRdnAxscpNx1MPXc94QY2HgxxS07DR98gi+3t
3HqTMfrCRH03a8C2GKHawPgBdPCaVvHV9eUFshKxopX7Yg4DwQstRNUyx6CFNPk2i5W2g4L25jSF
jWTPOmcYs/xBrqX4mnMLJ7zZXKcF1TUI/WRNMWFIWbcvAvGcaDCdSalwAHSTCMj14aRkFnWDGx2T
ySDkq54qJHoVSdaZIFSrN794HTRk7sxn0oD8voXTjk8JMl43BtcU08c4+CCXWys+iao5tYYCpFcW
O9eJBbMn874Y4l0B5QAvE0AEPX8L8dDZJgDtPh6R/Clt6yvccdTXOKLCvVN9tMMcrI2s+PChxzQj
Akp9Okx4XjAHnKC7QK52irOWvqe5enC6BjhRey+6KlhNIUsbH301Oskm7GLPr8q1nstLbwYPIDHe
NUvr175Ahww+gzFXI45jDfGYgJBD78rPinwuoe/bvLtpBFgy7EVmRwwWTh8ksuhp99USTFIxHuuq
r7HtjrnWnHJ5NXqgklMTbAQvlBXq2yTG6le5O6UAqUMYgD9R85t31rTtsu7RdrUfDbyowU5vA7/Y
dpbwDGMqVm6Mi22KqntzyLi6iRPv2imsdybcJtA8zUcfJxcsayux2FFCsXez8Lm3Wd+qfpO0ve3Z
cX9P8Nuxn4DoZIa7q6Me6Px3XocYf1y3STUXS+ewM1PStfvk4i+YK7D7WzyPr/YC8cvbGlZFMvwI
avwH1hC/WzB0Qz06y8K+wY56snuYdlkJ8yAxz3kzv/Y2Xq8AxEM0tSd/wT7ZCJ4dYklwvh1zgl/S
1lrbRvloa9mLNc2s5ENSADau502nxNka8qfJIFu5zsZbI+aEGTf4kDLr1kDRqhUCkBCbDSpSDqOm
8HJ7vox1c85LLE1RuIaY/K0eWEZzlz9jDhnj7VhByTL6dTvNMJsKD/3rYVT+u5WTIaFpR4DHW2uu
XoneeCY95bXBVzmQTmfUnYdxZl+3E1yzCj5QUMRA3JuPuare4XTflRaxF6YLkLpxr7o7nEu53C7X
/BiWzk+QTds0BkCaN91ZzO0DpsGNAykqV+Ihqe29bJq9Plbngn1PNOouLlElp6WxsUhPc0X9ZdZd
vq4l8Vou/MMwvLKj7UyMGLJuL46pdpMlXxh4Qv0wgZG5R9FXwELSGxGbe4ETy8LkNkfx3q8zKq1l
eltYO32utlVjvZgWaVSOf5tU6d4BkzX54pByY7zALG/Y16NVbrvePIcUM+bdpPeIcXVWCn2Iv4PA
Js4N+1qSto+cJV8kC162xGuWrMa12V8DgyLPjw9odHGWRedmKMlT13Za1uyHzjoDD/wyjOE98eNv
tt6mTMLhQQNy2pMws5tAxMy7DObOyqjCO7MkAK92oS9imdUy4xq09fcYICylEKPq0W8eiinHZdRN
D6aA/a8FzewR1HUp2mLasUtcmiL/iHIi7yrnacjkaehzc63CdkFf3fLBvoLGvi1EtSsK46EJmoOK
0o27EE6tqjvIJCwIhhFH6G1QzZzpQcf9VhrhWjfbWx7Q/YTNKw6sTd/i7iIxDuW3ua9c3NEgwH08
hUEbeRFu6WK0HzUunGbc9kjdSVrbuGn8OHAy8MN+z3J0iLKq3AzND4dj4Ux4EqxozLhaSGRXySvX
JUkEu6rTsUewHEd2vrHs6FCb9rrmlQqtgW0r6iF6F1iDneEFWUHUaPxoQ39tepTxJXwowxividtc
zbro96awNfyDeNZIvMGtp0O26+o6OCclm2rhFOu5iaJ1zdMbZlcywzC0+mcdx0A9vlmK+tRXMGrF
SFGXJdZjQN4mj4IyPRa8kFQjV26kiu/sXMPgmJWgAZ27KrAWjYM6GXZ7nWdOBjMlrx/BzzGNJzsY
TpXINwOoO7yg700X7IRIX+P2lgyJzz4y1kMWbMu5vElCQhdmF2IbqQaAbmIiiK0ElE6inao54pSC
F11UpKqxVnYdARW5/UORGMPOg4V3JKbYrULPduYzFrJ16IMtq6HbeXZXnBs7wGiS2TpudriwbPt0
M6QicyBxNyYxAwTV1Z6LYXjVkvE7ysb0nPnLNXnlsAH7jn7GoH/fVHBvtTQCvYUywSr8V2X3N/xi
XpF27UnrnNvcSS8VfoLWLp1NDfJrlcSY8osOf4fGNcfHXXyhvQBfmNXgMMGFi0HduFNPIuKPPCaV
XDrtpjWaSzXGG/yFW4QeL0Y43A8s7xAIPVxau0p8yVAjOiOMCcbmuR7c4AZs7jcoOO1ZxNohBIMo
6qT3Eje+y4f5IW7f22jC8nJxVHvJpnCbc+9TbMYccsvNhBN2wDA1Z2DVgSOerRBjvKGMS2N1r7RT
lKei5H2WdFHiSgPFNtECCgDh6FLfqCblF/LNVQi9YG2Z/TffyD4yTioxnhCoqoT4Tg0s3N7INj6m
Aog/7caQzW3rZlsQnp5JSt1QsyVAGJh5tw1bQqww4FFhaB7mw1xykBHyCpgEE1sxl4hcsBzaHW6t
tC3IMZT1Rw0MpQvcLSark9Waj0mAn0gjw6/zC207i74B0chvE5bfCPjsV3rYsBP15GeFcfMcOERq
pmn6rHL3MPnzvnNAOpb1Mc7di2rMe7fpOxozEI5Mez42LmGCLFHlwDk5ROFTzPdgw3jzVH0nO/U4
lZw9s77kaFjCN6wDatCSC5U1/t707dUoqo2PPwlANcxb7ZhTCMTuxkipEFr9GIzFd90eXtxI33K8
2BdTdK96k7gP2M+hf7F1eLdJ4LmBcx4L8ibg2FC/jnu/izepVcAaVuWWXEhEOmF1l8zihyTdY+sW
4oJv/dR0/aZt66sYzNvUtbetjm0tUpj9MHSsrFZca6Xv4PruLXf2rIVqyxEZjvmTY2ePzUSGnCys
6FGmWgYfb3zNCHmMde2hoFigf2avLYtvJHM3XndG9b2dqPq4gu1mLGEDiDB/0HxJqJ9/TKbxRMAf
aX9BWRFlqeveBKzFI3Q1WmlRePaLYD8ENnBLJ2vWRhg4u6AnxNIlerLCsEVxJgnTXKLL4iD/3vXh
h8qdeC/VCMM8NrDKsknzcEaceqNT13L5JZDHzdhxuBK1fwc+YK+LGKYhHNJAKaLP+tewAn7ROR/F
WMiVAoVQ5Im/FVq/AVVNGKkL3c8lxG6rZpMmYBtwCiWP0Z6Jf/GhGBMLsJiROmtDnM/isiS+clMn
o+NVJUxhd+mMDoCnrDT6boVpvC1cgLAam4HpDh/aFH5Iu403ka3zImE4T5QJb6fQr/YARdVtOLd0
U3bpK6I34A77LyNoKF4GUMbJiabLtpMmsWBOciQckGZp+b0w3XTtNzTnhoV2EGE5/p/O3HT4IL3q
l7gsY8mB/vf9uWeirv5xjj5oXnw0v5+K/OHrf+vScezCOwsYEA4QEwjmgL+16aSg28Zs1eHfUeUx
M/m1Tyd/YgqqG8R3SeaUPNn/HIzInwyTmhaKoaLLz7/8rYTrvwwu6AM6fArD4afQGvzT1NDNu0kj
SJPtno60ikAUG2B3AVpH1Onu2SEyL8XV1t1j/Vpl2nNnHMroFos12Eolnvz4R2/Lc0bmD+Vk7Z7S
/kWZtHeyF67LsSs/hi69utZ8kMDT0mZDg04r20PQqffACrZ+ZJ7oYW6UPXzL9DdXPlDyQVRtNr1v
naYwWZugkDM4wnYbYmUl+h2D38AqjvN8oYGTOGA2t3o5wUF9CcMPI3zyM68m16R2eHOrc0yRFA9H
rSvuaBC9l2Jjp+pDue6dBZRtHINdzEpRVT6Q4lisiRyEQwHtUHGQEjp05EC/w9cmgYfu6Lo4nELS
u3wq7voqBz+3Wg5+Qr+vC+dayuILVsrNLLIfUdLdTZkBTc6IrrEoSViAU5tNdCKjYoarMB2sHkZx
M3iGgMMt5SnxH0ABE365Kwso6GOAww4ZqoXH24++pQ7E0GQLX4YuZnURXbEfSjzOgFCleAqaeud3
kIBGzp3tnXBv+zg8Da5BCgthzrb7rReQBQa5M+IivWY4QANI7Z17qzUjsbsF4QP6Do83FQARC2y8
Gj3G/mCkdIQC8zknwmeII8oT/8dUsKzXxr4R/Ytwku+V78BNCq2TW7H7xn1w8Ql3aJbOFydQCXm/
oOL0O6YRkyXWnai+YqJe4yn7JsCpc27FmhiqqwIL1IXVrYrEKdeqyAul2Dl4HJvA3pVzu87S1rN9
RYlabnLiGsggXNMb/4zUfMsCucCtYVVbwsKRbFqepjrDqwBfE1IQrERR6LcDAaq1UbnXWS8f8gUL
YKudYgcqy9zfA8/fNErbTzQ701CcyYmYcU736bEH9zOFPkFHuvwc3CjemRBCZBbX67mGumCOAenc
fcwWrgNrCIPyROQZRVK4LPTs3lkrHzIx3vRN/TDpoCulmC90qtNVGVr3SG6XpGVQ/LZMbI+0z5vM
nQVmWJA8hAIRsBaNpzoYtsIY3/S4AKTZ/4DYxUZKnI9StGdq2UTgYIbaXjnWwB7S1oRxKjuDLZHk
t6ZrxFs47Eo3M3aUBBBSvwsCjTCgWKsxYCenjghOuyQnLOgwUAc/zMHaq27aQwbZ9HX7o7Py96pT
G3eer6oC7wMyGrV0n3hZAOGsporJAg65MP5nI4YRaZOYpA/YXmM8rMa2JdQmTSC5EzVv+Ddud9HN
5lRwYw26qU2bPYzkKIPn1DVqgw68h/jqVLVvtOIKWPlYlPqx8b/KflqrAjA8zblh6dLNWBH9IL7U
w1OthwmNeBqLhC6TNyTpTBjVLsjo2eji6PIlsrS+9fOwrzKDkBFyatfjeGroEjqFLryOHJSajnct
ie2LjOgQGuRCkZ7pbq303Wd399IhemppRJa25ZVgML2YdrBKz0qjjd8tTct+9HvPNGvLG0moX+Ad
SQoIgELBejMl7VPAFVqn7Zxordfr1tjAwHwL5WNiFldDFp95Ie59+qeO2Op0U2V934n+3v6qhIPg
m5ZrTEK1oXecb9JDCH+1sSvmoKwT9GgFvdo6M/dRcIxFQxbDhKi8B6afbo1IXwXmhQDnQRtfXB4C
IAKryEluqsomUeJ2NM1LOcE8/hmYPG6ZAXT2D2OqvrKRRi/RENFrGz8P8VP0qsZ7N9c+IZvTdcQa
vbSnw9aBR8CpvuAEH5ENVgbTt3ZpaZeDz8Wly23OxaGZVknYXvX2c6qMYzZOZ/kNFn/ZhGtnfBxA
MVm7UjtD9MfPHSWnqt02/T2RA9W8IjYe8mH5GLtbLhYYlQiP80NeT5uGxn1HA9+ksTOITUlfP6G/
7wx5AUGz4pCXvhpjdRczA9tk0/CmO+M3X8+e8iaiAgt3MfODJUimojdrVnvWkZeZF6uN/LeRkYNR
op5nBMHrTI3JPEeQvCED48I2/pBSTgZmsGt0i3s67dvuRz+Jg+AyM+wYJzqYDD8KHhtKM49QdQgs
Y/RmLWMSyuCKbAMyFcnG1WGrM1BpGazUDFgyUAuNNRyZJYPKioaO7sBd9Va4l7l8g9tUGqfeabkg
jG2itoypA7YmsxzCHj25DHeyejz7C0tDaOee6c84MeYIIYLJNZPlaBtAjm8gUjNv2DpMjWr3mre7
jElSzkRJ8XFqZkwOYc9MnHomT1phcQBlFpVUBHsYHbslfwny5+fki3sQam5wBkvmgawSU0ywL9t5
bFF19fuhstYWUHuXCEOGHaVLNUnsXnQcyy1vI/dggAXs1ptyWBFGPrdnMFOzPDThTDYPJA4hPeIY
6WT3jAj7al6LpqIQaVbyeaYL4zKkM2DKkefcMLyTzbqg2koY6aWSzmSyTPnyhqyUuFqHoDN4zHHE
R9GTD2p1CLRN3AYbXXkTATSrlK16MD4SRoiJACpmPHBG9wKFHoEmpUFX0jykDB9bhvfk1n3Ovv0w
dc6BJeXeXSaWUWJ49Aa3zl6JUxbc0C12UpqBH1mmbSB+xNUjSKnbzNW3Chr7GDJKsY7TMhYVC+HD
DBUJDbWOSKJrvCF3yHovt/Wc7DRjRFBAlkkx5ltV97xPefkU1f7HVAudkn30bHu4FhO/s9LBkGeE
EZjqkk/kp1npzoJyEesUO4xfobYkL7TMP9m4NnFXPC61Czks3PgJxEM3P4fa8DnKcs/QBhcM5VJY
pZcio3JXkg56AkJ5UJIu7HSTJC2aB41jDTRcpxjWuSxOGcGWgS1X0q8e5274cCTJdy49Q0GiWTFA
nCkHMpcCmiW+1ry2CniZMZOQ3Dac0dgP5AA/ptSO/ZLQkIKkdngMZP/SpMXJmZOb0mkx0xDcopoa
0Qm8L+dnl4sTrtmCNpXZoGGY8sNgai+ZBeSO4KRenpo2PwLWmoca5UlE9mF9nMPrVLsLv+9DmiO+
lqJ7tsfxIazGU2nQtVO1Rup2plVnwzfP/cy7AGGDZp/F3tU5tBpIYfcCgp5loPZSBN9oKHIOKBNo
aNl5CvybwZ1w4eRPGsTCyY/Y7ggq3ZI+TTHdvzUpNaXPPdgYbOepzlYWMjXubXB0ziGpm0cuQpw+
DxIKvgWXo9uZgdea1KzdShEFHXAFPjJZ37jkKcuUnPgqW5MIDa6ZQhV0CDlVX3pHtlVWftOCaQeN
n8EL6I+z6satpen7qi024/QI7/zdzJsHEk4AYD37cUHYYKHWpeF+Aj8+E5F+Xc5raTUx5rHn/0SZ
+d8MSuxInSrKUaZr2spGabaIHv59IbkOP3+OofvHzxUl1eQ/lr9pP+vfF5X/8nv+UlwupaBlLDI5
tBzIzpYy8Zfi0viJD4L2g/eIchbIMSXtr8Ulacsg5KgrXXsRrOnUfL+q7uRPLsUo6hA+uwkmV/87
1SWfAI3HH+XDf7wcfIjfa0DKqM+ioOtMhApoiGmB+pt6Jl1FcNaluqJR29bNMxkTlQdxq/Xajniu
Vu1VGh0mooZiXnkGYWw0YRs47zE4mvUcQ5SMX7NUf54yedvaJLB2+YMeNP2qrDiMa0BORT2/2DRQ
VJEz5e+eSrN6nNjFZNfv6hyRQlsznx/rh3YmaZJNEtw8r4qIYAWyrc/LzqA4asjhI9Pb9hiG0a6R
8EuSBfxEVy/LgDex4z5xcr6bynnXps2bCZ3png0OTP6E8gqaapG2idf6WsavE/+wYv06lBx/9CL7
FEGMzCsTO0ArLf87OZGhxoF6HFL8h+6mzkCo2u7FSP3XsHH2pg1KzCzL20ARnpqSupXLiols6qXQ
aUzpvqcAhRLlHspkoj0eqO+FsNZ9H3+FACbDjLGsDIA9dXklt9kMS8eIRvim5QFoJdWUY/xwArBy
w0g0jV2/qby/neT45NbmqZGsJp2lnVz0bwx/ry4Cu7bx1609U1GJk6z0BL4dOcSWRYH2OGOCdOW8
rpv+4ir1YyAh1yPkw7OcDJB7zi9M71lDdthpN/1QH9OBSqabxacK8gNwHuKWhxvCZqmu00fJ6j8y
KXFBp1EAQkVdEcldECaX+zUnw+Q+9+Ut6zx7P5CmqlgzxZu9zKD5lVj5ZhqU4fWx5LwScGBR9j7t
ANJq9nTflqbtZWy1hMaW22AuyRobcX7Op9gll8m3ySqhM7ouQUO6RuEFsf8m7eJtMNocgE5NUSuM
B2a/qdu9KuZriU1ZyTTELdubycohcLTNYxi1B5mNu0ZlHNuhtdW0hoBIue/V2HkFlV86lq8hA+Oh
ReREsBHctrucxvVHWzk3akk6MES0C0wCjFORvKpFnKRrd7Htc5RgqkLq0CEYk0fIOpVXWjOks/IQ
J5A3W1iauXuqlkY+mWm5VZHwVtyAA4VmuXGb+JjGb50j3w0V3DPSnYDmilfIwKvYfGkrk6xWgsZz
KMllk7zOttyXWv9WWs436OpMEvxhFxLmI8fJGxIOg2ZtPmTFyKGEAeg6N8RNp+RnOM25V5cQm4po
6Ne5aD5TZZ97JZj+9W+zWXuyR3k68ZAZS2HcFegZ08q47yfGILKvXzLVhzsHrH9DrdMVVIMOA5N+
auiWIHS4NbjpPPc8R5q0rg4ymoUctQed98mxoVnbJP3lI+zOeOgejcZ+7MLG63AAFNoPAylp5HCa
nX0iGpfwmsEgUSaajzHTFVGMBhOk4VF3+/vUUNvB0DeaQouhDyTKwVkya1Lt7Cg8sEBcncb57kBl
W/mG8Zb3Amq2HlvZuZoasIdGj0ooQ+RmGBzYuz54KMmSpvPc9Xe99J9kw2yzKOJ8X0TtrgnptLW0
y6Z8Ovd+/gCnM3itnX4v5BexOhRLFj1tm+lT1bbEwpCwHYhLM+njPRFnhlXuNOBfrdDlqtY5N8cJ
fXvTX8CTk/ZqFUTtZOK91Ss4oyXSiJ67vBdKvgdhfaknlskctGbiPLWQMEXIREaHM071vHPFQ0ov
QtXRo2NsB3/kwUu65Eirc2kckdIj37LwrTOCeZe0qoGYmNTlyXKD8EVU5DiWep8e8sDqnjsLFiz0
SXQ5yRS3n1o6oBtxZbonZ5UUZpKl0wK2XmRN2arUySfROf37eV+eCiFvTB/4qaUPz7UfPpIRyqaR
m19tmDx0s2TjgRwNRJJSy6czkqTJt5iOZ0ya7kurQDyPRPQ1cbfRxvZ5bgmfiFEmWnzrgXfD7dpt
Yowr26bVFVrjdiw1k07796ql6JPOvPysh0INh2xs3uKc+kOlr6Oujq4fvwsk1cQuFTTtfMKidQYd
ieX1YX5BNHkDrnuX0bsX5XCwa2s/Ji2aqMC4S0J0K0XPtLmpo9yz7CwlCyJ8dQ3etDYVF2GVW4Bg
P4J0/OpHBSB8JuwKAYXZBzex0m8CJsoTnOsxZogSIIVhZgRhzGGiAkTZCU5t+DmoFjIZnuvQftcq
6zCZpGL2lJNumz/Cxd5S/JysON6GyMdWvQg/+oywQ0vc6rPjFWWyHrqKRBcrBZzZnKK4v5rJwgMU
02PqULL7zEWtjNF0ILcN85B86BmW5OVG+aikssCFhaYfy3ym5o8J5mRUywLSqO4j16BYG+4xdKio
auRKhLnKrj7pJieC0M9eG1dwPDduAmazTd5uaJicagbszJ9Qi0wJGpe2PBmyv7F1BE55OZFhyKL0
92ch/80OqYarC2S///5Y6iEk+2x/fwb95Ut+G2lgHrF0JhrIixmZ/F54zJRDOfwVQmKJVI+T5a+H
ThwiABLJXrDwXuGQYBDx66FT/KSWY6LLqdTEoiXl3zl0WvZyqPzDoZNTreXy3RTKP7wOy8jjx9s1
yoMl8eJ/jaMx6T7K3FVqk4wu0yRZt444trnOBCHxkSE2FKJ57JndcM/sBuXJFL1UANb9TDH+HPRw
HcPzdhLrVpX9mlE0SyoxLYP7WGrdTRiyBcV26enxsMnIM7PC4mgk5Rk46KsyycuwJQLKSfhPUKdI
BMvMkJq5fWmK9Gzaydqf6CtPiOH8MTrlen4wW5rP5cXUqebo33H286drb0SEwkwLf7O6jdOlLHuv
VH9XxfIMbR7ea/4UqZKEXcLPbuExPpdhxkYd6eyR73Uslg9HooGuwLVngK7p9XSfbcGpmABFjt8M
nrXgIwso3++17QunNLHr5ymhX5CSRxsiTSGhrvbSct6qpDjqRnA7GPaOeFb3ZkatRmzNPSHJ07mY
oXlHXbJu4ul2iNqbmrHtVoW072bzJcnootEVJu7vLcjk1ieYiEDCbe0knl3UF9PS75kje30SXyMO
9QmY4jg9aUDX/d6kE15/gRbfzHmA+K1a8tpJLR3Q1FDAkAVJN4pGfuVXm56hQkcPKegeK6TVdANW
uP2CPaOva19ou6Zi6OQWt8MiuTObDWXTc94bD7Gr2FggL6fzMO3TwpaHhKb7qcgbxWo/Ng9VlJSe
Mdmfsc8CnVWLlDwOey+vkgfDyU8DVMqNiBkiuVHteCpHnDmEKLedpgoOmQ0gsi0akrI1PYBQmfWk
zUI1DbjEw0x7VM7FRv/f7J3Hcu1Klp5fRS+ADphEJjDd2N7SuwmCPCThvcfT68OVynWHOqKGUmhQ
FXXj1iF5NoHMtX47ANgP0bw2M55Y6IoX1SX1OohmsQO9b+6CkvhvR5rXINKNWzzwL6vSvegmE3+V
vHWWH6zTovigUXKR89UWEY59BnKnuokUE3WnBwiKspr/GwDvXagXCPeKGIicB95uxh5pJ+ZIc7Yy
BNjBC4LlE7UZz3EePlXVvOvCaZ3qVNP1MhzA+43dPC4ZnNVFs8xnFfbEKAPNj0j3M2tHkRNNTOUx
ruI7QwbTKmsoqqQ7T9nQH46O+lHaIXCeUa/CrvAsp2Je139k2/T8NrLmClzHNlbc5Nzeu3VyiZqI
Sr2MhBU7aF+HZFY7s0JoleTdU8nIxEiymbOKr+2cMgwsZX6UsdgNWX0qExMKAmlHkNobs9VQcKbq
Z7ZriBgr3+X0XlVcrM1U7eJmvpd1dlNduovH8UKc7cm3zSetKPepmcSemgyESP6BhedDG/JzG82/
DtpXj0rdfWQxUYbZutWaA4GPu85l25GCoOPhVju2Z4SpV4EGmyLbj0M+oxmxqnORkCyT2x9Bn22q
SZyCCdg3SK2rIZAjNbIglFTfyLD7jtt5Z1twhbQIbzVFtA1Q674MjWINOCu8ECx06PVzVNNnYWsA
3aGF+aLqGMb7xIs7/gIRyD/5rxgugOk5hFjGkM8XgK4IByqq46h4NM1HbvStkRTUn9e4NUQh+KZa
DRzbwJtYybcUNShqGUsvKGB6VXhyDe3a6whLmzggmxpqZUCMtWpwiHVxAj3ck8ucNCN3fbStHPHc
QBGtc0jiPoZtJRrW92xmUd2cb7Ojv8VBYK0dMZpsdPxqyV+nemtLo0G/KurprcpysTEq0nSL5FLV
xYc05snjNeq3cwxrqo0g6/lssR9qrKYD7c70kVuy7heLVHou43Y81qh5COEdVhlJz6GdHbrUjNkE
/Le0hqwcJJHLcfzc9wah0xa1bz5h+wt+GQtsJKF9ihJxZxvxLZuCmT5Zawlezq5m4Gh36WDUN2HG
zYHrSr+h+jE2Qmafo7JeMwsxbOxPL2wm35MefBvItAnw6YDs4/DOcmJK5t3wLpqgTdnl77TJPGI+
vEBH/hmkdUpxVZySljZyP+uADyMWeNqkIS82hRZ5JUWS/J3kVbcvUZztLc1476S1btP20wewrKzM
2XMR8R5npPFn6Wf2l9g1setNWPJnK3zNUHbFfOnj4SdAGjlZnD8B8reVNej2bnbjX30Od5ldo3UK
1hWb1wpHYbCdi+S7r/WT7pdvg1vsuQw4d+B6V7MqL1Wg9skkOyrdCBdu52RL1f1Kldraapk43fg+
kW5+IZbpe5R0FHbE3ooBhsHgwV/rcUpJCrG9TYKiWUVn06FQvdXIjy6QlauRpgu7RrYsqJLQusZf
a2P5XbY+lbxZvUrm4qa57sVAOO/75q7NutKLEAN6Q8kHXU8CM2EWfZltcjYLDYVqkq/yonhmEmY1
pK0WCZBnB/Wms7prHVtP41w9lIFzom7X9uyoenOC6Fx3qLunYWR49p86KnCtWv+ZsSBGBnZIoJgV
DpxV74RbN1Pv5tLeIp0b99JjZyZrEpSi1VxVNwPkd5BFSre7ONV68xu0gBnpqL3xHoO/tpfS6W14
tUndGqMp9jlQW9y1z4mwD93sYHcAboOaQVM0+OAV/YzdoO907ZQ56Tnps2eCeV9dazaOiK/pecz5
M5Ca1gFw/LENxZbt8tk178P2I6BnXmOz4qA2t5RkbJkEd0JzOBUNbS0DwvZLjq2BB2wweh24P964
crinsuPbifvtspcHvbYuO4WoDlAFXbXT9c+6WXxAw72D9zzpIGG6CwNold1T7BsPmlOU2KW0V9rD
PD9qUF/TD21TqVAne/qweWdhGGTQrSPhrqVotlXPukE/WRd81CbFDDYZ47qFKCye3rmj3LVAX+zZ
Ys72epvwaYB4AHlN+m6AOUhtDCVuzQRHc4ZKb6Po91nn7wO3h4gbgj9l55Q/yjGnTVGO7aGty2fN
sMeH3GFDGsro4M5Ux0sfpBNoc4P8G5G4qi9lt+g5k1s8AfsPUF4kq69o5Kwhg+Ndor9wEK119v3K
RO/NxxymqfTaIPQoF+64md7KRuep8K1xNwi7paYgIM076q9Kt24DY4EXWy5N3fcmwFhDijfeXiNr
XlRrfGHEjT/bEVkPrc9txo9runTebLLOaYZdN7uTS8OcSL8g5F225KpraNYYfXfHW3TSyeH3pC2o
rEJ8J2f3vUyQ0clRvJgtuQlaTVczHY/Hf3+1+n/Sfm/ZzgLU/58XsNfPeoj+JH9xA/+yhv2vP/j3
NWwxkiIf03Hy6FIZLHX/G/w3/oM9jPXMVYakXpZd6B97GMoyR0Fxg/A7iJGW7elvexh/zKYZTxmG
LfjXrGj/hrTMUf8lbkMZ/FyUucAxODAiSyHtP+1h4RhEFkC3DpkeN+einl+ryr23l954d2mQn/jZ
//DUic1AvbwdN/kuzfXjtDTP94l9EE34oUXpLazy59Aa5SUqfNdLRRBenFy76hYOSrF02jdofDJh
YVer97oyX4oKbHuM2TA4IsFi/QfMbFurcJ+zNIKDa+58RBh229JWUdSZB26I8yb/o5zkpHKHpnP1
q6Lhq6rHbD2nfI0AeA/Yy2F986OT1K2Xom1m8Lns1WmLdTHX8XkwogdgXtS7ww9/8KclvT0XAXtQ
BEdGcn4GkRaJ6UcH2qhbbSuCFohcP9NC2a2oAI9g/bWtWSMJ4ZpH121RKjvEC3w1fk5iOLvi6gN6
It6PmjDexrN+1KAsaK4Kdonf77q+fCgS/eLY9QF+cGtDq9ZBh1f2ZZ4lVaPNvd7Hu2Z4z/tdmydn
uku2XJTAijpirebTtX786nWsYQv6C6EJ70lpHof+s6NPqWWJoD2cOnEK5+smvQV4fno6XjJ34Ka1
Es8itn5sgEHH1Hz1Efm3Azeyj2IoSHMEwGgJaESA6bWNez8pwUTl78SMt2o5sptmW7DShW2uURw7
1+uJWgQGH3NjBerLaPTvwYXSMZEmhTpyAp3tEvK49qqIroxxRLL7W1a0CA/KxRQmEVzI6Dur2nfH
D9etak8Ohqfwko8O4H7nYuFJQy6OdqMFWDbzsltPtXGUbYAwDZEzOnUxGc961965JbUlc2tvwuI6
RV6UTMd8rF+cMT72TbxtdTISUmobHO4N05ZLpRXauE5tqVgT35OmLow95SHwm5s+GR9mArAclrrJ
nBtsB/ibthr+IN/51dz6DjO17U0AySyY7dNYl7AkRYsDFNVQnt9kEH4QsniOeNyncoKYb5R1yfR3
q5L3AXbBYdDcdl2S9p+XHMwrs8r0ZQ21JFbkMnoLIFRcCmDQ1U9geErJm1FKWhD1OXLCjRzEOmnQ
fTnGXnTWztexJbv6fmwcLw2Nc4bJy6DOXrmxwVWALNsaBq8sWJ4pa9k0rTpmEs5aj0Dw7RwoMWAq
WNlU7qrU/ICp2piReXOqiX+GcV7EcySKeKoco50W6ftCRRTfF3gzfVuduPmfG8f+LfviPBIgsvZp
hr4GvXoamv6a2mIlaIILTGa9uKQOMI7hcbLSRWmPkVEU0S7G2IjxcV6HWB3HSsfqaFUnqwXyHRY/
pD2j8MEgmSxOyUYbqexa3JPCGMBpFkclOSq/PrtfWTEylsLowEHNdwHhT2dbiGJeQd7lzC2KTx/e
6tYgXy8xcU6YOdWEq7Nf7J0RA2yG4TMvscqagPV9me6Hsiw3dN995otZtJbxNeUp8lo836tAVkzy
lfuW1RxWo6bfJZl4YFzdu+ji6Au70xl0UEcAgJAS8UgzxL5omHXQ1IlprZLNuAA4JdUPOadvBbJv
sneXxbSaFnUeDP4hRa6nFt1eZ0DRLkq+ftH0pemwTUSw79GkV7XAnZx/4fP5YyIERMq7txAG5lhd
o6dsO6N5L5cIUIly0Cj/NE68Yj/yVMv5VWzaHkPe9FgLGlOGR7Ijmja+RL24EJ56M1L3lDstAkzK
x83sBHl76ugZnCvnq8ytr94igMLXWrpH6+ZtoLWJLqkUDeB4b8jxTxpvpHyxFVIbBXRCSY7vfLOs
wQDDacC0rWSHdbHpdiZbzarIOClkjB98uDXNCTWF2YETVOti0VBG43aRK0LzsFd96tAaSaV/Nkgu
mfVO9L/gi8NvsgmD/l6frU1KFfgoKtSOSOf8RbrJM8AWj5qzWtgrA33naIB0xGP7mKP87CZIAqz3
apGEtos4tJ0rflNYQfQ2jPbFQP7/bBe8mKOsPFtzHvOmz4k+w0XZGcGBXmxyWPm/y/lJh6jLD0mm
yPZgldwPEd0TxXfD7cDq1mvLW4b6OTGOvVMjxn5vlP7o2AUFoJB630EQ7sI0R5uLoPW5Whp+3Q2C
53WN+nWUpWc9j4a4tUm/74NFjYYiLkcpO0On5mP+CGHPagF97aOJ4VgpDiF6soRuPo39d+amz+V6
eI1p2GoNjCrtcwCxRTPluJt0sU2biJmY8ibiSYKDkqD/SRecrHLb2PbaLG9WMewg1V6SiG7tYnlk
HcqDVkhiuWpt5ts5P8ZAZhIuOJbOnT0rPFbZJloEw2PdbntkKajag1NfJC+ZPdkeji18lfCDFnrk
jiAVB10iXqYKxTLS5ck0xh0L04eTtW9BY+2rJH0METsHY4xsz6KVQb4KxNB9Pxzkoo6m+bxe5Qim
pZx3BQLqWu8vrbBPVHpuxCKyBnDedaiujUG90DCO5dTaqkFDS1Bccy15rpz+oeiMKy6+vY+kGx8l
tW7RS8ML05rjtz/Z1xJd+CyiW4FOPKJ4MUU3PmjkGSzHPJN3sQMmfpgXoXmVc7+gPHdS+6yNYKZq
+jKp5lFGRuSu2IWkn63TxWPHdQm5xH49/KV4t6ytaNqnLPQl09X4YSOKJ+jY/BNltCmFsbXR9PIV
+hY8TDum0/RninC8qm7cuGCfITJ+3pV5laitqdu/We0+z4N/lXI94QRQ4n0YzpiY+qSEaWuugfGV
Z58YlPP2Tt9Wwd6wt0Goe4V2qq89YBZQq0MoTklsMEKEITpFgttQ33UFCE4LMrFojUofhcUiFjfg
+tkFu24cPRBST1tkSr2tvVQCcjWOzhOQaDr+pE226ZxzpPfbiI7LEVisck597Gkwmpn9kFBSWbz5
0zXNIH91nOm9em8sB8Q13BhT9TQovndj8rMY46aX7daIs51Gp00QDP1GNRxDOWR5haGbY0r/pWiu
oH6TUqy+P9W5KShIovUTJzyc+TK2yuKP3gLFMDwf24Q11UGeb2t/8Atd9Ek857O7WH2kF/O6hyE+
3OISod+o2r7aaZr+iduRrzLlL2Vp7M2JYuE0GZ9z8UfgeWyWIBDwsJlnFRXRWjeCbYBVtHd+NfqA
pFu+j36a7Vn5NnWnf8CkJIyk8UM/DL+mH9KaNWhbPcjeSxpzc+235aJF2p3TsNb2SX804uB5IO/Z
nGJFIbRAAK3tjQq6VeWI+ZvkVM5+7hGv9Bi42b1GWxps4bb261VdoZ/E/PLp69E3ldyOl7Us5W2O
zwPTRAxYGT3HPKsb/q75tp7GDWg7zliRHkaRraf0D2JkTPWKmCNuKDpk5xe9KR8LSKFd1do3Y8RB
X7b1U5moK31ca+EUd6nWefRZL0aCIPNmq9/oJeWsqY0YV7Rv9lCjcU6fVdWselBmH3vyrhul/6Do
4azYdLMifhIFfHms7fN0Psc6ky9qSET84CZwF0HcfCRpSm7FsqwTOeZFqXisKjTch3RwsrU5S8ZC
3tYQx3m1Nf9Y70XZf4W0Ds8hX1nZXY+8oZUrcB+0+bDWICrSs+KZ/zE+6KWdeCE6H22IvAFzxNFU
4kSp6n3gtGAnY7txqRtcR2P/PVF5B9c+rvI0vLg07sXZsJcRYgTVtejtMe01hhEcVbdw+rMJdtM7
W82nwqsdf6NhuUmC+CWsWTgWU6OG3SIQ7p2ev9toXi1iz0N8MUGQP3f4Uts0ODVJgBAGVSyVzvmR
BJ50n4BfrbRxyQGy6W3loV4Y8HvSgXDhxUxgkZ8vMVr86uelu1nCTzEvozeW3/8fUPgX3xp+5v8O
Vrj8wOtOTfT988+gwt9Ma3/94b/rCm0lFdCCKVnb8a79HVkgP2rZ6F3QAWHbJILyHf/G8Fr/AbNL
Vh8srmXB5uJ0+xuywB9zpIXiULnS+gt0+DeQBVvnm/wnhpeGXZKldEsajpLiP5nWgkZavRgce9Xw
0APkahApZv8ZFPanie6EhY07GyGKNPsICXb0lCwyFQogEa3oiFfmRcViQ40FyFoSSx4qZC5Ca5a0
jq9azcnebDl7ZakrZrevqQLuw530TsgSk/HIQGpM0wbH1L1RwbE0lV/s6kVwE+nZQx8wRI4B15Hd
a5s2zneaGNfGMG6T5OjMY/aOEuupmqyL6Qd3mSlOg+pdCiHRnTi/ab8Sd27Hbd1vusC/Fwl2Ugd+
sxjXBA41nb+q5x+3/64dtVPN4PGfB9oCOWgxeRWzDE9U2Ecc3LUn++aC2Gc99bT4ouLe+3Oy0a30
1EUq3dguMCtm/zzuLVxOAeO9vPVxuR3wZ5eD6FbuyDZV1pyos+0Q/2ZxdabZypo6unIDEiMc+ZI0
nbFx8jDfdjrl01HidRLKnIC9MUoPJp9zj+bekp6wQD2qjsJm8SK5t8HX8+ngONoLv3r2BAuvIdMF
n9Um18PjqN6H4kwiFRFKjhdZ9g6qad+b091AKGDIhUIw0kqKQN9MVchozGFmFTsfRq9wEAzq1Kxp
9NTmOV8zvtcGha+x1NdpY3xZnfk6TtMFYfi7KEfd01oipxINhpE8oAkfiyvOc4w5sfQR03dwC1CL
gd49REHx1czpgUbTfo2Ss/B8NyWoEIGRV5T6IUhmim9REuRThVwNvkBYPmiNhZ0gcp4NiVTOhv+q
022WDUQXiS0K1d++Uj8B4Vd5LPcc7G9xqI4kctIZCYVypwbyo7CJw+G141fcamt8+ayWKIRKJDPU
S1Ak4Qut2rauOtultdW4LHJREsVl7Qwjhw2GXjMUhoalYpBEw1c/N1eDpr2Hc3gQOdkeVdQfnVgc
gyZ+SHTAIjPhriQ5w+Wy3IzDXG7zYGadIDIDepvd1/qZ83DJNyEdIm3PCmOiQQBG1N91Xb5xfPNe
aQTh+IXoPVe05PjoAxdtOBB6Urp3BRkhM/PQVLfYug0MOlPOZqTJ9AULZL+bRko5c436ymmiEriJ
jR2BQimxD7HcIgsFjUJ3Lqj1RlbKBB5EcPu0zaYGq7gDNC78r6x9jsfhqELxUo3VwJvj3LURrbgg
8Wj2LWIqguRIKfcPEg1AG+m+ZoX7IzognZpm+A3GiZsaRLwzY3xdbVxtx2l4VJPmZQ4S3bILAIVy
Okzbh7qJHkAHzjxYYOnaro3SO52peAjHQzsqpA7l8BAYyaXWO+bg6L0hXGE2XEb5HM5KqObss4Wr
UcRe2BLJMXYBjIfcR0OL2o5dSfoY58ulXVGyAxmFQ1CFSQ4WMRBqUp9WPdxaY+H7eSa9qo/SXR+Z
zrlyw3CXNDmWidI4UIdCBGg3X7oi+IgWF0aFw5Ewt+beFhbazWTV2c4+Jz0ONx9sega3/Fw7mvXx
l3WtU/4NuCHzNFkmm5m+VJTNjv4RjwIoI+vHa9iRETI31ntOYaSydBvz4Hwda+verylOLStCwNQI
j8SHrOecpSnPlK5jc+kTDfnfgOnXyhELqhTNq9vj+MUfPEuxdJCeBH2XJg2Eq7oT3TUMeIV5PIL7
wodmSgxTravUOuBpPgtugBUBSCgHG4ArRQe8JKDLTqadyIa1rXLSsEy9xfmgXpvSfqdoGExybL9z
SYO0GdxGEjEk4IZnx7HXdv1b3jtHo2+W1urNhPiz1bNzohfGbQbX3EbxCAs7FP4jg1++9bGS8cqc
G20JwylHVjZjX5SBebNwu3qu0e9GW7pexluhrKY485NdbLckGEGvaq9fztTSnsBZGRmHkJ7xzkHO
zaufooPgFUI/PBYrsxGPpQu2Su4NCzol6rIFOaoiHVyu04ONCtlMCgT1UY7UIsr0115/noGDKkpz
8cEdyyI8llGyCdhFXSbaJms97oK9ofFhWnL5Z3aUrzwMP7G47XtQBvJE9nWS3mnEnQilPRGn9ZYm
33psbwbkS26kdkHcSSJKkx8L0kgjaCkm7gODLhkWqAnS4uhX4cru2Mg7OzopEV7T2n6rJ+fUlAuq
qJGAhT5qHSQoBwZF40yktQdktEtO0ItaUhKVjekn9ynZ5UiT6Ar1lc52YTVxvA47gCPo3gC9Fd3s
49apBhccVSDcXz6zFhOXvm3lU+j6T7heb3Zd7EUkNgD/u5oe9yII3uQ8v5h23qDUHeRjOaSkf1ED
tMMWZJFqVbI9/vsj6v9lcsJ/zI//rahwV/984mz5H5fP/M9/Nbn8yxf5O79FfukiM2SDgUYy/llm
uBwbJswXo6mAY2LS/McQumSGGySjMqdK14Z0+scQukRTu5BmOspFJtR/h97CXPNfzC1KggU6urGQ
W4SuLVPqP/Fbtd2mUMlYnzO0X9nBfZPvabvptW1pIMtOaZ5etdrNIIZ3Xc1EnZmywSFdAG/YdAVP
XfUW2VvLvW9DdbI0/IKRs00z4wET6xFj2GbKtW2YQuWweScm2ZI6QLO/K7LTlJ/GKLlOLemE8boc
029kMD1QdR7tKnfwcXH2xCY53U+UtsiTy/vMhCpxBTRPlnVnZfcoYzrCBQWOusZw8JySqjzJ6i1H
az/QKT261GOLAnV1QnyB4YXcRMYYPyUkXXkkVny6mFHXQ9zZ6zZILqOfHKTVPLmRHpJ/CQUu2uoa
UqGFmGOdsVETkYKEYyLKRy+2fYmu45cEVhRxRDij4+uS4mrmp8i0OOfC66zClWUsxDYyCeucRSSa
hWNDFnJ6n035vte4PPnIyKUc+GakFIudneoIf51oQ7LkrkqcUzqnNEqlNkOvVh7tJSHTRe3YpPg7
uIpeCzVGuEP5XFvVZQgY23SlhHbXNi76tjJ8E7kPldGXGlZwHy9lydxGyMcdgZTQFqIkksgmR6KK
v2woCJggyCybLuUmHegfS77SrDL3bSAQCkZpSMadE63RUHAKK4rnTYTzlyHNcjC2PNwHonjty+Sz
KZlU+k5USHCKQ02KGViA9kNB9LYyQmyRCS7cXq/utLl81AkPlVhncCWLq5z7axDYzZGsJtYIas7o
tY5WaMaeMSH0HiHOzTbDQ0AYg3XnJu4uUgEpfuHw2WmM6Y2Y7rUqIzHQCsC09d/MwK/QKQ7ArO7v
g05bR6aJtt4icFQAoBWaGVH3Pb3NrmnuO4ShzEgQAKZexTfs/l84AqIxuZZApbSAmdVz+p3Kr4p5
XKJrS1Yyh2Axv4raQXpzm60ZKZzyIrXxbf8l5LHK5Ebm3Acd8JmJzSA0iPJsEBgy/HQzv/i2vDWx
PPROsFUh5GAD0rrRCDtg8Iy9yZSeGzLf5Nrj6C4VaPbG55afCDIdjd3U7kPyN9zHjlz4yT2M2S7X
0GwcAPAlX2b+qEzoELm1navgk+oJyR6OA1KUAcp2cP4qJLfDiliD8VCmc09KyXsUvs/WXYwBU+CM
Nz6rCHzxpjJnZwcI9/BQJPjTpmKLfwAE3X/kv1sVbMi74pA5YR+6uq3aj9rVKjSvjxykgWd3TE9z
yk4jq7Oic73EW0zqVtqLp8pPPBcjG/FUKYQzF1uYH3hfSOzKz6H+0GvvBtfjKoUuByvzEsE54vxx
kTuhiU3QB0V9uR4a4kSD+BDXRD9OIdmQBHNhM8PQ1QMwE6CWytUYeiHyPvJBYfTSfcbFHH/4iJUy
PrbGZ39ap/4rMtuVW29rSuZ9UFTxlOOXIbkkv3W4VJd68VI7dNkDWck8MJb+rFvUlZ8Csjeby+zI
X0fUnyn6l+tg6PdOPn1mozF5URwsslbyIhXSxcbA+WcdXGRUbvEryvo+jh6BOit+OfrseD1/yxSQ
irhJYnCxPmmELBZG/lHlBGZwojaNhzZbxwDNYLCm0KQBcWU6USjBV3F8SKa9REakkRgyj8998xAu
X318K4vjPJfXNFJrbQJemLP5VQ/LFTLFTWujwK2Q66qN0LXHwcLr3mjxEyc7AixZdMTD8j36xLxT
kUpWKmu2Wg9z0urPSmDoM55NO9zgs/5FAvfgRPa6rjAIkyOZtTweWHsi81H6RJ/10WpEvxDLrz7U
dtOkDKKnKi+Oaug564DIaTUk0W/sd/xU+ieCi+6MHM7ZhiPgJcxeuxrTx07Ik5afsKq9hzVJdvhv
mDxlvAtm5s2wW/ipjViyAJeERw7LvKq3QeAe9GznTHeTNRKBdlnErwRvcrjpTukJU2173nBWIw7p
xVjXQMfJJt0FqDemc1a9lPFTCR2k/0oTdSWJfM6RX4sXSvFqdtnebvtHp+G87DBcSnnWip/K8R+d
+TtDjed3dyF2c0XqMVtVFzw0ZG0vZfONZXh1+5nXO7u28BdeS63AetOgSs/3vi44zvN1mN/3CsCE
VxAwRMPkFtRE9JJmw9ZSp488+r6rDjLa+cXKiA5BcfZRPBYt+DZessLBkdN54uTO7sFEBUyI7Lop
L0RRp0Z3sItj013aF0OC/J+t6KkaiDZ6x45pdu+1INN8cXNvRPbp10hPt3a1c9iuNTaFH3Vvz++q
ApM9m2tnIC8ztzYZAR0aUAyYrBZfHOesE80dVy92y/Hr6tOLY447fwJrxmFUX1s/2jtZdJbR1jxX
cU/XJMEX1atZeza+mYLddE4eQ/VUtQY0ocF2GlwIA/KWyaCPxH4gvildh2SexHW1zxC91Z2/Vnda
8SHyeW+44WVMx0NYe5rdb7ve38fO5CEFXjG1w52ikjSlv0HZsLIDbxpT1g+51aB/hTuu8wHIt/4c
yRFwgPGHdLpWvs9wc+78T+0YJ0fWki51UC1saBY4h/G6xZnqR+G6euomRvxCbDIpVyp60UnUCyW8
3rqwIA3lToPJ16u1zAciO3jQ2BdkiiyAXZjfUSzcPxZARwDg0QN8ZFRVFM70OgOI2ETl8iUXRzIr
xAxoMvPx+4Ao6YC4FFCFo7za9gvO4mqt65HuyOvHJpa3PvEv4xdeio7wXXAaYZbVXbtgN1pnH33A
nGIBdXw+LEAeiJPf3rC2HQhfxTCRwm/qgEIJ4JDMlWLR8D3sloSAaM2btSBJIpyQcugHtWBM6ZCf
iJGG+AabOuesu4yYNn4+krmRijKfTUpHO5BMd601bArbukRBtAulusP4mq7JnCM91ydFpEL6ONlI
v1X13JNXdPbjaR3x5S1VX+MBCcfcYliryLcxymBLdN06NqLTGLr8hvt4m1Wbzr7k/b4wn+MBd5l1
MEmCiS0gz0AhZ00IOEGK6x+5MIS2X+xsvy0q4+IbKwF7q4zvI3sH/VwUNT/Xeqh3LVmrk45do4AY
HoOrwhK3cnp54HlcMfN/YujbAPg8YWH3fDGUvN2e27QwKmAK0WvtxBs/2zvTJbMIfbovOKXq5NXI
vhz7liabXr6GHXr8hgxayOss5+IlKhRYEWxA6zl3MI11T26wdbICEIZQoy/HqBFmkATB2t8xb087
qzuztNrWpic2uoWuN86CkW4ewj1R4Ybc5D1hJWot64NP7FR8X5UkxB+K6byM98iE0OicMY/jR9yQ
vemTToJGZh20d01NCWoDurekXJ8G61h1ZCt1d4qone7iTBzp4srtTrTZPkXcERXWxgkueUTGlP0E
HC57bUeS6ap2P1Xv4z/8wCPFGn1v88ngAyIp6jnTHkuyQbo0O1Ttj5sm257XH02zQyNAuWsk5lD0
EE538jHuTeN34R+INvQMzT/p2Y8sfpqIF9E2DpG1l/6rTrDr8DyZtzECFZ4IN7V5vrH5qqgl6LYn
2fg3LB5q5ewTPiYWuk0eoyc1v0aNQXSh6dyXkF7eqX4w23OOo7cM903dc2UccpwKSI68xXieHpLm
Tdc+nP4XcXVGJDVPG8n7NrJurRS3ge/Z2d0Gw+cxJJA1MaJvAtUvTQB8aKnmpgrrjeRbVDwJPGvb
HpRqQrpG8V7rHVcHsjzf1xeT6Kqrz45eAeOWO/gRbqoFXhG/YepvRlVtLTkc9PQgZEfSYt9ti17t
HVPHNXaMtP45SzS8RMSPITzGLvU/uTuv3ci1c1u/ynkBLjBMTpK3VSxWlioo3xCSWs2cM59+f/Sx
lwPO3oD33TFgGzCW2y1VTXL+YYxvyODg1PYjdscn6Fxs4lAIPvVvJTi4zyGBu/+p1kdgLBzTcB1d
EWUwfy3g8UJdHUoX+VSKcTzw+AcFoN1pU9M8+IzJGZvgaAlg5aQejD4r2FmBO7QXshAUEg5SmDG7
aVoZ4aZKdlh9FRcw/3guWCPMeybV83tKNQJMbZJXGHjcpmB9V1N61dBihd8js5R49prppo9Mv3Hf
Y7xht4Sw9d9Kefn/bOCBrVEgdf3v5bt34A3/6qD86x/6c7+msyTTQW1IYvWYYCDC/ZPbYRtgORwC
KrBRCrEMMP4229D+MFivMQq1DU018Tj+fbah/sH5QtHLP7RUDJji35ltQPv4pwUb6l+Ik8suj92f
jbdMZ7Tzj6ONthD6MGQzFlxIj5EiDn3wUeTog1BqRn7rScOHXYPoHvE9AAmkOUgwAtO+JMjzdaV9
dJgGN539ZMXU+30obvUwwDdT2fQilZPG9OQg+U/y+qMxxmcTK8CAdVfp/edxoADmBdSUA1x241do
T1cNK8FQ8uP0mAtMQVViYjcIa0txDQwIOkYEDUOCpY6wxwJmGxLEhrrKg+8+dp4bbAz8XPdi8TUk
pcKmvpyReo02BN5KvCZG8Zxih5ilgwTFQnoSp8wUmqzf1MZtHixsJYuNQkepgHrK3Pd6/1zgtGhK
5DUdX+djsdgwBAIgPIznBH+G0mDUqHBsKKk4slnEcQDEKEeiM8f8oj0ujxG3x4DrQ2fk7uMCGXCD
zB3D+cUeQm94hiuxqhPjp8c/UtXB85TMZGVrlpvoMRVe9aYtlpMK78mAB6WvzCemufSp9WYwUPCo
VBENcRMF7pV4QYToBcGN+Fok/hZDtZBIL5YXmM1i3Sw2GBIttjoqqdlQzmpfPQq/5N7DOePjoPEX
K81kEznliOJNGZis2NCyVkiWeXOxkqnH5ITAZSsWc45tRc/qYtcZBIYTvzLQNOblOkdzFC/mHpgK
Vx23j8KCzcH9YxqpJxc7ULwYgyZAvRNOoa5DBzEu5iFRVLsZN1FtTMcJd1FSoWaJIGhRYASunrQ7
DSeSiiOJFbS5VXC3rMbFrqRQyXb4l8wCrN00JyQnZPBd/IV84YfIxmKRfzrL54i/alUvpqgOB3rH
OevYwQhcU7AqkSidddui4+TPlriralxWk86tKJj4g2/vvBQnVsn28hj05rFKim+Y0Wf8VQdNkZd4
4oNurfgiFltXliqPLCewHi6WL6ZHv2In+MGb9tKN/MJOLhHYcH+BwEQOUVZ7zeeT6R2OQ6iQgMEA
/Vc7UlBlNhjAoN3xMNz8SdpIpvor6SXButJZpWrlOxSIbZGg3Bo7/2hNLMJDXzk7fQ+XM8N3aCQZ
ONPiaU4dwJylxo7P9DrfOdWq9jBG4ljKYCfzZu+bNAuKrr7n489kGoiEa+B0UE+mAFFpX77kWT2t
xwKrdUZrGkYdzP2xvCcogCtJwkqs2FyvqkL4QXpLAzgDRWSjdtbulhx4V7QmaM/yKPA0MVv5aBXl
vLSMDq+iLecPjE2ztePkqlaWzbCLvbIfURR240eFEHAoyEWClru2neLZh5awUgeHbUj6xXHcBID0
xrI6TA6YTK0/6GASgir/qeeBbXYR2zutC+tdmdOgtjJ4InHl0BPEtp2nXO7VwY9chTeVyYgUQshD
lFb3QlVNcHxsmzPRX0dDad0wRbTNVOwad/oBLzr073lgaNUfEPPxOjESWoYYj3QaXcvOrvgy1R3u
pQcYcXcZK4WX5ryWWEijnuWX9HUdWnxO1l2VebXgWy18DpxVXAvRnFUHNVrAaCNQ7XCnl/ktX/Tc
BIQcoP6U6NuCfR6CipPGIU7FOxJtIJDNUFJV817QwS3G4BSLGDRdap96LUgflBo3bVo1Z4TYDGLi
LY5n2qjJ2JVF85EtkO+aQYYSqNt0LvOr1bSYIqsaHGL6YuKvrEt4oroWe/YMp7EvqKodvV/rsOSD
3HT9xA/2ScXatuVzyKaU7FWDrqYaJ8YJpemhwtzFNbqnoiQOy9AGeSGxaz+F9Gd1j6m9aL+nchF7
z+UHeu/FJRVAFp7emtn4LSPClMTgEm7UsRqfNWo6MT9pgezWdVj9ilEVRbHzaQ/WI99PdbScLj+p
jXDQQVi8eDPGOOUwxZQ5yQmlJvxttbgQl4eSjTAdpwj3uiAkJw+zK8DRfTnCvY3Th9IhDWZakInN
VGO2bS4MbRf/yqh6fpK9g6Rb9GdkE0UI2QAWzQKztdEPOFbx8koNPCjnNXZ1SoWNpiGOz40i+6UN
YsDn2Hhq1o5bNa5prEy1TDe6DuatLAafwXe7CdX+VRXw1vvMgqwhedpnTMvw6nhTZSO2vX5s7kY/
jrvCeEatR2NjmNHWFN2nb2lbzTJ4mwPEanY1sNKo0K3fWp2GDxPZPMj0GrfWgrOjhwizsrLbzrG+
UzsFYpSpvE7xfAmB245ylNtwktyABhDQAIYINodsUNymNnqGe2q2VgNMLWROAHKy8dnNdcVGVn7X
ZQrqVvtMyYahNydsLa59ZkLjs+7MhUuUD886+JMJ160eY3CMP8K4fGeaw0FIOuaWBld1HnQXTU9+
063usnREwNt+lo39Gif1LsvYN8QGEMRavhV9iiWS5z02RreU9GOs8AsghAbSSdhHU9yteU7bcy9Y
VSv2yCLcMC4m91ch7V9aSdqV5LlofC5ymfK6CLm1CwIUwyy7CSu5DlHnSl6o2JvRU4TrRIUjOwDv
0hhIoq+HBr6uHKbvoXzFZHj2mVWOTePwfph6TLtCkM4x4qu2GWQkPTPyMe61t1hJyiOrgpVmRNLl
NmyKJOIZzfKdrsBTaemqM4NvUBA+GbfMjQVz1sAeV6PuXHyKltof2N5kIvlAAhxuZaU9t3Z/9y3r
TZJu4ZDKwKSJ6B6YlFz2ziEzqAvUGEY2r97JsBD1/NQGKS+d6RxqM90O0yjdztQYGvaerhkHvbeL
Yw11iAQfo78R5dvDFvDTrdISvunYLFtE3wHf0Skumj4tN1o+iLVldG8IshiijOLD1wkEslrWHMYs
kyt6Rv+5DXIcOmkPdilVlAXJH2wjHeVgWC8E2EoRj4qe656dKr9EqjmuhW55zITwFE1+BBIQ4mQP
m0aPtdUcIJXNl65eD2Y2yOH0y7HoBOWuVqv9XITfETgHGXNjicIip6ipTmjpab+V+GZmrMMXs+kU
2YaL5v1zSpXXDKmXZuHGwLjtNrzn3uboTq3JMqRta5Q0SDz4dB8qoTFh8TeEDrIoUJ7aPtzkieOS
KbBNCF8t1foa2eq1ZcvDaa0TchvANhYRLxZEzfEqggbAhRu0K7bPaB3s6sT49dFJLSSjfn3qSWwZ
4OoI5CUndUB70PUqjgv1qLXRL/A9Z6QddyofFMvN0WmrNx2d3UY62YdTqS99FxF209XqVaTMOnCO
QxkqLm0BTMKuWJg4DUw4mMdhU7oysfZ4z7pXeuMLZI+PGIrANIfTSfPpKoNOytfUJnVLqNmxCNzA
SBkw1OxNZF64zsglgALoYBjduC10YezSoX4TmrbXpfOpdvyOPqsMK9cesVbhf4LvSbqGOh3DCs2t
1kLaAMTgPw6ajljNiaPjMMFJSqv8W5WKT+iPiZDAorDRH+aRkl5TnN0II7YTOjNcYHQmncgqZjRc
4blX8EKvFPYeEGM8APi/+yzbzFoB8MjfWb5t7Eb2dCu4v495j8IHpMirNpOeFySoWIYp+W1mRG71
1PN9x4qxwnA99iA36gC7BNqWc5Zh6i/kS98iZoqKS1U6xf9CQfAf6ZqFoqz+jzTN3U/d/j9jU//6
J/9v763+oWFyJRuVpb2OkpVe+s/eW/3DYh622GYthDdLM/0PwgJ94RfRs4O0Y+lPXsLfm2/tD+IC
TOpvVSO0fLHU/jvqVpPf6p/VrYuWQGqL9PYvAoh/0RXMtZ/nRQQmoxs+sGTMrJkTyMzNwKq3I94r
GBvDLXuxlEH+76lLHkjbex6M/tMY2x9I24FnDAnuHgs6MKaSllOIfXCYi2vkAPUSGruvMaCSmxuq
r3FKqNgLf0aJ0yGcM3UwXJ0VeGOSwCmgaN628MRiUCTeiNpzVaUwpamxT1WvPZohdj163BJxu2PA
0egtirWR1IM1oZLrFH5SU8zbKJ9JKpXpo85CBgwYo+i6fZ4IVsH9qe4wop0IRT2aU7FrjXnXqnDv
sxCyb/gwlONv22HliM/oI+kXUF7mPBojiMVWt28JNY2iTBXtYGsTZjgDWYkG0h6TPLy1g595hgVV
2okX7QN2pN9UZXe7XzS6Ra55wQCTWVFidBUphhUcakMd3cMidgly+bB9pLdO0oMYqTRyBPNVE2Xb
Nmjf/Cx4jbT6qGIAETZdoQ4KuMdg0Lc+u+SssR903e9XqoEtMA1sx8PBTJqnCjSFLO7IHSXS1ZmY
m1W9GEvEEhANTQ9zBKv00hy9vj1mzbyBOOVZ2fASNFBufHMH0P1ij9WrkmVfaaC73TR4jT1uqSLX
orXucxlQu0e7qJ5PCbbUIdM+hpLlgKMerSQFfDxXrqny2abhJtOzQ9TZv/XZAhVhb3uQBnPf3Ltg
vHSzcTdStj8CF5BgBmRHEBZma13oTAFMlflpPN4bFtkQt440tPnKdKpX+AgB6k8ITWgHcDbvZ0fb
Rglp4SBgj4Wh7Mk4ADC9uNqktSvV/ies2bdyQ//SjcYbOgoftBUIAoJrTNMkFJ/h/vSU1MOW8QVi
RzXb9TU4eKCMaE9z5yNdosTaASQ8CFVMP/PkklCau1Wkl5s6lZea9px9pyLRWU4PiaXftCbcZ0kw
bqJRt9bQEG69EX9woFAgVsztJ2ORPkj1MeQpdWE3PegloFA1M7F7ljnKRUYAXdMyrPL9+tkXlbLW
pB4fzarlBlUVpj2R3fxILM84Ngyn2IrKaYi6VH+FbZexNkIinUXXeeY7HiffM/RgcsMZqpMJwZPe
B7DgoG3yybiJ0j9BH3vgd2WG35J1JEr8oCCtS5JLCWpBTlRFBrqPbDpFvCw+CGKYXDNGujw3HAbQ
t6+zL5N1zReiBOzUdNG/NxhkNskAmCyjlJ5CKlXAlarBAdGdEUZfuka8x4qTNUyQWHyyRDmsgzrx
kBu5mRKvNeIcmiBg2NKJbWemeym553tn2KVmixDRAYLBk2svigJbr2+1D0N7itV0a2WJzYwOKFBe
xSc1x0ZqjLm6dnLxXoTwDAueGzMYiTxjPjSwRTa6nL1oJl5IxnpBmmiyber6BxXOFMifm8kqRuFz
ftLDmuBTyJ686inuRmRCVTViV4Wysy66/Earu4ktcB1ijBA0m57WOVvF7jZNFFxstMTW4ugZp3cW
7Q9xK7d12K5wvF/R7nuRMl3COf4uZuC2o54SYt+hxDGSXTrNsMSZ2TgyfDCb4srKY3brrH8rfOZn
bU801mgWO56zlp+cTTAlng9VxXe0E5KCA8tBduj2qRXGidcVTcpgfEEqItpG6q8ymu6VH4+w5nv0
mEGExCC+itim1s+Un8YEoexgAmc6E3tgMj+NKSRyIUwPlmNuxMSrWVtoIilqL8z5bETrjrV0wk7E
WKaH+i3uu/ehLS5GQsOsz/kJkSi4K3PW0F7oOjJKFgJBKX5aNbrHM1uVuUG4pdofMgKvK5np6IqB
uFdeJDnerda1hxob66QZFxlCH84n3Y1AoNPZQwypFJbRQ7czuJR3XYLChNk31WjyNXe4w8xmT6r0
6Bp+gWYMcy8UoU3BLgeQpFqt+9R8lQOQp7aNd4ym3+0hu4ZIEHpHHEIxd+tqVhdRTnapBlF6YaQ9
8L+F8E5KLTs06VYN+T8aMBfHvDazX3sFwGO3kpDXiQcpgEKvtLx7rUb7a/DtYRFpQLiKuadKne+M
8BUnEAtLoHiIgwbIJh7Lgf33iH/ELavh0o6JutFtdDOAD89J1+Nwc8z8xM/zrs455IUU4xRutuWv
65jvcHNkLt83Ebzq+KFbxoG+5gmyDC2FH4HCAgWDxZ1OoGcUZU06dmy0K1rakP8Tr+jHMrcUzalV
0Xk1IDZ5nfSs3FSeQzsVT6OueIW6+NC55i18D341nYjo8Go7fFHAkramum8j4z4TL2fPDmjf1K1t
/6Wy1SeZhi8WW92Q9Rg2/08ZDKwHEJ9jgs0ZWAjlXunyakkcxEVzBTWH8SFxTmOFw1pCqKpYXLY+
JLI5+zYNkzc3brNekE9sJF5YdzutbLD/X+PwVvXGPg4OYZucMa9zMLqw3PhqSDIs2648Y6ZEEPJa
NHPj9ukIuaw8aLnNYlOHtNF6rYDpU/ZkzM29elea+LXxScLrix8x9b9EwyXSVvGnCBkrK+j487j9
HFH0/C/goP+ZtbiKhJbksv9xC9YW3wk0SYV/Pf38NP/oOQP/+dc//6fWF3gXfElVZ+9F0Sv+kWUj
TJ1cMkc3WHEJctL+vhATf7A80w3pSAp6oQkq6b+JfcUf4CA0w1ZZlamm/e+JfXGV/WtNvnQKjora
F9MbN/7CHP0Hra+g84toGADKkzA1sYY61t0qFOlX19FJKuBrsgmPQ8ckdgbhtNW4cBQ0ism4o6hj
nslMszvK+bWPXnilr/vFBxVuLADtaRO7QwUZbtZATj0zDIjK8SpZjCdwnGLLcoH6eU5MbBOWGWKa
V5JnuELFiXkgMTpkvQ/6QCIGE58BHRvCsk22wA/ie8IlAh98jUbErczfhiTIjfdIyI49JR0HdJ/E
6yzLyOvN+uLMvxNwUDYrjSiDf+2/1lKc03prWN/98KqJr6FzkE3S3haHSL7i5mIHQRMeD7CJQfsZ
KXwqfxOUDtbc1jrOWvYgl6ZFZcq+cMVs11auhASv6/JCrDT/VjaJf1ZUmvbUJNuneh7kC3vHLau8
WxicppDFh704o8dXUT4xX6vC9CiMS9WY68EnZ/QJn9u8EAm5swTyxBrGlZf3Rx3wOulLKxRm9XxD
ztNZDoM+XGIKtlbUp3jACBrAfg5eLiuY73hl+KikRKZuNGdv+EdGHyrbi3m64/Swg7e8PRr2d5zH
Gwb2BErS0puuQtVd9ghOCXrLuf+QaWnWo8xehz53C21v6D8y+p0NH3V75z0Nfnzc5RJMqP0ldNLw
UPf5PkzwEaHLnL8sfjwkzN9s9tzSLFCGBObR19VLK8SzKM1DCFgQBp1P5WDU2ENKvpzsLJmk1I32
kgpmhVHHRq6vDSbEFdWWGIKXuMCD6zR4uouetT/OvZH508DCZ5X0p7IOvv8SgIInvZuoGKXfbZmL
HurUfEZge827ZJvW6BVNg4R13v9os77bijtWyHZyq77CZoiyhRQH5tZfWJs5VIAOQfD4bAp8dres
MbIId3jmmoOGQ+PuD6ig/dRr0lugvlXti5nvBoJibUSSC5h0zu5B9KCgnfX933FteIkGnvxjVJ6N
5Dry5Vr10Zl+K5w9qdzb+nVmu8n7ZSfZ9nLLroQuN3p8i7P5neXNGgoOiGjWnUPlES1PCZStE2IE
1AJ7vLmeSeQNMBlqGHdaHqCpLNFT9kezu9Bg8guHq6D6TDR5GBGYJ9a0jtm5inwEKzqcqxLxkW97
slYP9mhucwpZwEsHXeiuRlaElRO6RXYQPIM6iDcUz7k+nHEm+UZFGsAB0VAbVs+csGneByYqWpTo
/nDFtDNX2akQw+ME9r+HLVl9C9TeHKPnpiSSy2jv2Vyxy1lPFPVITU6i77eD2WyxhPkr288uvNDc
NGNE3TdoaipYMFHzK5tH9JTBmlTbUzwbD3HzqaoXOcRekHnmwGwcQN0lzF/TeE+hdOz0W9OMLtEa
63bApURX36R7lMcTfySt+x1cGy90UECCPJGj5dpO+QDO/xYpjOK5iOsAHz+w4jLddnnjyr576OTs
qb35PqQEuLIDIfEBQWvPkzTiPRifJPz+iEia0Tg0jCRi54k0IXg7jOBmuYG9HJrAQA8jMQttvoEM
ChCM2mYdhC8ROxN+PjAuq4yJ8xB/oWVCoLkSHX0gLzeUnUW79219LSLcZ+aJzLu9qZFziAbP+Wnq
GbzhG3tlBhee3g9rQ5GESXlmt6OzC8cn2vhI+4zMfTQRoWM5gDWxOSr7vMq3XUIugHVNMD458gPj
aWHR5ZOsoXdu6xwctLm1v3MSDuBbHXawAOD1+BsnZqkQO6v07PC89NFzRubrPLoZ5IEh2hCARfrR
TlolCQSob78CfSvLYd3ptAPJc1accwfnW1I/tyBcOfcHixmNqTDpbdmRdMjDyIMytIlEQT4ru0Xl
xoRfhUUi3/1oeovx0mFVPQ4yS9wAEGag1EvZh6tKJ4eyV5BGDTekEdRalw75ZS/fVdCVDl7SUlMA
B7P80tc2Gcht/pV3ZzH6K2wgnjO3uxG4zmQ5d1PGriLvcTWufctnP2+fCn6/kEc+g7sVpsb3OBLu
JY3LwHWrpN3eqQDgsxNRTCA/iwPzsbVN9swPwRC/Dfayrqi0X/MAzqVsd/GiYI76/ViStKjeyuU6
qJ4dKBdilI8+0gK1VKP1PG3LiduGiXIKidH2r3odrpWS+Vaq5T8Z6l9Wj88T6mxzQEylZIcOxZms
leNUjoR86YcxHkkIz06p318Gee4slKrDuNP9bh2FHEjUx3UwvSlp/GHSDTdU5kF/G4ZqZ0TZZgCU
oUusAbHkjSwBk9BvAtZHvaInNnBPYhQIcNTZ8FTVWzk/msYrq0jQyOmnHbaMKfzkmkRnuE+ffgcK
uhvgL0c0gwxnAnj8nTty7RkTu+7wCBuWWMiv2Dq1zdeMjnVgwTMDwjmENH0RQkQQpPG+Vvai20bG
bpjZ5I+fo32X2dtCYvv3ZV//kZXx34xshs7U9r+XiD1N+c//WQKfXn8+63+sjP/pz/9ZHEMtkYyY
UWUZyFwXoP2foEfb1KG80G1SIJPky9/6N7WY+YdqAWEgXtgU/IfzT8UxCjO0h7jgDOFI9d9zwv1F
k/bPE2tLLka45cfUWRfZ/yIXm9sqC3sxIwCIE8xp0J3ChKzVhghH3r4ByTmFci65bVtxDxWOmoz1
W8okbtTGtUELWQe3OkQkvNQpZsejJ+ufAJw1NLj9rCGSTih7xzLbOYN6I3nJnQbCNZNgjS0eQQU5
b+1rXc8u8RnrFI0RAW9Whb/FYilbDcRPSq71tN1ncUPQMX68REdjbh+pHjqk9dNEVYFpBU0OpWSN
8D98Nrp4F+Lf6Myj2i6MLmSYmfYaqYEHFHXVD/EuJbEuNKy3YswepxR0f1XEaK6Z+o6pzTKcK0I2
x0B51aP0HAOAkAmJhXmxK5ltMHbOFH3TTZDzc4Fak7EIUUNArd1BrwKyPO8Bn0ySR5tIOjtZWHh6
kyu55g+6o5/y+WInX3nhuI0RP4ti2zpnKk0LAXsNZSdDDC/4/ybohRdpY3FXLszneDXlM1w+wPjA
rGd5SzHyqqHG/z49dyZ9y4DKq3W4GmggNFCMC4HN2vYt/QsLfrUa3EF9a/zhhM4OnXj86qTGLXBs
KNEe64wtJ2H5hFftCBfX33R80KTQbYfqMqTnhJlegvyjbtYLHufJv+CRTI/9dJy7z56fxnFnfCOs
vFc2rJqSpHoFDMPQH2FeoSNqL137GVXHGaAOZH5j8AwoB/RWRvO79C2saMCCJQo2DTUHqQWNuveJ
puJcEmuPLI9VH3yHrwDE4sDVSgWJbWB6aKKHhv7Fjr9bAxeVgfSfSc27IVC9gh6rYtdg1gHQOrJe
nUlbwRjZFMN7ErxlhpcmLPojlaUEpOmVTtCKWv5kzktmXcJE2YSIvhkZZ2JTO8Rix58+EjlU6+rn
FO8GVpxIyVbLhDt4zFnA2DivG47/1cghh3tx7TJJL4eRzPv3kMgZ/I5iQ0rZzLgsmx9V9OuBsQVD
YNYu+0joCJ/RgCM1/uqqFwKZKqG6DkbPkCaK8S9qTzeTrxObay08zlZ8cmrCALx2UZMh6gKENrdr
1EFA+6wDdIqeRoQ0CHTaJG6h/fB1RJszVdp26OaNjtRE++Rea/q9pTIch6U4ENVirclrSIN3m0a1
1p+a0lONb/oBi8ZQiz5RUNv6VXV+CJfo2VgFW0R8WWtjjuVanL2q2TmM8Gdz6ysPovg0WxDoavlg
0Gk5aMjr7k0g2kGGEBnfQY1OgOH4cTQhPXCHD3gvqv4ZpxL8vxGWfXNUgBYqerI3q9AzHfoYPEY0
OiYboqlV37VaOtyO+l5PsruVPFpI56uDnlm/GFravf1YNmLjjD8ZZsqoQ5lCuHjhtv0BJR4HdZ1Y
NFSo8xVzq1v2lv4WSV0PdlREs1c3Z8k+QdivYon/ejM4AKp976YP+v12uDs8sXp0BSmAt/zVkMwT
DGxEKLGUWT/G9rvW3/VpNyjbysJZoHQPdnJnRWPr23F8KSAmOCQLD8OWfngrcC9gY+cJIayLrLxq
yaGwiPZ4blhbOU+d8a6gD8U5mDSocwLpisz8aLujpv1yQMuIhNmpN2u3yTlEnHmcwwhkx+kVoCXd
1KaAPmETOtwF59T2muaWdsUZ9aGtAbgWnjV+K/RYWtJtjZnD4u+EiaSKMUEzPRLQNeqUW+LMS0QN
Lz4OBsdYT+ZrwBBDX/5bkx27hBDWN5i9Bxp7lLV18a6lCZVNfRagL4VXkHMWhaxY5geju4C2WlVw
W+s+3CtEIsTRczNg6az2NNwNKSxWcEnVry5/1pYN3B0zSYqkQHzG5bV0vEa7GuYvxsPzfJnpPOzx
qGJBsvnU2DN2DC7AmOXl4Ja6R8T32ij3ZUBwbfs1Kbc5wN1MbpNPSi1f6StyNtFcFE4HU4sw51it
fXXLSVJrDBbBhiyVdRPuSv3Sq9sQdJvlkynyQAhNZt+z6nPWPwsbaiNxM0HwmVQXps4YtKaNutjg
jjJ5TGlkObCYG7/s4JB2jicsFFXpq18/akGJL5ukpheZfvfiSLbZ2tB2wAid7G4mOLg7fT3a+Alw
jagsDJgLodshym3d+dU16q4W4VRAABmRHzgkq4phs1/ZIEdsRFug8HUMnhTUlY0JIRlcm4Ps4N5W
F0RHQ4wzCmgBs8i1O4C7ir2V+q9B2WdvGFx6c7HQJjQLs2HhdI34QFmqOBZ5dzgigN+gjhNIjn47
LUObJj9XRrQdWogWKFYJhtsDeehn4HPbCQNoVbsY9Fr9XG6S+SFpAY/g9yVjJf9JuLIThHS3Yk+h
wo7325IuxyUfGPiPXtncVH48vMDrIfvUp/zaJckNgWdct+jdJCYKdiBuG7l2+D1rxOpYh2VJbSmR
q8Hy0yfU1R3BCW9tbp0RBRIo4GnGOX5FKLJSzmiugRDJHdo3mRK6AvaiPDgOEGOcqdB1t81zhdbu
PgU7xCwzXuvxVCcNKGSXdwnWP65caHgxeZTFezBuu+9cf9JCxatGgNdrfeSx2A8a2YrIzLu7YCb/
QSRr4y0vaJv0IocTzqpVOYmShwdCG6dQQpX+RjeunQc3MS1XR6qbqc5bXIX7MsvJslHKB0x5p6bm
UdVou0hiaNCDJ2isJg+sacSNqMXz2Uojj/YIU5p4m5W1jWSQCZbBy3feZHBIs4K/Af8fwjngCA5h
1aWFMm9MXWA7JKwfRCnh9qCKx5bkXFl4AdJANY+Q0ziM1HgV5r5m8EojfZ0ILeBq6qHy2U4EHXO/
nP7irEP3yECLxr6DF0D8WDM5ePPWz/KjCuyj1t9LpOpmzBwPLY+Q7HlDEhm4LRJMMi1fUyYkLuh9
NN/j/DhHr5wGyhteb7Y6ujURxqZ+rsiPGsfbPJbEBSmv9awg7gU+5Rrxzo99wJVM51Lh6TXzDzM6
mWO2aYbCcxzfI02ZXaLhsqRUukdZ7A38ko5fP6jzr7qmpBDaiz2rWHneAmTUxHWsSKOkrJy3OQig
GXyvVizxAKPwArQBmuz2NgvdFZMM8UKioH0pukuqHRfqFPRr7uMd+EitXPsh1dpKnc6BeCRyWHWD
p6A9jPWnBke62xvTtvmqh09cP7zaWugTXIIfg9hMzcaQ7vxbUCs3O+Zfg/FiP4WPKgWpfkocBip7
G+gRaTQ8ewsVrOHYnh0i5+a9+j6Xm+ItCGjIvTBxWVoLan2zeZaNDsxra7xA114MIlgJpl3EkDyF
o4vQzguL3yWDg8LV3kPnoUbduJbf/PUC7+VMDVed62vxNQc/NcvmDi65MryY6aaWRwIq5Rrce3iz
zh34pPDIzmr6NUXPirNJf5fOHVPyCEu9JDAwNw/ChxmOdnnek5Elb77BDpZdVEgRw+yw30ReAtgT
sliB1HyDOxobaf0zH3yP8Yostygo9FsNPsE6z73tKvZpJLaBdNjCZb+v5t2WX4TFH1ks8TYcmGWi
QNyKZvGV8uo0N+oQutaMWHdrZMhygxPuR3ZcfLBRelrwwo38xR6hj3ahb36CWGtQmCprVqtbTQKq
12MkHowZmXBbeLd6eSJEfUo8VW4Ubh3F3LMALS2mT/C+jco5+V11o+RTEdU2c78vu/ylT/bhOKGH
B08SPZRTsM2gZ1FKORpuhGwf5p9Dtodol76ZiHNZv+4mFtOZhp4dHInG0GV5WdwqeYgLz7KW+PSK
73tbGE8FRjO0tOoCtBL1OsYo2bqQtiGC1V+K/zgybG9pdYjDZfMf/Rd757EjO5Jm6Vdp1HqYII16
gNq4luGhPNSGCGmkUWvx9PMxK7Myq2a6gVx2Y4Bc3bwRN8LdafaLc76TsFBFEcuWQ40DBS8qg6dU
Hdxm6Y27xN0BU14NnxSi9ssQ3lTGLeG0b85wX+ZMVQlKohsr39zOPZSdtTW7ux4UXuxpvE5LE/ej
QwW/r5MDmL4YylF1r8r3RLRMypm9T5AylrqHB3VWByX2Pg8GAsWau4ylIr7gQmIfZ8SrPU5We+dR
HgCy32TTTdewD39E5YnEqagvsbfx1IUwKStGlZUsRYkzmXrBWkjekFVLQYuG5OgBrdrmj2N0qdKP
9tL77bL9YoxvJUsfvhYZOPAGZ2MNk1MaIOfUNBfLebPVTRe6m5KZjyVpTusNNPFVUyectHfc54Kb
GwPL4O7JlVvqLqKmcTvV5FAZIGhOqr54PBjIjy2MI9LcM92PxBo3MKzwblNgvnTyQ3cOFvLRpv7w
e+ISlr5TroKBm0kWq8z+KGtyRtpDkerrOfCyMLY+XCyNEsSswVYkEX70RRYxW0Ux4y3cnlU6D0Ta
bYYITXDL+hjxEMYTQjunF89SJxNHdSfpNnjVKeVz8Z6Yz+3wDbWbOCOyHAuYB4hpNZi4xD5POf96
a1LfxTuAY6d03E04u9R3hr+EsWYWAArGSzFPKG0SYabP4To9qcG4dFimy5OHbBlrdvMqvOK2BLue
NO5FKy5hTvFSY/KnfmRKFvrvNXs3FMqqh+OFJT0UCz44CdQ1PPuT8c02jLYNUj2fbVSzC22HksZA
NmPXa1Ib7E8tf7Tbuyr4QuhdvZop4DQS4e8mrBrBAye8obT1kFS3Dk4yHJkdHOF0WpP+PCFtx8ry
a+dIpeZueaAZECcbczdh7AfXKm8IuqrFDhNzcE+lxUpfrETKin5h3WucU1ea906sUnTkZETn0ZcV
DJe4IhB6oZN9LT/xhdodKfcPJK3t09nO8h7X6XkghQTUVeAfa3cDQtyPjnwOJ7UurJvxKIxre6QH
SdbG9G6r2/TSyhAXKq/cDtkGuhrmS7vU/OAxOhqtRQzBwZ/Cd2p3q4eOMPGcpT9n0QD+RVYV5OgY
pXs01K2GBiQPxp6MRFrjiNl852tnC8GCwL7CHn94iDCbF8SHtulPNxSc+91CESKcQNVMyaPvibzF
we5WJF+4q1Y1azt8ytxbhwRc3d3gy2nLB1jkFiN0V37F0QZzumXuNWMzKKADXAhASKrevSYNdDyO
P5VSVZETluKX6b2FX763brKs8g6gdXzSvFVXBWd9SuyVimjnzK3tTjubDDBA9cKFgmfuYqzg6Im1
r8muEe3wY9fk96H1CgdOfb04DCUYRLDkz9F0/NVIg+vL2PWO/lYQFvLXR6z/zZy1fww/0eT+58PT
5++6+Y/XnLI4jCr8xt9ZEzX/AsIlfZQ/fq+bv/9NMxD8zmZa3LSmhZ9mzj79bXoqfsHagqJXN1gG
IiKYbbC/T09NInSYqbqW6aAwsP4s9zWJK4UiBpvMEjaoq78k952VCP8m93UtVwgMvbpnWRA//03u
q+d1nZdYUxetpzkbogokm8fae5oC0jV6oySwryPwPYzUOwp4ygvfL4garkwaoA4Va+ocG5vyLpnc
fJdrrKFqmfi3E/0zrDEUq6iC8NcfkqH/ankc4v4VUyfsWyv0zhXuLmaeiIUzAJ89sngcy5uBPTmM
+2DVde4Jn/BNLTFFNkW4EiKjjEcAGBGTLHSKJQ9pMYyixvh2iuE+MrQfMXq3ppudmwT3T1ziWJxa
e5fE5UPkhPDqWYgFhX+wFVdMUnPHa1+hln6Q5UgdIqheg9MAZxq7m37So+7ZSUH31CVD2EBmXHlf
+VAfM2049DEBDkG3JyHmK2ndtW10Bp73Yw4UdZyN70I1r4rhkZf13Cpzy5hlz4Y7PPcp0xoHT6zZ
S8SUaXN2+uKDwvtB8JqH7qofvYfq1iT2ep30aBMj4uR3WuTvhJluDcYWrG1Y8JWnFk5PruERGrTw
krTyM8wadKo6Qwjedu4wE0QQfo2nbuTbwELdpKlx11oDwN7O31QmWgwxETo2UpTBJrzHlcpcjQks
tkYILTiOWXpOaLBS7+CHSAhcl1loPrgD0HQA5QjBN25WXZgIHgIGexxZ7ckXExjgDrM1KHMf5zPn
USn8+85L76MiOjfFhmWym77iGSR+/dSrY4XVwibYemzb58msfQCUeFZLYJaqX+oOTsmm2Sp4BqQi
CmonXIlfgVFry8KAlzBy+8vUOUu9EoyCmWn2PZeYnpGa22PQRibrqWI9eIBoRLHBNrVuWm83Js51
GtDfArwcSncR+e9EU0QzUjVN94X7iGIFsYAVUmGgb4TY2DEta9l0Pg/edNKNajfvrO0U3yxE1ueG
WtHSRbsxpETeJnlFsu8ceTRkA1aD6tJDQrANaA1NuslNhPPdyhERSy92EDbuUMZVBGlnACUX04S6
cFrESmw6Vu3IRorAeQBn/6ap8YRzhDUjpsZ8eNQjdcDu+x0536FMTqZMr1GiPRUJaBUiwk34+WVd
3RTWtHILsa4VOkO0ftjd1TFo2nuD2jgTzcpwzjWVcKZn235onlXSXc3ZTN3vyuFR9dsR1aQkDC4U
1VPe9YeI8Jyy+ewK+9FNqkvVf0MuOA21tiuS4KK0tLoleIUIAbRvcCsZM0a3SkCsGljJJk9YfU5R
gKkrLUe5rHWyUuhCJ6f4SqsSd2C0nJmY5gRNu+pt2o5yH4zpQXXNT+qFl8gOyfd4HDHYdNiVGaIu
GhYMfrlzagfwFr5Pe+NXQNpaLXkcSKvRiE50kY2W8XZk1TEpa60Ka60hDnaw1sbmRxKfuoLfGJuN
JskbccWdQIxB6hWugktJeJUJWk9P/V2VvqE0LNLN4Kv7qqlxYhm8yp8qcI45YCwR4gwIN5gNoK0y
WEE/PMjDHL2gv9vjua+fajRXfK7ChiRWeB0KKJNEO4idImfTbufBRUA1y52EuWwCaA4QVGOuIIXc
Vk5+EbeOnFY6YtKhOrolHmVtXWUVA1qoMk5PHEuQHzwGD6QmbzqIO6jfbtMRNmozzKMSuhRgd2P7
2BnZvcL6tqll/WgGGimAs782ov0NQV0vjBadkO6Hp6DGYWDn2E7ltyWHL+kbL3F2ZZ7AiAG2Szu1
bxk+kaBJ1tRZG5x0FEXNvTkU5Gt0S6B4X0bDWKHS8dsFj5Y/Lv3pAxTyoix4uNjUhTC1YrEamoTl
Eg1dgmm6IkdqEVvUauadrH5M850kDaRNR4ksKnZ76EJeTAJP57fMTe2J8R9lPwKWe4wGFEGSlU5y
w3rSRNsTriaOnqxsWB8cQkZHHF5TfWvNXMOhSS8YGh+KmGKX8dOU4HRTZvcTFGc/Kj6qxF2WTJd9
lHWM77C08RSTn5y2cOnCVVUMGFLWw69PAHqaeqfLM3YB0iP4qPmk/GTbJuHoAXeDD2xddPG1C2DJ
EDdt82lUJhArmd7HqZzZV4xVNPvO/VUFv7Wyi2HQ/mUpvMaKA6jkok1fcYmiKbOb+yIooLLwswWa
e1d56dNUBFhsomGRsukkGSvfhm4N+I0jhbcMLe+uAJqRkiEVAnbphp3GawwETdzkmPFMMNeFe7aH
p44BYtsBpaXVREnvrys3a0iXIgfa2M8RcQUSi6CBqDvUzSGzSff1mFAaWXEk5XGldXJVNRERkfqH
73b7eZZKDYGrUTGbFt4+w502HDvDWXQDzSDfzIxxsN162TYv+KTUxBGD8SrUDTzw+5Zj+yYMDMZv
ibPO8xY2Y79KaLUN0qZYYJjhU614L/R+06LqWJrxj4ofDDLFPIESjX2iy0QA1mHJm8hBQxzeSo32
Z14EaxP3fvMSW4y1d7FJFhRNk7Hq4n6BF4EAYOac8AZrVHylrVYdADfNuubdRzE9xW21x8PMYDFe
ajppY8207/LyBpL/ZyfefPZPBfcXXH7mNsDyPORto9j1puCn3tuT/DH8Dx2lMYRPNrLhCtdJQgdn
GvKuIaAvbBykIez6PIm1W9bXoAqW1FfPhZf8tHZwGSsOP5BIxClp0RlZCpSz8k0Ca6Spr69V04Ay
zzTmF/3OZZSSGMZt7bHeMxj9to66TB1Fg0zau4YNJXYAC04QjLOse1Nzws8mmJ4VNO0KJRQtmDHB
80YWKgVvV74bSNqpzXs1rnscG0IxIJ4QIBmE/NSTPAdNtevKgknlI8+gaT/U/tY3gEDwahm1fmqQ
8iCBY8c65yTFlXojzRdiZqRx3FjNJnQ1ON4wa+jFAu2AoVE7eAY0E9/wyQfTojme1CH0bIq9HjOq
eZhcOr+GfewMecMzgrJbHkh30l3vvsy6Lxv9ZEw2zG403LNu+88BHP9Vnk5vgx4/YtG4NfvksQZR
F+hP/LSeyZDuRZrfgM83Iroa6G8kSIsV8sLiPZpOQbZPvFv/J6d5x5VTPsbBVk+ZcFLXcsew6ED4
pB+a+rZ+cG3WL0vIIXSLrbqUIb50ICRAlyhjoCqxr7SwFaXEqPoQAKzgXg4+khxnJz4ngtjqj3BM
l1Kcpmxt+j1bY8qs5DDU9xEZ4yp+RuTmuNc5YdAsbxhpIza98etTjHBpSaLMfqBjx/OT6vaOsv1i
o24KCcRC4VaRJ9CRFgRvygKqlcEHHl6SGXJXTkBYXCb5Fu9X3O4D1rIiDjiho+IxnJmskh1wWg93
QVIxGpu5rShAfpxfSa4gXek+7ig8a1Ka+3dnFhOHXbBtW/s2mXmwHsCTjSKDchkBizVkiiGQk92a
ObKaZtUHG7Rsn4ib0WfsMwGdnbrsodVLzCKsX4v5/EYVvelD/xvy7rhAvLpvZ4ZthRMCh1v6rpk5
8ThwbruZeGvYsG9DVyfRaebh9jMZF2xwyC0ILTeeubnomD9iLBwWQN2wg3RBN5ZuiDninp+/xoT8
vQDSxv6BsOul3ucpeIb5xtRVS81QnkawB//jm+pZa+/6Mz37P++oeVfH/8h//uOhyePvXwX7FU31
nzvrP77Lb201dlgXST6CAQRIEAa9PzJixC9I9V30Sv9gc8+g7T+11QyAXdDdJq23J7w/iZLELz79
OdW5h+HcQbz/V1y0/9Ac5cko82z/9fe/AZp0TQvYDz+Fg//SNfmX/qzYH7WwCLVg1u4W6jbCTDdC
cEb5iHg0WkVd8xgG9MaiOGETWjihdyqi6Ora2glnF6F9KWMjRIaMdwexLeADjewHcoSVqf8VJxDg
i2dhvaels2WZ3MO3bMr4wdFt0keK0xDZBIMwyG1BlGQBqeu6c2zr6qIwguNP3uoyu8cN8dMG4hCz
+upBfvuS/DZWsH7ZLWF4oJ1Y2oSkIncd4NBC0+z0p6AyT07Qk2UTaBsjFWSf3GslomPklAS3N32D
CcG5s/C4j3M0VLQmF2QrQu/KDBUL+ypwZhBRAuiAkKdMHm38wGHIONLFvSvm9ey3BqCunfex5Jgl
IFRCkK54mGrIy8nGrgl8TdRCS/cmolL4+60y2BAeUaK7Dcv0c5FsFNzA6Y1kGHwP/KVmm7JHeL1a
Kwki0EJXlU8PhWCNESLbZ9c3Qy62hKWlWXIoQ/uN/PON6vvjzLXu+KHMAKhw/k5EKiv8E+rphAV9
Zf04cf0Z4oNL7315zl3CSR90fzjk1Z0zJPuS+l7axQujY1QmjMCzjzqDEbYyUCFE9ZNQnyW1Y2jT
eiQNmBHxPmQXQdkD6sik+4msL6PlFyfUfKhiZgcgaYZbZQKzabatUd0MLJESXG9YWMndIJLrsy5+
hnbTFt+EvqrSD3jl0j18qBWZFhbxlTaYbfCGa4+TmPp7nQUXknfmSuQG5fckmyOPzLk19QenHC/F
qK1CohQcOa9JSmpxxuxK2jvC2xDzIlLB6SGfO4pb6wegDcgghPP9sCYtkHtpq/Db+cPTQP3l+o/g
duMIGicNoDNR06ApGjdBctNop3TAAXdmmsOuNbP2+Cyn8HEsj6H0N019ZyCnU16310grDRh5x060
zygNu4tEr6cVbPabe7A/KwRfgk94VD72dYGxRe4yTS6pNHa9K/ZjLk5YMCeXaNkuudSmiU5mNtmR
gtsSRAzxpPFfKoPQWQLvl7XBNVL7LNa1bUG+inbsbHabLQRYdggRHBSBVIf6RiKLSs+jUS6dMv22
uQyDcThLwhpVaNzqwIGMfOVguuj1HN88ovLw3UuuQzzOkTZLO2lgR/Yrh0lQPxVHPJzLRtSfxoQa
HdZ9IsSG4w9O69qdvAsMpkRnh2j19QuqZBKGcEUX2rlxqhvf7291vTzqif7UsIQG+bws4I7h7uhw
/3n9j2Y8FOOlsx7siIWmNNENEW7UrObInKnIP5PW20JDpxu/Zny0K00waiNgaGSGA299/OTi14pr
Jw6le7CHS5GPsMSPHaKCAIRsIJZheIWWSRJyn56RPozOBaxXlfF09qtc/zRTlssoadJKnbuuO5Pa
kUbaWTrBxfKb3cQGjHSYDSj5vSiZijfOU2v324yJvR+hDWT7quX1oSBMvkP8oexuqRLjuY8Q2SHf
7xx5E1UvGYr2v37z/o9UDP92s/6XXrrf7+fVd/Ux/j+uZb74n9Nu0zMBVeg66nDbtfGp/TbsBlKB
0wOgIwwLUxjcsn/cyly9RFmY801pwcT4w0UnfvEcQ5+Nd3zLvzrqFvasA/7XO5lawXdsfUZbAOmd
///n+30EbevvfzP+V5XnYWeOugFfKN7V+ffQlRiNR1xOTDQVUoYif7Ht4aby2Yay0Uv9Y8qNHdM8
9i7U8n44j667bti49GQcCaN9QQSJJWwJ/m8RDSj//ZjbZt1xlmRG/6T5F2AQRNveeOG0zGC/Jmhf
utJb2KR+lTzYYs2APTEeKBBm27h8qnCw+e2BZI9FnskT0MdtHpU/fjo8ZtnwonzgQ8OINoNg1WId
CqKVjbUe97ghPBDhNmtTnnSzxQIMkM8ONxjYV4ywV4NWb9o25A9dHpDuxee80Sf9UnvarofUS/uB
03pCQNF2dxq73IblmJZCOYoOWr2u56QzaEwmAO0YP412jglgN7vxJNRA3zg+GJk1LdNKEr+GawwZ
D1b0MdkB5hmp5nEucRfYpEW3Y7kv27dJkYeBz6hxH9G6uYzw9OR58qtoiTcednCDGf1sZTD+p61N
cylmUUyzLZLXXgXrfHrMLGNj2wbJ7u2x0Jydb4tfE4m6vNga7jUkVyd4SWpUw+lZR0BmNs1XD7Ua
XXdD3xuD0enfGnhVyQQe69Ik+m2eP6Kl3bGkrnQ2z+Nj1PpPhQzOMcR0C8gkHV3pVYizoE6EP2Ty
bXPwwNH4Q4AwWuG9DvmB/pwXY/booRogCCLG1QBifa+33h7OE9A0xtyOHpJ8Zy1bFHRbmymVVVvn
2kAiYk3xFrrDrVXv7d5eIpDMFpExLcvo6oyzRJLbKtxLaGSe86lCnGkUeYrJ9iLhNcukvBtEse2L
eZ1q7iN1LSydpDeFtEMc2BKS4MmqmqZvWivHZnlvrvvxlEQ4DhlfCJr16izMYqlV6TI0kpUkvVSk
7LmNBI96a45LtjrrCkEtg82i35PatoMKz75ZZ52gliUTWDP9lCTIGNOum4HX5kNp8r1bCjqu76IW
J68duXCZxE7nnHffwZy7YUKPICM86GZXrJPQ32n2qS6cO2n6UPpfFaoThwHq/z/X/20X+V+2Xr/n
Ip3y7CvP/ny2/7EN5Rv843jXZwAwHQ05dpZBhpFhcFb/dr7rbCV1QdfFhhGbiOPi6vhn22X84vgG
uZt0XLil+eI/jnhjjuZ0PXBIM92IRM+/0nZZcwP3r0c89mjBQhXDiu4ZoIj/9YgXbW+1eofkcyqT
r352XCozPzS6HRyLknUH2ilFCTaq5MxwGv+/i8gb1bsNfWRePyZj9jL2ePJCzSUzBocqgcMIqvpX
PIzsbNyeMCAGFrHc+6q9K/V43YwZfB9CaRZDQM1mpeXPlFovLaoAUmzU9zA2R+JmTapbZ8UWCll4
HW3Q+hxLEfz0mdYTqyyOhtnBPFIJHr1GQkDR0x+WUKBNjPKG5TGVlddiW9WzB3vAE+c5DPqRanWL
urVWOM6u5UiKhk/fkNt3rU+wOIRGsgiS6Cqj7lEGHrRKdZPlHttbMn1MXLLwltZOEn2OgBUaYSFe
VDe5MQ9HZ9ydqQDwu+Qi+fdTOZvkJGJzti9DLW9Gu/kUMHD0wTzVbrHhaJ4Fcqtu8jclW0b+mTOt
AO7m6TE27ffats8jw88Qz19iDkBRc4QbBarGWGhoFgbvSUOJPobymMBf72FKRG54Q1jO2vRoit3w
oXDqTdeID2MsHsqu53Ry0qeW43PQnYCgkvhMPlG4UR5a4zjd5RbS4y5/89FBFW2Lpog0asv7qZtm
JfvAXHqBDpc3vbFd+dCgyEqILMQYaZBkTldd6Fga+clGf+Y5a85Zd+jLvJFuIE/taMkyttwW/cTy
88lFk5LbOrsSg37fpppIJL4jmd+GbnbfFgiacXaHGPNIC9iTB4pMDGytaMWqUnzOhKtexwK8bgAD
GAlsYRbxIm/s+NUoiDoI/LOlYzpIIUYt3Don8b56pvaC4suMDDxNWcTnAB2tGabYnAxkx2YBWdTI
E+Acen3b+lWytEj0EcP0ZhQP7ZA91ZZxJqSOxRmc+d6IGBVnLjiOaDI2SQBJvk61ncga9yZLgV1G
wzuxfycxfQ1G+2nwK5qxCteKP8NKZLMCkyyniuRQacT6IfOBR9MZm57rlSjZg+szZE644+3CumvK
6s3pe/AczY8xRTeRAYUe4C2vQxJya/nNHorfPa7CLTXDqqRrryfFR2bSuRMZMsA48axFkYpt7Nur
ttH35Oy8WMoYdgSkCqEBeDbumindMWu4lQmAKfLAUS/Hj0oXahMnAic8LK7Bm8MHZj5XO5O6kpnZ
ZXdMjIOZ4zW62KiknMpNrelXe3SYcbfAElgF6h7wHNtK3mKFqGsAEZbw6LiDdmxBhxXVuLNmlBhI
sbBsTi27omGWcfequubAx8gUqLYCHJljF9GpAVAW9u0yQ9fGwhK8s0SfHMw0M0PjL4M3Ix4UEC61
ZpqcnDikDp1JaPHMRLMj/aRKMW2NCpleBzgtaZW/DkxL0LB1REpoE58pfWatjTN1zZ75a2omsckp
vfOBYy7SZmyW5sxrs2ZyWzkz3CxgbsMMdSNnfWArybjrJ5+pb3mUmSu7hQSnN4KLGq8zrhQFCDXI
xUtmN9tG5XJZdbi+ouxLhvaOvDxyGBRGofDa9whoZX+KpMdG1cKn5m36JN5mNVEMRvEydQH1R02Y
b0k+hz88ZOSyaA7naDgnNg2shazmO8XfW1nqyYpCkGPNY++Q6wBPNBnkbVPgCIZPcF/EESFs7Hh8
G1OPezF6ct91l3dOMqGKezYcGTk2eOPZ/tpLPebZCuPkJSTunLq1PSVWKtghi2MQ1ysWxDuYsUeC
rF4zAz9Kod3Cm7CWw8QyWA4lUAb3WFcCyZeZLTNWzctEoTG0mdrMjPqM1tftFqIe1lM2PMWxdioN
0OxDOdscJojmrvOeRf4xMLNT0xdvOrW0xB1WeWWwMxom2SIo32XDyeaY2lflogGudJa5RFl845o+
grwGZ1MTPO1ctJIzveEjNcLeTpzyLUNoMVkdkw1ZhojTi/dYNC9dNCvL6+wmmzKmiGO5y8g0630M
uGJsm11ZCGdReTydfVw6S0JLHq0WXalVoJcs550wQo2d2TBtYwFBEpLk969hMvBWBRpUJlzE7AHf
iIKlx2rRjyT4KNtEF+u4aL+LSr8fqPAzL4SorpIflbXZSkuGjDEQp5rN8sNl85q6KGECtaK9e03c
jvCT4KY3xx+HhF5WJ4zri+Ym95q3KEk2ldbfKsN57KSJANuu4PuJs1apm4DPIoisJfNhefjrheR/
M72bTZH26y/5Ofxv+Z2v3pv338RsN+/p99//tnxPP6roS37X/y50+8dX/l4U2oZlUfg57oyLFrqg
JvtnUWjR8FMvuo6D05eJPQXj7xI38YtLMTnPyJm5m0JHM/c7PYfpvm67ljf/xxf57l8pCkFn/t9F
4Uy0tD2DRQFZmf9WFCK0GoiILocFmrIHa/IfQn+6byLtwbDKzVSlO4UqpJ0Qptr4GJNebFITrl3d
pZsiI3oXhjBnDYFRqYblEo0Ye9qUNIGecIpoeMESBdislneBFgy3hRcc+pEtt1vKgwiTJ8tlnGAV
MRncfrJxeWq52/XvxkaZlWjrsSJnE1aXv0zrprxEERJyyxf9kSRY/I2iOnZu8eaF5WNVO+y+B1D1
ht2eggGTLvjZnXT06kQ0AlGy0btPlcQYs2YEwEUgMDeI6RBTrLNHA8wWczDxNY8SIZeujQyIxzLe
CPXGsO1bmt7P5Awg1MwWPbz7Wsh4l+GA4sQtvzunOUKeszfKTZ+tqbmSz3JxyUbunXHpyqlA0RfV
GF6Mi5WaW3fwN0NaflRsvdFD7xPaxCzrj11mHhUZdZC7WqaSZHiS9JwB/Vk6JEfKGeNIdvwKQzmx
F6F1APDxWg/FrUhKSOKmOMhGrqKkZLQ8ahd7wPAaGTzScOCJwyxSPBpe/KmjfJ0sfv2sIP9JeelZ
sfRZ8zmmuEHMlaid7xbbqTPf266+pX3eVXlGDmmefQxJcE1LIBCxEX/GwwQiqSLXJuYgs4b83Mhk
n3lIoUZHR7zV7ZzSwvk17Mj/NVl7Mw6QxnYgqxdl5aLXhmvb0cbH6qTMaps746b0tIPD1Bnv9j63
5d3UtufQpxKmBAzgcVv4Npei8DaOx52tUs4qGRU7bSBSALLeIiNHjiCHm0mgeWHTjyjIG3FVQVQM
SXGHXLjy6/4nD/A3ldlk4Foflr2XXf0UJwmX9kChH0OBQHvdO9lVGqGPVCUcCIfy8/0IXOI+GDII
Db0GV86z3hEWEgck7QANTYINUxqbCULdQi/Uq+FoizFusOAo7tLRMd8dvGAtYv6xgbRZ+MhRNO9R
6FDWgp7Akik76Fm28evkpDrvk6qbmgIV5rLHD0jS+MhHIvA/Q082M0UqZIvbN/IWYQxSe4SoVXWt
cArnbXeM8yuP+26kOBxN+VaR8ymV+VlocbSLi+EQ5ukSkVO48zvINOrBK8aD7BATDbELS8symIrw
9zahSLnutBw0k5eAwbLR1XgTqG/shYrxd96T9OFi44Mc6LORAW5k5WLPvu2qk2NRq3I9uKBryWDH
LPVhgLD/MkPWSLrD+goSgaISLiHAolMg6Ijpvw6PGTiJy/8FcqeTGJsMCABl6T235EC8W7D4wNC6
5I9W82hOTg9BJsBodaDU51Jp1OTZItd7kWnqqy8Sd+8lo70aW/Fam2x52m7sX7uuBkrNVgEmGFG7
sgaNbcTeUzyP12rAWCyZUmxAPRssFvRuu5ZhfYilT5LF0N1YrCa6MUT+MmosvHOSEXQ3uIIAfFLG
R6+Pj0YLsIgp48c45R8+seaxBUyL+uUuT/yP1B2BrVSfdQvwqiDhlSnmqbZiQC449OTEGl8XAPWs
5KvlqRY0ecrW2AX1fJ1oyaQ0gKqUxnlK00dlB9uhtBYYS+MFSWA8UQgIWDzWXsxnJ9AemczRFytI
5LYVuku9mIeKvgfT3jeqn0ZFzRa1INU5ob6GTqooayAEFfGJEhrdWegvQwLMsAiR64FEoM3IG+/0
dR1b0MgNjWnpFRMiTjJWUHxmmUJk91WWikugU1W5KHFHk1FbMitO9Ab3MmYGHTH/OrVUttTmFJ5e
d7GOMk4NzO5Jq7HOeTZuPfImRmLqOWjrojro5XQ35hm9cmWtciopgVeCWg8sF7mGTYlurRjAxiDN
1bWjdHXtmqa995K3pA8vCM/ANcfsJnpMsJnttY6ZqwwZGcSZ/+OREo9rDVXknAhQ6mxQlWrviQVg
3TuEd5Zsj78mjqQVJAXXQMfbJ3i5OEksrjtrGI55hCso552RokdK7en3gXQeCEk86kiyRNgZy7gd
oev6PEmqgbFTHgaJ5dFXLG3xWHBgpJN2CaDibkutv0ZsbTjEGzS1s1uuCzx5OzikLDUz8Sjr96Dq
tpkPcgCM6LA0EE/3aKPWKrf2zhA81gJjkmawqS2Y1zBvni1g/attR7ddG67HEESC1Pqn0iM7MSj0
JwKMzlohn0xMVulAsIuOf7eTPnWuQZtqfPta/Gw58r0Lg/sCzMYmLOwvs7LfgNmySwudN6VqNCpW
u7FLgpmd9gmLSbsfdBzozLRJTC3XDL1YbibdPosrLjbCCEY3YyE20zHiQ9/B56qQ5ppEFqJDKRVQ
bQP9e248xBOvvV1zk1ekZnYsCtvJRLvYsUMwa7mozFxuGDZwvqF60wSWMVVcEwqLlk+bNicMS18h
ZRvJWiUzg9PCTa+Gpps7bLk2B1j6GLYEYRkYDYlZZKuq98smrAysZIDryWTCfguHr6iidU34XO5g
9R70NcN51Dic/9adwpt+SsLobKIq26QOwC5rBDrfprs+NDFepU2yVZOEWRQZzrUM3WbllN64RcV4
bMv07IHnXzQOXDUPRlmQRS+ymzZx7MDPJvzbSoi3UFZ8bM32oAU407SUE7NqT9VkWmxuTf7+gNvG
JpYyZ/1iawWkU9GPC7fx7nsL5Aa8UljO0zHtjH3bD8R1twy+gHNTCj3FWYBKjyNQepG+8vr4BJPq
PYW02hXul14wzHLi/lv3uIw7n+2noZkIOYmbTZpDy+RxrzpGcC1TwAjtNlv39lpNZJnmzAhkRN5j
meJSjNXQkAGtv8VRG4BBmGDGOTcJftlhHi/5zNSABHDEh+QIx/OELa1RbfnCsvHtmDd0mzD1Olpz
sl/VTuhM/Dq7JzxYPZkChFmj1cX/Ye88mixHziv6VxTag4I3C2nxvK+qV742iLJIeJMwCfx6HTQp
sjkMMYJbhWbREz3T3VX9Hl7mZ+49dz2N1ngYhPY92nHzgLzE3ojOoI+qEX0Rx1HMGUej3OZGjYo/
eURC7Ow7QUXFtI1k8/TigmvrA3Odj9ZqaFHYtsFK4CI0zXpvUZ3FSsEjVKvMgy3Hz0cbgSPOQani
976z2D5INmlWpd/aMyA6mlHR3F8XnAy45qyr2+prhS+ANxax74yZNmfgdDmjp0f0aAMsasRfq6yp
ckxL+hci0XYdOGkFZQzo47LhQ/WNahbuag3iWneBXQe/sNdmIx/bGYU9/YJis52YZky2UQHMHsBW
R2wDVy0s7X+94/s/uRJGAEUL97/LtX6tgf+hJ/zz7/pzTzi7npBQQUVFmuXSEZl/Y0bR21mEaKDc
sjE3sSX+rSXE2sQagAh7f3ZL0TT+3hLOo4JZ50lkoTUrt/6FkAP2Cn9sCT2XlbJhsSWYG0LzDy3h
BIO8byWrYNFEFuQUjHJCzNX5SiI1yIv2MWCXKi0+nX1hnK0ayEH+kYOMJPE2cSkr0vuyaBRG4xoW
SxvfiYQDs+nUceASCE0O7wDFV2eEb1qkwdrj6EC5Yd3koYcjXqwG8W154seaiI/us+YYRsNPM2Y3
WjofvH5GfsEojwmr20Umqgc5n2E0cwtTI6kdO9IuNxj8GRQWFtWBP2/gVPJVR7Dlq2ivJRETa/d1
dMEqGGBwYr56hYfJsdN2y/SSQbWoWfk5j+hLxNheehPrq7CHx8It+CBHqDvHeOrWQMGO04SESDIC
Qw+emUzW7NokWiU/ppis0JHnB39U9jL2QwznE2wlzXbvy5KY83QybidP3+mxv6mS/pp35Vdnt1sF
21F26bWf/J3muhu90TGcqAysgnEuyLgNFPEAmvlQUL1LvtSqSsMD4QFyPxX6YSJMcWHbA6TRNoBo
zfamaQc6bIsUVdclMB2jdkiEsz/Ha5UwmouG6X7bg5xtUNHpEAv70dvVA3SJDtImNC8L/IPMxaoy
UQkR9bNn1QR1qCdUZoo7DMi4wNij16Z5GrifQylvBTreGvO2Zr9lQbu2imZnjBxOrt2vfUnz3MRP
Udxsdc17lqI+kbO4rmsNxgkkT4czjhTi3mREGPS33YAzASN32r+rAO1OiZAceZ5MpnVNw1eqVRdc
dFRWuD1U/Oi0OFML703zpuWQVnKZJt6OAr2xsx2Q2FWagl1qM7xawDrZtDb91nIl6WDlMWvp+Yr+
MPpgJHDgo4pc1SAqbVYpBE9kk3yrun7TiIEWeE5XxAqWALteZPlATKNdLs2hme/ipEJi3YpN3DrN
sshS2CvknzlKnUqFniv32b6pbttVmL6BMVKjwQQZrB/fgxcamdAFPBdkJvalCdb7goyli8hxCI0O
9FrsC/dBXxwLz15bY3QvTP/kB8l9EpXHEhkhn817CzsxwNVlWXsnk798Did0CA121XZBi6ZYBZkd
HCKKy0OfmO8J8xY+d1Vd3VOhYVVj/9F7zbZTBsZYLG/0ImHJUES7eqN/1UOG2RM+0Fm0yVbFr2Gs
8HQnUtywJGRnwzJc1zdliEUpqb9SgtQ4KX56p3jolY8BHP1aLx8yNOZ5hSdNaT+tUcLabbVvWl6S
ExhqhIO7505GbRLsEm9i+WYznvDT4aINaMHstMa4PKn9qCnAXZ7E9R9qIGfkukDjsm4gh/bBgPui
gJ5Vk3Low3ITQ/aUadmzBWx8UZZ8cbc2lnhMNk3YeojeUEB4MbD5KSRXrctJoI47sBiWuBMZo5fY
DnvSD7XTWLkPZS23qVY8U1hu9XNbApl3umXbuKDHmg9HOc8Ekh81jWLW+aDEMhr9mgBBh7c3bElk
7tyHrkuTNWFMsCZhcoSMY0t4FVG7ylHI51PksUSp1i4UN4bFy5x8QA1tnF8hEgiatwbpgj9/6JRm
IeAugMAS4YWrYDZmYK9KGd2w2uUp7dZlRhL1+NZEUDYbNIXOZFMK0K3E4yFLjQt7MicSFHicXtnw
MwaKRwxHlxURIBmR/hkZV7QgJ1N9p+YIdCTsnXWWusOiKjB/UP1tG8N8zeR4VuDjKpLcWuoL0FBu
6V8AyDuyXzjD2a0gmaUPlc1poC0bRkgiD9/nHamW40+RGjkbNhww38fadMH/iTbIEZd2ICO0drR5
mdiRKSkekpAEB7UNZbAJrQ9febd6DQdJp6Fz3QyKE9Q2It8CMPUxQpfxyQ7knWKLxY4r2Q9Zf8kK
dr3EXS0YUtDH52yXR64nBqIBTJnY7u7dWF15VbY6omRy085NmSLFZP1FLM/TxH6qS8welppuHMKp
XaNu4asrxm4pdoFW+NspI4DOYTVnqOQc2O2xRkXpax0uI7oCP44Q3cQ0GTYpjhEpHBSduPwWbDkI
gq2imAlpzE59UPWLO5K7GeJHJIUA14L69KfshjuN9JqKYDUzYyleVAJ/o2BUpHNZRXVNoEDD30ez
rScnIZ7dr/O3rCZyviSB1dEmLBcR2fWpvAvd+GRWPTHtCfpfMMG6Hj7oM8qV0erCaoLX1MSAIwwE
xqi88TilpL6JbHh2sdtTudzZent1YdsWXv/Q5fYduQfVaqQgX5MeUvBhnF6N0ED2PC2xZT5VAtd9
PVtpVcNf2ZztAdYvo8BsGfByN2bCzCiumUAHNr+sBbPJgIHWR+4D865zdkYD17EMRxZJkBmcwFma
PUpIKW7lGIN/KOhPGOrQQTtIb23tNuloQ0VL1jaab7g9qYxxk6bPadsy+NKDmhi8AhkOJPUMQZDQ
hbaoUp+7od5GnomqOdMPdSPsbTag+s3wPDlhuZd5exMreTIt3EqosgCfl+ljZhmolgkzLxr/LinF
Xa6Xm4odcdBxUM/NAam7q4A1a1nKSxbzBwo9JrBpSPazm4UJSzL7ctmLBwxu0Qq+o6cis7gRD7Fw
ULnpuFLTa50RSz/3hmzCWtjoRZS/6GnM9lay9OZXbCy3vy9d71TA8y0GfWM6/iav41VGTGTtDi/T
5G+rwn5h1LdRE85mI4ceWChyVdIVmaYHB9xe4ABHcluCmBWG6EmVr2FjvnQ6IgnLtW8SCZu4cYL1
4DABNgJ9bVgN8gHeWya7IC/9plkncqLE04hETQyGh2TgAkRiAVtoBG7EfE5csyHtrYqunQWXT7Bd
sPPwhwEIK/7COPqZgEmYEXzJUKAk8ypjNjlhsxxUFK2spux3SSCvgGauWTVnvPW8AJbx6k5s8qN6
6Q0vHsLvRRLzAY3cQSePBIOt7S0dmKZe7NEkwZHgITcWLXTTlV1hXcG10C3zuMfqi8jeS4OXIfgQ
eV2ttQZjmOh3DE9hJ4kHgnDwm0KnTMxL2H1HtfMgKDNB+6zIJ1lOs8y5gYAa2rtAYYH3JsVc3F2P
o4u32t3pdntpyYPRg2abIC/mSM0WsdAPRipmczfEKQM6pR1jJkUvyPt5X+j1dhicS2JpP42O0Vq0
x9KJuf1H/cjg9LH2k3mK/9Vq+m3RItsp+uo2nPVr9khHKzT/xuHbKEbsvZVnH4OIKWHWloSH1Sjn
XHlKgv5AUgT+wwI1EA7/Kp2Hgdolc03AWN5FF9E2K8Mdw9WL5VRXZfjsCQD/NZzKOjS0pPuYTPOn
NOxzBJ3Ml+G2oWhqXPXkweaJ3HLVG+21hktm9ri9k9iZ3QHsKLL2wQ2bb4VndB8Ru+0047XrOCgr
r90SkX5jWZjUIH2nWCVFQiOSevPDBJZOj4JHqSW71o5ubKPeGGn7WdRoBUN7ixTjc2rtVREP50rq
WLhagl78g1mBMQmzk+yA2HXQbqS1tsPhPJbOC5AIrhv4A9gENE1jNd9c8Tmv2sRErpmCEg3Wum+s
BxyA0qq/fb35ccyBFsGGMoj9Ku0t1I35gbyhM2oDhBDhUg721h0YuDn6vW/WGyuW6zisTh5eDz3v
zlL69tJHNxPrhb20fFAKfQY/KhjOvQyuXSbwc7jkB0PQUcJdmSHI/MQnhTjOLkkN+5OxAJUBsFoO
v9UQG29NYW11J3tNPEl+Ufuqdemm1rSDg7h2cEKe7GE/CyUFss3YD26bwH+TA/OVTD6lkjKEiRIq
L7wd061B6iSzO9DxAxUVQeAHs3DQoLgXNuiIfngO61xdCEzA4Rn6glAYzL9gPk3UQ/lLETYPaevi
7HEo3YKDl8YnuplFwOAVVB+rjIhFVaO3jH+m1zC1zzlgd8zC6GcG62gqEPFGfK6n/jwG0UcZdWBa
u/YzDhEVywSaplmlr15uexsLO23k2Jeh1G+A3CCeDaDR1DiD8A9m4k0DvV6gqUwKVhD4vA8a6Ck0
XN6qxsDsARTyc/HcG6COrFnmA129Km4Sy/jm7MFYPoIAIwMLiz4hbIu40O+KQjwTboTKlHligAF5
gYVmJ/X8PdFjRsQ2c67YRJGc7WKXpU5SZg+M5Rni+A4PYnhUsueOsKb7WGsPZo0Rya1PXmdhPGZR
WgCPIlwIaYHUD2ytoNfW2TJ0ZwCVZX1MenjVC/M2qGlOVLwa/HR2RtaYbBzQHzUj8/gutZijp4Vz
H+UfrV6fSQWm2A+T45hAwjLGfYOVvlPaoQnqLzkQTaB7n8TU7f5/ZvRLburZKP59Vvj/bGzU/73C
9K+/5y9DI9T+PgMhJkOezjYWP8BfhQQk7cDQcQJP5/j1eSz+Tlxq2q7jICvlN+FA/W1opP+JihQH
AWpQJEaO/a/pCOaQnb/ZB/jdhoHPj6faMB3d42f8/9/sA26ft6TfchGMcdIvrWZYt6pYO3Z09qfg
A0bAq6FDYhEAA6LSQAbpEJVbDDiFgRirlHSd6jK1MB3IHsnJf0sw09MrhfRW0y1beZRySHbmMFfA
oIdgnL44JZZoFnDqBAe9GwmA5vC1mXBw8M4f/FD+CA34wxhfpuQe0R8lh04YCkLr2mJ3mm4rHv8o
sNaRIReq11/0Md7qZJGQ8oyaPTsXfXrx7a+o6ddUYvdkgR1M7U2jhU5oPzy9O5rERVR4dH9762//
/Kr9W9Hlt6jB2tldMSORfns1MUi6jo5yBOcvryxo+T+8mk3r2wQMUfKuVufzcXXmx9WGf+WL8/Fl
szltn0+bfMFP88Xxe7VdbJeLbLFfLBbr5WKxWfDDfv7htN2u+U+7JT9Zrdar5Wq3W83//PPvd54H
/u29//XdWlCXHOQLM3bJmp+N3977prewGLQeCtCgBCoolpERPCTFu5F/Ke/J4jBx2R/9869p8Nj/
8cv6Jl+SSCrbNvln1lT//mUF87jMYE6z0OPwPfXCTQ9rwfWeuy4oF2ypsI42IxJAkI5en3+3AukK
F7HU5KsP5Y5Eh7doMn0maOZdxuUy+TlJhJkGtQFVZVSX6CZwZPk5ps+GdL8Fq1B33Um6WaXl01JT
ygeaWEV4LDPiW/JZyuKkz/BYKB/4pcR8NJZ18Kb6IozubM0UAzh7WzosOA+smOrs2R/0VQIkr7Va
OG3FXpttmxOcUkwAiPCWUUBbkm8CZpmkjS7SMTlE2i4gry1QhJ3UBLJDGYCzw14fjajYVNwWxXye
e1hZ+cTZ7EJNGxpySiy1Vv7KiIK3fQcvwyXCHGTELrazm2kQN17+7UZ7u/9MrfFJ5tGDVYAMqZqT
W26nyNn7lnPtqey4M3p24IZBseMf7D49ux0+wAqvAg5FBpWrIST92y/lxlGQ5BphrqJEnm1R7Uz1
0JHz2gS4I0cg3NDMDbHBC4yW009unVzfBBCp0CSAGKq36F3XmsdYoELxAhqbdf2cJEgrcj+0d6pt
9qzhWVWSijXMCph1QxXi5ebSLNYxAZihhqkfNZ6mLaPC2E1oR4PybMUNV9h+ijHFmOOnjpg2GyAn
zywZA4oCeo7+syf+L+rAYadYeADIZQyF7HfWYKZRHZ3p6hmcXIRPk3dT5wc5Pg0q2Guo47OgBJgg
QQwAv6fO6bB5lHCHY5jw2vZjXDO0ntOnA1jV+blW2Qn8FbDWp9pl962cQzSSbQ0iOhuPrnm0VvGP
Pizk4mVa3LgHoHw781CeNwFl1PPNuL7l+zrxPGw2crFxly9Xd3leqK/NDdKtfX9k5Ri3txScZ3d6
TG3QNaap9v0kNjTReHjrKloSTgMC09xTe5zt2Md4iI/feSLG98B2/svD0w9PMGfoXTtrGYNZ7Iz+
LjM+wEotXA9H0ujuhXan7HadSUG4jcs42CQNtj7KiEEzOFm0KjeTh7wwYqAqXlqaz4JTNG/Lh7mY
yVqCzhB9FoPYSmZCXdO+9ynr4x7ONMngcbo1A2LDgrsRY7AX548U50dh+BtQbKgfCTpybnpU7Gn0
0zHWMcuKmczYnJRtX0P7doiQ2kezIDN+HJGIZHLYZ7J64WNxCjXmOW19Rp227ZA6e9GbI5pD7yBG
Gxg28QjPeQk54xm/vg6yXISdtY1UAzp6BgcPBLcwiyOjnL65XxUDPiHL3o7OdPHDfjdnYzRx+aOx
7zXyzQR/N9XKs64PB9tGy65DX7aqg+ObWxNBDSnxp3ayK/yasEOH2Z1svUky0Bqz2MMkXkFzBLi2
K2r3otLHykHYjS6aLo5w9IFzxSRwxkPs4HjdQTJBK6jax5IlrD7cuY0Rn0jkJQzAK4id/UL9N+2Q
OIqdMv19TJhtnAGXKuHlZP1LSBfb0T3oMkcUG961IcLoJgXUpFYRqOWdjQp418GiYc9YweaBZI1y
aloXzGycYW4CMuvB9GwguWx1M6t+6XLvKQKpzVgELgVp2ohfMtjf1asMAMtD2+hwsol2uNZxq58U
qNVykK+1geeP1LFIuHeA5R8rMd53M+49TetlpKA/C59dkZbuPBazGp75RsWbOkK71DgtalzyngYH
93HwovFCy9i9ugSD+iRgcnVtM7R6XlmvWvLlRFps45aDleNEy78kiPg2iwgGcfi7N1+1B4M10J9q
yPIxbr925LJgK+0xfvV4No1KexNluNL17BhMd5WRbFz6yXBIDmFIRkTDFiy0Ngz6qmVbvzFF243Q
iOzB7flMt3dpk4Lpz9ROTuXKZsvRIMRmqTUw2nCHR4txte8zpqZrAunMWdVW3n2OussLtQ9tLLKV
ZXrymNvVuRLpMczkJS2JdcncE4kz6Oaa4UEm3bAGS16slXQvfuNv7JYVd1dVGwwHRB8anwzc3NWA
vow0zlXZ6EtRFBcUdgcHv33Z+pDeSya7FtHbBRefxa8YCrCqKeKTLCq4jTWJgTw0vwOFdENNkfow
IS95ednsHKJCeydCa6BjMUDCnLVECSSr2Mw2014W7adOJPICQIJcGXEGuozs2ceBaG7s+Ne0yh4C
2PAMmt5gyZ20wgH6pzL3YIsnXajhoWkStVdgQxnE94LZqBh3hdveW7NvunE7VvVucVN3+k/oNWc/
1obV/BDXJcZW4q8pC61kn7hYA0AyqauamsdocFqiB/1xbWDnh2WffA6IsRZFF+5aYMy+l91kQ7vu
iRrIHRA4aEtLXrft0LClBO4FeszGdeHgXl36gtNfjfqrAWAhaPol1IRbIq+1RReXt55pArFwn4p8
xKAgz33EHT4C91ngseQFNGzuJzIO8ZudSkf8iLksrhJ2PJ7nP5d9glDLTm9GiC4ongyU+W64swKM
j3m+dkX2k6cEE5egkGkcKEK0m1S3X1ApjwtYMis+od1yxATgQKvTFa+GmdoXD+c7ugtovijK8rr4
VCOzZid0xVEZJpwvbQpvGFj7q7gmoznAzHsUWEv4Lhvw94Vxo0ExNDoGV2bhvTuGsVdB+1KZtrVr
NENRrKDZMQno8Ipy5Rc60EJXVluc9iz09PyY+5pkwindZzPUWYdo8CZS9o8iN99SYd9KPeqevdSD
pCWrVW0ASkDre4n1atuVM0eivOW42ThZMG6dQJvuBiB79M3jExrkNwvwyZodzkuPyMsELVl6Fuu0
6GK28VedmMe+18/GoHEi+011ilKSE0f/ZtC5PjJUda1KbkZ9rE8ZCBOql3YxAodEtomhqYpHmpqg
I/4uIXxJ5EjbXHfEINfME+EzjuhtTrZo1UdrIbQHS/ivJqFzDKePfaNfzAmQhYDilFWajxU4vm/T
MHqx/QRZIMTrcIw29ShefMN5d5WwV64Vciyx17FFfg1TQgGqWJ5QjsKCSyiYk0mt9VJ84l7aiyBf
l2L8srhEqNSYRxeQXHC8JQaCVTofwt8XDUHuY27bMLWttZOxaQgy7SuyCnODysS+iZsYRpFJ0RfG
cbSNcuotLE3Gupu9colphI/25KZ3fosYSTMVKdiJ90aQDFw6q3sxi4EVSJ9VUDU5NKyewatiRAM+
DeyzjQtnm1sIzcWYcC1YwMlClVXkiDqH+dQ0ocIoQA4r6WTbsNEOloW/Y4y/Y8uHPciXrdHIWRi0
4147hB4UPcWcCoILm5GuPeZ1+DLfJ6qWAZz51vyxWAksAyfxNp2DhSQjX9JxTGNmdWFecRkEl3QF
h46AoRWeqKdW+beGdA5Fydqt6/twbSctXKtR/5iqOjxpsdyTl8rHWTAetHNpL4tulHgv5LSxNWRF
Co1o2ziftm9hQFIRAzAFfNrrdrIifpqHbhkxwMfbHtCsul/s9s5AKxd6dU9nRgaQ36OU5XUTPoBY
a0BeLXSAolJ/yquWghbcVx14S9d9NMyah7MngCDqUZDq1OXGISveq9LfJD0ZSZCwFiYIr4xUlSJB
fJrq3koxK/e1hC2QX+zY7y/9IJXrJDVZNQTEG1SM0Xvi9piT148x0EcotK8SOFZcYV9GiAYWlYB1
oo0sTe7UCBuDcCgsSyeJGg2gzwHhE/0N+TiYq2U0PLU1KlmT9xdhFiRmq1mpPKNQDmKxrYPhwy/C
atWxBrjXeL8WKtBeYTTqWM2DZeriCq+Ez+y7uItZYA9GiyMgWiAyXlXTCFmgZE1C8VEwo3YSjVlm
oqOuGx+yPnLOlsYVFKXoWovHfPLoR/IV+gJn3Vuatyu8Ofw3W49BsDTkSPSOu2m9lpJHJ3InR+Ll
1PWp8YlVEIRaOvbIGhyhmTmHLDDXpFrHkMHnvVhmSO+myBi2HH03TeTaYIAUn3HfOw04taJIm9UO
56AEXUOKj2bKV7u0t45hvfVoPayCHDGyS/ckWB1rrbgZCSU4wWzjOzXoRewO625NGKVBfer/RMbT
aKOp05jjQgRxLGtv+xMwBWicmUEzS90+qyktXhnBsqT1wUSWpJ3ED22EgnIKIONS6geIFizzVjRv
Rg/Itf+saPLt7msYyFcqHkWgHXHrLjTsVvpgbDwH817xOInhLaQpS0qsHLgf4LtH5CPJyLyPa5e5
pH5XBT9OgmhD3gKqXfTGl7BROyRorr0qJsDFkR3einjF3nlhMOU+9JHXXfQhukYJq6AJhMaxdqct
I2DEgryjDEK5dfIQQz8P5BpVakxmLhGepNLZjv9VGwTG+aMLxYIjQfX3tKNLJfK1J9FlpwNtHAoP
JcrbZpAXRKlbW5m85LP/UNb3fTNrUMmvhGThoc5X4bfHhVloYoHtEpnSjyjt2wQero0gxHbYItPc
hAmpGnkA5aLfdkNyNvvuyQO1mxMHqyu5UgKzRJSiCa0Ppmquk9udA0vetdy/4EKJO2oAyseLtClO
lbQ2ZR/uE1HtdXyvUxyyhCIKomPojyRJgLQLiAflU7FNR2yP9Gi2ZLEc6R9GGnXUE2zsWEETL7yM
vZ80a89kZx166fACInwmChfj+iFgahKMCh/3p2IjNGjEqymNjr+75chZj+Qbjb2/C5p24w7ze1xc
ZSP5EMrBfMkilrJRpF5ljiUtDdtjnJmn2CKcK2zdY8x8E8BfhxEXEEcWF692RxeSdVTtVkePZAwI
warW5ABtPlVmXEPfXXS2/6SSmdbUh89RC1K/pcQdh5NrIl1h2XcdsOcJBSWzCbD28FaFFVswhpS2
Ye6Vg95lnA5iTJE6xc+BtLb1nDEnKCYj8ZrGWGjT4i7R+jdJ8q7EgpCBsVwnGq1M0MtdZSs4tO0Z
B2CxmRVu9Zg/ObhkLH28rQoCPlCbLPNu2rXjUO59vXsfFEuZJmBty2Shmg3qOuhAuETfACtijXKJ
EAnW8eG31jLHr7z808Qbmxfpz5yMzDSFdGyt07nM0+7Qa+Oz0qP1VFobCTJyrDyyjPIKBUX16vrQ
r/T3rnCeoAPtbO1buXKl98+IRYmXC5+IVdpaNo+H12hozoKdrEveu08XonLE5IdMv6XToaQlWHLJ
Gn/vJHTaBBIG7NHtqPlkJ7yDxLR2R3sPiWuf0KfonqD0NXZjH1jbDK+VCUgp9OON5lY7co9fJz/m
NAJsrLiiYSlCNnqrouzI9Xzra9WrmsiIy1isDWn2TXDsKeUXRnrzELTGVTjYiUYU4aAANn3M2Qqm
8pX6irVMeT+44SXN3S/H0N6m3LqMQxhA5R3Jf0bgpxWPI/p1JnP2ca57q7ABBwqcq8i+DMXY0A+Z
QtDExmAGionDKXbharVQ31rj0YNzhjkCFDbBgXSJ8Ybv86Jpglup19/jwiQ1CVVxBsBmWSHvn1vu
mzKfc8MdyswWLLfidVTpdCKj4pV832CpdO3GxRS60APWqOz4l2PTf4zC4rFtS2/R28aHHSDk83sd
FLkZHFusVouoFOvU8b8t11/GTvAVaHnNMB3SL/hVRhsJNPNxZALVZQ52/5ZbaGA3B0dPRtHWKmjL
g959L2nMVgl9X1qWVy+bnvvEuImUdzUoqRet0TUXbwhPXmg8Ag9oCKEZ3grL/LInSKN1/DxRQ+ND
knthMhJnekpzO03b0iA5l1qdAYQr7rN0hPecErMkdh0Y4AL0eFH77Mei11oWh9rgAvM6+9QKj4Se
cNx4sXbjtdVpIHWbzHSw3fJJyL5ct4lieDLdTBVxR03EReiPewJR1ij9j7FNsrEebqYM8w7L0hj2
bADfFF2O4e0HwJVZrF5FYp2F1uFMtwhu8Y4ixh+QF/2T1wxA7Qt59j2D2PtoK8o3t5hlJJjtU5/7
y0YOgpX4WOjxBu0l6gjpPmY+XBhdlcg0BXsNlDS+wp+TRNN21CUY+Yr3tOm75WQzEu5trjJw5F51
sqP4I0FJUrrlyYKihurff2E76K9qu4TXZlQrU9VM0CC10rUxoTHubSPCod096YB6ecC2rs1hxos+
2MZxzg4J9HLrcELXnXjsaZF7ZWGb0+jaIAWypKgQ2Y7kcmZmtFcUcMhAlyVatbR3LrJnSNTiOGwV
ch3kBg6zYQtkf4AEHs8e8UiQB1t6gqzElsnGZJU5IfjgedKqbWYLt+8oED4Fk6hkDkHMod2UHfwG
N7+MtXwURvKtZfjUisqg0cLWViHZZDwz2/cGNrZ9TpMjgwdJEQuKr0NdGlyL8rtqkke2xyer/hwp
SbKSE5DdNx8tmB3jySWsxSRWyR743jg/a9iyVWduBe7ygV0q0EKgSUx+OCwU63eFL4L4j7WZ5pQZ
3OSjgI1nviii/YwwJ1ClQ4KUQ1Vu2EzzVHV6/QMBgV3z+FYHOcp/ioBa7747m09uHOodE6yPtgL9
ZwEQVOpZx+GvETWPfG8362iGPrxaDTYyFs2KVXIR8ATW/W1ad68QOS9G0a3pfqBgjl8NsjnX6b4S
qyPnoUqR2HmXhpwq7LA/OQjvwa+BXcmnocWg0OgbPLZ6N7sGnw1XHcPEf89C6ijj3kOQAHtobfiS
CjHcjfw5Cill7Vcf8/rdQBWD9rJh0W2CYPeabMsgfVXG7No1B2CBUV1KXtwSaaELMbdmJ42UcdEm
El70UO97/0fwNeoGpybfte7ad772gQ0LGi0xNRJHWcJcwDDgcpB3EeC3TcTRwAfr1hxwPH25zox3
TlYaNgGvU8FUVYfyrND7zaBaYXib0qi/ejdbhRbkJy05Oc1Hw8ulQcE1Eds6zT6GX0iziZHLs4yG
x8h4yqj8SG5QJ9PBBdrqA4II43ZklRcOL6MM9nWGUUOl2PvG9MFQaGXQy4RB8RqE2jVQc2qNuNL4
Qjep8/2YTJfWddFMt4/Z0B0MH1ghHNxDJAh2d/uT5UbLMpqtbwSLjtFsCBsYLupSfSBGeo1H+WiR
71UlBKv7xQbGn1yUPv0jKcljUT0PkXWnCvPdwno2Osmyd5NtXwX8FU17k9kMfmTunJLUuDFcbvjS
R7WWo+5bshi+6habrmRk9ROhIbRKwsnnQDSDi0nPuVDS8db3H7FUSnwpcBFSgMOC+MMKntm09EjW
4SzCp36LrAoHEzJjK58/oD8dPUNpvP/a2/3Hn23yf1luyl/2A9DgYxNHov3DT//r/6QxhDddx63x
v6/4T+/F5/s/OEP+8tv+uuXXbUd3AyiAAZwo8zdcgPWnOYOGdaep665j6R6r/P+hBdhQfYN5y+9Z
DhhBH3afLLtW/Oe/O9afbN/ExMFe3mam5v1LgTiGYfyjN8QDFsAfZs4DD8OZl7K/7XqpbJJ4UoZD
0z8R78UcZhlaPjml5XOf6dWKtfYxawIsReeoGagAEUglV9A+GKHhrbZYm9jdl1mMUkCL72f/7cbP
iRyJO/KBFWtOSZhK2WVXD5NeL5r+IIjmpvXcCeOHU/MY+mpPz11RxUCLmfG3XnFHh8eoF8+6Q+DA
q109sTDdplzbkTrjpwUug04d2H5erQdZLLjMHCKdQ8RsyFf5OPRmsrP1N4UhH0niShMA3WvI/e3O
o5npy/9m7zyWpDeyJvsq/wuAFpAR2KbWJbPUBlYSWms8/Ryw2eyP/Md6rG22vSEXZKnMBHDDr/tx
hCCJU40dq6tuTFo0Y4SpplAmqyh+01cjsla6ARBQsu9rNsPc3qlHZwWsX4VY1MNzBa5b55Il0rAL
8d3yJwzaNersneeQYbeDcyGGhyK6d/znuWOjpHKnCryl7Su6Htgs4Mxt6d2W1yp76TzKS0faEHxZ
PTjGXQ8NPa4HkJ/axpd3nWHcMgg43RtOxYmiBMOGh4AIaRTcIcCTo/kN8SqhvEAH3/LiDPatm98l
bH0mjVIw/2AQyZe9y87ssWybD2pHneanqOyd38G2xz3dykNsP1UQZVP7GlNL5kD97+WP62orFzVZ
i7xNBTiHiPOibvx1S6cn6fwaoYF6HckqO7DvhbHtjKeI84buvIXFN/LoQnkXInEXNWmwhaedW6Nx
cw/upw8unFsfy0hIXVgFWR7pBk4UjvWMt/DWs48MDjK9T/H7QSzPsClV/bh2eZz5WrGq5pv6HauR
TR0z5DPZlPQEFKvBHEDS3wpto2lqD4fvuZigREZ0+TW83TmNOtHDHF20REfVubnjfMBTioeqGfqM
IHb32vtn9tYAZh7G4RoUbBf1vtJ2Or3wIDT9fl0WLEZCD/AlGfnXVILQAseyYGK+MztiN+Po3wXS
OWA8AdUa9E/YnbGf94R9qh+MJITta+Q9xLA1+NBVm7HArdpLS8d9rDWb0Xdv3DRmR48hRAywtvjp
cTW9JO70UPvjcWS/4Sh0CeVl67jXD2owTp7yOCdW+yACJTiwi0rCHxiYF1nX1BoYD7EW/5QZZvtI
t3+aOMmXvoHK0bcVEKXqgPjyWAn7xyr0mJIVZJ1x7M+o65fIVjvf5BNqF7RKaAGvc0csYsR3Ro7E
5z2MD40EE6DF4wfbjLtgaAkrCOqGag6LcCgoOB54+YWb0UgBoT/1a3QpGiZaCkqxQO1CkqcraY7o
eqY/F8DwRsbsRFbJoAPcyMb3Thd3cZAkl7hq3wsVE1MNrhRcTvWchvikoJJck0AY9fqdL3A9eA9Z
cp/1z8Z4Uwd3ERNR5b1n+SPG2G4Pa1jNGXCqrTYc2gFvRgBGNSSYITyNYH/pv6ISlQB31Bx81tnp
D11fZtl8c4Bm7ETReajU8EjjO+NbnIODjsJDppEiWfnurpkOk3/DwnWZ4OCzp4MpiNTaI876Wz0D
aI2+QMpmMdA/bLiPDQZiLNDkh4obScjfcbfGwC2psx4JcXeJwYc/XlvYBLEzbgOM4WO2o3s5i3jR
ZrhaI3dNCOIzsU8gaTeSjASfMqQa4MLtmxdaqK3jsrBekC8c64DvkN3Q2mXvHyKk6OQklEA0Id1T
2uRkySbtdWqlPAdnFOtqpOSGoeKTXcV41vOOF4luY6SHtS6XxWuED9ovjnTjlN6FmnuJzj++qWFr
0PRjrOi2qZx7V3+SVK7lzSaWLwKZleIdodFYyzYnGJ8ib9u17Gtdr49XpC999locNlrFJqTiJexG
4tqce5ChdlFvnFz5KCEbAB8NCVhSTOOsfTpybe/JbtetvSenyMaM/YsT3FjkiXy17PCxoboa0wOe
ffVKkntZXazw5NNbNtuKty3E0WHi1X+bM8JNsrLR8I1cj26KiK0PUQdsqCxwd0asv/gh3odGcTR2
AI6kVEN4ZCAWGszoboTIIQiyQ45fRnOtBPUSEdJIP/dNwOAAG7pOCJ9ZPZ/B2jrRM29mYp0O7+Dg
iQJDq0iOAjcQxgSrXNNERsMRt/KZDrUhchRxXydUGUrA82yuN1gegv4hHKHKHK0QA6w4dOZ3SNig
pZGL8s7K3KVRvPKI0+vNShHCCHIK1F7QiPTpNqa0cyw/3Q+zXlfGeg6saZ1BlgVj/ZN3nsSmCbGB
HYcGGvgqlUtpPrXO0VW7EqO5d/XtFSWbiU/2Cs5duHM/0+muQp2k2QXbAZnJ+sMyDtJ4Sso72+NI
viTFMze6w4Qd+mM97m1Tbu00PFh1AUTcfAj95F2bi0p0TjSTLs8qTfOdU4Gip9Ok1rx7imINmk4A
rOyEnq1wqYiFnRgb7qcci0yktNLHVtHSN5rp3JtpHCCaPlep0C5dnpNU+xrTQS2aadrFoDoWrh2E
bBgce213E5SEckCU9268gIgs1iBKLzUcjDB7nwcKnzyHPoCQ/S5p9+1kUNPba7cFTjEO9PGbq4qj
1fBD2XojeCaA+smszEiZNFV3TQGqo/YdbDQ4n+vkWEtzG1E6nsyqDH/Rnmj3kQQ95zRP23eWuk6W
fSngOAnRbTVBE14dr9zY+ZJDnrOO49QtRXFnt/q2cJO3qNXfUjM8SCsFJpvU63aE2z50GEXmPtTq
cbB4iusJHObOjT59KHB1Leg5FjyZGq5AhqBiPVoFhUhafz/1znOUDWxTBDeKJovBaEYwhfEMLfLY
RorWE87K0UtmMiSYcfJKRUa/5PXcy664ETXb7NBt13BM2UHn3AYd9neyEp+xJoGDGJuM6FmMMVsW
4hlUw2kuf8ph0zBf+fsmJczneqB+R4W/nLo0FNj4biyqqzDIz3WxMa14PoUrNeaPcTnh42+qxzFy
H8IQwdKuWJMVAbGqHmoG/kycPE30Eg3ZwVfTvimMnbALBAZH35vW0K75oi+w/bCFaF0XDUgcJ9/0
GWDkrHHXsrFBItHRbifw203QbintQjSuvFVl9axzErbY35lFeQHOeekLZ6uX7rfTIL6ltGjVHns4
4XMMnyHzoAgfPLdc11V5wzuFe00tUhXunVycCogWCzdFBYFKxKhJN3bldpXDZr7FmdKFc6V3+K7s
cQNv9trrzg8FCTOISN+wEpxL5BG3a02aK9+urGPGNtf2LDY9hrbPEp8nS+ZudY4oiK4/YeO0r56f
wuOGoaSSs3BfbJ7sm6owvF3VBNAKKEpftDmjSAYH2q/yZDNUqj3iRDiNhruyeWrC6Jg9dwFgsfzW
0+V7q0c8ebjHjjo3iDp0X9ps2kvhT8wMBKyzitICo76p2vSc6SmTe8KWdg7pAMkzD2X4MPnMSn3q
h0BMp+VoCw4P7eeEvX0Wwlqpraai+CZmt2mi6dnkWVOnFf4klZ/tNsMz1I9Qo4IZ1ZnTiDxv5ZNr
E/DwGxj78E3NhdqlUm9F61PoVtIx5AZc/fgidgTQttgz5C3hsmU+kfArqOAbAEz76ENl1+/BfODe
0E1kJL9cEQFCuIUsXgBaAvSIFhluW/FhT7RGW/gmnBiD1MiIY7gehkjXPaJRXdJsovwbadDJqxuC
PM6i98Rwz6y9icGgJmbwEtZ0TxOEWSminzUEIUQF7v4NOmA0vOlBfe2H/toIfedX5FuBjIGIzLd1
3r8GgvtNG9XtUzn23bqUJi+j1NTRjJk/ZDRV63CSZCZaJg3VpO+Gl16BKd6Pjn41fIxzYESzajrm
Qr1MtfNTuO0egeI8TvWr0QIx6cIy4YQY6Wd9wBuq+rwk/JQBU1E0AZLEii6p1u0tnd0EIWuLab1y
+0VeNQQ1bpKQ+cpv2XdmHnbOwWWR0IPg5f68qXUmRL0vnkP0IDoZWWFhHkp7IDoJ+I0sNDZl1+5n
R1XR1tpab+ojgJFnfzTesonhw2S3H2blk4m8xsAOXYQOUwmNy+1Xk24LMvXauKz4X5GO8Z+Tn25L
DjQN+LoA+2SFjmqTTvFtmwduMluiV9no0PLUws3kTFtQMGKwKlcpBiJTVIfa8vgdpv4DwfeJvtuL
kZXHikAe20dt7+UBlCJdrcOaz43DksFULDX99cAudqSm3Pesdd5Et6UBU5WmE1kBAqX/bScMjWAT
LSikG8OgvG2rQr6MbNP20dTF624qARZL7yZ3DOxbWUtMP9DzK6kqis8l4DksmjtC+KAEMIAM9V2p
EbYMgK/AHvLfUmPAOBDO26NA30fU1Iaa42/x36pTBbdsG9oco4aMy0O27Q1NVe+xxYeP++jKHok0
x7q5bHKUM9srl143EfXJqqsbAqunHNpvWPVkraBLmge/KbGv5Lhg2M1zdLboChnCV7wJB03EZy1t
7+0enloXDHsdo3aXt5dMS/iPrDfLgLtNeR+U2p3yMNiwv8mNyGffyQ0/wVnXqEehqm1f4t3IaKTc
Fin01RJ/bdeIXTxWfFZE/a373SeOnWhHY8IP++dDWnsvkYsdL4vRlmtavDT8Kcga/pPtk6durq3l
fWhs8WOdtgDFTihDagvZkaDS+aSiOSI53Z1qDar/5n2t57KoqpW/S70gZvAF0ZPg3tx6TvI0ZMQS
lVOXlFpiLdGw8WTEQFUhb4egt/6bxflHDbUudBIqkNT/jVK3eq/YMfvNXxM5//rKPzkulpAG91xH
GWws9fmb/sH21H+DGikRTU05szpdmwDHv8Q6R3fR6YDwSI4gFv/pn2Kd9dus0Rkg5E3TFILO6/+A
48JP+3tAYo6OAJQx0OsQE92/pUhodsYlqQPz083que9CksxPpR/egG945Gy+ZNfFpUzHXh4uptiD
4GR/TyZjw+C/B8451TG/s3yph72KnW/dLl996wAs+tNj9KB0eSl0+TRSujkIjwxyeJ6QmRJJgV3D
wTr2yKPTxJszSGc4MebSUiuyPrA63kWFOLSoWSUHGAPmYe85L1SVGguj9XeBP0PfWjpqfbmzB+dm
cJp1Xl4bs95M4j5pm4do6Pd4fpgw0QNYMmSl/jVQi0qcJ8FhfCnMua+IRuFNhSLI27D0qPLz03af
A6ryHPNW53nC1f+Z4XrQG2PJU34hB+fU4nmKOVP78sFxotUk3QcdFJWaGqjV1camhjNvz2324dIK
PhnLljWry0yCe3sh8GRO+VuK8cMebxE1D668dzvMF1hV1qWNat8n7WNARJqBOmZTYDNlda9GL15y
zXk1PKQO90AseeN3YkPyDkcqBnucMKphHwa5GtcOLl5xYLZd4l9GMWG6zM8tUBfmPYm8Z7Vbd/wY
PAKHxV3U7Kin3eT5OuPv0xAGKBmX+qNH93h6biKecRGqXLIJKQUyYfIn2gtaSe3tioE+RRLH7Qo0
H5AYbOQgJ5w3UZC3kXcG9PwqTOkH2Bd1u+QqWYXFsOWhthI9qL4hPHZFsI3lVR8rvELj3VjVt3Z9
kXn5NUzFIfY+PWxQXvrRJt7FqfqV3nprp0jWpvOieLQqn22543/xb7qv0VCddDwFMiG9HJ6boL2R
ed2uKn3fOe2NgWEdd3R+1RlBib6wcpyys0+uMlFHibmKxMg4HgfM9E5/rMIHLzpRtrNgUbRKpxSQ
+cA6aT/619qkBr07Iq0CuenMr4aFuju+uXm5C9viZdQOENsO+iAg4cOwgbiFE4tUKRIaK+FR5+zr
b8yEFjiWNuGWyNzCyoIz0ioKFGpx+pr+DtzqyPK48qHWI47HITIoVU300kHG6/ydU8hXWSiqZ/AR
9UT/Jx47Jc+q1ITAQr/cySCuQrx83zTkQPNmZTRqK30qo1kFG8l3zUiod816QPFkKhpHlk9YIiuO
l42Gdq/eTCyuXjzwuS8ecfmENgQMRNWVZRgfSLhAQ7ZWI9e8jOYio4BEsCZUVXQv8/aaFE99RrGK
3nd7PgRyUXAAIPP30XtqU+fl62Adgqx9H0PO8z4v5eh4zNHpTEW8FbHxrk07aE4oqhjvWTpRr75p
BHVewcjKKyPeF8ZrFcrPor+jLPw0kQcMMmc11BFu8YPeHbUhQobium+rc5qUSzGpTVBS/Wff9COV
okW3DZon6dnvQ1xtOyraJBdl2g2QigrEDmuH7WCTl9sodrau+WA6l9TzV9L7Dv1qrbHNLhNjm0Hi
jSJq+qy9ILde5iRgeDOx/NkUYk6kn+znKqpXGTBD8InPRWRu85JtOP6yLEb7drtdXxSMaLzZFPzZ
Ub3urfq10RtSvdpKL4azp/RdFDj7In2SoIZSrmtyS9jT+hWL8n1gFcs03YweTisEGl7y/jWOkgvo
1G9OVK+sn1mfgN6ReBs7SN7YxxaqhJo4RpduvOLPXLrJfaB3jAuWfTKUp+PNnnHqrJT9jVbW50Yf
sC459AOLh5h7Uw1MsgPYkKiRiHOdrV3mjNIoHgzKeS2tW9ngJTTvq4JpJANkVoAuU8otpqXDg9c3
AYMFI8IYYMOK5aDws9FI5nTTTivmJTwnr0jD/YZc8qybzbn01DYBLUjZwtJy4hd3FKeSdLVkfvSF
xANpbpok2UuYCY1GKrQuIQoBd+mMb71KcXSPhzGSq679lASzaxMLhP/GQZYwYLwOabnLKuc5xAPV
/Y4hS4Z3s8nWnkwpNlZLT79wmjg2c3lQiqIfW6e0MFdWQH98Hh2BNdY7W7IWddOLZxaPk4WuRlW9
go5VGxAawcKUyM08QitEjGFFVcSqyuxj2eGhwttqN8MjMfLHOtD/Ebz87zJVV5jK/t2IdvoOP7/r
5rv6vyxUf//SP2Y08RupZ10XQlisQBXZaIakP4c0MtM2YxNbTN2UhpD/GtJoXSOkZuMYUCw5DfOX
jarxm+ka2HOh4/0+o/1HsD3H5jv9NTwrhcUgyD+ZCKWQM5/9l4XqFDVtgskc23IlkNCDF6h2+OCN
ZBk3Rb5MjMUUfiRviaU9dFZysmuTMxRNUcSi0zT6klQj67UAKYSH3cGZmtb4BnqCiSbgXrarQJ/F
KRvJChSNe7W86ClJvJ8ydvcToVYseDnCj/k9jd190A7dqmMXxm1cOCh2sXFn1PoGWzI3Im1R1hVn
P3JentEdhrDe9nnIRsV2Njybb7DmXiKp3SW1S1Oo2Nt2d5AVq4NRbCQXDTJIO+Fz97b6ZMpHs5Yf
TmXDdOP+PYT3NYFBnC/u7cQcAYk9wjubmQnOqXEWitNkSWcQxooq5qYEfsjvm0OElb8VW7d9Dmpt
q/GOPmEF3o+9v3MTihpDbkEpJLW2ezTGk5XX46EdwrMeC2qv+zW7yjvEu3ujZHE7Rs94wLhvO+Bg
BIf4OLvta4zxo2RiIjZU4i7rugALHoFCZ5ZpKHBHeKwitYfdvYysF9eu31Vt31PKeRmKZwdguGzI
M1jNOVTaMXYVnqjPilduQPLOPPAmubgSInt3h4yED6kAwF6jJd7zIf4qnKek7zYxOVQQ/egM7XuZ
qgXB5kNGi1CrkEj7ZhU3b24nD42KWYZnhGb8xz5yDr1e1pBvvGNW4VW2cMa47DgpY6kKjrg5Yd1a
55HXVfbZSsZ8pfXuU9vkD8oiLhKDcC8M90kz3WVW0sIjyW1YQ83DiXs/vIhz4tQGWD2BTWqXGm2F
ZSs1F/gnX4mJgP4A/kqqXysrDRkDxLvTY4SsGQAUMtrsHqcqME1fBzGcfF4HPxqiddNKNoSJeQo7
cdeWIT3bismG30cT9kPKRBqycJTRm27bh1h1J8EeX4BIceFU1CljUMSyqY2bZ4edd+9qeyOOj13g
vAMDP8dO/TiB3iCj9GZTHhJZwZ2Iy0cSXscqcFeZH99baQOwDCj1FAxoaulJYEawUopmXUQQmgTP
idDYrMyEoDj4cAr9gCZ0Wxs0zNIgYA7TtpnFsIHNfBzIDVLPoc094DJqbTGYsVZ2H3O9voC/NpEM
XB6eAED6GseTOTkn6Q9z7jO6tTsMBBpM5aRgx5W8Cn2yN5PeXGwjYzNpqW+7JIZe6GctfolA6UYo
/lYoYGmmI3aL6uCkRMH0JFmUGyTedBn2+NkNrTbn09oyhu/Yy2ZZZaBWbO9WmvI2tvyFhbKExYnf
mqB1NyXmKu/NrWb44YZUEuQvke+6uewL0ZAwB8k1VgrsCFBs7DH2GD1CG56lgbLUk17gPEjcfi2H
6RCi1aZG8FAbzlM4NECs8Y5pungumkZHCOVD2QkFr7gt3A0ebABfslWrPCo2CkoC6dX2bggKb4kM
tcpJDQHNKYpF6n/jh9RXgRyvKmIB7GlPhd5uvDi6HY383hypCOw6tSduGPHrFQe9UGfMLUT88qe8
oNwxd6qlF+dLJ4z4IKY2qMp65jJyXXR0ukzAzJCKJg/4MVLtkIt1oFkBtWIY60W5hNC+nLICYT2j
ppeU1uhkjwjSVzsXl1FLPtooTVaZXuC6BRZwGvsWXLH7mKaQ0dIxO+pRnq6qPlw38UfjULQxVoQ5
u2jPfcALc/tcSUFtjKddTEwRaVD/5EWjA6SK3fFi5cO30cGez6nSJIRuFxXKexw8+hW7PKDVWTCk
+2RSaiu66ehp8b7H1paan5VA9tUJgSQfkJBbQEfVF+tVoimxapetM6t3rnmi2eYa1f1LBtnG6PTz
ICF0VBXXh1FBF9M88zMtqgzKQfGcxDVN9c29iok6qWbAgcMI6Y72R9QYbxqSyTqpeCSZkDpzajjr
Ama7mjJt36bueWwy75ZM9oaX6V7XJPZ8Hcd5YeoYGI2ew5PjKDqW3Ts1mIANvQV7/btclkzAEif9
yJknqqL5c7F0AlS3uN1rgDQFClpsQRJnB7tpKvLuOPTw2Iof2jD4UyggrtpyFwf4E0YyNMuow6sz
5tGXSOw1XafnRrCSUon+k7niQjJxnXKUQK1j4yloAWLFxe5fP0yU6BHAPVWa8Z7PKWEBbGyyiiOU
zJNleo85O4qVLfuNowcIttEBE+fJnkmtWu/wWtI03htQXEE7HLAo03MeoQVa4pESzHUU4IUHAEt8
ik7VSjzjvthMqdxV/DWJET97Xb01zOQrByWrJNhY0LLJpN9aGUe/abIezHnQd3pZ45AmgWbQSIZh
EZ0ZWK1ZGs+BW+FSJTOit9VqBGtbhAYMoKZdT60DOjzHyx1a/bWfabg+WFydVZw0rg6wXNF0ZFYm
FxhmAUmXXcKygnnmxPlpcpzXqfZO8DP3IUtJ/E5fms1SOfJhrLiYiYD1Kq/atUZHRVM0EU4H6JsG
xSPPPu7DRVEfc06YE/Ipb3NyA4L4pwcLbM184CnUvrvgmyASFz/Fy4Z+IwqbIWUmCzcghgeBmWZm
DnfAhzunO+rJ/H2a8I5Va84qMKWg3Qof2pldbGhgI6v0wwJqPLWAWqc5HwTu2PPKa8Vu11fAZiNM
xI6lsU136kMSJe/cOnD4FEKtLFshp7PKGVoax2qKIjL7EVYrlUwW6S7iRgTD7J9YuFfXxoFeQMjq
G/xQxId2ZlmG29HVl1ZFtg9a/lmW45ZCqJs4y1ijGm8WdXpAzcmJRBjEopEgeCr8L9H0B4Iia04s
1KPQHwfZU2HbxbAtAorIQHHFgX5qCBmhHO+4rbBnNrd0SO6i2tlRbLOawLgGa1GQ5ljAnr1xRgB9
agzg/ObQBOIifJG16QACwGJN/qjQkLsSurG7XsPGooWEtEvnTsfovZo4kZaSZy21DXksnn8f9f97
7AH6JIC3/buDz75Ovv8n//mf59lY+2sl6Z9f+6c6jcDs2nC88cXNT0jOU78cfAwORK4NLBzh2sHE
+U91WvwmHWkbiugfIvVMhfpTnRa/IWUjc7OPBlIOa/w/Uaed2ZT614OPbQnFL2DOpHF+z7/he7Qq
tD2CSbA1RoACsmMbvRHkA/DDFc3O0canoIq2mVzr2XHo1uOwcXiUD92mUzkfWjxLHeXRRBpUvRv7
cRf58aPIwh1NDig90zoOC8pxjEOAlamynWPzVdnxQ+uEN2mEiGto25ooY+1dDPOlZLTsmVRdDgjM
tUFwzuP6rIt9pE1gWXmmU/YANaBjTVvghQdTsWz1M3dXkrnRnlbi1GnJdC9k8+2ptdk9cH8VhbdC
6zClf2OKJ58ICVC2wrrFt8n2i4a2LXfwRVgWG2bGZ+X1kE8Jh0POPcPkVsar1t1koc2CmA2aRXUF
OO3nZMYsZ4xdhJT44+lD4Mz4QDX9zkvzS+5hFrWqNY2Rq9kKJPUv5nkEbxB46PR5/KPwQwRGzPAv
CDKLg6MN+6oz4I+7ZBA8/g5arPs1iWz4cbvBubdH9PGHQjnrWUQCnd3cRhNmL7Du3ChzVv3NHg9/
XDwJ8i0awJCcdOxPgH+/SvEOIHmxAhza/ivsXHeVB/Kn7zhqgAIZgat6wyYt5aM1GkctvOkkqJSI
747z36ddtTPJb1vLqc9oaQj4IT+lll9GYX8zR9BD3nHn5gEm1HSpevOQiI2TfSvefG6+q67fpWPB
IExEM0Ue4tQ3G43wLktro+enRvBxas+280ICxRSvPadeVn3juA7RIVv7mzq/BI9WMIXPonstSDxU
Pn7gS95YR/yNx7B4C9O3kLegyDocU+8031zs4t1lFMCrptxyU3gGMuBWm1m/ybpT7gPJchTVEmMT
nlPtoa7XQ7Xqa3+b2d5SL5yNSc4vtMVaA5dKP6tc2ixUZvcTawvkgINCznPOIV1j9oW3fAyiLaPs
xus9vIE7XY3LzHgpqjcZP0+RJP9p4n3lsFs+2O5EdNwi5DAscw3PRVDdC1Kp2Qd1NyaJYyMYN3XD
5rzrv4tuavFCUSub9kSKJEmeAGeQ69wJOd45Y4FB9aSX1Q1cGN4EexX1t43LwN6nm4GLQRhI6Bot
szC3t4XN/BRcad/aOnLr+A+Zgyx/McnvWCS7bDYTURuvNMiR1eh+4D/hfHVpSiJ8Jm1Hi2J806CD
CIhyXrYPQ2fl5s+ta2Fmfq7S6RzQFNbp3Y64SkFPZWbrtxoU/zS/Mcl2peFugmhU9JtMYSQ45toK
DjjWXep0wk3Dg5J94K4D16B7tw4BTa+4K4OvKZ4wno2XmHIXj8+T3/FCYJ+kj6SvgnXgfMbMkml2
7YjjscOmmzFv3ivILPKKmzHyu23uPVXUskHDgwnAG4jz+n6Q76q7A6dLXdhW4DN15dtYPtpTRqJR
0Kbw4ZHKhQlPSD49JgKMCMsOxddGBSL6GuTsQgyvoQ/6Igs4Cql9bJcrivlqR65cABqYE/Rpb43u
ieRZYW1NzTzHId1qGCEbnsoxRPVFOOIysr7aFmvE4Af7ObRrx3eDwlzN4AxcdmE2JwkpfYifsxKW
yZfGRRDC+z1QHNQrFlB8ssYfW+7tcRc2MfDZexDICZJ1kSab0S1IIRfxlXFrjlI+WZr7qKfmY1Ga
a1HRPICdIOreQEv4vIIdexMiFgwa2vBAinTlUHkcjLfCAI2K7JEp4oVatKF8YKE564b4bAWdsjsA
QQZbiw2vIhI3YXsPMkUknX7VYu/D68gDAQ/hM5r4TCbDwc1vc3VqeT5Ml8leVUSTNAkS/Ib9PkLC
WafoAafSPM76vQ5/Foh8fC1J6ITt2Zy4cuwNLULPCl/RQES3jR/9YTjbKGF4ASszXxYxm0EWOr11
AirCu0GaTkYkZDksigC9R1/b/vShAChBagO4MCbiSEJi0fPLRy2+pVrduw5Y5ygj0/rBtkG7t0kd
sZigTLq5gV9qpdC2zCvL/1H6Oz1nObUmh8jClf7UsnjPi7XfQLQyp+9Gc++sDMDZ1Z8LfR2sjerQ
gdJRBC57PctAA40cNJ1nGztYUMsnp3xK6vzVqh80BTqtHG51ss8audwxwdbejxuDRMbU43Ovx1Vh
GasYeFdvv7ug4dOk24RjuYwc9xwJF5kc/pGlsmUoFhZXs8c2Nba7D3t8N4J3nA0UEkTJI3CIW9Wb
17kQekzecHVkygQmQFkGKhbg5x6PfMd6YCUrAhz+BNyk7VkNpf6aa6niWMGDooGtNXop/qSj9OiM
SnRrabvZLbU50lcfZc5u0pKvXWbdkeCdLSL5sA104haUCWrBLc6vKQPwRoxv23CKjF/AQrLxKdiO
uePaVE/kG/OR5mjKVmkXye9bTFz5yrSPtVefzeYSNa8FPkmfhD+bLYN4AiACgyoMLUChjDKMj2RX
vZhlLHrAtLeTgSPiRujWDgD7Jgg+E8RJxnNp33actEtrpymC+YYPPmJ4bqZ1KomNknckXIhTBPbO
xktxecFVgX1Z+DsAwVUXLeOsW0fYMRdUeVBCAR/ZpC9Ro/6qbeHFssDjOTpyBdpgyGdCKM/C7qKI
9Xes4LClWvYuVeW7YWvdbooGbMRkbZel9N+tOt5XQAk9OD9D8D1wfnKd6Q42xfaX0faPrNivIMz/
3U3qYp+wSTChwdu2TiPrr9r4gEALP4e0eWvedcl5xPydD8k/rC5/CaT9v36IQ25ON5XJfsD4G72S
l6wbLU9yDO6udffYByuusv/w75A6NgwHcd+BVklNz1//DvrncKpWxOngLC3IOrBwd81i+f/1Q9Tf
XqyINIVm5/wQi6pMjR5nmgy4/f3+Q/579NIVEJJfXvD/Vfh7CrPPPCGgFFbfv567/vjCf5y6xG+m
PZf24gnCxSMt0+Ej/cepS/ymDAG413Wky35rBvj+89Bl/sYH0HSkyflPSYxg/zp0Gb9B7YUHS5CJ
tRPf/D85dKn5LPnLoQujizIlH3PTsVB0bdP5myWIHpC8jhosgq6xTGElMJM4K+xBJ0VmAVcK0etm
TlWojVGO+Hiz6hzH6b1uJd6qNtRjP9uRo/QBO+x75B6nkkyLR7NkVMGhIrEaLhIYMPAaKPCNtYjH
ifba9Zh10Pix5AIx6Mb5gYs7AkDSqzRRjgYklIajXdhKuIE8v0dgJDJFTqs/pN0O7J7B50lruOb2
cC0o6ekiVCNfPMctHYGjRtG3V6866buLsLph8U4jJXNevDRR/4CQxD92IiwWAhLXM+KnnuXOrQdJ
sTHpYBnCxGN9Yds73dTSncy6bEc7E5OwRude7vZs4Vs5LYip3XYJtDx9Ci+WhjNxavLL/2HvPJYj
R9ol+yrzAhiDFlsmUmdS6w2MRRYjoFUE1NPPwS9G3LEZs7u/qzbrarKLTCCEf+7HQboINoXEIP7l
r6pPAwbIXrsonbL8diindGV3k65tlTBA9mFnPVRy7k5BIEnC02wZeEjuBAvpEkqRb9f+S4GM1IFR
3ZQGrP2wsxEcEZVMU4FDcYfyMFGlSUwRHJfGJjoZFBF27q3FCEBNi/tcGibRk95Os1sJAuI78UZK
BEPs6YXD3KdEI+LSwTGrSRossjjEduCGX1un5MRvVhcd2i8z2IVDOVIH1XvZsdN2T9Sq22AchnAG
+yypsfHoHYHNx5a4BPQiQCcN8ysOSYOxr5kxRCvpDvwKEWaGO2ZC/IQLn2PS+OtBbdroAZdYMNEW
KsXQ3LAF3heer/dp2jzMVM47bTdu7N7dG8iNNoGCtSgh4HPAaNFsCIZfzIFJVp0+BF4Z9yzcA+5m
e+LM6z3MtnNcc84L1u5O9kd81PjQ27PO9fow+Vz4gqPkQstyfXbIY7qGcRhX7W8eICe0cStem0rc
Sva8AvndMn7CwIwXLpN0ijECstuTkQNCS+v5M8tTeALJToq3dMr7t85jBrsK2J77CSWAXIbgSO6U
f6gu+06Wob+ByU89Cz4MpOglRqXEWhq88pGeohEoDs8rwyJDGybkUOIlrttGe3OB9kn8gXcXlv+i
gkdJ2e4OIMK7mEoQYjMX2qFJDxZOCmR9Zj9+8Nu69gqXwMcN/PU3yPGHwdMEtRd0O7XkXyKyIK5G
pd6OBsYMzP4ofxjAm4nhGrEXOBwyvQNRL/Z+VmPwjQDyi4prptlzdlYLy8TgOF0FGZkUFbdbkKxW
2Y8IpIyXR7OGSxVug1HB6hiwOPG0BaaPVx5EzNb0lfkuZxvu0ei2J88stj0D8V0fZKe6ssRumS3g
tvJuqjFjW+kiz8OEdY+IxXYI6LhuCCuK4eBVNiJDAHvD5xtBXGA+oZUHeVNdoRhBsurB4eWN9WC3
7lNkWIdajO90PMU+xpk+yB9yE1m9LhJagsZNH5k44OfxfinvndH7EBEBGs5f2yZLniV5fG94q7lE
LaKzj0lgULhU5vM+0Rz0mPFT+BiGu4KCWZ2SwrIiUrVRU++6gkZfleKnJx+Tb0A23fXTxvCqDTGQ
obhz3WS66bX6cI36R4JR3PBCoHtnMOgWEg8HNHEC1fR3bFhBZRx6qXdXtVFDoQQWekodSawQK4HH
OcKIEb0fZ6Zn0M3gP9s4ZlTDUI7AzXsTgtwh5OLVpyZBpyEU1dixT1nITeYsx7Tq4SDNv06LaBSl
Cz55D3P04mjCWaILDFqlBCkq7JzRufMTaA6AH28iVd6hme8jnJ7KsY7CXvReGtzaXeENG2p7o303
BVCh6cLD9iaz3eDicYj6edpmNt0ebt3jzLTR8fJHS880qdBxw2zHIVnFT8JHvBLxWGQencbq30iP
nEb9m1qAtZuMJGGH3WYe0k+6Sg4RkGBYiZ1DgMxElRqc9LFbxKMqOefP9lcyhv7dkqR3yTKSX3eX
d7OlKLAwxt3Q+ytu8qLyahtw1wvGoTg0GbtbJBk4ONV7SlTGCqjjUdmHMVqgH/vLkqPU0R0Gn3lC
QKKu/ahwYoWeuI5I6W2B0hb9Sezyq/PCemMIF7iYxp0v23dBhHdYWOpG8Z1mPVaPno70IoFnQniY
FBtzdJHUE9SzQR+EATo3Wm6LCFrNaOZ3vEEZY5xlBwSTpA0zBF3QTha9JAZG0LI/TyjzzCO3o289
j6RQU2eElmLzXUgqtiXgal+/SvenjzyYrsGFhMBXoPw7MY7PIaMQ3tU7V/eofd6rb/wtbaJ2Zfvr
ObMF3aNFX2F0KxjfBx7abeu/9sZIVqYyDmWxUEVR9FcSHZBa1XeWiC8/Mx/9sLpMNokKnbNGt7R5
e+VM5a4rHmyP8Ejo8ttMuxh5+2hgMnRglBlAkcIMn1jVaFhw/id9j9DNouSBp5KOlWK5YDc5RUZB
/N64HQL9KGaudi1P9mFsvfGDyi+54pYZY9i0Mlo1kfPUNOl1BrKe5l9hjVFWYLtIu/AYBhwnuuy9
tJOPyUpw6fvu7zyA2RggTB75X/UfUcjb6K2pFoUlR7ZqbxkgoOyMG+rcqZB8RLvFh7PF0Yx/b2nu
dU1Pr25V3E118dN7WOHqStkHw4Kq02VUG9HWQR+HfHUS10IUfstGUpKy4PHjHLbNWv+wGG3B+JLs
pwi7au+uAxtKVW4quwZoWITKfE4y/ZNoYDsLHGGzqLgt9kftOZuW9qu6mz7KaNi4w/wjcK+aZn8I
envP7Bf/CSBGns45FsrBI+sl80eCgWena6SMxCN7lKL12UEND42lTzR9Q/k3Vw5D+Mge2EqPDnRk
rs/dj3K6o8s4YYNGtWEVwEk4eJDfNEYWd3iKckStYMycI05r++I1hKlbDER+yAcszO5HDBpgliGw
z1pkd61TDty14DGgyeRSofVNBqEsk5Tn0FkvFfVbaDQrZo6Wdt97s8yg2ESgKuMIYTHmiAOfaF4O
JM1hKe6YCio2ZufMyfdUWmwY0iMmXNrqs2+R5nwYY3FWmD4MbvO5IDJuNJwzGDd/Kl5rf4FTytw7
wVrDlpAgRAVjQJKY+fbSs3dP0dkvFZc9FtgUuPhMxtUNwEEOy4wV2ZnT1WO4TerI26cm6ViQBosS
Ozub7wNLspEJ5zOvOBQtYT6fgbcSanXf8BjtSIsD0E2rawCFEjEG1b9kwIg9aBU2cFslXnkLW+xT
9G5wA0o8rvIF75HzkjdAr5cc7lxdLwwGJk4ZQ7OQqA2S+ej4zXgR9rqHRT5bZpUXD0ZFSs9YgCQv
A4l+I9/RJ/1bhbl1ovamipWt2Plrg+rpf+BnmeP3hXD2Vsp4UUSsgXDLSByNMXyo5pyF4Tvk9xv/
RZrJC1B4Ur85zDNnRHpO4Wv2anlIHVqdbb0NtM0DLVGrsWZsbIjyFmPK3LWOhbDPvDcZj525/o1j
3WILyOmbrGmsC3p/7+YteIicwgYJAfBmhlFninTPNvlis2NdXCJf+M8a74ShGNDB5P3QCA5YkGgj
4AGsoNC2TBlzXylxBCdI5clDhM4iAw99Uj84njznXfKUNcg3+EAmKAF69YUIvqool63GMVIV46bE
QVKsVhLBDCiZxLWjmsTAXuDPkUs0F1JwZNETih+lVuUrBieSgz7T3+YU+BwmycJjJYO1Otn1Y5kV
9zUel6ZJ3wI8LwLvS6+58xSYYRp+AKQzUmwhdQmrYUZb4wMxFXdX4aUpVlNNttpr8tVoo1fLDUY0
ztGrDSfBjxPlAqjT3N13OHUKHDstoVkfB08YdYA2QHms1p61OyFYzT7uavvJpwkomORQP5YgCCIP
q+5o+hCeprVkLqo+dacROHX4VHjsvxguHqa0+6WZ6kHV2X7McnXNSoiJZW1dgnTiKB4ckpwarDCZ
PoYFI4qVcTZgTyebyWnI7r5AwnMeYykYovJnGMV7H9LKkQUeNr3mddKQGtmDpG1zhYX8IET54ZGA
5RVPs7+54d6KEljEPLvAK+scXdN4KSMz33Nw2C8Wmpbn1PFUWye3fdd5If8pCv2XlGI7gcXY+P9N
QrolqCn/20fd4Xv5D2rKv772f7p3bQuqIRzzAHEk8CIX0eRfcor9371VxIhIyTE9xhiKbvdvPcXl
z+x/Ba/+Fcz6d8QKqQVnTxC6kcU/I+c/paeg9ZDx+t8EFebjJp1L5NM5FAU22IH/YN9th96a4Jbx
QnTTLnNIxVOve8+IA7NZECDwKwoq7XLbh81LGs4EDoKtgJiwYEFZijKJKco+tIF3trFjgbGsSJRa
BW0nos1unPYQzn+oRzTCFy6KhD/r26KeDtzKqvYz50CAE+zWUdkrluC4pS+4aKL3Fp+5BrIPcC1V
t9gab5wIt5L/bHbdJlLOyfRLchTlqRYWZ7b7yv+scKkCioQ19oghH1ztnkqC+yo4tsN4UtneTYz6
rrOeCsPaGCs52Yqex/RYCnCaC+lmDc2Y3P4euza4Xk0+ySr/UtRxHK3iJBPn2Uk5b5tbPILbZlKP
bC+n0qTqofDrG/ZYJw765dhm6Z82mfPYKRYyNemDT1poPw6MRqJueGNZnvYY7LZYAeHYtsGnhbUL
MzK7nSvGtzTPgAnP0T4YsOj7FH+w1zIjb6I8AdCgXlmED24u37IhM7d0111AgdyuhXpFXyy72RtP
bdm95GJ+wCt4HwUK6pz6ISvw3ujsWU7TWZiuA6GRKCsS+02Jg3Zb8wRD0EwFfKlwh4/3PldkluFz
fmXzTH8FMs44j0cehi5Wrg/y2UE7gu46bbos26FxA9j1GsY+aV0+FxiSt45ejjMmaxyiQCkSTE6y
4zRizsbtVFS3ix5JkpU2GlpWHRe6jdAkf2TOOGuKSgZNkoZS49UL+okrPsa5pZQvFjc8MjNQch1r
V5vONlXynT51endG/dy66GKL7R1yV/1VeXfP21VT/QEPI5un32SiyAX4T038Opurfd0FuDur6Tmq
s4+R6zVR8OQ4zcbwMs+9eZQLdzU1RYSUVkhlq62HsmdYT6MBt9aFfIxhYzNynPEAG8GCLUFCNmjV
SwhzFnvKKySk05JwyrJL4zTl+Unmc7wYzY/0oestk/8wlKQBKZ7C79A+Frl39sw3yxKvUMHtuASu
vjFN+hsW1+x2MiBHVTpiH7U4x6Olvg19DNFhMG0oyoxxXb2OcxdL8s+bhdmMLkNaWK0eBkfhdCfC
d8/1UH9R2sDoU16luC8TfugyrF9nmwkyasi2b73zWCyHFQOYNtUISat7bZfmUeTiVTJHxvtcXOgc
OOaGvlbL2RqyW5sbNO8sQBijPuOTO7v9Zx3o77H1fwqXk6gUFJGYyGO71GsOSGc7OOyxgagwt2iM
vmJiNwZXxvPPg+yfkzKhOajdYQyKEbPuQuJGQLcIhGUDCtX4KVuaV/u1nSRil6/wgmNhBLGuQ++a
Ze1TUuEqG0uXqo7iVnVVcU1y+YJf90H43mM+tm8Cq85DYnICLXjosSDX3HKb09w78PmBopXavayX
QQoUaaAAvrU0EhXH+a41Nk8B6HnU5nfg+pD6x5MJ6GRvWfqcjT2vwRI8IqRsXWXgS5XMlVJqmm+c
WpzcBW3Ohl+tIvFsJPLsWmV2MEmr5mT45rH5VpX8HqbiZ6HLWlTO8z/yFL0g35r20GX60sOePMCu
1aWFr03EI5psZzOLyVR/gAT7lKfjux0hmZlS7koszVHZHULKB5JZEdGjsCZOwY3A3w3UeeCacxkC
n/QA+dYQMzlwC1AQ1NV/F75BRwZCGbezrOfwJE+FT6OP4U7PwFd+6kTUp1aFJ8Mld67WNtImp49W
A2r1FEwwQEpzT4WOiVNj8mC5KPMDkkqA5hV8FWq6rfp2F1C5HXCGW/Wtfe2aFubTFGx9ZN10duTi
igl9QPjUgkRWDn9H2vgIKvtnMKb2OE84Y5THzd7DphlF+rdpu/nRdKmjMfoxemQneiW8QANAPm/a
0vhMPIe6n5VLDUrWFiQEwpoWU4uBbZur2GjLW3orD8VUozOXyx2rYKybP2aS3wYzdDUHSwxLxUY2
mO11ahgg/PCmSM27WWPR7JwEw3HgbfGL0YkbJsdWk4pgexnBeXAjHuHDMyJ/J3TB8j5SHZYJ6FNZ
J7D91IE485a/0lCUXWhiYnX2iYBMgXlqBLcukKR3kV3Zt5lInwOve7CSuaMcx7UvWUL6BjkdbyyS
NOaVYUbUeipKrGnOa16rO90W715rxzjfH6hrwiCb4n0cvDEg2g9nOirkIXA+l8AlsDsD6/9sQ63X
eDT3pzoCu1ZUl7XaAk3zz1iobZBrWuD8WOf9C80VN1bd4lzx5A4u0WbkrF107rGzAYs1xq7Ak60d
uBwM3hc2Gw3VDnyMn1CCIjx8yXCq3PZ5xmBecnPnxQDHzjR6dOW5FsOfThlfbe/fuRV9ciOROCdC
Bq2DpzZzeDfkZVLqNHvOl1I51rm8hp2AvzSkkE4acQtDHena2FgzM42uRXQcN2brAKV/dVL7fWz4
NWU6nrAZlAsz7jZ8LteZMkCSYPae1rdgkelzj4UHxrLTDXd9NXLhNIDtZQcxYBLRGJp9fQkG+wmm
204b4ZdjdYQt3Y+RE4CXrc4ygBoBwqKuRyTpnNgLFXhO9Zws3pUp8cYMCS3zQZcubdyULKhCnO0F
qbYiejsGfxayqB6KM96gjZMvu9ArYdqnO4+OSStv74Mcc14akiJy35CgOYRxOAI9zkyBvIVz11jh
NTGHSzlWH543XlOHe2Chqi9aw9ODxDNOCUdwmEJ4kAkdC+EoySy7jXvqbVefB/+0ivAOtzTlVyx+
SuwbUP6GhcFvTsiCa05Q90O3XNNeH6QtNxO+GY9MezTSb8OH0AA1hDi3mPmDitTVke4fJwUSnFex
dPA3hsShqeFekULWssQGVTimz71m6PZGN29EI785p/z9x/fqhmeNQR1IGzxn5PLosXa+JunEWY5M
rIGDWxlEoWm7aoN2/oKCcp5sDBatvaMI+8abxrfO/FgStm3AFSr66n0iNlQkYMxa1gqFMNo6Pi1h
yr2mhCFni5oyuzqsp1gpx7ul/MkGCCRespzzArlCA/YC6sjNlHdV3SXTZ5YMtwW3cGapGK7sa8pr
ivkpdsYkLuv6qLtfBUkqCeinmhDXSabPRv9e+7TrDWYPpJnT0GYu5TEgDQIdmFIeEHV/2OO2yzBd
Z6eicR7Yb9/nnxbDrKLgANdUapNauwrzBCXr47TV1p0WaUwZSNyG8BEAYNIviWlkpXfLJyxkxtGU
qYPrBdSV5muFzehsyo7m6tOGv3gMma4oHDpaUhsHw3pUzbDxx/ZMNxLhAxqzLPJVu+aYxE580A86
dm5OjkMZcBS+MhrchzTl+ZIRXP9t2SO+NUMgTtw7LnrwqnQlzXEujUPi5fz7KjkbFVKiaTXvStdP
zCiqG8cMX6cEIlnpI+3MbsqOXb8ZBn6RyL9p8zrBpLQ6CB8b1C6QR2zCSRyiSfWi2hlQaEJsujMl
B3Y+7Iga4KVk+gNJkMrLuwnLZVaDB4NBuuT1B2ebYz2R00EhUlm36yz1GlLGtrV52oySv08NEmBp
dLLDl5WeKUIktMhcZAGhaCj/pR31Ie1qhXNToB/gEnZcosxuSIeJQaLbsl8XxZEVdFNyCruvsBTH
Xop3U0xuzJCbBrXEavdNjrOXhz6gGi8hLtcASZhC6OFzZYMEHQZoQ14/2Uc/mfSxtULjmIW8Qwxw
vxqGlGB8wO5MJrgYx1TqQOgqrormhQCLAMcnrbPDe4/xBSfSwNBWp9cwmeN+xoK70v5dVT2XdQ4N
Oxm+2iTPr5P/1DDonK3y1lQB6zNb/Srh0pvovyqaaXjECaWI4DG1/XzfchPUBubKUB9Lb75douUr
CpJLvSKrvKy9A8CPOYhPpeufbWM8QJz99ed6p5gvWQ6qRxaA/TBeGPzuI4PGoRSn0Ehd9secM/yi
D2mhsDEdRhjuGJpsUFN1J3edHk9Yfcl+S1XuK2FBY3WiVxAWYSzd9lKDpG1MHF6SX6tRm2+eYVJG
E760S36xACjQ13oiGYlsNjsPlaICyTVRDjk5W9VfwYWAoKIJ1ZAkqzUZ8WRW7aYjQM93zyE61pgs
ExXe0dLu7zKbWvKsvrWgJ8EMT68jvBF3rDF4onTfNF3yk/fO3yE0PgqYJS3lQTelBVXNG4EK2Gh8
7Riyz3KPBKHbbTuC2bpJvsj4HvIeDnyp6dgQ0fAQaBydvZ0FrMninprTZdMPxf1gwnScw7UcLwTW
yTNFXz1XG3PfyewhFe0BO9U3uPtlkzPeMtv51/QY2CZc9EymFV66bpmY32yDSCo/Pb2bCntjoAzw
BZNFzLDeGvSBbyFlPPt+95Qwnqt94jBCzduKnvCg9hXXZXXf1eKceDO80wHPgNKvpHSpCdD9TTEN
b1LU/LT4H0BdFv9Igny0eQ4DbjXNZZR7sPpzKTfmwxBND6Qc90EzHYqx2TeACwx8DFtrcJizKTf2
ML712pGAE7356K/9RoYz3sOHYuxvzHGbphewKrctfZvHiSqhOSKZqv13WCgc2kPMF2kgfpKyeo/S
6I+nfuuBhgwp9YftSGbgox172oz9gHKLvkPl9emaQU1hAbSQ7TnA3UGDi3Ugt9RlHKaOnb8Fcdan
f5dSHNwqH+OU6dSNzOAQtzo6JdGwdbm3k+J6psUAEZAVJE1YcX0vidGSgltjqZdLOGLI7DrxFZqc
cPUw94znxLck1ALHXp/DlAReA3vF8pd6Y9dPjdkBe5ulfYpwhb6GXc+4k+FfPKbqK0ta63Xi9/xq
zOa9m/hnMafRqSgMFASFp7Blrjo5DULDrHdGtOxye+aBs4W6WI6Nn9fAjdfp6MnTyVGPzSEtkxx7
OTcJd2E2RfHwTZZK7P3GHcT1XVQSx7Lb7Orqhudk0euqz/3Cg/Gf2+ltnyzx2uExUvA45gAMufMf
osw79Rito9I5Zk2Dqu0v9BMkGYPiGd+tMYM7JhZ98KRDIrtrBkwXPaErqF0FtKDMflc+XpaI4G3Y
BoC0Mairvg12tI2+dKnNtaMxcXMW00sVUHY3MOnY5n70qpB0wrQ4DUH/Q/cBzF2LjwnlKkRZVhUz
80mTIIK+92SiouF6wanLGI5LDD7v6jtpFc0oipBrRuUr+27RYbvvymskpweOvwnh4+THCbAudtqP
BWynjSxBOrbusm269h6jCUEB06Agpe76i+4olm0oF9w4c7t1WxB7uT2gU2fWS5L3d55CveCmlBzS
H0Xj9yCA9kdZ5QCwWKsLqIpgG/HQl0JwixxwGaEi9RQriBFatwPJJdT1nR02W091T81Kbmzc1WeQ
e2zt/nzgX996k//XNRj5Chr+wD8KfMwm370FC7lU5WcBJjKbrVXKiTblyjIcEj65lSkpdHgNgEyS
Pky3zCTYnOadBEMZkIzfCsCUy0qoJF55MALG+aArZ794d/lA9uZKtSy4Dbkr59K33H6TJv5Torrn
bGVhBkAx4aNl3E3gZC4rMdOf1EviJfmDR3gEbdIhVJA+ND7XVXMlbpI7ZtBRXnVEVTRIzl52DyWI
Tij3O5Tdrd+Z33Mm9m4Ny9NZqZ5toLbWyvkMAX4q8MuGRNYxrJrqxQJCDlxQPy/fE453Lta49WZM
In+liAYrTxRV+QZlgARL7r4pkKOzVsADgJBm08CZvbMQnrS/sKaCgwJZOs32QqqRckMbnKmxolbB
myowp7Wk99N3S16RFcjsfFqq/uRWuPfN5iFdSan+ykwFgPVTjlmcAFNdgKoW/vRIa/ItHVQvHhAk
udJX4ROcNTVc+cplTQG0gtneoy2ec+VfgShcvBpEZwHSVczROt0n11FW13qlvro+3BYwsAs42Hr0
KCIHEDsDiiUfjkVNIEaAkI0g8RiQBVwG6Tf+SpmNVt6siz2CruVp7+IVwopLvVRIfxYuOewkAGtx
6IboJCBsV5Ztp6lItPNKnH2sqjdFWsB9SvSuBJUCc10gOxKRF5PDuC0ZL7XLPWTpq2s/tFDCPYgP
6xba7qCmHjBUQM2kzQVbEJIFbBgs+qShKfz8bsELuOUUz7NxnqEyUPTJg+I4+Y053nW0M++s4A6k
lfHiLyfT2mmGl9NN2HdX8s9JVZ/rDps2R+U9ifi7wcDk0fFO5JYFtl9sg2k8BK786pWaN8nYv2AV
p/a8az8lznRlpFc7wAA2dSBQibjzDZy/Wa/eJp4/y/zbZsGV5PW98n0ax5OV5WJe3LD+G1pXG+R6
7sNP8PQfdxG/NTBhOeBW6fSpq+RBz+m5c3/5T6BjLt+AqG9JrJJCo/A7M3Gx6IsccIwjCgeK/0WU
nmz16wtYYdX4MLVqV70IPv0VfNQu9lZn9mGBrcGAYZsVAdG1nRzmrSJFnS/yluL4DcBMSgm+mVAc
3e4lNHC8Kcha9gTxw2bFOmUs/wz7Rod2naYjIGGYcSJGcRvY+eMMMsjUOH3G2JtWQOVWjtipb0tw
Zl2zMOEiD19eM1tQX8jYTplZTPb2PGsSCYvzg9i1wZy2r9L8LAO0YLPflh7ewbFXJ1t71J/wnXB9
xvS314Lqn4BrVN+V0RaTQxxwbXWD/OBOr0uvt4Xz1BL/dWfA8IS66GMlC5fX7huluOrJgFKUj8S/
ejBpac2rllG1wBB4bnANOXP+GhHYqLiDoZxDJQ+GRzPLIXcY5YfOGsqwkaNZjUbbP3iIFxnk7MUD
XYBOYvlRvJImEY/JCJgKSR0njg3ovJHUBjnlS9c+l4xnpKMvqpEYM3ucBgGwiOEQ2gibB8UJ0yBu
JfJLM2yNroiHqL7oBEgJ9tbJ7fcGnH/JkcbMU9yIRxKYrIQdR6UU2SZ8pDCYbPTSb+rc3VZ5+oQz
7M5hyUDn7Pf5Y97z+yi6fb/w/kEK3FlJeM04nFk+e3S1obYLIXYp4jxgm/cHGm5ESPdX78MRo3hH
8ln1Y3C05MPqdnAhvlnWRBFPG7uwtcBgbPp6+any7oFaz8Xx/8DFTlE5fKpXCYrx5sXTyLl80jzD
IvvF6rjzpXr0TW8L54UU0aYm2LupFL3QPFEyst5dZ/lpxV9l50e7ZqcL5+wCLgQv61jhlpvwvYWN
tbcTI4q5DT8bvRq4+hWPLvcWIcm54PeLHADBwTZ0xMPYY+519+Qsr1XfnYcU1l9ixLY73fvRsBdL
tnYWQ8H0CTQ3AZ7k4sK4cW+Bnp05v2azPNh+c27qrUVwY1ibo/pJH7Ic1L6uY4+ijVAsIAA5fMxs
lZyf2ZAfh8LYZGZ2DKb5cYpgbWa/vcZUGg53ReY+oXiSUt/qxHqqaHvsSIbq5jCbGBJkS5dBE9dN
Ec+ZuwXFc5Oveu4qI7ucMb3sOWS1BKPXxVkW7iagZCZLE3XNN2XDznKWngwpgpZ3g9X+WtZwRbXp
aIqQNq98fXCbcKtC+oX85oeY+K7H5m/DIN4wXwtIe3KqXYrXGdxbh+zy6aTpvcx4fBn+7YL5PTXK
jkhGckce6LAs07NfdBwmnee0PTI5i5ltMhBpmYU1r7Ii2qOAj+IW7pjniyR99Lz6S7TJqZoa4EBX
LDLYrXA9dP1jMmRniamoy6ohrmhUiTxiQX1HcXGHbxGOVtG+SCZStihfrDbjkPCLs+jvkmZ8u+du
Jj1I+zTOl/ESBJTMNdY9DJJjyyqDX2KfJ2dIEHITGTN/PrMYALRxrpHZP1YDA0JFt0j3JqKRrhnS
+dFc/UVG4Epn0g7O2cjGKtFlt0XYvxUSGykV55gAfDKcObZTEEIAOcCa0DQty1vDE3HIG19NjAbv
W3pNBzt2ACcM6m1GifY4aneIHHAmvB1dNjf0jr9MMjh4lNi4drMbQ2zSAk2n1tau99yDCP232VnS
D2iblQvnjPWaFzOyemNdaH88QvIhMwTlQ57d9w67qRE9BdNL3yZPHYSO2emhpQGs478GmOduWpq0
+Z27/CYX/779KKL7xEXZjs5eK54B9zzWPGY4Ud5WI7ibcY0vkh1I+xvXROYKG+e/YiH/xMXadNX8
f0FkT7Krm//bxvDPL/uXjcGmnskOsTHwvTxMB+H/cjE4/JHnEcW3Sd0H4IDwD/zbxQCDLELbNC1Q
ZB7/5Kv+7WKAQUa6n8InzyMX4v4nXQxk//8PF0NoW6FJuMR3fQ6Rfhia/yEWIh0zmrRmppso02S7
IOLe0R3C9i5XTyE5PUXkQLgM5IyA4OVEzth4n8flSqRt60XDC1Chc5W611lD8Z5ce1slYcsWZePV
jD4nz+AE1XBFNBp0b42PUGpwTbjualypAAypQeEEo7GQ3xWqPHhJenXE/DTqaS1zBoFp1zRXT813
alOAgGe/HPzr6HPikp35yFLwNKh+32R60ynrkrcREfvsEWv0s+Wb1m1Ashc3PQCt5WcJmSmCV/mw
Jqo6F5ipZubvZCYPfTm++8K4BBVc+945qA+0QFU/eM3N9J4NTwMSK2PTYeWvTVO5c0lCcKzAdVtj
kUApyDlpb7vApTTTu8xc7VGk9Z326diY058unJ9K7d35vnfn0joZa5m95DVLhavQO1rL7ll2s0eG
ht2NF/bHahZ3Q+U8aA5N1dzz7kMPx+wWZojkhCcqH+qIORQcjPuV6lIsr42BaBAgeNIOvzGj5qVx
wGaH3fSpcZnFTsL53+C2b81DTi/xdO+a7NwGQCvSO4+BLLJdUKSfAUEZgrRgVDoukoaNQd+r1LT1
M4Xt3dBc6tYrfhn2GHNT6CFzF6zdDFRHuagK1FGudXRYK6gbZh2WOOcrAhI+yaNmQqJKur9pWzuk
KKnxLIKDM9MVYCOXlSI4WF3CbrtuXSr1t4NKGBnonAEmB0sk9Ssl9Oi7HgxQBbb0oAb5A5DpQwkM
zXKAddDQgcEFseVsMihwPsBMcy7+GzeTFmqlOFA0dfUbKkrhIpGZxhUdF4LZJNEm9OJyOY9LchIY
RPsof5obBgr5VCt6MUAUw1n4dKpoPePyHBFepC2CKE5uGaTaYeSWw4dTGOW2NMvsWc1YMqOgfBaZ
eK1wpy/+8C519Oba4o8MTazgQEYnja8WHXBbOeEvQT4Ex+SmMJn9qLK6T/30y9CtpHDKsv4He+ex
JDuSJdlfGek9UsDJYjbO3cODe9ANJCjMwA2AgX19H2R19aRUTbdI7asWWZL5Xjzi4W64plf16FqZ
dgmFgWHezvmAoXPugB18Axa7bqPu6LXt25jQveUnR57Nu46WJ6/xXp2iTbBvZnJvZAnJJxHd+en4
OsfKX0dcaDULm7NnQge0nXM96auhhxqkliYl0cGyLPg2dg1h5XQO1w1kjLzpEkQU5nereemBOlSo
mknnU+9MGWTrh91OIRZHbqgeZcYOqqqdR69vPlNzJlDrxaSWEQHBAivU+IJcjR9DtPfQbsbcuGZZ
yoXSESUaS7dP0hBQe5O+zKb5EtsTLZYmj2TPYkDt/f3EVqFUDtuOjjKT7Fw5sbk2O1evwrH7UKRK
cPJmDzBZj0acv1hlgEvetm8YJZutBp07WebOrLI7ZbVXYLK4LGATanOqPUOLRtooPDrttB7d4ZSr
8oMj653YNcp8Wm9HfLprczHkt3gtUmlfBwh4tjOxToBETy7A8Wfal+Qv0KqT7/U4qoEi1YS1eoGF
I2ByXKOeXzkqfUjNrubXcO5qg8hCTsClLstjNJAPb+j3CtTHYMlvhy2GmNJd6JwMqsO4Lsq7gBa2
yCTtC5HYbFlwtOCMWQvZXciblPnSERXIbeIhFGwq03g1kt+pWab17KSa4rfvusfQzg9OBzehVPmh
ZZWT9+ED0I91X7DkXZAPjdAb1egHw3ZufXJNJWGHso1eY4H/t6MuKEipARmTN7T2DbVa6Ppo4jNl
H74qOJWbr3ji0TLCe42PVm1/DPbA+8CsTobXv4ZCn6UodnVvXjKOucjinaRxp1TWcJ7cRq4likdX
hQcsXazgwvrYnYAqHqXFvjb19ta483CSHyO/f2L1e8Nr15bdCUGzgVJUMuCOOSy06tXpWEBgGYiP
4Pwewj7eeg7dfMko9jGgX1te+ugnF8OxSwbkDCteBzDIZ0VYYdb1Zqyhp8RWcGm85pZPRbRqa+t+
TjW4i4jJd95QrP7gBdw16I9eC39ifde690Zh3Nl+e+qBWfnKOvhldOSq9TIENc8Zp8aZBkyDOnU+
ZhVFEq1TPDtKvznL4VUISfmYwPqTJ9110FH2JdurPokghrC46/R30YE/xHigcEeQNbCruV5bVAYs
OccHw2wOpsHndupZ8i7WOFpofOdKEvpLakxQJu8ghxOTnphm1DfDwo+mL/CmccutLLl8AugGGxFX
5QboOVfa4lum0zMDgbVuixgyKJsU0yaQwrlK/1a9kcqgJMji+ZPbxac5uR67b/3mes6d0gIH+FRD
MzMpSLHH82zNp7pCMq1z+5tnIrKGpGmchUfB+qMib4ajnta+qrxNHAwSKW55WG2OhPhm1Dw9SJfG
a4IANy0wNFjI1b3oMftn+s6fzVNnmXtsfzfEOw86SaA95jcKm0tlsCZhvOdy7HN3piZmFRNqzaYy
XCXZdJL5RMIyTAgh2odRUYuR8XusdUTPLt8m2bC4pfgRunKYfv7ZgjGml8DQj9GwdFrisYrFjSdp
gLOqT3P4SWC1GoENday/pyMlPrYm6wLH4zIoLbbiZMqEvCfF+5pR5kEgCbqa92LP6Stf+dTbw2tS
lfRHDB85PxnXTXxltqg0Hj47snI3lfDPvj/e9OVA1KxE3ZALV6fJoC9WNuVD2YBeGGR8NvCLtNjU
myz45XmzHeGLgIcpNWCOEW968uKkNbcpaS+i0bTWNn9I9OAXS9VvXumjEtR1jAMbfqurjfUk+jsh
fwOW/SbhGMJoaOOGuNWRuBB52wJOu8bUeoiV+SJ6411P7nM1QKuJ5b6bx2d8TlRHc5jGXkvzT2mU
tyRVETxKaAstDpskbaHZSvvZgBFKnSBpW7p+tnn2MY9izdTlbAPoe6qDcwqQ/JBhkIm4F6PXT489
hwytUD6vc1rQ0F1aB8trnC3d51fOaD3OQ3RbGt6H2xi3fep9qwKKA60nBFd40K3tSe+Z37NLAIMS
PbLelkgRKAa7gMO3DK1t0MCOtvA2rhGdsMTYpAV6+RTVSDN0kNBkHTCUSf4KNihJFi3Lcrnci4gL
Zedh4qWmocGXx4VtwhnQpjkyf/lSw0yyUOqAce8Y3blhRpTnsQvEq/KUG5jLmvGiGvJJI9680Lll
x2ay6TKhbYwm19yG3ibDCWgdB7IyaoPwtIWMGxq/buGuvGZZhkPWH/0Ya68VNSs/by9lD0A1GW0O
TG7QDSBL14wuhv3q5LW/bUxi1YUCMWBNj/HILrZd2BtT9xBEuKSwtkId7St3azUe9E6BXI6QAwGD
bTs+PmhBP3NPBUAtjzaqxIrLE+6uKnBBLWGLxpV4q7JgQyZ8H9eSoljfvJltZ+cN7/HSnQBYtaMT
dKWQtn1XPzEXpRtLTLwzm5PJxmFTppjJeHxsbAVbLIYfP5Ihh8J0LgKsdWkHLavZRVVzUgabPLOH
uskhe2U06pUWLPYScoYDafl7w0UuBM/8zu5mX2lSSSxdKLmwPyaV+BS7RgTJ8l1JVMbuu32g9IYb
BJKJ73+R3NsgUBz7IbtGilvqaO7jmFVWSGLSi9RrO8pr5j5an7ReGYa5DqLyphswY6e+qDezblm7
Zsdeiwsx4IqjobpLyBQZTcRvF9ETmYiCCEl7P4Xdoc2t6zZTG+2qu3hpY63KV5JAN7kf7wEVvAQJ
/Ym2dePN9k09ZQeJZORb+iZhI6fM6dyG2Z0TpU8eTQ/FpO5kXyJGjjzxO+tOhe3JbuOfVAWXrDYf
BECjU6ana22rm1ix/SCRyU5r2W1NpyDp7jypv5wUlrxjDTfmAuBdTlLCH25lPvSJteebVPAsoyAw
CQCRjASSB0OR81Ao4W3za/ac40njXkcQxNBjhnsvGh4KEDTmYLDpyZ574d1GU//TSHHhaFlyN8A6
YcBh/XPZtvlXRih+jGVCyMCKhjEZvyW21gEzGsv6iJviCIiD5OJkofOW9gEeOB5zxWlp+/pguI/m
OL37+ZeObZNoOO8SXx1Yk8NSK8ZTzBXZnYtn0QWMvOy08s7npy3FXm1zZgf3Pkh+hxRsKYMAseLB
+DAzs/m1ZfMp5oDELD4d9obbRpjkWBbyfpB2tzW76MmK7nrXDBfG1smKqNpzQeqvahtwD3HzpIra
FYGnxzoqQWXifLfZ65ZN2R6MgQVqNnMcpPPXjE6Je1DyWA3JVeHhU02+cH/z/rrOaraVraghN7T7
KYQtM4xnnyKHOmNPnNf3Zc7Yz9sZ4xQn4CrKSjxohoIFXD/RNEs/uOdswlgcNQF+0v24abp5z50E
A3wXEQY3SQ0vd8KkB3uEU2lRFYtSvMSD/I1DXrVosr1d23lkG7LWfco9/FghPAXe1XiApxQPcGuU
xtZtvUslhLm1lR2txGiE54jg7l7MLOJxC91pVWPNoNE8jGPyjknxFfvWjlzJJW6KG1hUj7Od7gtM
LgqxGFj/sBDA+rMQmFQy8OlnYxq/hEmIwo8+XZOqM2QfTW4ROETAtaZV6tQO1SEX/Y9nsgvmiBQC
+FuVBlRNaAMzc3Zk47iOKiRj3eP+7DSv8FzRLsKP77txkZLNpqBsGV2p/U4IJvBpZVuVkXzr9IKD
mGmQbhN5V4/4RVhsoEuzrZ4MorFcbY9u6IETyOqroSCNNZUPg2s8p4F7K8QSTU053ttvs1HTyQ/K
Z599IVnk5VbItNQZG98m7z2DqC4LZW8bXflb4J4MzPqbyeGo4qjatozsgo37yIVibSBRW4HzXBLl
rQIv3XTG+NLG00NTaap6rXsNKZltW72dqTuZu5jDDCOYRB2RVcRkxgWrpjF4MN8sahgg20EGcdOG
qItdOTvYeh40gZkLWlbvoQDdF5HP1sR/zMKfVEeUc8Qn28as4CA3jGnD1GhN1Jyaz34CRES3ONL6
WtMkZj1wFC2Uijr/jbl+1RXSO4OFu84Ma2O49s1APrkOUL47kor1EH9QksFewnFuidDQT27JB9+A
QMjo8dHa/nrJaNoSAmSc5Vv+xV8Pf1Kcdb3U5kKEXyxvqmPBJUzofpEGSMl2wIZKwjuq3KTcdrug
frRD312nA+uEafZeG/E+OdUTR+alwlPYBA12eu+NlUyWSGOTGsEr6u3BimkNtX49p3mrx5OHdTfx
9zZ+vAGdKU3BdgA4SaAylh/SvDNtZ6VQzfl8e1AlwoETAKNie2s72LxvSvFgzg+tuRf+vqnfHYHc
XNz69YYxYxNDf++LzwgtO2FGwbzGljLEU9+dcutdOs1em2/V2AG4m3e6q/mRb6r3iC9VzerfeKHp
+P1//8PG7vS/4oVuyFfiSxEfxT+LyX/72v/OxPm+7y2tY1awpOKWaor/isRZfziu6yE0u0SbIbS6
hNX+LiY7f3iQ8pCeEZrNMFporP9PTAY5hL4MDTaCxOa6/wpiCC/XP2rJget5y29ChsN0PPsftGQc
bn4R4DBEPgRDhgC2Mq2Yzmw43VZY3ENOxZoBrUwY944Dr9SwSChVC+R7iFhxCYXBKYYALka1k84U
33WwwbOULkSkC/ZncMMb7OUig5kfhADCJWzxcPI+AR2rVWhP+8zWE3iF4SGDqNYbzUv+J6Dc9L8s
Fl5062R4zXITM0jlXM8QRBxveh3hnHemdy6SmO7NDAT67OKZCzP9XdeuBr782eBrQOolHvQ94j21
u+JowVQXIov2lQCzXsNbN1T5I1R6cf8EsQN+nSGzOz2PSoHpYCpnXFwR9PYSjnuj8D/Bde8zH7NV
MXnXnvnRRxnVHOTxPBh9Ovt0hnQ7oonj/quvEMpqjs8EeYOlljkl52I5kkAo5Bs5V59RatPIkD35
ibq0JsdhAJXe8Rr89N4hJ6kMr+gqILksSTCPLKk9Es0MrOuE1Sa+DLnpzOLiBOjevavfRrbsfRV+
x0s8Giezh8cTO6UesuKcC4+6LblHBj3mA2WtXZyCEV0i144d7Ksof03JYuuSb/ZghWyarXOxxLVH
07nKyW/b5LiLqr3KlmB3RsLbMTxo34zXKdlvU1v3nIUHdwmFG0s8vJREmyWJ8XfnPVhnhMgZFHgQ
zgMyqE2+XKUk54mcd0v2PCCETjbd3bQQ5Li8klAfl6z6bHXWKVH+b5MVxPDJsyfmQMkPd5Z8ybqP
NZ52w8IkHZCdO+ekto96SccXLXdGV0BEmJbsPKEbtSkb7ynwrC+VFyzXwwAvq/s+Lcl7hLB1khPF
XzL5pP1plcISSpDdwycFGCZgezgZ1ouM3cuoTNLsS8p/JO7vdDnJuHS663GH4HJiH11sChI8+xpU
QLAwA4blyeSOBldCPOekUeK9wPnggRrA844mRAyt6yljB9KAQwAugbEQCnI+ChPiO36Na/gT74mC
ZcDnaENJOYKX66+DhXcQ5hRBxMXwLhcWQrlQERL6+urUvnIWXsKUXjeYCWYwCpOnKMGmJQSgKowF
KnbydVuGDAg1yARADBVAhoxIay7np6yo7qaF1oDLBsthcS7Ibmc95qqWmY8y93jBPIgF+OAq/R2E
XLYaWBBRAwm/H0uHHs90PksTURwt1n8PgxYHdaPEsVKKtEhX64cuXwTlQWIybehDeEqd4Z7MO1Os
W79VtjMAd7XAe1bNEYdMvBFD/aTn4UT9drHx3RlQlHdJXKaKoP+znJCeYodM3NTUT7bhHSkvRi8C
vrQrwlzt2PPSeuixY+hfvcl6cGX6VNkugV0uAs7AwD7QcLzzg/6NJbq5Qm56nvCRGQLQLzp/PqoV
U1izDslKlh7OiQxL/VDgaUXTTIsv3Li7rtA7pw3vJ8F9idVTbPJ6oxEI+94v7vOM23OfPwscJBLN
JayGje3YfADxm/TBTa/xtIrguSuNq6ZhPjOLGzfk8DErNjMaMaRq5/daQo92mcNcXAq7iKiE64FE
NZ5kwi0sRttxO7y3KQHDLo2/Vct07tZP3rIhSvpjKlrYJ7zdQ67XoQoPgte+9bgLMGvaLWrtkL0G
fQhQJn8uAobQcVFTWbdc6YjcrQ6ODRIMC3jaQjAh860NdzJeKray4ejaBRjhYVDrTGmkrVge+nFo
VoAVD6Egfiy8oymJw5U2eSgz/GktvLv9aPzaLhQHL3oRtboYuC4CsfxG+WUe7F/AZgeVqm8Co8fU
NHcKdP44UCs7GDcxK7IhhLVdQ8VfIkTLLzN1+7L3H7zJeJh7XFJVOFdssgC16YBMQkXcW3WKvrXy
kUKCXsRQr+aP1OpOjsbePkSOhdeIBUdiU4uBDvbgEM6DwXFW9BG7ujqGDL5d9ZxzG4mi9BG96hzo
+IEU0dYL86tBjo+j1y9NlqkNCzi/wZRPszE+Ci/g4gLugyAU1gS85r8N38DcHWPeKulejnoP8gCZ
xaW2dxzPIU+cIqfBzRdwJ0zCk7skNQA2cCKvQrdaUwYBc2VxgOTpXLF2ZNQFtc3dZpfN7XvXyk3u
9mxcP30b0mqRbPBY7qgIPtV5/jRC6QsWKlPT74uRi2KbG5xHGQsIQ8kNDvUDXVO+ht6V1e06DkAt
l8G72xW/kXVpcVPpeNl9bDIxbTmeTkuB0RChjyUfRQZGsKl2ZdTfEapeOX5675rfqHYnTOzxKSqC
rdnQO2EEL65X7wMIfUGbHXx/oBavwzlN5H4MWor93icquRMMyFHb3lVMF7Vtn9vlAxRoJggKFM2Y
/XZIB4Lk0K5s8Ep1WwhU0QWBHgGE8UfER02dTqjlE4oiwDwI9kGNmboCpB60ZNGjoj7DqDupqX8i
V0rX18jeVPVRwkZDnnzHuHVpBRmM0FgzE9EUl7LvqK/aJbo2YE1yWqpg0DYnGkYoXD9BW85Wvtkd
IjpIbKtBQlpaSSL0bVpKWnNx1tJbMgMYUVMCeZ0Q3ogpnjXm4oSGPnRQ9J4EpBitpQelyx68ReZ0
q3CXulSlgMTaN+SB+I4dZYezm06Vf4/6f476pCeXmfd/xl9s2/Zn/CtC9L++4m8DvvWHDSHUQqEN
Aws1l3H87/O9+cfiBXFN/gcs1MKuYf0FemH/gYfDX8Z//kHtL3+Gv0/4FsM/6NEAyIvrOo4X/SsT
PpHbf5zwfeLxnuNiFnFsC+mQH/9LZR2GtCFn+hlXJDGMgzMY8fNYmjjRLDvRe0vAIkh0deIeGuQX
eHEkpFjACb8TV+looijFbvaATfHOSJFQe89/NFPvPSza65jJpKrAchE96fLyvpfptenXH4R4ruJM
jTu7GZ9qrp2jpa7zDNneARwayuIV1c9B8SOy1VswYqreR5Evm8exiPnIkctFZdsoZh22SAbT5vsw
U7WWwK+iC4uGAU/u4tjQh1HO+b5Lw5ccLD5Vevm5mnCftJPz5CtRCeLyv25fG+s+C12sjISELZg8
q04E1cnphMsxH39mxbDkcRIksxbcN2H7TY1Fta9EsieS/lEaFGrBOt3advFGBfG7tgjiyfDebXwS
zZASZOLvykDCbYclZQ2Z4MnfPgW9hR4YPOZOcqPb7I6GqvoQWIDkSeC9FtmPLpCgzP4pgBPmTVTi
yFDeDyIALKdN3P5Lfo95aoUQ8RyBZHQ7BhDfJtHZuwUO9hZu+zRj4Au/NLF1kPvMvK5g0PN3dkn5
rS9fR2e6qp2UDFVAmNMXjnOaov42hLa9XviilabEt6jqU1xNam8PYOmsEN1GZy/GWDCDMCRmeXcZ
uJ3ZqbMz4MMW6OhD6N7wMq5mXjs6ccsX7RrY6bzgRM7xq8kGYw2XsD8mdnAXyvHIL8hLCk5z5Uz9
UbpDDmqJBsRygl+tCnBjRQZUyPluvX5nG/NN3BPJ1Q0xw2byBzgcmbrKPHEP0PHTlc3WxXxaC+Bl
YEHskcukn6T3XZzf5rjaCU6GJ9dNjuZUU3AtUpAU2a8/hld8d/bCXhiMKr+BgwGbQTrnngc1O2Lv
qSfIsQeI1B9V1w57mbk/aZ80exnicl94om0iLqFYDIH+HRwNUjfufJsXlCMr5kfXtu5px5sOQvSn
0bHumCu+iQj3m1hMHW/a4tPzQiZR3YA0mOLvAjbJiV0eBMKq/NVRoFc80W6cNFuPLZtUbQz7zgxe
LT2sk7a9wdY/80hgyZdFxj5KcOQ7g3maCyobmxTV19T5RtnVNlPmq9MsfDbHWFepcQmBtSzE14ge
kIWUFO/BKdJIT4ZOuTQ7elq9kT9c2oVVtOtogl6rUSLluw2BgWF8TK35LuQnDqwnV03j3EWhJSA2
ocqxP9ssCwrkTRfionGfWti63fjJdAI6qQG1bEyHZERGVLeSZ/bv0AAabDBk3r35ZpygJ3SSxOZU
P82SF3OKo+uiKL/qgEuNJOlrVcm1pecDxvMT5QtPuVNuW2/cxi2BgFS+xMZA9JNCNvQLNttUttEI
5fPfckW+YIYwaUPYKjBIj8ky6sg47emxyyXSaNR9kzmWJ1DMBthUqDdpaX8xucFiMaqxXnt1t+uE
dV2JQm5jybitfD7Wxbgk8iME56k7drMnzk49jA9OIH+zdKL9eGxxgRUZxIbMvyZ3N26Lzh12ImTJ
a9H9sLPoMx+8qViHIUBbmyR+wWo6kudal+1lGIbzCIchj+uCmxZjXquceTXI+i5IvG0ZND/57HzQ
1Lad/Okgw/G2mqM7D7SIn0SnXn0Xho++Yux1kp7cGNbJ3M4FIbH+OeP9TEwGU3LDIdL1t3hfmPh8
bCh0l1CXYpTm0TDGfWPW7SbUMM+iVG3rxNtofzhNY/gbNv5+bp0Yccc+cjxchZR74TsazPUE82Vv
0H2oZuNqLA3iCPn1bCnOFYMzrYtuLW3yVkgfsumVU/WEy2nFM3SbG789qRu39v3rNGOLrHsXaEhu
1Pcktyyau6L52ozKZpv72JYj9nUZljjJyY5MQBZ6htLqYgJfUbppvabYPFceeQtsAL9hSRiphkNG
HhSasmad6NkvHlEnNKY1gbp1zVSOseCk8z818deepO0mtb7wGM1kc5G6lcmNeXqbBgwmfWB/4tJ8
KTpKOMzgfggCgGrcdheRCi1mSxEfAknAoRrcJjlSFqauSU7JVe19lzZ9O6LyGopjUcW8dNxbyTSx
5QjbpYDTLHez6EjYI0evIWdbV6NWvwpWwi4vIz63IrsrzGg3lBGXnYgyoyLW7y7trdLTVza56rmi
2U1XMBc09TSVPBBgfEn96Dtw+0fW+RoSW30TlsFtU2E/totqX4oBvibkFOLqc7CbkgDMX8JK1Wr6
cF05auvN49ny2ctT8v6oYxTxTOf7VDNV41o4cR15E539xDXf36fTfBoMuKyJZv9pMIK7Aap1g7DB
PxZssjjC2+DSHYbvCX+nRDFRuxVw6o6Y90kPyU+EZ8WPCSfjG+PmXh4gOcWUCU77kpQvkM911Ie/
Uo7PBpaK1hDUujvDZe6nqw7f6sZpa0jMWJ2WCl2rou5ZY9AsEn8zZNNRmOI0eqhneqzkWmnvqmbz
aan5Vnkk1PP8CuDQqe5H6tgKksBwFSdnzE6m5JoAS2cnWEyvAvAKpP164F04OiL/WpAqhkN1jYXs
FkpE1s4jCBtMoS7B1xFzEMwDgrV9ywkWHSLZXMt4PLZyIjQz7CbbRlFq+h2PvkshPawYC7gyM86J
dheTX/WiY3+XBR+DG7y6yfxI8krzVJ0uxCL3DrnbnNvnGHbEs+f+1yQyHPMQ77HWAjH/8BZbRcbB
3glUSe0b1w16X5UwUChtn0tJrllPP5owfImyEVK9W0rKdqBo1sQu8Qx9Rh1xLbxP2ZjeA5rsaTBu
VrOrb6NMP4y2R685Id6eDTNPeZ/nJxXfFKfGmrelP8NMj/jkoUT1tHlRtuOSYehAqgSG9+nUzmta
NBQNtxTe1TOt8dTmJO1wCXH9uUXyquZxl0RNShYDgZG1R+v++lENT5IcdWJL4kn9LmR7Ddz2tkWX
oezrbLrZU8n7nQo8fQkwcG3NrHzBc0iSKhJvZUsMQqjboWmenD576bwQ7jUkXuWqHzAtuIYsaonK
4K3ip+4Fxk9HDT9gL6jM5Bg3eDGW4rE4ji9oZOsETQp4I/gkx55PXptgwEp2td2tkdqIcEbyAy/r
Rfhmc66iOD7ES6o+7c6ghjxsv1inzKC84DR7n+yGgPNQ7mHqDVepDGyukFLdCscAmNOURI2QLtpl
T2eOP2ETLO6ibOfqhC52l+eJI/KF5nBKvMlbqTA+xf483pltcj93JiUjcnythmHcpDW9s3ECtKly
w1cHpNSmNvU6Z5fV9MVOB1QPCWXtXK8hWCnkRuKicJL84M01jOjwMfLGB2+OHgMvfBwdilRaHXBH
R9iDiCzeQ0OzJbAD9nPYrs0WRoWDphJMN0NuoBdHtYLa6d9RY1lvNYiBTZfO04boGBeIOtxlqaAM
wPLfh8QEF96AejDq/GB3PJpa2e+FnKhSTthCQNWJeZugwGA6JBjlr1n977zc+bZwpR4rs//pAVZq
MoOsWEGFOwbNLjSEKenDWLb2hBSP/fIXYObugG9v3Ui9OBlPlTyyrhqADbhxH7uiPQ4ThZNc/cDn
RxsXWp9DkRYlu/EGZ+ajRoib+vYxTdtj0IT7OCLgpsNfO6fKJhdby0Dk41zf+Kws+8i86mseIRaI
+hy+WTOfp1Aeyik+Ox38ny5fN/gd4rbfFYkNyi/9jLAR9f5wh5B9GHACOWH3jAtvF9cTTtkrax5g
v1qHIuU1dDMMgUZU857M0b4jjK7bGZLHBouDWgeYaRmPwmgXuklKoBOOt7IEQXfTzbfawLLpA3tx
6NtiarhFhrqKg+hZzOoVbM0ezBS3FPLVo9Htsszj+1mO7xE7EbqLHqc42Je5v5mxLe+T3srpIi9Z
9/cjt8B2ekxzKojLId1ZY3bRVoVcrrxfcq13MJcPcITv9SBujPLTSQHTzH362nW0/YFNqwp7H0kP
gyRGHJ7hJt0BmhhZLYM1UWNMRM1+Go37UOK2BlNAmNnDNSWs7NWkGAJL8W9A/6YIune/xvKZMXz4
UXrbVeOpJ4FDMBtCjK4O9ClhPPCLkxFQs0xg13uQ0qAtFXI7LwI7E/wzLIX5b5U1f7D4ebNdJ7gx
5+TIC1+eKjlbO562dKixf1+ZQP9zjQbZuJTEFsmDRFy0xvk9saObLuIWbuY8O2ZuizAA5vKMcdn5
qQthv1ktn0Q7xE02/zmiKu5tc5m/lmEIHdJFBaVDKPXyC5aLdZuM17OTHVUz7QsZv0axOGQ+cxAn
VuVV97A/kcCIW8d67QPwtUwSW4ruM6nCk0wSe+1BwuPBxB+v0y5ja0sQItgHtr0ppY+HKOUKO9kb
BupnK6E6Isiyu1rz8sfdMqtmD9EErEsazhv2Ar1KhfsAyvLRnwsw77793krZYi713Kt/S1b/LVk5
/6tkRYr6/zzq/59wxdf9Tbgy/wj9gAKlyKObzHY8/u8vypXl4KBmNnYBv7C09lG1/r6atv6wqBXF
kcgSOnIt9y/CFW2kLLiRtCJ+Rd7c3r8iXOGH+mfhyrZcfJqErVh3/5NwFTicxz0m6YpqNcbbCkhe
gPWEcmKDxEgZxXdJqjlpvPSaHEGFCYm+ep18EsDpeOpP/i0tY0tcx1bHrh0PbhvdThwMuuAD3gJ0
U2NRH2u0nqPFNnvDSLAXZhcxo2qqc7Y+Nxnbia5HtifSmnnEFLTTQUTNdmQVm2BdxfXZiVOKdTLN
DGmt/NF8DTpuu3UekDSlr5er/dGYmzcPvxnSj+Sd/ptMH2WUcxcQ5oaDlG1XSvEopfFbg0D/L1wu
vKdkKcrMVrDhOq7WQf1QQhSLbGYcry22KWFt/uIDMrK2n/PagMOMK0skzuMMlUgTvWeN9A1nxP4G
wcSqBUqOlN9jVrubuI/SQzVVXx4ruq2ZDAenhK0G906Qgu8vaJ3bpvJe/IELGC3cGb6jSS1YF5aP
ofgQHtkJV1BKVPHyB2lMA2pOxB4Rw6AKBfeXmH9r6wFY+rvok21Sc+Uy2XEtXAMC/SujrfZT7p+F
Z14CNAqsQ6c+bthpOyJ6A/HNpBHvkCY1zBTj3sxo+Surx0JM3yn6wTIYvIV4T40R6dwma7UGFxpt
K2WCbbMPWe691RO1P8qSG7SeXV9jDeMp3e9my5GrxpGb0UnelzMsdMRHNY8vxJh/Jt8hWh39RsBO
jNZ/UNEJnfJh7MKnKfDvs2Bq6DZIPuehwcDnpUS5Jb60kbkH+zQqoDCRMQBdEcu1zU0u3S+oQ3Qf
AeC3JcNn4uZ04PFwDOZwaxb0PaqKcky4/+iwxtleCGxjb161NDi3Ft8NM25xW9uP6CIvQDegzrdP
gm+VKixipzzK5fL3mZxoC89+r0MW23ngTUSxxhsnM45zK25yab64zZcdS7VuGTMrJ9eLfY9CkMR/
HqhhGmMb/8Qc33JTXHUMRdXBDKavQqiLHAiQlURg9l0AmCcFjN5gn65asc9yihtNceeleO4UkS6y
1hIxGBNEVJYpJZsRxYr6qRi+2za9cYK6XtuNd6G5moFsyrfSjzBUFfE9xujFGLGuBj8892xlVmHC
IwMtDxMv91D87ju3S2DJNyySchITns1IjnNyZeENM9v0iVXqifw1X6PoW7UPlcR4OVXfQ+O/pjLn
o9ccPGrK+8YigZE0l85yCowQZoWJNDllBL12C6P2P9k7s+XIjXPrPhEUQALIBCJOnIuaB1aRLBZZ
ZN8gODXmecbT/wuSZbd9fjvC99KVZakpsghkfsPea2uhZoCzsUkEAMiJf8Q4cweewJjeOs8wV11J
DEMgnWNi2pcBtxFj0ItgpFBWPvPwnvttntM4HtgfiDPRaD7Ynk5dy3+nb99dpGJFPZ2aHDElbQGo
mIrbNWIuCKXes+cqmN+exiw3janjspRhZVH+xFBFiFN1C7EVZsL/SYP3GlrJLVUwGMumhbvZ8fKw
aETHQ60X2cFr3wo8dK1aGQScsElkGlMJyvzBILLSX6F//ihBmcjeefBT7anjxGEQFF1qYV46M/4Z
Q8iXermxPdiN+OlWVofxrXQZqg94rnr8UMsZrKQ59iWrQWH0/tbJzUe3gtBj5B6C857dVz2epdU8
sBN+6CTebTun+FQWnGsyJHZRL/eRF5J4YZEAgZ0vbKtj2vRfbW2+O5lzshTkyQZRd+WcfVbgWQy3
QCuv1FDwqAwAWGiTjQy9+GCX947ljYtI/2aD/pWb4j2MW6bd/eeEG8rqp31fx9CKUiBdgD/bOPjQ
lLljynNigKIWhTGdEkfytExgK1KHqioCkwxq0iGxCPG/AvxPrAStIuABvYJyo0xRLbuB7XKDchFw
aj42H6YYDARC9rqfMyE1uIVVROwZ3L9tk5ifrWJkJlJ+aZBC9BKmgQ0ZdW0E/IYSRA/EZXrdCmsu
aSTTNSwQVphMi+la8VgRcOGUjEQZY4OwiI89hpouaN7Ngcjd1ncf0XmhMArTjmrYHrdC9Ci5ZLbr
cgwGseLgJ56E4jFDbJH2+KugelZ1sy+R0mBjRfWQFfTqWWMhX66cE7Puaw0bY4ytj1I0NemhITtO
R4AA6lhhTGTdGBBSceJZqD2rkTUSm1xDBycoj3oaTpuyst58o3l0UHTadSw420x/1+Yd0mkEWn1V
Fx9/1X6/136GbuiEs1Mq/fuN5Sn8+oIR/YGm1w9+3Vz+4w//TZ1ILWcq09B14egKhaJB1OXf1Ymk
ylssNrGKoDJ0JJXjnyUgwH687AZ3l6BIJCTzH7tL/pFusITmy83+efe/Sp0X+v/ZXSLHskxJtr2p
lGKL+c+7S/YPKvQAg2EsMBki4FhD85D1mzwyNvjDlhbPbA5mwYrZzEzptEtJfxaFc1GI+N2gw7Qb
biKdGTRCK4HjLKIo1MEougSwTDTPMuuTfRA3JUN5qjE9UWc5FLcEzOUiDZgb+vocch+JEZH0Ou7q
58Z4N3yxdaz6kpSHVIKYDPylLQeuDXfXN9lLjhDCqFJQKNMbaX93Rg7V2hwFQTwptL1N6Qwftom1
Z1ax2b3/UkIV4i0w/SURsBNM3Az5Xm28KJZAKkqornKg1uXGilDqJ5Lzk7XxYejEM8bVB/7gMSkT
ctWppLTB+aQyuVdT9mIBz0j5zHwmr7nBSrf9oFZj9NrvgoblTvPkBT/s8GcE4pF5B0KV0X6ZdSiU
MunAYpOI5bJbw5xbRvZKZ2po0r+FXO1T85k2x3q6UfJ26dPEBYEKQXjHwtinRBhp6zy4HzyAkXfD
tCTltrZ3jbhFzPgqDYEFI6UGlhUfSzldxo6JHY5quFBpdwyTDds2xqtM7bDFUmem5KpfsScVzMVN
vLZBckzSSy6uqh9uLcrPISjXvn+nmdMlmfStld1I8XmmCER6xb4uPw98Q+FkPXT6Q07gtl5dcs9Z
KShDNgUP7oVMNOuU2Y8KmgVwY31F+IHhMhzt+AaK4t2PuhtyvffUqpaF4Z87eJdTqG4DWosiEzdf
L66NFTzNA385JM+YJMjIXTrDS2l/ivbcuvcVN1BafxBZsZqsCwUoNV+YkrYAixuWuHlW/U5rt26V
Ljuce1ZuIhOzE0If+/1fZ+PvZyO7VQcN9b8/GG/f/9+++G9/7s++WEeVPfe+rmVzwNGA/irpcG1F
z0xYrC349+ig/3EqcphKJSSns63Qc8xskD8VHTTGAv03BHdEGM7MBvnf//mnxOP6X/7+1wRkS9CZ
/5JiAv9DogAXfC3dFLYl1L+cinU56EAA8p7QYOdiy+xS1KONAiNo9n03XiMo6vgViPEDCYKooGvb
rVX3J98JD2lHRtk0+W+V5AUuY/q76keYN+8Dg9EsCI6t5/0QTgwmDPeUrTQEuVb9nGppDInGYmjl
uzl6UKizs5IjBFsn2/Jg0iasVa7XGzLGVkkTrfPJkXhpYE9j1JXpORkeIvH7mllU1kudxVtEvNtR
xVG5QliNKOFCqulwyAvgyWxjtM9Y4XIDSsD2q8vvEeOvhe48xWglDTd8tNKZD5vaxb5q2lPGi05N
s4qRFH72sXdJaoVZPj2ImYQQlvGz6cOlprX/HWA7a55hkYUasgIZP7g1S2a/GWtcvZhQ8/FDoBZg
GsqxlEzxvVYAehTxAGx3aD6lBcYEvfhWGWIdKRyPlHAnZLgICF3zYtesA6mHqKwIH08xNA3dMfDQ
oPhJ3a0NyBXLOO4YW/pgpTMj3ntUmoQisZKl9Exa40TKL4lpVKU4RGETRB851aqTEwM7l6+E2c6q
hkU4TZ+l0bH2tN8RTX6F+reay99E1PdDq7AQlWIrqZCHBiZSTc2cUjtbDHEtammFsc6ktq4DPHjU
2mk8fQXU3o6LXiKuWGxTlZua2pu5hrMuQnoWQ8tsI1ljoo0oM5uHMNPPkhp/vjpRVlL2E6vxiDlq
SxO09l37UtMfELEh5uuP1ZUO4GzgY0xSfJdzWyFtzEb0GarPfjb0HbJLLnydbGNV2JAH+YDneuEp
YF10LJrAxm9WgoQeGpqcZKxhbnG0JH4N56ZHBRF+4bkRsuaWqPXtp4geqSjyVxIQf46ywSvY3kJ6
KSNsfqb0Vsj7GoAROJbyufFydS6BcG7GkrktSzJQ5/XcqiWYNR16tyga3it6uYaNXExvV7A/cun1
4rnp0+b2T4agcOgHfV9dGjURTGFfABYea9HZ950saJVR6TtU7lMVY6KA5ZVDPQn0KTtQcJibSXCl
lRrrCA8AyiouCsbvYWECb501Eqg1dEJW0RmuBySYJIxqtIrddzoo0gAGV4N6bAtcDpIGeN6cJTT4
gZ1B0iPWnF9Ghr3bWY8NCcATBNSUxJswmh70cNAhacV7pMIHAEd7Kwk+IR5cK338NBqXptGhu681
M4TNis9NaXQ9nlsHK90ioKeKiTFNMoOyJr+x8cVYaevLKPnsTP+a23KZNorUPCTAdti8eGO6gZqt
g0RrUAY1y6KBblpDf/FIN+iIWbvDU3pxa/fZKXmdXqd4SfG162LUr62OEz1ZKX/6ihrnxWudS9Nn
wSmxu3djDC6RI65JFTEKNJrj5Ln9jhX7ithStKNLWpplEEZ861l20lLMx+5wIxToWQz+R9HeUgM4
vbQFdHbDOYCuztkUg/ePLKQNU6if0JMADI6y3UBaLIp37Uds94TTGrwDfe7pRKy1A7ReHh/iQMby
K/GRPBgWi5q665djFf20+DgSt+Gd0fMbLFK4K+Quw4+Q66yAuKFKDkLT8y5VHDb3GqsNGLzBe9Ya
bA3lRfr9vd18VYV7lCHZ1IZzNc3owTYCewHYl1psHELYP+2OLWu6zuNKP+J8tO5aDoQiU9M66fQn
Lr+1MbYfsmfZ6vbEGJkput3+vrHqtV6AQcyzkkMshXbYswPJs7UXVN98R7jjpJFT3A3rXhRvCVsD
14ZDUmaI8qdydroWU7oehX4LCyJlBi6zQ5cG7cEp3G8F02WlJEFG9thvcJc82V3zXvm2RbmnvXsd
3hEDCeymQa+sOcUhAX0Ecn2vDeH9MLkt25KMq0X61jEdcAHJvN7AHT3HofXcaxXg3Tg9VBDPAZSf
HN8zEalQnJvgA0JTJCdCr3B4uoEiq7Eb3L3uoS77q8T6o8RC0Uq18R9KLPCz/8cSRxs5/6m/N524
XiU5cYY0iGKjXfx70wkoDY8rfjdb8f9b2HZ/La/mqgrzKglHKGPlL02n/huzNNdxhM2yQrCz+G/K
K+S3/1peKcNANDh/IZP4OWMuv34RzPJIYq51kQCVGdBTqcofAEtOdJAAsRruNVt/1UuLtKccCZOb
rhif0BkaZDW3rAY7yEYINkCG6R/RgECF3Dior23xhf9rBperZ1ywAKgwmZXAsL2uoO/kcs+TGmAN
qWJQUvRHp4fYENMcv3tDj2B1DknBLeeduiCvdwN3P9PWlxF14zLBiHXX1w4Br+6AXFcG2qHOU4QV
QGxC3wH1GhLE4Ujf5KqYQnKp47tKFcn71MPhlOka69+0tUln01lqZK01rDqjI4ABYgQ+C0anRmaV
eOEnpIedSjc6gpEyoA/tWksjehqnkx83kDLr8iTcnkkkRlZjcm9FiOEhGm3ixZrpoZWQzoiN2yH/
4LpODGuTN3G5CPrkjb0CO57ce47s4VxW6HGZRJncDII0NK9grORhi49qA5IulpieDQcfXcMuwPPK
tRcR2FVmWLymYTdYoQ/LhDG7WQXGrijqa12DBy7VuO2EtY8H+xRqdrnGz58cBtlVq6GckUmOBUHG
a8I7a8SRi2NqmHGRBzFoYLor86SNJeFOTt2v0sJ+L4UHQDgzzWWRk3iDo1BbyjZ/06qsW4y+F2+t
5MsKiHRlKbzODCc7diFuglwTJ5uJA2kY0ZdMuhk2ZN76tD8HtdqGRJLwzQM+6zUADK29ZW0B3heN
wjI2wWAEJlqeWql+gbUfr12hM4b1MN5nsvoIDeaIlmMsU4uEmroxXlskoVGBcJvmpF+n2Rz0K6Gd
NnnzM0Dyl4Q05fjHkdi49PW4cvow2/Wx5GEfD44BKoLiGhVciJQE8M5RVTig1Si5slH+6m2b7BT2
/ips2rPWC1b3Aea9qeEHxMg6LiRYI2tWSXgKrk4YyJMeTU/ZvKCSrtin4Csc9g8bIcpdpWHwKwlv
n2y4G1jWFXHZzDWgYRJKL0lo7TT9c6jtPclkBOKO2ZvXWayAfIR//FRLEgHQrgEqKwog6bO60Sbj
1dV5LYaQLInSZOPWoxQorCwiXZApkd2GNrJd3yKMI7hPTeczcv0ULGmCCsJw3jkIchxakbatIE4g
e+N6Jlol67cw3ZfZ1CN28ohwNONg7brpk5kjbDDnnRxjockZLlNdtKvCYEwr/MfMxqWEs/grYNkV
ds4ujuQuSNpo16R18iRZUm2jMOpPMb9FkgWZfvAMJ/cuhSKpMNDFy9JcDRUwIU9H9NeFzRtZPvk9
ntkzAy0anvZFcPwSqrcPhHkyNQp+I3VumhN2WEjUqUboZ0TVgQitO8StjIxqtgC5hoEQZ1jo4/xD
Fx8P1PkUmVWEF8Wt7tnTHLKm/yaqeSfTDvhqCJHKntbWVG+IqiLBCD6jT3AL1AhCKyfr2+YLUQeb
7caxpkcYTNtBQSEL6/oHlGoib4210F7ILV7E2tBTCgKJSfORDGI8uap8RmeyTCzOPchTnx4126JK
y2ht2PVedz0wFMmlq1IkFz7pgflDMWc/RTO+qv5qU3GY8mplhPVO160DSC1WxGjM6+Ta9M4yBbaO
z2eO/Uv9tbQp8Zum91cT9SlMCX+bZ+6Os2Yd8K3thNd8uzHE6bJnqxoGw/xY3ey2wgQLddZksSYH
ctNYXXG8YTIbjEMkUEU5U3GRc3Yhiz+osb2GBrRJ8YfWKf7OKvoYovjbJBEKod2a7JxlahPXBiha
XGGQElBsmbMaC9qH1j8jHmS7icewnza2yBS5wM1+GsJmbQaANHCUvBcF1wit1rYw8quoDXTPzXsT
e9W2wbqNpePBLSJ8YlhPDn5FNLHxhf6cDAYZrZLAeM+iecLqbEF2zUsDhmFedMceCHp0EG+lCNa/
y11ic+N0zVPX20uoDsz6e+2lsbJ0j/ARMGaT3DxfsoQq2J+63ie/cDoy61WhkVyM5BeSKWgRPcKb
4OvxuRDaEXG1d/QjvGWNXhI8OgxxtVE2L9Win3CYi0DahygmDtLqw+RYiOx+hJBna/55VMF+DAv2
lqhY3LJ8HpiOrIY6uPelw3tj7sOeoGlO5n7NIett9Sbedj0kakukc048wv1u2ukGj6alhvdSGRfO
QQSPnbr6WQzCgfUzppXNUHc/DFFtcpKBVixR53Ek0hUnAaKuysvQ989DPF5k45/CmTpWpI1ESJXm
VyQu20pLs505mBqkzUFtMr18clgAKxCZizAdw2Wcix8qfbC0lj1pEz14KraJcBlXnc6Y1VOwjJ0A
hl7hvGk9tPWWB/xu9ig0bBVpnL6omSEeQQ2x4Q3L7uBl9BNYQVZFyT45qCC3EEBa9Gpj5hgoRVU+
BtEcDNhJYsLd7MNtESlEunkmvTImqATXmlHpe4XcY9UzcSZCwVij6uej89B6jvYuSz0JNLwXWN3t
O4YYOzXhxTTIvPNlv/NFBX4q3Ldl/8FHctQbGMoJ4ltPB6caq6Mv8m+DKEoTPA94n0VflAeE/Aer
zdajn3wgyyAhAT+fY6QkN/C8ET+xwJe/lu3wIwULaPr0+0hd2ZVF8WOUVVsXwX5hd9bWrpOtnVAx
qfZHDqCbCL6jXkvg1T1ZfDpQ8NB5iH1OjJq1Zxt6h1Bz2NVmSPkihhNFkz0ZPiTPIYeH1aNKi4wU
xn+avZT8eoUebqPKOshitFbp8D2hC29jx4CsU+7dTtsmLR8L7obGc+9y3960EfXiSLDSoCXXXHeS
vdfnd9guEmqzSTvJMbwatnPMwzrbxoW+jY3iTUbegZxeyANa/ZgK4cxr8UtF6Fxqlpt6sNGoae6n
r9k8Ea5uIhkgMK2WRbmP8G4u6o5hcl28i4TjltGmfm8K1IhF5tcYhh3toa3Tc9QBX0lGn9PciO6D
2HqohDw6ETrSERM576Bzgti5hZLzZUZ4pnmNODewKDXOa5MIqgebbXqAL8nhJC8rZvtRMxw4VxJU
DRW+S21Y6VlNg2ppKzUYj96AmnNkmrTWe7TOf/Vfv/dfs/eQduTf91/H76z5deX3tz/wR+tl/EbF
bjr63FoZhI/Y5H7/se7Dq2jOki/+sl0lzHn192vrZTmCebPA44jsC13XL5Nt16Abo5czHcMx/zuv
ItfMP7VeyqKoMdGOYdFlF2iIfyVbO0gZ82wAuCcyYgGM1jcXmHv2YxS/+Wkyp2ilEDtjB1hEThAn
sO2O6RXnfV/qEBxslWxduyNxKOjOcRFp/hwoOC2tLuasAjl9gSKqI9M2nWIrcd9X0zCd5n11LcZv
t8gXusYli/M2K8ydXwAMytpQLArPPqZRe+VD4PzKf04tOrA0rcVJd+XPwk0Os18pp0dYViZNQxXZ
C70hP1HmJDAGrlxD8C3RX/K2VkZvstdXAPLb4WdHaEhUkf8EVlHTUPUL+doP9Qtq611rdRdsfV8D
EciMTKnTQ2alUHxbFnJdeJfI4N1sOzBOcjPboBKLPDtmpAZMqqFz1nFUEXIS7wbipxpLbYRLJtOo
30edxk+SDVB2AdlVAp947FCGljXY0BrL+FLE5SVsMJqZg6XWY8b6D3EMwc8B912tJfdKeMaPSSJB
FWGeRMuw1actvQKpAgUXOQfAssb0WBTa3pi4LB38h4Z4z91009OcoXGibdR9DJd6bi61dgbsu8Va
dCpDwJS++KJ9SgwZ7MyQmqPDFR84qwarPLM9+ruS5WdE8Sg2VJRPSUTkSM2p30b5Oq0J0GF2y5oQ
8+d84Dv41Lw7fYTuXcxy/ZPKKNf18ank0AuoD4hHWk16/xTg7Kh7jjz2pbb7gQT96Db9qYuCq81z
syxiIqT07ATokkkmwPHUiDYpA3Ydw5lkGuy2T05EOmFYkUIgTjHFkNNFrH3js5RYAHFvYu9qTGbH
afQ85E5Ns12hKXHkIeGLUWCmsGvnmXdAblxZc7+R7tXvrA7Dv07B0WvX0vL1D0HyWZXjN6wkBVrK
6IHPyFaTeWrpYAiK8cutnhAKj6UGtjLWHO5/9wNj7hIx4ioVQ3CUlX3IoPOOtXt1m+ahGMb9mOlv
wKvvNcVgmyVPuKvz8Mme0qfYTm/pYL8R+DNrgJy7nDwW3JP6og79pUMsq4m4p48Q3k38pAz4GCIq
gHUTlI9APAxxct+bVr83KE+Zr9wU0eMnj90/0KHUfKmoJB8CrFQrdFDuUnaSR80uveQoeq6UER6u
Qfxl08JeIcg3Emayt8VAPA3Ag6ULWb1nRrJvbfAd1nALCZad/fFEpOrK2XeY85ZoxrVvraqpinQm
mgN68jA1rnGPKVmWPj9XDMkAop8CW0SQg/Ldp2YEyB3a9ySRnsrCRc7N/eXh93iM44hETxVtioRW
xkKSjZTgmS06e44iyHcVloiFPsin0TKYIgFDXOSNegTITZQePVljW195dFcax7rwyp2SPBayLIm1
Vm9jMWw8ThXqtW1fyhdo9UvGC2LBaAONTb2DTnKUY0R0RZ6F+0K6wYvWMlAydPIiB4dQrV64b/XY
8gI1AEFM/71qAAZiuoA2H9wnJaeJ3hUNnkOGy3EJZsZx9gEeh0Ut50kSRdcmx6e+hVH1pvLRWVoq
YJOBTs4qfwazBD2u8zc4zfMasiMHeoq2QT+QARsTL6ysnSrLM8FweA7oX2UDENNu/ftxpPMyCWpV
UcGgFxJDb6CwqAbrPBrFhq/QrBHhTctSxKdETbfR5hyJ2c0U+kniHzVH/UM3ShiHLcGQArrsG2ad
KFt6uYKOFhKwBWZebJmVlIxI0FTZU4JyVmcPH2sNQYhdDr9ZlaR2ZMH4PLrWFsjDym5gQNQg4WHY
Xaw8Pdfp+E2Musk7XHOC/WTKBraayRQLB2wOyY8cC2pix1gD4LyXyt+wTz01voH3Q3Xbpo9fqq5P
l1g5nyp7+kiMCo948FQl4EIasqgChARJPQeSbafAP07TROfovJCfiTawYN2gZeZHag6sW1MXGoW3
rWwbZqj5jjvvasYEarXyVFioWsGvNHiCx5wGStF3Sozn+GPKuPp0mRm2zc/GNlEW4EBcGO4lDLKz
iFzwHFlLKhC9WucE55rEYFkhSUnCz8YR65w98CJj1TZZEoB8gP6OJhJ9sO1qV5eN8kIMac0Naz7O
7r0yqt7asHuuO3Ple4z8YJyUVKuU9S02xKfQaZ8U+/FlovJzovcpmVUsVsak6C52kW1Sz3+Bgnjv
ejFVrA+iCmQrJ1yWk6A7lFsPyU4m43NV+M+t7Z47Yd8LQC055hJPDHhzcv0useoPk6N+MDiYkHRj
331GBHgXdbjim+q58BSjmmHduMm6QQrt+91lsL3XpMfz7uhEKInOWjIrOVp4GJFhZC8KyoFZ9yQP
TRU9YMrX9W+aZpA7Rpj4rBKtWwe9qEWh0CIhrXFRzqkMB+qUnCECOlOB4LStUJ5aswS1LHchktSh
kq+1k3xhuFtBudrVSFdNsCsBUtYJSWuAJHICP2PNWleb3Z1eoX7taZGOk9I2GcLYomzsrZq1spjw
AMHP+tkEIW0ZQRnzwnbbNOKMYcMqtFcxr2T+kN6qK3pyEJkQabL+a0SjG6HVLbQaMTjqXVGTBCE7
P9xZs7TXE9q9M8oDm8RtyVAqRANcz2JggDQ5rzwCYU9mV7vKv5AVrVxWfyNaYnrAdumYOUzdq4nQ
GDYWc45Ze1wPJCjPamTL+YgRJ3dpdMYqB/x+OBcNI8Nm1jEbibsdEDZL+iwoUHx/s+Y5wSTE2PLZ
QwzdIIgtWv1pQiStD0gNWPMhCkY/7VnjSkdQ7czKaoJBV9OstZaIrrWeGkczE8jCdgHVrn+A4MHE
vfQEwOKqgRGKhjuf1dzQoS/8C7RVAH+hPKP59hB/R7MKvHSdxx5ZeOtNN2ZGFwfF+GiRMTDW9kHv
om/m0De9iAG5zS8DK3VtoqoIsVzSoyNG91GlY3IOVzk6dcR5bzKfo4eMA6wIRrizpJ2Wt1jxS2FD
ju7dR/9uMIggxvhSgS3Yi7E4zMkRI9WgpxwCPAvDfQ1R0kt0YAluUGbXd9Cjt7HO/CMbnEVXGVsN
D2sCW7q3OMCMCzzZ6ac3i/ZNSahzETOkdrVTga7fNwPmb7FD+9fG7048rCSZaAlegJk7Y+MNKPEI
1LZcM1m8xiRfUbXPNgK9ZQeKsQCmHCReA2wTb8SDR34Y0S1xsknJwc7JAmZW9hl2PJkIXDPmtMYy
CXAY/NUK/l0JyuTlPwqeLm2TvGdfvzaEswb0jz/2t3Wc/pslANQTXiR4yRwHwt2fXaGGSQjd0ix4
ckjNYPNm0nz+qQIVv/FPUGXqKD1dQyH1/HtXKH6zxWwSopEUv6ck/Yu86T/JnRwb8uY/y51IFIaR
AxGexTjdKZu/X/dxo6c1XiqHaaFPCBd5dAlRawiRE2DOT43tLUq4wNneE9uEkiEE/ScZ8n+hqrBK
+kew5NbrYKw5XzncTz3lnY95MVlxiQ6crzmUlVF/h4y/qonRDp7y5KmxTiZqdm8f4cc2YIytcSaS
0HXw23myTmq116FW5HpJaO9A/AFnjZsLsAv0hh8gp5DH9yvJKSLr6Wh49GkP5C8tUPgsGzMmRXZW
b+98VmUW9ZlunliEYdYnOClQi7FFxh2i2TGjw1AOhGHMu6wiWpOesBA1AavNAYRvNByZH43tnd08
KyxHzsbM3gALFl22Vta+MD9Fd29Yr8yaJUNXVkQl02AGjdm+QaNYX6z24trtVg2CYg1gCDPPEYgM
+RrV1N+wtuCkqU8p/E0mbxIRDrn1OGXNO2klq56ftSquWjZRtkLHoM4aUeMn89DQ3hPeR2it7FDg
n8Px3PKJVM3OIr0hdt8SSgc7hBHHvTxd2vILBypbzIRbn+l7/xiRKMCEcQ3pHqvQMQpSWkSxMFBp
uqQ1CvmYee/guBh4pRtjKnGSkyNFMpD3HmPbJ2Q5Qb6qM8hNrT1TzJ0zGhtXObus0LAniD1KeKRv
ZGzNgdTk5Y0rD5ZFpMllpV1q1jwMJ1gsPnjGQzAnAyLUqqtbP27YHSAC+WiQlHhseOVS78s7C0eS
NX1I/W2uQn2YXNr3OGWrKqJfrP2Nk3joQSCOncaJlPGdbE3CFAmEmTqgHOz/Qow0Kdz4kT4CRI/U
topLqOOjSe+D8I0X7TZop3LC7P8cZRPZTrNl4EObHjINY61FCCLBSy28pelRsWmjx59ydlX8T4bp
qufm0YOTVz4ZxL66zo8SW26KtW0at2b3Onp0Pi0RuPI1qOtN2pm7KiYnU0j6hRdN3evxtZ5jaZx1
1RK6wSPCW5GVjyLh8aZorSnG03hV+GBikmxLsvYyMAz+C0gRfeM6NEdnfCbFYxGKtyB9HGYFjrwj
3QQeI9E4XcmrDELG4PY0D8w9hv5xyq/YkDLz09IOKnZPcTXcTYhtiYc96rRkiaJIw1idd3Abcjpo
63WCw495jGkiaQ0TX7JLln7MJB4ijDhKwImZq8db7lECTJYh9UAQfzj1ZVB5vKu8D+K+cBN9Jxwg
rd3eO/W4SzTrLH0SrPSLm7vawq4xdtms78w7PVunMtXXPflr1V7JYT1C4unzVQGrmcmUVycnTNoH
ocwtqMC30cV7N+Am55eVdNYp5kHydSrjOewozRC7YBAKFDMctIX+nnSv2+gHh5BgCB/kTste16qS
fd6hicm6Y6tZV+KOkfaV7/iCYZiHq6Ir70I8X0nPqhKyA5Eiy2HChpaZazmrwxy0ZhQVX6Jx7rwh
o2mulsQ1fzhdzKBn3NvFPBFHhZPB8+l2yiPPAL1kyzBf5A7TWluWrNTL29DbH5Fs7kbkU6V9HTPj
MXGan6pqH6Mxea9qsHcJ5OAgcRcyIj+ZZWwNTVIxyGcDtwqHmi3euLeiOTu87ueQoJ+56T9ZcfEU
TDme/ZQcS/DwmKX8PWKBgh15+lI180I1WCVJeg0Najz8j0+ihwdLsElBwlQkt31Qr50BJWLGiL50
0RuYeKmq5BN8DCMN/F6WRa+lAIoi8Tc7rJ81lq6sN7cCcCn8b5Wc3SkAwQHpdyoe7Yo1L64fBmUG
IBSWhGyd1jXVDiI+YgSeeRRq5942iH852RH2zPhemgzdcdqJ7wi4EkoFs7xDfEkZSr5lwuQQud0+
VOeE9tdl2UgOHsCrOYmVieWsjRLdxZMvcYOMXCwUOQM5cbhwGWln4MI+CfLKe2+Txz+m/hMjdzVc
Omcl+25j4O6HVQPCk+YgREq+cMhT3W9V+WE6dwH3YawtHY5M8EjZ3ESrkMDTVys+6v7FUHgEoGVx
3IaPstyqmr0Zai+KQ/dGoGWL+DCP9SV454tfGDctMrYJLrIQV4JFXFzAqj1gMbf24tfRrXYg99Ev
wO3sy21OmAOYYcJpiVcF874yLQJQaOvT/QRQI15BI066vandeeZzpp8sQefOCnNZQzkdxedkTPam
YL6Esgu8PAcpG/BCbuuhXmjeunMIcGDj+M60VzokER2x2y80Qqy1oeOtLe5rhoKqdO5S0TEMiL5C
olv6cSAmarjXeu9URQxhz51rL6Q55+ScAHtslbpFcbZBncjHqq5RTDKe6k4W/lkytiFvpix08e9Z
+RY1no7dHhpPat0c59T3VCqKQgBLfIPmtei1bwF7sx18QF0BRz2nMt+pi88YBi7pqkyFw00lOmJg
xINdGAeTJJTczi6U5uumK27gIFeSxNqSI7gQ+SWItGM+2ItJFMskZ1qbpEfCXmNZ7cKKN0lX61xV
OwLQdj3hJrrYMWpb9oFFbvkd9+Z9yqQ9hchQ3vpm3UflMlWHIDxVzYqMjoXMGEF4hPRx/5rZu+48
dN01y175zleGjevxR528+sablq8MP9707nkc7lokq9OqZ62n3rOQS4b7G+EF8e6LzEcz8w4CbjnX
MaBdAytaDf7Wm1i6XvD5rJNUX9ENA8k3EHi2RAp1iNQ/p+lRN0zKha2TXHWiqgE8lJQMRfj0/9g7
jyXJsTNLvwqt96gGLrRZzyzcAdfh4aHFBhYSWl1oPP18yGKxsorssuGeXNAsKzLSI9yBi1+c853a
udOzq9F+LPNn4ljRE6/ZvinVeapuLIZwaY/KhKvzvMiLbKL0Ju6j7gqSSqE9FyqHMSKeRnpKsdG1
F8dS+JwZIu0aTNSGe0nkNqqvRkYrgvIkw5ejKBdAslQ+5zE6FNXVkFxPriAbHATss0Y6iqvHm3B8
VAfbC8FGADdcwv+SB3069O2hzW87WsYe1Kj54oY71n2JY5xKojHI7mzb13ECZqdBO/bDnhsAum/X
7NwFZEpqTmM+BC4/ebafoMuR7WmO6tok/AEdRqR5jrtrK9jgpOoo7CtfModx23Huj211qdkPmuZz
CEOkfwuym17xKa0wGiIae+kxXBsAoa29kFeDc19zJ0ctimvNWUPBgYly4xjEnlREMbH0B7y8ynUG
kcBW3JcgfeIYbuuHOfI6QicB2PplzuRHe2nLLQJ4Ncx8J2tJKEoPGcLsFJ1vDV8Y7SZYiwTwRu+D
ZFrpRvQfBMSvQbe2zvrO/ctN4LkE3dHl71/yzy3gP775d0GmpYoFVGphaXF05/cGUPyC1cSmOXRx
lWkYAX8imJq/OGgj+fsgJBYTIN/1m9/F+MV20E4uvaFYdJnOvyPIRJ+2dHgl++ayWNIYTAM4wA9h
J4pQkqX1xab4cwfohsAII4JbVr0mEa3EOzwfyblLJx75UehJLXfX7siXRkpu280/UinI3EoFq/3a
is5AfnZSmihzLPJYBqVAQWHF19nkvKFE2pVztJUqlTIN36B2w4YodCLD3A8t7vZSyRoPcE+xEXX1
pY/fTr9UwKpGNrixMbgHaps2rmtw4CWB9CsTyIPi2ldzS2VUo8tLjJtQFVcFN9smJvHcIb4VYdJh
ceQiOaGKMFxWgAF6paJuTpLysJlRBi6Me2Mg2034FWB2XceaO7hL8jliJhvSGW3NioDur6oOL44u
XiDf3JllfRfOrgcKZ0dM7abGys4/v+8sScIexCjSGpUINllFZF5qTZvEdXZl82xzMkQl3sSzqKPz
KJ4KdAdOhvGaxDtEO8a6q4l0caN9HhZs22AhNQoWHGS+nzmPEi0zNmQzgVpcNh2pAtIvuCUadFci
2wMD6HgZTfIqcabXybLO0h0441HshSMyo0GCfDcAZU7NbnK/abVziMZLHSLxQ5KR6JX8oUkLUHiq
fdeYjTe7b3N931lQyKcGyKEFG9sMeHMcnlQpchdX7KJSuXKU8IatiMdTOmqP4cCs7JQYWzTvReUb
xlMvsAKweavIGGZSR1XsFHv9FqnhZPtJsB7vIiKEu81kc8BveLCyq8DzUR2mfCdzG5DRlsaFqcSS
RSifoXXmhrIdkrXABEiJGvORxA/2uA3LT3Rq2nQQbLYnPJXmTNf4bKtnckCps9eFsjegQSZbnQhP
Ju+MLHr3fuL3wqC0mzWaqm2/U93oajIK+J0e/U+TPSXhgYqG8hwOdgVThFRF94hDSdlVV3SHo03h
yq4mf2qrhzi4ENqrVlhVfBluR2fTnXHPOuF+rvc5HieiY3E+GKsFmQUtU8ElsLcpGQhsLAe6vPwu
Ni+zchrbVav7WEfcPc50+mAz8iCtwSfrCHU8BeS/jqavK/lTJ9RLiMyyj+bEE7LH9mITRZ+cW5SU
UVr7msy22QKZ1VQUz0W3m8KBxCVMGah8cjM+SWID3CRQ6ZlZWbvEC05jRfA7S/OK5HtdtXJK1HFD
RNhqtKHTl8sOo4D8GcAut2bxzbH3VWDvKPCEBNjks/DNQtO4iokFjo3qEbX5GhkM5eF9Ga47a9MM
e/o4+i/pvKbaaz/MiCzL1KMzM5xw8JU+CyDM91uSAF3CiJPuUDfVVSrWBtwnerjtlJIv6V4PZRje
AI8Aq1FJEhTiapup7rMzxddVw7mD5pRwsEo8BPpwg78Zgw+JlTiJcbckbxiGeACH6U6NN7mNl/ez
xyoWB3fD6O70ek0IWSL3EvWRsy508J04V7S1UVzMfd0c5UEmCKaxbB2YF6Az+HHTr5hNh9h/Lto9
lmAr94piXV1Fy9we6umLRVwzuRI4K+h4An1vTV5k1p8uThVC+VS/NsT3aKUGdd2XTFW/RDPUwtxX
6Rv4ERVUvzEWXBSWxHYEgz9HrIzqG0YkqzRGifXAJI82exPAYkiIDxVm8zJnIyYW6h62r4XG4TGt
ETYLc77rdPYPE4knKDPEq0XIVe2Fs77XWiJCc/tGMfZWA2czwFXU9Ot0vpkiibZrrJ+dhsMpjsNT
3ybU6/qTLNRxgU+tcJEeDMZeNfM7fVZul7lcW2h7C/3gFAmPrFY/QXyJDmxlA9Rw1YiC0rxmgRjt
mHnWO7XTiKm02z1jou8pK1GLJesoIsevAeI/Ul7zcESU9tW4xQ1XIdiFgTBezbOa6js0CcFsrLdW
irWCooDkiL1aImIbKnVvgJIEz7ZUrm2xn/XZc0Nn13FJtCPRgIiOZcI7rTouKQaI0uqh3Ubh+MyA
FpUKriE3HfdzH96lvUncd7JH8wZMpdiFS3Dw+BJVeNhM1dPx6oVgEvWR2Dc7uGd/Tz48YbZ6ft+l
Awm5TBrQh6R8MxFpNvkV6xwqUTYu5D4IFYL1T6qtOzlsUkN5YQVF+9cjcC8uMzs5Nzrjl1pXBXK6
VFTchT0PG0ILuEYstt5hrL8Lp4ecxlkn+6cAEjXYuCnA76aUvjrm9VafGFrGBv0qiXEpEhMN/jUu
O5KCYVE8jWryWgbdvdugBkl5LEplum2ZKvLoZ6tt70NjuO0qwg2y8bXtk00ffCgJcS4sFgdO0yoC
14uaI07o/CHj9sAplk5bmZWdoSk7YrhZzjBDYH/nhP0uGghzeGUq9qFo4iVEvJsE5aXrLYJ5yFKH
EB42ZyENSHAYu7Jog6oftSo2OxPXg9uHR1AGqyRDn9MNV0QleXOFoUEjUoLDPraQriAqStirW6G5
TQjBTZL+PsnITkzi20Dgf+1iJtu9hS9KSnszyGetadVd70qAJN+hHZHWTqZf0qiPIZ/XPOgHrHFB
yyXtkBagsIqaCsmckYqg6nYAPPyxfLS49Fr1ZTAw46FJn+p5yQ9+ZR3wHPABFM2XaYKzJdXGTftz
wKKwnlvPBVYVwQkM3YI5mnWoVPvA4NRziFIn+Oc0op/K5nDbQk1HYrzrTHWLS2LNVs8zKXRKssCD
LgMbzEEafYU4VC0KoZkmSA2nY8s6sHdvFb3yCi47MbcrC1aeo5lbd+I5TYaaoD2yVXk9Jy7b3BJS
U7DqrZecqW80NM9ct8xUSk8JmRqO3BjhlzpcD6Cb24x7E/erCa6qsoj8RZqN1fLdtJ8WxOKI7j+V
8HD7cJdh1BtlfBkovYZcwJxKL8By8YQiy+5HBuBpeNYR1+TY9zCdkh2nXceMqSOeAjVmuBLN60A3
ib6asEZ/irR9UX31NaAhA65SDxKXRXkCuzvOX7H6H3JFuYvnERkZmwHtXiiKp/bM4INlmJFtqiZ6
AJTlR+pb4yq4uYnETtp1mX06UJpVIqmibr6B7bdy3ICtpvkUdLx8Q+47saPo+7x56oghaW4Apj9l
MKAz03yP7PkOxEG/UksgD5phX1dh7We6xTYEHbJW79qx36gpM/ixDzbz3D620bKMR4Fn4kgeNewX
IyMvdToWeIRYxuae2c9+QPUSKsOXZc835UChlYlbh8d0mrcvc9/yOTC7DbTqtY4EiXxswle5qX4Z
5btVgRhqi++wIThLfihNj7JhTjeJ/c7UaS2d94C5Mvvpo6E9SZ592vQ+5F9aZj4bUA2NrDgifzp2
03MXu1vbRZU/hPk2z8qjomrYrl+waDhMBxL9e+z7fZurx9B9VNFV6yWm55rzLWQb2ygMi8hAtxjC
Gol7pwb1a9P0NPR3NpbjTiXJFy8yJww+pjF/MahT4+rTwsiUiUczTPdEv1/NDs6E+EFqxm5iqKLD
9HD0t0wrdmYBkrh2PW28DSIM3kV+6pWcpqPkFgHo5hrhN/mC54Bk2DAAAsQ9JLo3kMbe8rMuaVmw
L+yRERdXBTMOwPrW2iL43aLi1WnHE/FpOUA3YoPBuIPKMGH9NDDXnnBWIoVMrpd9FLvZlkdI3bk+
WTdh6zXwN1aLfKXOepBBr5Xd3sQ206R5SIo7FTveWZ/m/GBp6QVmrJfArEKnou9qYnO0OT8OTqF7
CnERK1Gz8zDiJcY42+j9rGx6mb91xJhNAtx34XBUMZGE/e/FIjq2poJdFSlXa+wxyB1G5JNRV214
foB2mQ8M8B6TYok9k7cswwCyp9l0tCDbnrvIYDyilBRSgIH3IlaPOrv3GGyJSOcrwUuyjAk3MliW
VBo7qfgBy8pZZZvnkEGw0VIIIEL/tCIY1BDDezug/rUueZTLtdHwUU8ApRvdpvEby13EnhsSNzK3
RvQ3SpSixjGuJvODtCDomAiu1MHndzkRJbHWxqeIHyJ0X4wyvDWN8Q6Nmtc6b7FTbnoKEiGRyFHG
QCLwEVCtbVT7CiffmED6dNCtx8Nak3Qw2guCeg/gyEpM3V1L5MQ8Bc2ayehm6N86iNpm/SxKa4eA
e8thDvNAj89mxc4ghawS/9ALip00yJAO2pt+uIbpxKmHVPZiStKONX3pxyC7ayDsZos/jMWoIPcp
jmSF3cUc6JKdsSfn5tTUGVDkmGVLCy0ilvJgMhi0rwBTE/WQGts4GdG7aA+GyU6xK852NZ+qljBR
4jlXxLB9jDVOkBSLHu0td/0UUVybVXBl5NNzaAvbd634Y2iS+yqvgOwZvUXx1YOy15j7zjgngn7e
oybbgqIAITsbhMb2+rMrCQwj2WMbdaa+SkbngNIFA2Ok3bSDeyPdMt81DGjjwZrYjfB/gel8Ea+c
+FVrvKDLXylLol6WJ9nedSb6oZEUpITMifWA1XNlo2VeQ9I8Bpo8VTVvu1K628UDj7UJqHjJ0q9t
UnedadisVQlkNau4evBcRTH0glrJb9k03EUDubVE+XJ0QsFJvKKtrnkKndAqHSKdEb5bEMQ0uTRh
fWze6kPz3vdEys34bH0Nlmwlmm4VuOwaRMLjJJogGIf0BFGaHYNSuctRTa5LWX20ECPZNhb3+Cnh
rYXxTdhXnwxFerpdBoRLTkXvWunS8BXreAluJzTrYZKqftJTadL3kxSVdFR/hdU8tpAwMbhg1FT6
guQER7EPxfTGQwtk0lTv9Imh6ZAwko6m8ClKeGoOlvah0SpV5tIFVzjlnbLyJ8JjdKG0BzvW9qnQ
lvgw66Mf1c+0Ua7dJnjNC3Ud9qUJL034to3rlBzJj1iHq1tab82Uy5NrUSIpttMc7MF+LKAK7HJX
A5cQ5AhrIzK5tOVUd1TyKLqTkpYsMlzIlBHYcbp+cTUGNNWt095HaSUPsxt8qSG9cKu0FHM2yyFc
jF9Sq26HsdtWWV7uOqmTSDtmIRE15RsSntFHvC5Z8uSL1iVAJRzC4g8/yjy59LPxUWNvZuOpHFU9
t67DJYdLr+g7RnJukDGMVzWYUiI26UUVRq+Q7DT2MmjHkedEzTptabJHrbLRnk28W1F1UVXnM+bY
5uloP2gZYj0JaH7RsKrRy9QFW6dN72RaXhKkcave0K7zHDZ/WGE7ytwofHVZ2McRzVWymRnJMVSK
OFpUv1OH+4RVa1UN1SXAdCgihQBIRxKEQO8fymJbLZcd0sk01j5/QH47w/pyI+MtLDuYGVFa+A7w
Rc8AujUo/NuzrjHJIUqUC8dnw+MLY1zy2hN1lceD37AvNERHqo+7E4Ad8RUxcI77o4Zqgb4KAIP+
4k76K/GKjwVbijqbNwnUxKHVvjRKsGrgURFoxwl9QtXpPrBjqCHWqVrCF+Z0bybJYYC/XrDMtXQM
kk16dmihQp5BTTy/k2P/GNmJBVOsP07jjAtv4MHA8jsUIdmL0Qa/NcwYKBu60x0qW56tuji4iKU7
Hfiko9/ABvJLnix5nd8nGstptT0WRuuVVoj9KX+v+vKThz5bqiE8xoaxEZV9rSzPXrW3T2aQ0Txr
+8EgOsEaPD03buZxmS4Oa2FWB7KBvFJvXyN0iOu4JrJmYI3llv1eoEFEoGU1XgNgVTBWYq/9YnTZ
EpbkJ8aEEjG6tlhr5HMyeAQVboF4+qVinqwBpw6pRo6WEe5ikqfJwBcWSAmc012FQf1exNoN1t6V
7NyPOWX93nVPlQgeeFxyibc4JnAilCR/Chemio3tdrlLOWw5Xzkc5snPE2CWbn8nXQ79WB+uS11A
GBMJLS+LumxCbMiOEz/1d0Y46qwIxC69QFVpEkshBAoSFn7q6CAUsRqstxNZa0r0KmV/Lh38zovu
Oa/uqilEBQS5awKp65h097HdrlUN7S7WiIE3NgqvOTacdVa5a26i7oqb41FTcJJ34zRuJUes57q4
AJpuO5OUsw4aJ8KSTyiU2gXJRhqN3IFHH9b4U5ear311Q3szEoZzcMTw3LNr3+tm2D0YbnUbI0hf
2TJ4IT7hcVpyg7qUcJUuQKIAbWbgLqkrPw7MlqINHcDU9OkVMwa/zqO90G3KZUKQktGiMU7aXcxZ
Ju1xGfOZhyCsv414wtSrb038kj1s/2Who8XS8PM+2ykECI2MWfzSnO4lAyh+rDujgQAwVtZjYKqb
LivwzVNQDwHaHgmJRCsyDGj13x1Zf4BY/Qyt0v4J5mxj7QEzDdDvB9lh+fpPUAXydUB8dziWczMF
3acjC2VoBY0A2ZDm5w5PuaHaNOlzpREHNfWezKarn5xQl1/3BT//DP/MdQCcaApbs5zlfzqCtZ9/
hGJOhDqGDM0m3bzmU/d0VgaLBY0rSbtAuPLgmp7/+jV/wCJ+X10s8jle1FGhhVk28LBlgfLzizq9
iycw1ajkE/cs66dqGFENGMONXhUUDbrfDda5yDR8pFVueCpYpZHpaaOnp0aou6gKTo3b3f71T/Uv
3wmX6ZTA5qi6f7ZZtVocjgMMx1XNadabgdct86caVBjE6pREZVGkH3/9kv/qAjDET6/5pzfCLXI7
yfsZb8UMO0B0t01L9+CyUk1zBENEmSvG9ADp/jotuShR+QtDe/7rH2L5hP/pw/jpZwBK8vOHQbRP
E5g1v/dCFCAxA3zxiu7SzN/qrvjVg/i/XvGsv/7ytZav/3TBB1FEYb68x41wcP2MFpO+oV/99S/0
R7/cr1fXclO5lqbqiDSXD/qnF6k4K4u6oqbo+wW7Nno1dirNMbd//TIsFv/8u1AAmQ74AZMr+s8K
TDTsYc0zylk5CcvlLH4BPrfp4/I4E7Hw46X++w/v26/6z4+ymmQc8j78kIf+44//9yr+kGVTfrf/
s3zb7/99Yeb9/qfr6qv42yV7+/hq/vz3/vBt/Ot/f3XvrX37wx/8glCx6ab7ktPtV9Nl7W861eVv
/v9+8W9YLvlX7qfq6//819tnHhcezzyJR4JL/NevLVtMjTMA7Mlfxsrv3rK2LP71d/19WYu01uUz
AJGD7VIFofMzPYcln77scTFPuuR3cLX8JtbVf4FlaCLHBfi/4HN+Euvqv+gq0FZ8nXy+guPg31nW
CvufrxXExA4/GXZS3Kbun+6xyR6DOgOuuHInnMOxyJ4GCtB2Ry26dxiSWDEPNpcEEKATI52lNbe4
KtioymhajRjM2XtvrPy9aW0moMG6n4h/jZqLjDpCWt4NzPb5JhAP6FQGg8QqfEw5OUzM8Chjep3n
SLMrMCmV50nBy03NGxKvRvhjAMmbib9UdgXTeUXttopO/qUJwCdA+9P6KSvQQGIvZ1CNb48QZ0q9
tvdN0FkgyK+D8sEomTYVMxyz9KyZ2ScrqyeLBbPWF/dGgL0FMWy5NeHrmEZwxahyRfQHqkVGMRGO
KzcF8Y/VpxuYJiGgb+bhHGfqeVaeLRU+v2kzs9xo+nXQXzPaODilM67SYlFnJCbNi6pNrIKVI7Pr
0RNDerX06ZH1OUcU4xGiMwqFluFYu04VZsk9RFU93cySWXK7Nq3YT7uroWEP4igoWMsnTqZPK6bp
6LeA9/VV1jJEYvGTZuHtmI9ew+q5mKzTIGDSVHeD61B1uuZJGs5KC6+ZT7D07eloXARCLdgvj2yX
fZbyiFVuDGNnpvN6bnm0ONdLjT/jda0++nyBzStrLUfSuenMxwXDqOnHqD7joLHurPIqzs09dKHA
sBiC1h/toKyC6aK0QMMi18OCsKrFHTnmWzSi1wp1c0Hc3RL3qabpsZthzzcH0pOF7tvFObwXAIRT
vEvEqu9Zw7CRXxvtuqmGWxs6OrKAyEaFYyM9Ao3JgoG1EJtnxC08rrUdW7Vex7ipNViTGlLQwk9H
EsNGs/ywdJrSKR/T5n4wv0I2ahrU7lGnvaBzCIvltyAcDIGLHewiidaNBYGhPhU1cubpyPvjpaq7
0sQhqJO1FhR3xbTTJQo3kMKPoQWyzWN9u1X2kx5n7JDROseV56TFd9OZ7zLC1SFBOMgeDFQLWME2
HMZe+EfVhD4ydvYJ7Ew7BKnZ3tnKdF11PV7GfLgTMRGMmsHwhPy/3NGQ5rVez1gxMAaCUtlC2M15
zMtNGg7biXgHUuBxrqyaahmHdopCygw9SBv15LLCuVPFAsO7wVa8A/6PCTKv7b2r62//eTz8sHMY
0Lc5r/93Zz96nu8yS39+OPz9e34z99tYNxYfh4ONA4c//9pv5n7A2ciFoNYiyXFUMEG/PxjELyg0
DGoHHgC66epUEL+peKCxmaauUy+pwiXm+N96MLCI/0MRsXj7dYunAj+BZfBSfy6/I5acKe0zGB1l
sSyhbRQRCedt+pZn42kqzB/RrGAkU3piqEOCIDXEx7Hhz6XJwVApr1rWfGUgAFYCkVoRgAftCM3r
C/e5nkBfZDqC1lr7NuoBgXvfEOpo3YYxKJMgfjGZdrDo0u5AojprpSAUwMaMNwV+OhvP0oRc1jNK
AMtxHsBD8gDGFI7firxJlO3vwVw9BoVmraokPY34K+fAOBVLMLxNlOGYvIdIfVBZ3lopY3qNVM4l
bhXn/nUCpp02rwdSPp9MiJW+XYUDZeHgjUZ6EjlJCXMJPCtsaK5Dv4PGBZszIvZC4msQ2n00Ayki
IwYV9MC+Nei/qdWZDZMrwjbb2ik9DsBhlsxr6RwdiFzLsmxghuYFLXJTaGYHA+OVzIZbDYR1q4iL
qBrSryDLmaN520UzEhXTm5L4PsQC2xPD6bTFoVBzVrD9cNHamnWMEeyqfL7pUZFtyll5UKYy9Gpj
YPemfkdD8cl+4ZGsygbXJ7EIZYPslQHQFaDbCiN4+6wE9scgrGve+bshRGkgRjBgpMI+SgIWV4RY
+9BhWEK60W2ToYpFzX3u2oa5SIodp0jRSIuzIkhYQZRGAHLfOkR7Otf095sxxBc+uAg/uiIBLwcy
nKWDNwgUwlrEUwi+Qo5AI/Rdifev0vvHEH8vnlym2dT/K1sd0H9Pb6UwLlBlbquCRZIexlfqzDg7
MA2gxkV3dAzWTYaY72YTM5COWBdZGhKiwKh3WTU/Qhcs15YoxKqdEnuPDJ/RXlQScRhcJsSvql2x
iJ04KCVXTp4jCNeYOGZrI2OkZ/TzqR3K5qSQ0vcWQ4RxAyQYoJyCyptyIiMA5yj6iZOf7/3U0E+P
zoT6IGCWCxOWzU8/93sVjKiVyCtNBBzbCNgRnBvNfSX0K85txu4c4jEEcysoG496JTmqZX5XJUXE
7k+NbiZnbg0SbBCtj1qPX6eRaAEBED0V0szeqihGrJMpSQaPX5vZRM1j054KI6r4PAmKazaSOUi3
MezXvDRupcBYECrNQRgQcIFleCpy/bSrz5aaAMWpN9IE32ygWBideuumMa7cmvhKqNN5c4qV4gn2
HP4TwGSZzXoj3pSZssnVb1v51DrLK02TxW752deOvLKbenieM2yGpoRFBtQANVeBQTbNGTPl7PxL
zTPnMr2ZbJF7Iu6tuzgqrybRiwuNVgMnd3bMQ0WA2kGzwLaB3XKb+b1IsbPrWvCoBMUHbbonWCQJ
q9rowUBt44TEaeczcR3IAd7x7d5NKqmy/Zh+N+23oS4mXzMKN42I8h3izXtr2Xk5Rc58aWoJQ8Nr
2qfRjYHNZZMu4jttwqoJbeDBCihOwyDbjVi91VH6qqo7nhowlcY4BSRO1d+d2uyYURst8UBsvOYk
ue5Y/EU29RgrMeyumJ+FtO6iHs0tUuZW0DSyUePX1NaCTb4B9gkKc4KF1waKYKLVGZxhjTHwkGls
3EaFCqN3OT3bl2D41kdEDznGh7zYzhOFwGQoJzlk96Lq0WNkVUZangFlv7K7vYvEE6J9HsAQC+aN
TrGo6070PA8D84Yq+BDsaMF1h35EXgLnsHnV8qshSUEj06fE405A5qKBw3EkrxxbsuWnWjft9TaG
F8L7lzS0C7KoAHrYyTqUzu1Mk9bM5kPfQcVNau0iAuWqiEfq6am+dwLrJgGqkVfJ81zavmJhZyDt
cBUrgoWqmMzV6AykTGIqC7ElZ9PioKIsNuNyXAex+gBucB0OpGsx6/a70lr2Puzum5FyuNq0RXRU
osT+YAlVruauOrWZqqOD5P6pc7+HFwmjwCEJS8Vtzp4yiWFjBHHzmej9QzAAEnQsuUak/1QjTBy0
9kGdkl1hWHDrUsC6ljTkTszqQ6gyS9Kpq3VmmZWmgyirgKVo2cySMXcnP12S3oNQCfiYa9ISusz8
cDojPot48UFESm7cV65+bqVxHhT6BEXwaBlqY9Pb2a3oJOyAxtauHbcpbhM6BIWkYjiOVIoPA3nr
FKHGjaL3oNuc9E0RxFVTArZmuGNm4WBPQtjYpKSw9nybGt/WEuL6ONg+KNR262jy23EmVnqYK5IV
xGqL3YdtrSasC+iU3PsmZHWbBxlvbJpsU/2zZXSPVoUPp3O3U57fZ4B8LEOjABDdg5wH7F66e6PB
W2gRsoMG/1TSGQTHIMjxhUpmEEPj5Kj2R+k1Iwbp0JYfgcM2PnPfXb24aSyd3VDVezFP/9qM3glW
h0veDliP3guzfJztBVYq8XpNQCfnOIMGmrXX9tifVT6jNc/zQ2e2SIPUm8JtbxMj3zYFAdKJG7S0
cqnzOMTqqRLoOozZqrZ2p8VHZCfji9S5f4CbvzSwkryeMLl9riSf6CmROCrhVQ6wdTX19sWFd++1
RACbkkiKhlQWXw8yDhcaorfBNbGMmFQXbb0N2cPoLenuc2XuZ5sVq6EaXiMLHGvGtxuGW9VJ7lS0
WumISGuAm9YuAgQzwFKU5eaGlRaxVX3KbZJg5SuQ10Vd9x1hWkubIF2bk36cAtChlnoBU7LPzQBX
SobMJVKaZbVUr1nWviW8rYc6wpSRZkmz4x1ATRNaqyxe2n/8UIws0ffwI+hZ9TDYvfAt3jw7U73A
Hvehpa0E1AsojLeT25NO2QhCldjVZubCS1BCdduoEVC/0GTf61AHDtOWLoX4rE5epTNy33R0keP0
2ccwt+a9mwVfjMTp5xZ7fVIYeFObIDw4RNhuqkJy2jZ7VFGXVlAZtYO6gx1ZYfxjnYY8+7pSqPVm
+dXr5Xc9VDRPLksXxApknAhWOxImMFm0JemCgCCI3AVZV6A+TqbNjABXqs6CS+mx5Y7dlxtHyFNV
7o1iYsdmLYHBGqrmkU+vxAZaQ+Fou/HDHHXoIO7zKJoHJ4UqVSaUlHbRsRACXjq0o+I32hggYrFg
7s89Fp2o+dR77ifLHJm4zGSjum3gibw4GcA1OZrxaabdSxNgqF5cRW4eG5dijgPPYE2LkIvdvyBt
oIrWUiaxp9h8FJnyZgysOMwieVXGQvGUxr4Wg/bVO2j10nw21jQmK8JwvQaeuP+fbvAf5n6cF385
LFwzdPxb+f03CrWmLbOfG0NWLOqv3/771FBTYb6RTWKSk/1j/vdrc6jov2jsKARDQxjaqm4u9v/f
pobaL6ZhMLXHAaKyONH50m/NofaLblD6uERH6Qw2Gff/Nju9/Dpx/yuPP4FSf2gOl0E2o1Ew4SSO
ApTjBfn6T4Ps1MIGgQEFrZ6loHOYetBSe8OayZseGGmeGvb+m0k+knRPXNkxCSB2RlAx0Qu2ab/h
JuaU6lqUkeMACGzIfWh2p4x0Qq0+DkFM3MhokJ8xQGsuyFRMi0sSR1+ZDI5duZQ54r6Iu5UdBHcy
oRIK3P61bYE7FfmOlrDlfu0zz5Q31vAqx9HyZdNuQgNJEdQdMGMosJBVl/ja5vkkbMy/ffqt2fLN
HO7T6UlLH1O73jbpXreOY1HuwIO0wh+z9dC/1ILWVfHC9LmZDl2nr0xt5+qeTpHcEIK5tdK7uD0m
5j4l2zcy7gbrEufZRWdn1T9q1ilHN2zXnpK6B2dehjSeRpoCozol46GMwBRdj8+qbT8A30ELiaGP
0h7WQBcKtqYWphDbhr05EwyyzvDDDx8puSq6yjfcl2QWNPKoCXkO8FzzBGa6FOgb3vnTwMETyxY8
nvYiZXquEWlA5JqAgpWTr9JCUXFAWok/nWna5c5GQemyfDadc9EzgrqKfFvENF4NK7gcpbIJ9i3s
ep89vOck7X4yr5Uu3EYZHon5iLpHWyezCQYKoWAZmDtFDR6EzW/EJbyFEbNB130FXv41e3NTv669
zmOKl62BDXh143qt+6zo49FpA18nNUvaSHxoLkdsACkDRRvFbjRGzzL37fE+HL6VuLyU7rCRpHWE
2iaRwPCeDPW+xfOCKnXSVlCW23hCmNzgPNbQvo+b+f+xdx7NlSNnFv1FUMAk3JbPO/KRLNoNgiyS
8CYBZML8+jlodUgtTcxEaK9NL6qCTdYjkPmZe89VaqXNbqOpwZMMigOoHXKrTxPH9zSvlP/KE4gC
+yK6fmept7C5M5n4Cftp0oT2RSDP5XmG38nZmZTM2aqXFg7iAuSyrOFGTe+5uRjGmcD+VPz9QPvT
mGt9JUMEIvOq/R3XV2R3LUOBkYu79sHcEaCTOUzj36b8ajKO7AcizMXvOj7o5ImU1Hkgj2a1GPPS
l4jLSOKBlD2lf/+qcVpYPVLe4JNM0lVMW1bskJUi3/kyKFjT+mgoIGIBdpU7E7NPXZ/S4OwSTGoP
h64N1naO6hZtYmdDA1wG2gwqrI+S+EfHiKB6UBNC1w2iPTuudYo1NbG3fnPOEHEGNfkMSOKjamM2
ZFeijEsZ5k6H0S6fOogMmkmkCc8gQwwBDCmTQBbQp6PBT1CuXnoFo9xrjp3QF+UcY9y1wns07Gwf
9mrfi/YYlM9p/rtq+Qbh8DD30Y75MsEl3wYsum4c34kJYgfgHRH3AFU/iLI9uGn6rglSskaxK6U6
TKG8m7WDCQPXKJ4W8jcOnWV/q4RQYvtSFv3aZ8XhgBiuFEtdlNiCXQSLtmPMUIcg1WmMXkW5YMnu
7VAzZAJzWZ6N5CHxIImnO6cg22yJMcV2Ph0zPttZMyMvKrrX/mhN7DXWtUZyDTEw/EGTuqoT1ukj
v22dY47AWsH8IQQxsssyXlvIHC3uubSwtyEBwh3OTmZP9LG0CelV9uehwDuyaROx9dQ9K0Ze+/oc
JvPWswlgKmag790qIX6Hava70dO28d2TH6OjCRys9cOjU1m72LE3QC5c+2Aw55nC6Fll73Mpzin6
4qDMLkVmfXRAp6lUHam2da22Tvg+Dt8tuQYNK3A/BeNLjBWBNKk334bprYG8rqt+GqPZyY5o5LZ8
MrFNQNpA4w5M/AeE6EMFsogQpplY+4l8mYRAviZdejDJYobP0BE/ffgrwN1iotBUOP2DJZ5opflg
8+6ZxJJLSx19M1TsUXz+brD0zkw4roJ0NbeM1GqOM/oOwtMBftpKIYRdOd1DX0MVTfkjOO5D8ZBE
7sKiMQfszeQCc1LCSaks92sm5BlKmZlO5xCeYbVTY1Kax24MTUaMptd/p0HKvCacSILPOwu5/H9L
p78P0m3akv9vkP6o2vZ7+mu5JP7+JX+vlcy/mcCGCL6EhexjDCLqkhXmn8USQCQRhGKxwzJiD1A5
/2XHav0N5hFlkvmHHfZfMLnW36DNLBElvskXLYmZ/0m1FC7V0L/oGMByMM0PlqQ60tGdf/PDgp+d
0gTL2E0dzkRGZ6W1n+rCvMmZ+b4aYfIxLNlExkhKUZ2UL4OKz+PUvlDoJKBSsmYdupigZCn2xRJ3
VKuXCL/aaIinmjSkuGJubNSXeIlJ4uGkkyUxeAKsk6M7Cod92WhWVzX6ncz95ZrZQ07yEqCi5GJP
0UNKJpPhWF/gMNe5az8PZDZlZDdlE28jEJXMf1KadngOwrMx28w8ecEhgMBCJbVdKAqPyGR7DDCi
089pGGIeSb1dzYK0DdNfOZFSjKu6mCGVql+aOTJOVR2T1yGIoaJHTNZVTZdXGOx+2yWuKp/h2SVp
it+qsX77ZFo5ZFtV9MHI7I+mZCu3hF/J1LrCQgUeRC4WBPjV5IXw/yuoD0ZDqECPqRZaOGpcCCRk
OhHd7hLSpZhMFyN4lahlOWE6xnogl0sTndA1ztlNOZWa8I/kLoftJ2Fetl2Db1gCvqYl6iuicQYJ
T/xXsxCrYj7jlmAwxHgn2f6BI8VmUEgFexJJGxzTgZWqzwSZ88MS3TYD5HATwCgcJpyMC7TQ1/nJ
wScQLjhDWI1q+ZHfklhjhxJrBflQQ0CUDAM9Rko5ZERPpQtLgNBN0X3S8Z8ZgFXc4+HOwcwFQfWu
B7iI8+qpBsCogHYPABl1DAxHjuieg4LZnWvVgI0BOFaAHHtV0/M3+iHweeaQwWMfqhDbooz9UUR5
ry3f6Fm6N/E2gx5P5zhciJvHXCuDk4+1bRtmzU3duWs+Hvg2EanQZfKtVdavzVK81qjzGabXN43P
VGf0KW489r5Bpu59xnVUlWRRaIqQqtymw/BGgt4OgI51Exs+eYAGgvOpeh1Cii1B4ROyEpqVt7OC
ltyT7JJrk0IVraXMTi6081Pu1MdhGQxXZvrFiDg+DnOyMhKXxzq5hfRzAem5H2KnXeWW90uzrs4K
okz74T2DDZi38FCNAs3iaP0MTXTbuGA/QuxKSA9odeAj+CsV9KyCQ+s7YzC6ryiyCQd5HhMgOk36
44++sRmGmfJkeggGBg5/UPvEUO4NIr3sav7OmbmR93MTD2Tbh54APxsZqHM7eYNmmEjphBeLUhXf
UlDtzYynBqyYYPiYloCr6l/ECngILpCyempCqheU/T52wQPVSNJdiC6tyyQwrprbIYVPambDq5t3
H5gfUF5HeJhbkF6u7N+nLD6rvmfWxd1JaOadKltydJqV5xanyai+jQhqEXGe6Q7a9ncC/ojBlfyw
ezncVGHKsrxLb61Y81to3g2nOpdpeGK/+RHCoJmkDFbpUPOq5gYopvHZ6QCzaIrQirgEF1GXO9L5
EUGhmKAYBntquCpr8tYpUUaJFq95dyoPK02T3NeWic+4eqtEfepGsVcp6AAKyFKUsLtLdU6dbN6n
efFqQbzdmJTYTRv+Trrgthf62wlr5vQVKxCJFZHPJLsa+M8hLOtTE/RfmJAPxWiyKOSYI/kWpb1z
4RGu1o5nxGezMB+auEeBSWwxvvnw1gbLjzdAPruTv5otgxR5PMtZNAG7IfN43SObX2ACr5ETPuY0
OQFSGj2RZis1+pYawUncmZ9WXrzjsn/NSKhrQ1vx4iPxzXiEw5wHsWYls5HKFPImF1yYcx/k+4i8
tp09Q2UKEueEpx58sPlB+iBmvwi9cfFtT/Ypk9mHIrDcxOUj+nbv+voa281b7EXVNp7Gda5Q9Br2
wWzxf3oOahT6ObS0KwgTdzY9UKX0jwvXl9HouuKfNGXuk1osgXlHPjnqnWpoTgtgtsJdrrRCCDTt
7TC61DVPRKD2Q9vgi+m8/Vz5eGO7+NUo3XuNOt60+8cpd5kH6tQ7a7HYOhjK5dl09stg01XjL9/C
mVN49FJ8av4i1gflxInQOgqwufc0s0QlH1HfhEzJbkIX1/ikGRP3ZvqdJS2HLc7gMjM2QfUK/WcH
/DY6Vf2sVzVqFi8u97NgKlqZ3pM0DeDQBmvW0sy3AS4mjuy10Mvya4JQSz4f4VwOk3I3xokd7tMu
gBqBVEYMb8Eoq7UcbHLkXUgyIrnNPdx2hsKIIeREEjIowFmUF13h8E9omNFdpx/ClGeriIqbMYyw
L2Z4W0fl7wt6p3YQKPZNR69ZJgiWCNmxHa3nYEkfjP/IISSQMF+SCQW3LRj7nyyYhxUPyUvOjUeC
1u88YvXBouq/1eg/BnkMz6gg/29lxyOJWl/1v8n+/qB08mV/DvCsv4FoAbUSIiOG0WJ7aAv/rEmt
vwW4D/krz7KF7flLnt0/B3ikNngUnmJJtHP/ymihWg1s4TH3Y+xme+5/lEnM//LfS9Kl9EWaR7yx
7frC/zfZX+BGDPzDaYYXYt10KDOcZcXQqm2Wpy/Bkl6VqvrigeqYSuOIH+iTtAZseUvCVYHlgZkP
vJMy9BPIgyXAgINqFK+pg/l+5mRHq3fvMgNLrPgbncCzvVzZOra/MpILUshHaQ3tEMqecIqPApvT
bKf3ktQtBk3PeFruk7AmPhTU9/wgewL7kt9hgkkhhrisvEcRSB+FF+4sH+MTri9hv9gNLPE6Tjfh
cFrctGKTNu3B814tYHkRSK5OnPNgVevuXAUHdpIMv0nB5MUqElBNzPit4nnSJrE7hxKc8gor85Jm
xkZEzbuydb6aKLxOc/BQhPU1ZjSKL1mzVimNMydZoZbxy84o9wREuR5x4Fj81E5hjyCxbkieRM9m
boMsbBgZB+0r8yVjZDfs2YhEqvtN/M8BaiEsS4eAF9ZEE/Z8Po96D9V9nB+IaC+ZTFlPTnOQEDom
fM7GdXaPY3SnBnSKSPVvx2pbgeZuftnkAE3rZjwxOSp6NBIXKCp4FGL/MI1vOkB/yAAGtl30nPbb
zDum3mkuzrA0OcRc9QszVAU3j+yxEGiHqtZ1+k5GZ4LEj+UeoO1dm18ymDQsfCTTwrE+zCa5GfzB
MnCzN0MPSXPYedFzGxZbPLwZQcpq+o2Mpo2eQbE7xoEcCKG+PWM9Ah8IcxZd00vB3C9qt6HeNt5D
Hg6bqPkakhebgOzWrFfBh+2vEX3O7blwrU3VHfz+6mtU8UeDxDPnM7ZOIU8ZHX6OKi5rQJaxvmnF
F+nPXfkNa1Nnu6hNHnKbZfhPZVovtbOL0UHaE/bAjKLEOmLWXgtzeNYOQ1CbGR1LlJmV8mTUZ8pu
33u3mnIt+b7t/Jl40Ax3rcS9j69lo5tDZz+a430+bR3jKcFo7ZAnSNfDLwb2jCfeSn5Zyj4y2Nux
AgQseifZ345gSZW/SkgCaXZVtxmtlQ92NEG2qchzdjSX5sEb39yGPSlgBfa+RbTt0wcx75YV/ARP
rX23ylNUObuIWJAovshhX/CmUCxuliWP/RHNhK+BwxCs6eF9VALAfFVsJNdyYlnn0Lqtm/O0uGpp
kQZDHaAmwr1hVQ3TpBmQcewq3kwrJDM3fsAYsU27qxZfJdKiOqLYZ8Iv0y9pqourvybigvvmC/eY
dJ4H41SCQG2/u/AD0royLoK2IT8GiGat5tvOf6nWWDdUR8o/1n247dpfc/dkWl8Eq5/a5qFpfhA6
Nd6K4RCf30PAGjFCXSYYiw+IKqTfrwP/ixETLdz4TPVyraO9BcWSzK8bdvdrntAhzNfBfFsGH8X4
nPCIJPMDhSKy4+HktumqESRzENBVIHsmodtHaDMcPIkbsfnVt7us+1QsIIPPdLi31JNDvIV1tN1r
7ecn15xIBj6X2buccWkZ1yaHyUpOl/EZT/llMOZNW9x37qdO/R2QjHNVEqkh1H1BlVJoOJYYSuzz
lN4mxnUKv81ebsfFGqdZrz+yJATpgmxGx68jw3/y5zZBq86IZBvbP9LNz7IWN25fvJpmsVmqE2uJ
xnMyf98ONxYIrrXvkpznI+TqxCIYoA3w5GsJjKOwzvF8dcUvq94Sm7mx1X1cH5K+x0kHBwmoFaUr
u4o7xiY3ISkxZkXrtyu6eDMbKHU1SiYbCeADfbSn5c3g35W9sW3UWVEdluNmoXIVnMroIWn/vpxy
uW0eXfVZ0X2Id7K7sNm/YMuB8PdjhncNuPwcU+vMhK+oPgTIv+i5QUCQmPSZ9KizuApj6zKppVBt
8C8KH0UV1rYPiFTa3k3dW1q/VvlPk78UAy+T4FgjOfVhwrMMwrLG0RX1+hBJ+T3M4b7OLaA/3+N0
ZxQHyadQf/F+kuG68ii/q6kBUpZsiwhkMzmHDXoR3b5UsFpdj350iNaxM24Xvp9AXuvGYBi1+2pN
95aXHhWQwjL4Zam7kShkN/+tQTuW/rsXueuB3w3HwgqWijSOFazGTouTCiO4nvuhPhZzeK9mf0ck
Pd+Kha1B+KZVZwjoe/Bn0bAjnJeDL3+PbPNMciOkCwgT0QU18akWcP9it99GEAdDHy0+STBhZx2p
gfhIoIF6+4KESLtNfxnLdmUOiEGI7jpnvWDBBPLGgqcjawnAtteFBAREeFjdXIcK7i8Ny6S2OSEC
5ETuY0651rlKN70fuDfjLt9h/fuqTSC7EOPt6FpFkvFAcwwkxBnOcK/1L2P9OYlNOIIFI1gIlZNy
IJfVRCBcqiXTzfJu86HaF+V7ZmBPzcd7nRArhy4uWhLjNlqS4VThjO+rz1bqtdUlyJ/lsRiLWytg
a2fmDwQ0Xlt2QdrwEEl143EK1Vp0BTxDeUm0erRrMGH/rZD/nNc6i1Hl/y6PGWgoPD79NzF3afv9
r4PbP772nzUy0AbmtohiUDyz7f5HjbxwDP1l/80wl+qUkvefNbLNApxEVJ7QxU3jACv8y5IbuTJ+
GWGLAANf8B9xDNE5/68a2V6KcQCGrmsJoo34+78subUTuRUSbPheI6+bnTvzfiB/0rHLN78x/JVF
MmVtOdjGNQVY2mPkbWL3YLgIXAfjdhgJOuNZf2IrgKiHzMu0gfBEBqbkJajJxHSWcMx0icnsxynd
hQaeGR0ZpGiGZGK1W7boJuk6TbfqlsDNvk2YwOa35RLFqcnklBn2USdKWLhJ8SqBb5VLfic5npFc
eGlp9tLHLK3TRLi7SO8YYDL2G4xnsiJfBsigpqmhQzjbFLRRSl4zSdO7zqXYyaPszFYDsDTJojMR
o/Oy1yBy1HARvORkkFbWl8HmRvlkk7pTBcfUwwqJOQLDbLszCTJV3AiSYNNmSTi1WnMzE3k6zzDl
0bX0mzTpD3jK/TW74m2DYnOYUiCpw1MlWM4KklRFFKJTGhz/FzG85KxqA7mmuxHU171ffo9R8ala
RtTDktFq1rAkOWzIXlkSXLuxekiXTNdwtI78FGzQ+HhcYl9tkkxau7iKJQ929FENCgbQK+WZn5FG
y+B65SVM82s6EbqJwWkNvXmgFAJVZVJKuCjK5rijqBsauIEtBT9z2Cjc+3nGojx9tJr2qgEeQ/Fh
6U3Xjovc1qhjC0okXFO/p2kGQRGD1M/vZy/foFzcTC7gkah9CwWr8jD7doeGvBWwO3yQEMGgrAMO
KDjy+/WY0ZG45GN24Xzo7RR8nPQfuq49sD8gALRci/wHqeF9FLc3vHuKj8ac19rP9jG/6rEh03Mw
PuuSaJig2ZsGtDnNktbwk3ui1G9sM76W2ttJIiG3lud/mwlOJKcxKcqtLiWZMiY4bJDBlrHQ1XXq
+zby33vL8ba8l9l6mDKYU0kCWN5fIsLzly6BwFvF6WFBmHlm/jGP+kll3rhfMkbiQu7LXqCt7O+t
Jrv2ln1PIAzO68xSGz2ZBek8cuUb74WO9oYyNj3PU+s3ByM39wYTXDd5KlXNjtrb1PjMVeLijuke
bENtAVJug+UyNj9dLJcDCSyyj16tmsxRy722xKT+NJV/18aWeegCggYskRMFG4ToNVgARqKBYNfd
MoEHQt9mGnM7aGSPTM809E9G7t3Xc3iBV4RovWFcO3nAIExXFqxqqmMSu+EqyKps1xXxKcry57hu
nkKXfbLb7AvI4ab1lgAujnkZQxarVjoh/o6z53QmAbgbf8AxjQSj+VtYNLArFuMvWwl7j5KA0a8H
frENF/DJuG+osOoiuXg9N/dc1o/ZqL/QbFrAiiBcBdRyMFVpHcRpDHRxzGpkFITLdoq3bBwf2hSA
zMhA2YzgUdUSfWSeSDTkruLJT1CI9F3HVa4/p1sMYKe0NTjUmE05M1mGg9lcBeHrvBnE/2RAhsIq
Z+vj9duJaakvo69OiHNXpqA8vN9gIVcSz9bFX3IS58LHuWFqc52p6tzO7NsVTZHfmPRGZM3nODLy
hkrQhJe30mL+ciT0gtACXWy3AwgW7R1JLHhs3ORUwFvLNBLs1ruThN7pwAOZnRZvEHOhvZXeS146
X+T8UvVIpEljcIFa9SgBgANVpCUHnDH/HuqWiXTBsHUixk+4T7WBt8KYyk0mwbtFcbZuugHYe89G
r0vC5sByAhhloZIV3K7HYmicjZmK9mTMJvw3nufAaS4SfO+Kqf3RrbAL9qWzyht307C64AW+yJKT
qw6R+cuu2gzpKDDo4RDIwUy6pQ1nfjJ5rVC/jh0HGNmF7KtpxtmA8Kcpu+32o1X4HvJqP8/2LpcF
qKBY3HTW/NlX7ddk8doOo/9rkla+cTPUnlMQPRjewJyxw2joLsvyoqXNIHsuO4ObwMymydUMXP+3
XZi/xnysoUEz8iZKveMBqGA2qPxA37efHe/gCPuNdDdzbTrfSTO+ddK5b+roTI51DTviR8wUnsnn
KBxggm+m1UBAMY2diabKzAP0olSQBYY/uEWbKiBQsiQCzRhQWnXDl9tKD6zMtPGMeV3GzOSLkRym
zmRTRZ58sBkBk91AkDziXjnkmoq2rxnhz3WJpqbEdJq3xi2iOjL9AFyjjL2FNXXImiIAkFkhQ0hW
FUKCrWwJV3Kz8bGvhtsBTsyZE2rc1HX3mVu8E4tGMufXB4WQ8GfD31ONxNtGgHEJWtPeegNsRfnC
ao45WXeIenebMWKOB2bnKSxXSx64VWh3+vRsBRzusbeVJg1Xrk44rc6iA3Q3ucmz6cwnNO4QQMFf
ojKFOMHbNkgwAImJySp0PlOmyp2+ZQTZkKDZG7xrhD0bJJJgW0KjpYazZeQfBWTdbWXpn0oX12Fw
LsKfeW84Pk02DtUUPphLigJz+fegsd/jnsRkjW8IiXJbj0DHqKvh0bY+ySTovXFjYFG1eV7jqe9W
TgAbL4oYW/eQR1WZ7P0B9BGTNFalWHR9+9tDhQtL6Vc5Bytyyej/ivZQuDXE0piLq0wJbEbIsRoT
Qp2dST+a3fDge+a7UMM1r9unMB22GXvKjmRsK8PhSSq2fbYFBRrh3q+its8+NEQ10zIHNoupMmED
rso+PXKWvxDPXbERtq4F4whzaFAUeRLUIiSScvI/gPIk6zbhrVWy/Eyc8SmsoXyEtXnQsTGtLXSG
N4NoHyYkv33OMqpxgrvZKY++138UxXTQqS43pQ88n0S9yQu+NcmPZmjj8m+rk4q7s4fBk8DTJ8Mm
PDSU+qgXdNvsBNkm6rEXtFnxWrajd2BjwVEBYXgyusPQOvymg/GiDV5lWfFT5QINb253NGoTm/Qy
gZoZ3i16tFjDdbOGIb3hXr00CfBn2yofynTMtn6CWy0Ex1NLZlhwTeCl4k3IsXND+4Q3l9TurY4R
yRi2fSCY/pyEYrh0hTyJqr9Fgv3QCvTddvmAQOCYtB29eQGsq0evv9a5x61MCK0fuQ+tSTpRnlK7
xAFiMZLIHNA6f5Qh0Z2rWcgYc/rgKBJKOhNkFu4/AbDSbl64C2Ar24yQOzW5G1d0wcXkA+OQQqHs
oiBsnenDxCj0FKG6imLoe6P/GAQZkTauu02c8tX1sqc8RXtmOnt7YDps9A2OLA9TisSc3ZB5vrZr
ILWVWbwZXbDTaXps+6Zd58j6eMaAL/czuksuLiGvthGWm5m8qayIblN86+wrvRWyk5s4KX7cMLsP
YkU5Z68jz7nrmupuTGK0Ut5zQC6Rp9t+W7M/pwRFdxfbEfGRLH6NHDVhcK0tyMXDtwjzO9UR2VMi
WE3JhWin+9LrHyUWfBJaN60uHMzK+mkSzVMfWp+jik6jW11wvxNQ7rzmjH6BGy94GCwb/qEoDEaK
qsd+hlq/iq8JIzswqCfL8dfaSe6qNjuqeY3OX6l4sd4x6maoUAwWVuH4GlJpSEDaphyXtBOgoyEl
a/nmZEQpt/I7iI3bLi/XYzphP0gCTGoJ0Lvcm/dEXa4SMhjYKHC8vi2ToRgdls+34Tq7q1v3ZGTp
238b7j8bbvH/O433HyUc0f/Vav/xVX+22ubf0CZiDYZoA4SII3Fp4f+xj1r+FCOybcK74cj8S6+N
apwlluk7VmCxL3L+Iijnfwm1wvN4zMWyRbL+E4lUYP0viZRPL28uiy3gOzbwi3/ttYOS2DppI37W
RHuEpKFITpo/uMweiQFFrnc1iJat5cZbo4txYEY+3SuHRl+kyMFrk7owTItj2vFwSefYNX65sZ3u
VPQJqY0hSuYMCc1KgfDqMnnDFcwqm5mnxkBSZ1SIqIMjFiLSm+LDaOzstERkoSraEP5UhzGWqNj5
RXDaV1Q8i96+s+bJ2c0dOgdyxN1pXOIOmlelUijbzLsWvbfpwrJD0OnDjK9pURCvwIRKbnTkfdaV
Z9xQN1tU9dNzNvaQoJDOltTcK0/4q4iNhzvLN9IgVziK2Kj1p2UvV6FXxuyLhppet0+bOxI39044
78bS2boCZ5kh9yHWJKV/h+WDzp+Tjn4wfVIWjbSINmZF5l7QvvVe4K0qViE3wTDduSMzsLabViYo
xFj+Jkr7MS2Nuza5m8N4k+rk3DfTOYM46mWMUCFZ4byR1W2BO7waQ3gVaJBGy+E/uiTvslDdOoVS
B9AVF1hybyD0Bzx2lbGDAFYj+qms8HWeB3lvxc1+IvPYQHgFVGGVL2DnMK83jawww3Gd9jP4ijED
y+9a53Lu1znunMLKfZyyOKUDWBN76c7fdZlMFIUljlrD7UmIRXFlqiw+1B7qKKGxArehP11NQ/jr
QWU/RlwAcMzPAgfOEDkr8qCbG5XG7kYr/4Ggu+0IG3bqAq4Eay1d/crE4Emm1aZBJazMYa8VArWM
0zIWUIr92fM3eeDtQu8TcMPjlJbraObnLEskrnb/5BIld5MsixN2LussxOBu01sm0aDXFSmccwWC
3eKCMn08ezMJwVaItqHl15TmMjqnU7HteqTFDb5A/jl5BQ2TmosT2L5JLSdAv5N8+viTGawF2zFq
HnINC07WMbqn4H1u2l3hdx5gl+zWWqgqCZnIbUi4WeV614GUcTn16AjnQxXaUEalCRm+g9nNpZ0V
WIsSz4xfTMoqOjDVR1jBxFNTt+jM6m5bjfLJ9JDj+HHLvTNX+pKp/C5sK3aq+dXv26OiQRsHq9ga
GrDL3BkfXewuCbb9x2Q6j5U7ASvCKKsTrpcgjX/moFFHmEbOkSaC1Z9tvuhmLjcmCp4b2Uwle04H
K4BgC4GupZHTpmJDtjHFiAUiab+TutpQMJAhDl2jqSRLLY9Fm9dvHGu4Axp3jIZu4w+kTIBR+fTA
KTam/Rg2CQrF2dn1qRLnoTVNUqoCzAaZ2s+0o+xYcN2iTybSyU2unhX88ubuaAXDHT3xpmmhscTh
Q6msDwBdHxFmRKYsXX83p8mjTqFcZ741oXfHV4msw0TeIfqRGtykqzZSS5EBOW0GxCB9CSJ3WPQh
DQLRGxfJiMK4mS4akmFRkzhxcZGLvsRFaBJrFCfFoj3xp+x2RIzSLqqUcNGnmAhVUgrsDOFKzYqI
YpvcoMSB1c0dnyFyESNeARvZCwGT2wiuTrboYaaUsUiNREZjvd36iGbQAzzXi4qGQM3oxBO1napP
Ene34aK3ceaFtpx+TzhR4LQhFx0TBLCTL+minXZjGAGxYQPVEoVHW/KjMkXChofKx3BqFmUIf9wu
eA8RA4GpnFb5og+SfUDB6OvHWWlaEP9eLVIif5m7IC6qnY7Mi3rYD4guHeRHqIj2djwca2RJQzxi
sW4XmdK2QLakF/3SRB5cjaBJQcX0EDjVCJ3AJOO6FXdOhh8SIRS9MRhfND4EuvPgMEtCMpUs2qmE
h81DTOUiqloQylEOnAKxFfNORFfFt5MH/JOy12xYLB3kqMX8AnLZ+juZTAzLFuilRGdZtCjL2x8k
cwcvwZA8Zca9IeDQ2BXkYk/w+wCL7DO9pA9g7YGU93dstvu8Y7UbOmgZGbDfmJO8H8nnjDhxAmn8
YCiAwt6ibQvdeuP7zvBFeAqpEcG74WpIkqQGcLDopLyIBIUaMZlqIQfbM1lSxSVsOhy+lZifqyg7
yCzb4bY/Z/28ReS1EQWEi6UuTTwOPTcvoTjQe9NeGGj3rWznTqk+OnxDmNcDLHL9VgXW0aqLZ5AD
J1fFbLPs6SHVzV1ux9m5lMypY8W3wShhrMY8P8xx4ACYJKenm3mLUvy6rLwDv3SPNdhIBTM/jpJH
0dByKJrzaCbohhPLjcYHl3o/97tvaSAfGzkluSM7RYJ9IJAEtzVub7cn+7uEge8RnLazQkZj+EXY
dRVwoEOFE4TZ45MtaYzLviXmo32qpemxxXTvxjQPt4BZmb8mV4bJin8vy+ghCGNy6Fz1mtKHrXww
PLhZLQXhA3NOB4VcceO2zf2QypOOEJP5EkOab1ESuO3EOYuBO632eqDXNNoQJUuKHpQJWWwSlaPk
j+uRb1pVYCm6ACdE2mDFLQ3syQbk9IH9d9InXCbET85l81mplJ+CVNLYzu9g2iIT59zvncfe9wEL
O6S4FE6JZVaCPXA9ndGCiV3MEB7ilMVQmhcr7vwduqDbKbZe6BGJAxviLytoJLN4i7N9EQ7kyTGI
aHwNpMG150cbN7HfneIrjWGVZxFwGEzZb/FIi4siUKx5romqnhAhRyaZg7b9UQfdsI746G6pwy40
fmozMCUjz5u8BUW1k0SMStxATEdSkga4xGhqXL8rjonhSqJ13Yuy4Y8vRNBOglhN5a92dE2mojbl
oVhqm2rYx7rjhcumG1yzchNqKKL1hIilM8vbtLNgSzjENghoGw49tY3A3aUPnGiNq0jfFlQCIBAq
zFHZW9PTmXlBjR44J28PLQU8hxYnULrvPRIkGjWyQnDJa4vAK5tzyADCPipvAZvM9aWOqnYdcAdz
vkNHngrh85CSkpxY5babYLHalZAfbWYh2HStaYujRW2CxkKjMk271K6Ptc7mXUU4lTkUOG8acsUw
+S2MThIEfBtodSnXWRxEN0Mn7vu6HHiuBYD2mJEHixQSYlow1jOQH2J2cnxLxDa2cbdnxBddqKEW
SwJHP1Ng5yMcAIiI1LwPxvBdmVzDgWXc0vifjErgisrIFBItqSNO/jXZHTvjymhRt4pT0cZAnfN6
2qK82rbAYR8bYJ8slMkp9FJZb4yw4nJDNeBOZL8n4ZRvUgUPwfRmRkKSWjrkbgKT+D/sncdy5Eba
RV9lXgAKIIGE2Zb3JIueGwSbBt4kPPD0/4FG/p+ZCO216xbFZrFM5mfuPXetcmgzgRxPaUpQDvMq
iiO80hYQ4sBNhw2tBTntpjhGDdC3qvqcaq4Su7hKB3SklpgX+tye/tY6Fu2skZBv6JRwCBH4mUpU
XkAtdmMtliJMcYfZQPb7m9a2LgJ5SY4tnwytPfz6VWjWq3AYd06NGXEo+m+/p/A2kjfZcIiPMxWb
X8Dx8p0/6g9VqB07HG2gfrZjl9xoarirRrVVuOsyY1hRNG9zlXPgp86XCHDUa4lcjy6MkQRtS5dV
R2WjEivzQxruksA5jplirlOtwQZYtXP13OgmB4lZVBzsvb0H5cK0XoCi7eYFVbknnOmrjoYN4zs8
f+ZdJVF/tShMh/Dq0rZHLrhs10OfwnNnyx8yeWXMvI1Tohyz6JrWFqQR3TrIWnobUwE3Ub336rdy
p3yFbocdfjNV93UXHq0s2oZ1991FiIZ0oqr0Ir+PClG9FTEm12FgqmLZ+TrWQny6g3RYJkYCH0LG
XnH1z1DgN50qUX7/0zj1q+H8GOUBjvP8X4CD8n/t2vQ/eM/nf+m3WYGw8D7NfioaceIFBXvxX2YF
OuHzcEVBVpoOuYO6adKn/ypeNQkYNIXl2K4OeFSfJa+/us/Nn2jvJcMCIXXrbwcMmv9/MW8CBEYy
YEnbFM5fF/Pl1JcQ7AtjMSYtsq+hi3ZOZnjnnop2FeD87clTAoGUJyhyYgslIIyvSQiqsYANtWiS
18Cc2NZMMXrLXu2c7jsJu904vcQdZUbwY67J2eczUPfXtekTNAFlGuuz62ebKapAjp1l1iyhVbMh
wjE0T+hIORsGtDkg0zS17ovuMtbFMoh2NnK/iYGt3sMScp5L5awUWJqKViKxUKQABnTYGkXhoZDZ
WpoDY/8tKCoyfWATCsIP0d7k07Usig+4r0tvdDlC6ZJCo/xIJw0oedtQOCQI6J0pOBfpOogiosPj
z8yAiu2dBgfVqY2jogs3QhgnB5rYhN8Roe9WuhJBVXTpIveuIsLa/YglVVPZkzQxjKtszAhV0oib
U4cJOJnlpCCB0UQUYqtpL0GCDRl/dDm494ZG0vWgztKrb5k+3gqa97ihO9LHkAsRZSVQx85z1rk/
1hxJc2hP/m0VdFMTqtvoFFjFym1Gcp6Wlcx3sSDGwJDEpJOoPclLQvqDnsodWvegLbdatI3ZlsPj
8omJQtcaeE9jXZXbbgS49M9B8stB8jPmFvjff1f0PL9XFWfIf0bd8p2/HByCw0GaDBK9Wc3DmJEv
/XJuoOeBESF00IQMEsEa8on+/dhArDN7Ny2dK/yvqFshmArOJGObAeXfg1bM08o/2zBJa/AwFzsS
qgZk5L/oecY2Mk26TAvKCl2cvaVMRvlAN5gfBWWeUd31xY90FhewRa7bF8fF9P6GNHhR6TcSjbpb
AmdRRFrlnATFhwLgHI/VZSCpOSU22x404Hj5e2yJrcVMR6JH9M3hVhsbhh/z7DG9dmQ4OaNKL5qP
1oIxHS0awVAt2d+mfS+qhACgtTvdVS7aDToGpvludSJmg4WLEW0iOdw4aAMN8Ujo1SryvXPIBpjx
YNxi4pGImN86sgMHkzWH8ZRll4IoP5FdGt/eGO5n2LBaN4/a8Czq8hzqxNzQcQceGh7GrEk0XHrT
Z5OnZZvWtVaK4DZ/xG1iAXvyvUvno2ZWXXkc7GwXx496dxdb5TpLWVLE9Z4QouUIa4w7ZGGr/o1j
elvifZTW2eaMFlQEYf+VqKtjnd2KTCudXy5clznxbvJJRB9G6G5Mp9zAmF/0cCISd5dp+GFw+Jet
sWmqh1kDLoEhSPIRaUUNlz6aU0GdgEz54M1a9EQ+g6n4WYLF4JRpHi3nnI5rP7921ZqUu4WRfTf0
ix6tfOWwWY03Eiv9zMPAr1AmalkA6Os7WBSkOQyggxmWZF/S0F8dt7pWFRv+BI5h3BnPLOah9dz5
9FyjayxUXB4zqGeMo1d9FOyzBgJiIYiAQK1gh7h3KIUbwiws8vKmPqHw67e67G4NwfUQuLeGiSlB
nfuo3aT5man8kz/UbEXLo3vr3qrIv8RBtK1x6jbElYloF3UfBYC4ZLyVCJCu4xCsRQ0QiNbdijoc
T7wNKm3PGQo4SliXBGMvRakJA7iyAfnlu3G8NCHdckOrjtgIgqdl3RNH025qpc56nkOAz4f0JCRA
KNxEjJyNfS0Udb/zWGbjEynQM56KXmnKs3MWpW+FLB4KB0V6NaV7PTNOlYk81r9xpmrbOoomnVYR
a3/ONlhlG9xuD0SojbRSToIZ+Auj3UJaFweRs+oPCcvUGKygeSrpppKqw556jfE3G4l2TqcPDfHn
MH3XaEdzXWEUqA4IItZ6Np59Y9/ysrZqG1ZMuHK50ZAUAzFYG3KRQ6OI2leLFzuxeUzBWbFetQnJ
a5CEYcLlnVAhHNNC3ovziH0X12SGEPqLyircePZrWVFQnB6xGq54+ZBl02MtxDNZ3Cg+6ICS29ki
N+hXrQLK0gHdY1ReuuVVaXg75SFTu2iGAabtudXxtG6JXB2StQdrra7by+Dyt1XHpjF4riqb3mRY
2igK3I6YIbmd5+qNm986pIaia3FeMz08TFG/TSQ5Ua12MMPh1hrvscwcwvBJhRPJ8ul64ASJdYaR
/b6hjwguafUkewJqtX2kT9cpL7Zh/umklCf4HghRwpnm6fFeSw+jYy/ah4k9tIdZbek/116E/+PY
C29lZQAua2HTeZFWOx58XrPOGMA/QmmAZh0NkK6LmXk9Ar821Kdg1mSAxC5mNnaThacJWLbVVxUG
R2J44IFiC/Bt/eB1N7p5ww41xvyHL2o5ai+RGi+6RTIeUO4sFXCFgiPhlWvxM7UboZwglcIF522B
9bboim2wPMC++/F+KNOHKAzIEOufyzj+DEGDKxDhARIBr3hsAYdbAMQTQOICoHiCD7AEMO473zFd
T659/FNY/KFDsf5nYbF7r5r0i7L1P3Qk83f+JhQ2LIfr2mPfONOIPS7u35aXLCidGfBA7WDqmFJ+
LyxINReOMbcq7NpAL/ClX/sR6yfI+awaTYEAmWLl7xUW80P7S2EBf4HKwqVhsi20wn9eXhZD5rPk
Fxb+IB/vck3t7ajqRxNh9kWkNOb1OcimcVUrjDToYD4aw6fIMG+rsn5I4mGFg+1ZcmVH0JVlcmpG
XJs2PmWNsUrc+M22DrUnu4UhpLhYxg07oAIbqlnv5WC/J/h2/PPkqFMgW6zg3ZaNmcBz5K8NQpgA
uzT1vh0vAYFQ4mSrD+ZmUP7w/qX9KiuZSVtik4j2BcA4vMFp49rGox5MrLdqUiMbApL2XvYapc9p
7h1aoz/5vbcfR/1UIOb15IKoUjak7Y487ISlkv1hIpaF03Wbpg3hut9m8CqSA8By4Mdehj5gA+Ww
rX+Y/rFGFWVvHMJBp/FSxoypiJ7a4U3LG0Z2DIaYe7jRBWliUd80AnXXiIvsBfCsNV5b895xdrW4
WN4+HE5Qk8rkXljPtQMrawf8xonZ9+lM68H9Ehs1rZPxYpY3kf80DrcVDqOR09Xc9Zg87FOYHi33
u+y/e8CZ2tsoDqqBU/TQmxfl7rX4TrXvtY4xaKm7S2nCAi737ojjhfLrJMyl1W6I+oyjS+Tuyvih
K45hSj4567rsxmV2p51C5IgVRNN42eEr1zepdjamcxyta/8mCPaN/sDChmkXUy9GgvgnhLtpkppw
HRluCi2/1EinNPifhLDGTyrYIrDh0KX+uIajh4TtfdZzedllxJTEvSbK+kmX1V2WGtd6ar9lWb/U
KQukQPvW+faBXixM5dHyoQcxW7cGfznyuBngYdK+mxhREk1JOHXPvRcui4AuLmIUbl6Sen5lnnMM
YsMcixs/NBJjEBocgq3v0Ig2nX1usulz9NL7VGN+lVYHJpikEC8H+y0OmBFjCkmdTcYFOFTFEUR3
xwXdqPeperMmtFaM7WWMqi5N1mb4bAGmtdnwYV6CubWJIIgI94o7/Sbrp13qwKXMq12d8paaDVtg
ki2A4mas+BShS2TUunV6sJKKgD9tYh3LVN2vozOhmic/Dte1hfoxukw6F81wRYs3xdZey7BLjf26
E4JFs45JslroBZkFCDd1/91sx82cC5exbGh2bkLVw9463c9hVrX57VKZE5VJ5RyiWX7L5te2fPEy
ZrvRTc0+qKj46M8IKFrwxHR2oVYu0DPw32+8lCspYd6cRhQcQIn78tB5F985FTVBXHZFUaQfHRLT
Y67ijAV6VKcfeeRcAmXdGPbsdodqlN4xEIDSMt3ncGqlqk9t3a2TDCES/olVjZHVHh14BGQGm123
5SGfZp4o2uA2hKPpdvdui+tvGNiTQU2VH5L0vDHdw928yYOCSKS9198hxScOqEboRs17rEP1CA6T
sD/PVNSfy0xACxErFcRrLWuQaOEFc/JbXa19BFIqaBFfscQZ5Hb0UOv7oJr0hAL+3CeMbaNJXWOH
kpzs9Tp3D1r5niOBjcGXWO2ttPuj7ZQLvLrIBfBtCbnVIJ5YkgWhhrSB9wkccZ+acjRmXyk5E0a9
RsK/jLLpte2uAbMeGAELB3hWElo7s+DdUD2P072PG9QdEU8cG7KeRXJnjI9V+VaHD91gbTz/e4KY
roUkq94nMQGgRctwGjpsvlPBkza9VOl1jPKN4BQS9X3K2lWnbDd7to9lvkgmfz3Y/vafguLfOigk
TP+zmgDXkIPYXOHbeM/+ZDv693f+Vk0IpocY6Q2D4uDn4eFvUwqTyYD8OToJjz25Y38sJjyEuIA3
SUUggEFngPF7MTFf+Q5yKN1x6dT+jhDKmYFUf6klHNdkRkItQYaDPgu1/mg6KpM0IxqbA2HkksZj
gGvIBovdjSQF9kS+qyp4p7JN9lUxTqewi92L1WpEgkU+2JgQjrjAxZ6qB8k20Nf6ddV6hzROUYAY
LZO+gYX6mAU0M9FXp/hAhDNpw9uxyoFvOawwJdw0BpvBHqHRnavaz8ZU5wZuMnJ0g+qC5URrrvyQ
DUwQtq9l1xorq/n2I++HluUvaog/K+loS6qlGN6i/QJx6OCRENPjWN13SX8towjUZzoB41eb2KR3
dRqEP6Uc9yUmfR5o8hIP4aMUqIdMazfV1SHvhnVlxLNl8j1FWDkwNyja6hyiJ4A7ehsBwQJ6dQXn
9QE+lMMnP2iaTgAK88GpGS+W7241Nl3sVjETEA/spIXBgnVI12CQPwcOncn+oTw3XTo5t0pZG/HO
bByCHDxc+JBP7AZ0VBS3p85sb/GsvTfskwORftmlfuzd8khSzirO5LCyfNLqxmoWGUwIo0rn1Sad
XIhh65rRthumEOQCl2FaGTzv/A1N9qqR6i4Q5dlXyLKgGV/CtnwBS3OJdNhMRn4zWtNVDtWtR/Z1
jBRgSOtPVnzGfWJ66bYkg4hlIQVSPZUrp1QEUjjlFt34mhzEtWGDtBlFsW6S6hA2uDijmAggp4+2
OSE8Ro8EmNvbUBgshvxVqKBZp9V0l9i0/FpGdPjUiEtX9/sqYZpAJ5gQEBW3enoAUvIlwKsS0bqJ
dPaOGsae3r16XnlRNLHIXmgDi4+sYsLOcm+hQUeOJzwNmszXftqcYBL5UzUucDxcOwx5RCF0xZbL
djVNRHZY3IFMWqhXyaJOuSd7l1axTK4yoLlEOqRzwQo+8nMkHY0qYMAiE4fQHU7cG1wB/Nm8eir8
RmZ8ijKM9SSlRig7yPmhLpjAQYi5UJBUDLaN/Q2vxK40SB6itPA740YU926kf0lqkLh7VlQkRh5u
ppAbL+aazWeZL+UMFGikC1Q8FYz6VYyzO4vFwcjSrdP0+9mE5+kI5l0MumWdv0bBeNeSLz+V3ikp
4L5I3fR2/CAXfSyb5oi0Xp1BhAkAnct5GYOUWngToCiF0gfeob+11VNBzXcwPeCLZGuFBiy3F5Ew
rCQla6mLYj9U+bsHAaPtZsBUsg7ju15LyCvoTjZirwlVZdbq7tpIB1gyz7A5OGF99Do84fj6cJ+N
sBI18SXbhFR2hC1baTEMkrV6hm9EFmDIQr6CZAZAot2SXVNBb0ML6M1mPKJgF1l/RAjGPCTaucaX
TqhHA4eMGlbufQicQ2C/0RTd94Xax6G5iS2bUwx2rm+w0dTvLeOd8xId3g+kGYcoQO4fDGvXTUC1
jvejwEsdf+sm+4XcifaaPZq8V6mUdXjBc6SWM15ywYTDrrVvlRC9SxIV7mFmFkQOiCrb9OX41qp6
N38Iwv5gOvwzxM+wZY+QKGiG+mqL/ChTFuhxyuQgumP+VS7BzAHwRMifIUwbrWBVadVSSdQOYZUe
eL9eGcsmJR5C777rQBPgmYk22Mf2usH858PyFfgDttdaddMjCKrYe6soPE59sZa+v3JiH1UOmglq
0oVEvk1tCDKNd8cU6JuOEHchvoU1XIIQnIlxKCPtzZH1XU5M4pKFuRb4W49Sqg5WUXEdYLHU58he
VSW6nCd0XchXSigbnMNRHkkgT7wCG2oSv37lXeuI3eCjYC2vuvXoUzG39mMoW6K6IfwvAcibTbhI
xa72D7UOYhhKp0+zWbV8NvATBCnRW4xRhA/Jzl9z5tbjvatujKAG+b+QXEL0OFpGiBfKobPwkSA+
hNm+aOHDU36fjXiPKBh60m6SgOrPbKtsKl88IBZj7uxBzCiNFG6/0r/1wL3LIa6MiOe61rwhPjie
Psa4P6Hp49VAw/ClGzpDKzQb2EezxUT1HxaXutPWSoJGn1Y1Dywzn0tcRnSdOdcVkT0J74yxZCib
EszC3bnusPRKYLUJ+pdpUA8YHt96RD2WLb+retoiYvVYzY+ENCfORtd2RbWZeuKEScbQjfo56e2l
fyxKtenRpUy1v8I8U2Z3c2vUlw/6GJMvshb6MY9wbhH9Exqb0HuN4M+4a4k5r3iMqhPzyu62Aqbr
Yx45IWBmlaDPKpP0qWpJJgYe9koIMk7PVi2N4hANr3pGuHm29cxHYrMR8IO2UyS2a2vPKjejDadA
94BB+whYmpUVsgrpOOqFCWoGoabI1mlfMdwMWoAWiLQAQZLIS5CEB7uRySqZ9VkWk7kYv3OzQY0I
4u8x7H9YiTnnDuB+I8T7fbDJTq36t6znxbInZ4WcYyKnyNvF/pW8hoNZ4keJKzYQespWUxQ3kh5S
n1CyVQORP8wUUKYGex9471ymLdNAHk0DCaGXAfpqzyIPT6J4cxnVBfZL4rmYw6DtNDGOL5WejWJ8
8CZn2djzL6j2GdvLQrk3FvQFu1D3+oiGodBflQpuhyj70kkFYuuIt9QS56JHblrVjPmH+oQwh+Vt
jxuPYU8zfSJrORe0V3gKQSdUE+Ikju++GPSFiOoDnMW1shNimPxuEzj6GbfynTLBc+fhw5TYZyou
VH4ujA0PO3dkIROSRrABcQ0ymTXJ0IQrMXyLMfsSLTxpzQpqFgCY19qPyUyLXdE3rLKc8imZzF02
uu/BYEc3Vp++ejaEvTzldZIi2dVxT/5hisVTR3NO+kH2kbMjR6ZeXlFAeXOY1FIb/M9MTdNFKJxc
I+iViIhhQdYwqVWMpX1CW+YY4gy1tz9NxGzbT3IOKkbKdu2m8tSPPSgRxgvTKJZUN6DqWnTQ2mki
qsUrPHZBxPaJ5Op6uMI849Yu4cUHdQ4mqCAHyPduKtP9KGulr7KsuhjUDhMrJH7Q0q2Cj1BmJyvx
aLG1S9YTY2GRjRPFLmrs8mnOmwojeacSwCvabJDMKsmgmmRqQy6bUf+ucndTox/otPYAtv/erhCk
SYzPjjebYHn2KB6OFpZpYNJfOSw1ZiUFiJRwE5k07ezT4eak5Fb3/jps5VtU8DZAm56tw7lRJ6AL
royguhtq/dXGsrgLQ4HOEyxgscmGoT5bdVth3jfpGZWKpmNudmixkeOv+lRdTEEp4ivWCiL3COwa
0QroAV7avCjO7oxckSZAlh4c5LJEtJtNJpzvJmFp1VUesEv3WI3i1lBDwlFvGU9d1PDx43jRO5bw
btAbT94YikOhE5zIIAWtFSlYJVGNdc/RZpObZf7TmTZ/GHXPya7/fYe+fq+bf12jT/bocwjEawEU
9q+eHYM7yGY//uvgW//pZ2YxC3W24rpuodH5bewNsxTUsWc6Nk0pkLk/dqos2H9HyP0xIdD8CZ2b
hcXHdJmKc6L/nVZV/kWGw8Ie7oAtBUmEUK5nwvKfW9WcVjoA7Ij4ulEppoWA1PZJB88oRyEPgdTM
tXIbY5N30Zte3+LGnPHb1xbakj8BiTDJkPmUYQtcIe/qNf4VuQZ53N3mnQWIIVdTfhZN5DxmgPA7
EYSnOB6UT+acplBaJgFuPye6xGUmb/FdFPvOYBcGfBEThV9SBbYW7nelo4OrnWy49UbQDxhu+qNV
0Qn15lc1sRelEeKiRylbJM4VqO+aA089aQPWnZoQsrxnlFnXbnSbOrS1STKat1YdXhuPvBnjsWT9
PJkT/cgHm7aVIeJ7xYi4oWabj1URj2g0Hxsc7BX5m1qPv3piCT7lPdaNmlYcjwhf0Pkffj614cfb
ROX23hMaaWzTLbgqciYPrp1mmAIQPXuSg4PtsXuH/8Vi6g20qy/DmzTAVuiRD5ZDqF/GmCAXrT/F
p05oj07hBMdOlxP5oABqaftYgKqIPd44vLDvvhsy+p989Jk1t9TuWu3tMWxRUnmOnBVQaNcB8bas
z1Wumasu0jTAFQ53AaAKp4HKYI8aOu/40pQ/QnNckSVzExoxduSx2/kqu9hZDcayDA9shg+e18Xz
TB6sRyE+WdHsbN19y5IRnG3m04FrT06TeFc30Lud12rD1ffab0BzJY57KZd2AN9XG9Te7KdPWVYt
/TpAe7ecqQUJVWGNhH8xebg++6n+yNGeHIUWKkRD7sbOkYADcEqa4TIV8t1rcmftecNr6psXg/KI
K4Fs3pzhpZLNXdSCii8TxJj4mihyq23kADqorPxgZskn7/oH9Ao8sCGk54zrZe6l3SKzNTTVKSYs
gSiLLFs7ujNVs4w190owRc/r5jTHKOppwrsQvNXYRCRlJVs3IyQsIAu5dIJNG8tvI4nvXVYoSVPP
s8l001XWKjGZCWf0EVNqLN0kehuQPq38xD1VKp8R4AaeaQtXBe5MT0SHoUY4PoUTUN5cLmIj/zHR
SBRgsaH17uKofs2y4AJG9BqC/LUa+9nU4IjT1d55Y7FW+DZNr16ODdSsMr6k5cjIw9lPqLZcI9wr
EpWAUn0Mnv1QYh9Y91UR7ArP6+cOmYCF/GEox40M+rNqstsW/fiynns8mZa3sdV8aaW1i4TOfcdK
DLp5ylhYe+4HQRYaJXBc/tD1EpUFsuzSBdtoobzdmKn2pNcRTLeMpIqG6K1Ufppm/CV6exOzyl6Y
dg1vtkovrvBIfR6RQ5AKuqjgbw8+54KjDUg+zHpdEwLzoDNtX7qehuAN41oNAmOZmPpMS7PzJRmd
1WxF6fcEKJGx159i6b7HDTC9YUpvWY5v0pkjVRpsqcgo9KGzgYkZU/Ee6hY5cl53bIrwQTT5SxZW
ny7zOSMKb1OmAGPbPE6yP4TCH3lbmji63Atw7BMBhmS0JeFzlro7V1VPykt8Fll+geitdxZ6UNuL
ZvS2UcBChKf3WcOtTA5JDcREOW+tr8QCzNwafTLTp6p7BidP923xUZiM4A5j4lvpj1in4+iH5g37
NmK416Q2BFwrXBlOdSDe6tqQZeH1+rrS3wLffCA1+jBk7d6wmTllDWKf2frmFnqJNqMrTimOl4Wq
zFWAD2A0AgXktiE/05hJdhoG/YUKvGlDhFVwyAakGZMzByP66nZCjR1E7JtGX18GE01MV8KacFV5
BGjxHks93IzcLvtJYjgrM8UuDPFDI40bldCQIjHx5rCscde4YHKitL7kZcYfcMmZQdWs+/DGDfi0
mcASW+pV5WrLsPUYBk0Zz4scfyQ/a8VtUg3fRysp956RN6tcxyoQd3l21BRDDhqKhJTQgWoUrAT8
ZQ346TYbfZ/LTn16XfQ86sWTVUHDQ9YNzmMZdv2aqS80JT471Gztqa6zt8pFluUYE3BmndFAncKq
pnGe9ZFeWhFxPcsnfXjOPcy7tVIkqIX0LD4B5ANN3azHFOwSe4SapuU0d2Xbf7p2/1Qi6LQZInsI
PLUR6VPSXmwL2mFPXHQZ4WGNPz2tQu8wq0Y1VOw33AI9uEH/Hv0uIiX1kSA5rZUJAw9eTRrpT9Tt
5NkxQlJUo6roV56yV/2g7eoQ3p6eLzs0r7WRc8tJTOjBcB6Hbo/P/D7NmpOOhLbuPQBATCMbYIeB
t+zN4KkGK1qMhk8gUzstYhq/perhwcSlLJYxrrMOmT99VP4ujU49Rc5k3Q+Bw3wh7uCS5hjdCPku
r1ppb6qoASqFd+9R+OmEzt/2VjUty9quQmLQMpfIIa3ihB/tojp7HaBMQdqq5nE1BRWXRdiSyTQN
J98pL40kPy50fui+fBXGuG+8alXa1Y4TdKeNulyYc4R5lCaMEw3Mw2n84U3Wlt9vSVYCg+Z0O7QD
vaS50UyxLUVGcLfDci++aaaxWdWuxmUVsjxM/Yo1dRrs8oSWffB3id7/U3z/qfhGEvLfi+9LUTXh
v05R/lGk+X8ru/kXftkQ6T8JVCOzAt5ypW6gPv1dcKL/5ElWRyjg0Y9Q+AKH+730RuaOtHEWzlOx
U83/YUlk/mTJeXzrYbFHpWJZf6f0ZhX0/7ZE6FcFulmBEl0XVPJ/2hK5TjlGXj7ALHYrE0cKGSGO
N9yP0+guVOacQtkxcBqqZUBzvWzNaj86zadQGMeCvBkg7/piqcdoQLSiLtm0IIaULqlD6B1vM/JJ
mkKQbttr3iaR/vjaTxPnUGCNK9tEEAmqB1WXsZ30eodp7WR2IycKoo1qwF06J4myHx+JxErRGlJi
e21prHHRfQLNwQ4zzLvpJkwXvZk5N4E/5tt4Pq41y06/E2XvfCtlDhnOIxE73lnW8xThR0vz8Cn3
qFPrmIhQ1+ZDGxliV0mmFjk5lZ+mwZi1K9pTOVa3amZlWeyY3UqtpwoysTCZTAltDiNQzbbVpltP
kA4gdY4Ajv/6tTKiZK80q8fp6nx7ZaIxfAjfEit98ZzqBo3yXus6uKTUEVLP3qc+26gCO2OSgf5r
hLWs8b6vu5SMjk7J/rUsRhBlQxcSI9ZeCxxTqoNQ4zbXKJ1OmnL6FT9duwuAmqa++1awRHAbhnZB
6SBOtXixHALz3H0RkRcVukBS5XQkrvNOQrtKFfsdH65lwoSTS5FGbCz5FAjSi4L3MHE+9dxPV04H
NijXxbQPi5h7In9JAvNqsVsn+TiptK0REVJtdsBUwNjvzWj6rLrmnszodsfwyz1GRavf6xFs4h6N
+LnHn4spqTKD49D4rIdYaA6Y5JhKJnVfXGIrJH9vvgurEGGdUdZckEry5fbnazOouEGT+S4t5luV
KT+xUDrJYdjl8vekrtj5q7T/MQPowNxzN+ct1a5Kwh35yduMka41X+Uxd3pFobZgFXkpPQLyGrsY
d6aJN5NyPSQ0uDU4auWipUkBylZdoqyVBBC34Ybg0XfdzI+VaTvkVlNojAns1rHAfyyQcWvFbSdx
lmd2bi76uVCRk44Kuu6+/JSzv/Db4abmJnFbUNlxT5LWRP5D7NmrjvfTxjEY7HR9czMk0Y9R0xBR
gokAPTN/i20U24HIjqXdWu7CtNznMm+RXSU2I8k0p+qUE+4IVDDNNVdqxIQ5hnvHqZ2jV3pvyIiy
fDmIeDr9ox34w4RG/M98znkk80fVwL+nMfP3/HYteIgF8SEwWcbMAIv/92vB+AmjgkOSlKV782jG
QwL4q8HBIqHK5g6RDHeY2fx5IAPmVLqubgi+/nd1iC6P7S/aAfYMXD+WY/IjhWQq9EftwKRxrRXI
GxaG15zbtCsWq7zGiIy7MzqQ6Ls3emebp8PRhrnY+VDEgglNdRgT0kwMy06YhGB26Wefp/irJfvD
IdlwFkfYM4doOX+KbLNDgFOvCOPe5tgXY4QsVvZisUljFcbMeFt4cMZUtnUTbTORRVMnwzoz8OiK
o80WsBbTuqi3lXYlmZ7dprGZPVDhgJ8aVKXVIWkwDyl2+4q+sQ6ahRG7h16l+zQOr2XAOqwOp1Md
lSu3eqoZj0dpiI/C+CHmGJAsI+RvXKZuRTux53bfB4TOjRh6fV87lOlsuQj3zdTtcftzNGxt42Hw
t0Jq66KhwL0hEWdjYqWYaHQJu1qWNL6yUZxDPxx64bDMbuveOZgDdtL20Bj2sndGONgAvtJdmN3J
lM1Yh4zCNVYpQPi+YbdL0k7ZKK7O13JuuAEN9kCVvOY5p/jrrYKW79F3CLyrBO4zQz+mwZsf+NAQ
k4NP825jGvGNblOYGH2Nl5rRhsMz1NO512a2DhAieg4LvdSgpzL2gXythb6aMGUSnbyIITq1fn/r
MSWwDC76iL1aH33URFcsirK25jPs3HL+N/Z4DZz+qquBnJ/k0CR3uOkeEDIQ6bALzQcmMY8p+lWr
t24qK13WwOENNjxZ7a4iE01okV6y/2PvzJYjt84u+yoK30ON8QDoaP8XiUTOE8nkkLxBkCwS8zzj
6XtBk1WSrWjddlh2OEKuqiySiTznG/ZeO+Ux8aVgj7r6askbg9M/V21cYxyEAKWbJMDz3LqD57sM
N18YeaBRuyuLVR63pHj6yNMQwU/mPaZqIHRKC7IKlmTk4WRBSb9j3QyC+r2OxbLBvzxK8KMDGu+c
FOgkyq7m8KklPrmefKcRm97hWsFGbOkkIsY62KOdrly3k/yTe6+B3dNCBVV4QxXeu3lhw/Lb4C+c
0H8IruR9z+3cD6kTkkrfjzscLquBpCX49jIRBSNRyY1xmqyaDGpylqdKP5WTEu8YucNH68tnyTDu
rVDbFCZ5oXGAhIy+rZVADBD+fRLRgAeRVo9VmBphLpjdJH6zi2IbYEWzLBVKoUmwvEQL1DfmWY37
rZ+8WuRJ2paregU8lxH02HpW9Sk23iZdJwXaL4MlrvmVylKgsp/loHV9+kalwCS4pIRgv44I2UgO
HHqso8uVxDNJdFiXf7H2PNi08G0KIk0Vy9qsENDdcjAIGfqcwHTVtEJIgKWRFRgQWSE4IkgzGj0C
dVN6VOimEhNYjXW0lor7ptOORQ2zI0kh4usYHOLAf20MQljtjTFW6zp6HGxGpOgtc/tqNCqVlJNa
MP+WJIfTG8bLuHYN29Wz8wQ3IS24Rtk4tyhrUdV5pH42x1l3bQcbKSHJEtUdNNhuF/MhgiBS7tLm
kmgrsxeu0F+j4YiqxvH1RzNbeVQzsT3tyvY51Mk0IS1HZxfZpSTofoo+u1dIDKe6wFu0rzBbY2Pf
FGyV7HA1EKxJyvvKKL9aDsM5/KlAsipB561K9IgmioeRvIriftSAzRAli04VqsK2wP/Z+4ZjMltR
1UMjM9IUiSPJCcEk8aqsNUclO8lSq7mch+GvLtkFwJvMcnfMg0dfmePkzHVbJ6uARSPPv9s1LByL
mCg62PHgn30vefRw9mQa86X8ISbaIUZExqDbQJiQtfpOs76CkUy2tjxZJRTqRCM2diYQg1y6z4mA
Mwlck0lHRWpbOQqptWqj3hWZq08gNdJoE8QqnCqAUXlw8qpuOTcNQ7eXKhgJ2bOhi32sl/fEbNjh
YYj22AefewtCb1qvhoZtKB21L+AijVLxzUZ81sfIxGtzGxgEQgU6ERP1h9bo+0aK95IoL/MAwswA
HIKby5L8kLfYetDUd0AWe1VatyOjAr5wv7P3U8syTDHdED/wqLWOaVwnLitCkjoMt9Po2iXK49rc
jeq4tbrsv7XU7xvuOcPyPzfc95/fPt6qH96ybz84yWf3CXri259rq/k1fqutTMZKdNwm/1AiWTpu
jd+WXaqsUNFQJFk25fj3skxGiyDoVMUyUUr+TpJpoaDkDykyDxW60b+T3yn+XFcZZDWh8sT6TpSo
/Ye6CpG5Z6aWqpFzweEQ+cZTH3LNC5A8lvUVliGVD7EpgHJ3VY+rA+1dKAMvuXF6fEwsiKqIPKLg
XQpvWYdmq0Ra9xCnnyaL+UGDh24fG/Vj9I/sqM9hND6a9V2EosvwOdAm/H1hd/C7Q0EqECa2XVq3
jkpX0FXDekpfdYlMMwtfH3GPYB11gfTbvmMrYbZHQE3si4BDa08JHXCgiIXtt9B1QW6OPqK1wBn7
5TA8tUPzmE5rEYSOp66yGDnRQPejXf2BmPXqphmNmzJLloB2MPXT4YyViKOsYJsPM/se1xpLLPyD
rMh6TvJJ3rScAiqSIJ9+LZZcRvkmSRlou5LiKTLWRnTwodxJcEKpWKP81c/fiG+u2AtScJphs2la
tOjULz7xNkxMV63/UHJzDsXTFN9VCpVguVc5zkS+l7poUY2vIMLamm9TI73ExYrrTODJpMEJ5qYr
3wy66ebgK4OlR5Zpf/YjjOpYMwP5pjADb/v2K0KYxJ1hG3vwZQULskZ7jLkoAZWDIlv6+DxwIPis
wCxmfIK4ycSpfCbdWA4baoY8XCbFsg26UwDs3xoe1AEVKasXG/ewvbL0NUSsBQmwDsvTRU1Qs9XB
RY4XwOiDUFna05nOTyhPpn3Hl7vIcCG2JEhJ5M159+ToofVf6JL5Pjt9kJq0dw2LOYSpNfUF4fJ9
4VJFSXVxs3xyxnN+XPlHlq1lwTtBaF2XEAnNTGAeYudXubsO4UHkjq7swuzNy0+Ye7rqaLJRYPa0
rIipTnhieSeNeiMofJL01OIPkIn3SQ8hHhMDEph/sVoevwNU9b5Fj1uDG3dh/DtILQxt14fRk4Rq
yc7WwF4vKBuk5m3KvwQM3xGhoWw/214+bzWeM0ABQfOJhHJQxh1Zt7UuMdk61FKBd/fFwufjkwtL
0hiJUgELnMncl6QGlSAyeYZs3fW8SCy6MvIdhBDJpuKwD61ZLGyUqBTFeE7KDipz599P4m5SpqVd
rKFnpdEaKlmro6JIhx3qm9Zi6KPgY8LNzarq2KGTojSY/RZVvPRziMU8/4G2lAvrUJascOew+HAN
2ByGhgtLuwLlTto2RlyMYcLaNBk4g966ZHEzq3DlTWzR/fvcScjJAJZlwSNr66UZZi+JqnEGNI4C
8QB9NbMl3AoV5pDsEAhQE/JqDJ/i9i0pd2NqH+SGxERcC+Ow6VuFfOzqSRuSO/ydpRm8KZiASVN7
jqmbJbhIGFovRUVWLDYiXSPApcK1Ap0QN1F211nq4yjErpO1dp164yIjaizmQFNU+11ODoCHFWTm
FthcuAsJm4nCGt4BDY5K9FIxOJS5f4myjQ+Ajm9ylR6zLFt2TfY0JfbGTgHeBBhSMIXH5c7U63vZ
V9e18gZQmKgsdxpGKkBsP8jJZlKvUpFimGbP8UyGsgJ56ceEIhlkFRNjVj4PWunGtr0LR3FWWCH0
g73PiuDgW+HKCrp3qSePovHuCfSkN8QAG1Gz6nW4JvFngdPNIZB5pQYdERcc597eR+YHoTu9RBwt
ud3QbUHSo0BXR7EclVvFZlmU+nIKqnd9FNmyl3nQOAGp+4T0MKHMWpTScGk9/Y01wTHOJxprnGPz
eyC3GMRK+qBZrp6Kdgu2Td3qJiiLQtbTva9r6BB4EnqLRkT0h6KnXyUQsqO/mbZ1UL82GU/mENrl
WqvTp7qslqW5CrupW+r+ISO0zASnralfJkp7s3rrfd6LqQ1Zz4Kw+u+s6Hezor+2mjzAHAt++Iuk
m5+HR/OL/FLgqD+qKGXQ3lBFCMFSgd3Ab7YTpDjoe+DOy/b8m35nOyFHkrrCsuZ5zh+YOsqPEH6p
RfCjgOJBifN3ahwGUX+aHc1hN9b8pdg6//xho6CFeAyrGA29Dw2DIcEYmycSSdeNtK5onRsL6Qhc
OJ9PXW+q11I5m4D4FbizUjccBsR0pfCcAdM2ksKVjYrRiSYi0AJjG7fm1ULx20ZQ7eJ6nWjzlrcj
6WrYSHl5TDPKB/0riHCdJMQEL6yaVxQzONXe6LV2aNA7yPa2CJTnAZF7J5V0tTRtnrL3rOeuJigL
uQ3T5d1YSLsw2XSK5bQQKa2IKMhGPzL3WmmqgnKOkBJmHGW9SriUDP9B0NCNre/0NVHrVuVyzPMB
C53E9jc2L6yX6Tkfq1VRbGKjuNcKbd/GY3VA1YLJ1/hEJX8ZVmjKAdpWVA5mHp7sUCCYUB2zz05t
W7qVOoGZ4yZJqttE2mJuj0sVGHbG+loT+pZAaZhDS6UBDgj1kfMjifuFHB4IAqpKpLNguKVaegRI
2dTpwZM25N14Je2gxYRKneUazarkRaBUPk+ZcLOmbRZRwEzLSjNoxPqHLLGgryTpkEEXbmNGBNLG
kp5pOyO9es5HRkRSxnTET6COlkJ6UmNzGxmHaERJG84a0GHVTeAnWQIgIprS2zRgCp1w7U3iUJjl
fVl/8yA1wFgKrWBpE0rSgVakDdU0trodNU/D6l6VXj3mgYP6IRHAAJUZhrBZr8YUZ8iTjQ4chKP0
IKhdxdKnQ6xZXZjtyVLOenpfA2GA+SMUsif8xVj6Ky875BaCyGAztqiO7KtdmEezjG8hXhk/I9zb
qk+tl60t4ARyBytE2/dM9KQ2oEQJndlQnOBKTEpvO9QrRakIbu6dOUVtRIsOib6lRo2iu0IcpyC8
+uIetBp11FqDEGFp14jYA7nT3MQEQsyNmMWPanPrB8gY0xIWvl/m24ZXnaIAKdV7GxoEFjhR+5Xl
22oi4BQ8E39Z71+q+t1QW2fCBV7HFy029uASP1UpI6XzcwiYoekGim7IGOPKQ21kmYBRWMg5tcky
KgRa3EpLErxT71Bm9YIIwLWn9ET99I5R3Rc6YD3g77aHIMcmqpCnypr5bQtAN0upS/cNyXacDVsU
3nl29vgUIhFLctRG+uNAvns7FJuSITA7GszsYA1trl7qA4+nEl0TjM7VaKwV6ZkwV7c1SL6K9kVN
U6FIDwHRH1K/KS1vrdMiBIxe6N7QTzDlRZFPYEanlE4TLUdso2OxHviru+au5xOarFTyKIdH4e8i
6VXXnjH/VfW60Q4T2nn7LI2HicTqBHA1O9CcL0T175Ly2a6OM6CR/EMQzZJ99uNTz0gOeE8drNDf
acEj2ZhR/zBaboDssL8SR2XX6zC4M8k+qGCoREvDb7m1z9Ho5sW3oHowu+fOeIQZUyR30riVEfGg
4YkOdXaPUUj1HzLqfUzMpbS1o2rjEb5X298C7C6ejQSbmZT+0cMzTOTbmNINbqYEsEWJTOWYpw99
9Q6AIscKnWD2YkGqwq3QFxafo8YIsE1v/eAz7dQTT+shLID5kSUzaE+E5uq5sRPkD8wrPUEeQRsU
TjWolJ8G83uaGI+sLzQVtmAMQgPJ9Jwg2Gn6YI+9yRiuRUZxN1it00zHhBrUt9dpijccAedAkK2Z
71MSVBJTYeIbgjfBSQR+QKa59EaSs4dHkhRPKonTvhmvGdEP0XZMD6r3hkQepMgEhro9ZwMd3bhJ
OayQuCHoWDYN4U0hB1IBs4V4gr4DzgZkGXYIQYnywsAxuJAFw+hiJdr0kGt3QRDsuwRGh1kjOdE2
dTy5JS53hXCcED5SJR+0MWCY1iPX2WX07MK3FoVO1mHxIVuQ1wIM5Pm3avgowntyZ8kjiTH32+hE
8YybI1xdQjXeUHE8wmvjE82Qk8kzcaXhHdynZ2mKPnsAPySPsr+I89pwzRTBkjlvIi0jXneKuNe5
3fCdEWoUpLfOzLgWhLeo2DMPQXPnsar2rfIWs3mopOI5qxCjDv6i6XV2KzE1fLRnzb7JQwLP8o6M
BsXGf960DBoTQUWby49lirbMHBiFDr73rQJRAqGWvMt6ZPbftE6WWTXZM94hYbuaNPUpgIyHw0a6
AD4tWu8tCghFHqdNGr3UkYn9kkiSQFcOkaetsVpJ3jfRPWJ1GkrjkE08HDL30DFXBjhrxD+xo+wR
cOpPUVYsIunJr+8gDGNYJbLJfmrq84g4sbT9cxBu9JCWXN/r8ciP6lNjUKA1ydJW4nVcWzs/ufdG
bQ8K1Sl8cHRp/BSxFjZb+uNkTkjj63uwjcLx9JOE1kkZbxqkF2YBsHgmK1kCNh/7r3ia3IGNeeKn
K96wU0Mn7KHFZD1SuoB5tl23Jare0YMCtTwg4ArnY7KPon3NlUHwq9bfBvuzYRpZdhc7oXn1VpJx
iAFAdG4ITDumS0etGJcPWvnNJxVZV04AhDIZAjWNaPaZo/oP1U9Y4guTdZH2rHRvfOhUBBEJNZGQ
zl2Sb1XTfjKB6C4a8ijpx+8NAap0XBi2ydpJv+dD5kndrub/ElnJ5z5PCSGWpUXKhfXzA9bRq8bM
giXZKbEBsp3TjjEiX0KLBJHE/JonQzLoXdkinMq+mvmXDqZ8AaOY9RpNhdqn+OHKcashCEl7vueB
LD+Mal91w4RFJj4X233+KGD4J1q+JsyporrzYFtIwykvaVvoTiuTzEKxp9V0+v5TtV/9iHVDSZdj
PMfcnYmhrlJJ2Qxa7+he9jCm+kFlwlPGR6WAtJxThqgwFnbEzbgyE+B8peGzr9v+IW7ULR9cJ0fU
myiAvtTgK1TJGdIZSDN0B9W0tgB8BF5+EFjvmYOU2Pd5t7uEfIKDHV5Uj4zcPFhVxbgcDP0JPeKq
HGkng7cwMnCdBeuk49Ok18heWFRuqiG+ZAGJgRoKYPtrAH6c4TohWpBybah2ZoLazNe3HT9mc9x1
7B0HLHs672AQcK88VeqdjaaWsyTFJddJF0b5XCPWyziJHQFxXczTHrXLRAUJ1sob3WeJ2PvgkGvM
iccmyJndUFIO4XY2d6R4IzPKyDAoGFq0W3nQ162uENUSvkJt3mp+u9VBmomdzt5BCjB84eXRimWq
b5ScUpk1XzzYH+DntcJby3W7KtX2MbPyhc7Dr6fD3tBvQcKDjNxYViEfKP23ob6VE2Eacrse4o8o
x+jSKqFjk3AZ+dTByuq/feTv+kgySP9iTv6zMO0hTwlL/Wz+PCGf//RvDaRBc8aEXBWYPjR9zj39
pYHUSESd8UiID/B00GfSu/0qPlB+NJiAi5mAgDJt7hJ/G5KjWcC3oTCnpO/TNebnf2NIjvvjTw0k
4gjMIETFyBCXfgIb/C4tVVfDRPWTRgHdBs5/nLLWLStMUTjAY32VEmtYrRKijU3WSB1FD/w9BwXO
2Wg9XKX6dO0LziG+r31IsvGjDx9MDnRANOx2QuEd7ASzOJnqOqN34pFPaXiVml2P1xPxvdMxXGkm
6l2fjoLDVTcuMrCxef2lGzvbR+qNHJOdI5BofdZ3b1DcLiqSoTW7+yi7+J1I5ftUyl2FEBoNzktp
Hitc7TB6AngF7Esx5NJ9gHgbDdAMU0hocy6XBy/biwh1TuB9DayCM/g4QMtRmJO7eEv8CtD115T6
FzDgrCwrF+Xy26il2ybeBpq6ikyn6J8bzR2seM+F6Q5TzM9kOBroWpOENaDXsj+HaV7NlgapdCw+
yAY79hAnmblSDCbL3I7WuEtN9OnEr3gTGB3mr/y/oaVta81g3X/ojexOUNCkUfTkT2tC+ojUBprg
b1v9AwPkLulsp5U112z50d3IQl1TEPZiaRTbREKDNFQrnX6AJTr5mbc+PWFqvHa+7GRcjCR8jhw9
SUDOl9o5IQsGpNZhqi5N4zZFd5n+3oi7Knsx2o0gCUcC7WCCfAxRnm318iMkSGLAEDHI91Z96JEu
i65wZAqrRHvHsaN0O71+G0NOI6BMrf4aj9dMA5eP+bYsDYLQsrOgCO/0Va+vGy/8tH1pq0H5bMSL
oiL5n64oQNT4phsaegU3NCBYnVLzyCi/pyfLuaG1mnYVY78pjG0+52iRL2RWsGTs1ylqV8XE266E
ZxjnwELJDUkwQPd3GjEaerwDpMUjvrOCJ3PYtFwwMzHUDC72nPyIvry4VKJeW7TN5DE5Y+CvjYZ5
AVhARJHkZaROxMnsjZ+5Lu0VTNuW4S1jA2yVNX0EuAvq7BiN9HwKMrIK/OU80JdxhxPi0HC5R6MB
gTTFDAIJS75I1HM+aHyD4a7B92cHLXEvAf7xGVxFocLgffykJVtV7X4snmwp3o51sWrLCS0IgTMg
Ei31TgvhlgaeW5TfcoBb/F0hUw5DfbK9x5DqvCOSPOTrNknY0DBzR6smzbHByAdjUHjpNWK5tR3z
VmYro0dkWtziltxI9vBp+t6MXy0TI8UAq0WvpQRMDnRWVN593exstVxY1pqdcWI/kkgBhazqPrvi
qqcMUYlNz0OiJrn8HtJhbbIBiU+a9pXWxoMnvyvxt8nKd/p0VwB+kkbHnt7nq24yA7qpT1s8Ws0D
GsSFFcOngpl1hrrRyrcEHYgIaqdhr1OaSPFVBvs1AfD5i5pQUD/VEyAsTFj5cBDdsxIINw7oPxlt
xTH5y8z8Q5YipO3VrKR0vduQSRd2X01ysRmtSIywG5b6EfFo0USIPVU5gFBFPZBrwaRgk8PqmOoH
ryHhmSW3BgQLqmxfTUilQj7aa7nptmqxKTw2SOw4zLWhXpq8ecDKszMBWKIw2qmRsSe/Uek5HwFY
YGTHecE+7BLmtzwir88+FaAkxhQgJsoNINYWqhtsR428BsQEOz9n1ZjT8qn+FwdE5xENHb+qoGLx
LK9qXyOh6Bk0AVEGPEXg5cuDLzUs4hg2qI9yS+S7dFLbG4KDtZqRJVKhHHip2JCEPQ4UZS8HpRMi
augJlIhUpBFU5jBdV8DhOeyadTFMhDlsW/zXKGDV5H5iBxZcWVW4WqquVLKkukw/SM0ezD3Qhi9r
uGZYCKurpVwLzwnoQy3IGhGL0ovnExOkHJHxfpWFznQpciaVxARSwDSF+aDn+vqwL6pbiB9fIZCD
r1MiU2dpn4WxnFjxCKKrUKCI/KgZ7bFK5s9stgzKa1tIWHJqZu7ma5AgToj4VDAxUzoY+GIvMVUc
aExMsox5O6Z9mJz8zl9PxtmOGlAqaE/bzhVq+wBDkKFOXTuIiuHvxusqmtzGuqgUtFGJtNpaWemw
8WL/WyB5B6VL73NOsQLRLxctTP16Jth6CqOvmvRexNRgL2HM0a/76eCo4OHU6tRU+6LrmSVcI5vw
TWzc/QeyHwOh+BzOg1GNTZXT+eysAzwcIRoMhTjhQaiwUIctal8Ad8NiJuPG9O45Y1aM6VbDzWwD
ziiXXrVVxcHrnqbyIrLo0olLqLPrzhknbaNmL3T6nVWcrmCGMi9UbI5KOLzjLohfkFtDHFh03a3B
KEp4UvzcZ/kmAm2C+Ym5kBo/ydKz6PGSFW8QJ75IMDlCQep5iCeustl+WuxVZlyBjmUTJnpZCXcM
Xxv/LgrLZBkPYbNorHhTFOGKQcQrbMmM+8t6iGZoAe9nS5pcoVqkt3rfgpQPrcfISEUk1rUaAWFm
tG7CYl+oZ0MSh/m9ydDPIxdLecNzuolAalY2PkyFB1kiICKo9nVvbEbvsa5u6fjAEFKujMNY5gbj
bahjjEBjR5Z7aRmFBvPr6D7MBhJdff/eo6FuJendZvy30rxSW7Kygh+RUZ0MgbaWquIa8qMMleHN
K8GhBZP3MgirdhCEOcbYHayidnQpXspMMeBaB7xwGSe8eELI0CxmvlT0yHawi0Ome/omlbiLr7F+
RnKe6lvqvaWIGDt66meonuLBuPn0uJZF/CwZz06upNPOHtHWmAYrRgLQE89GCKiex2Y/dw25JB+s
Jr2Xydewo3w9qb4DiO6iqgnLeAaPnrESfQJ8DwgJtkLSete2H23TWUkZxzw92l09Tjzm4mzlATf2
Ox+LrZ0hC0BSuDdzKLOo103mo0lpEszplctUYbyoEOLBQoWmnWsl6jZa353sod3rcODsSXGEXDlT
zWisAEjXI6z3zZapfdfvflfPX/JkZNP7Q9amlzzMmvqf/1D+TVls6RTZ5LMjDGZV870mlzAa4ul1
jKgKwSbE6tSoryIGc5STM2qaGdKgnTPlPqtTJEuo8gZTnherzLyG/67sfpUkqTLrG2Q5/1mS9Gsa
xiUZ03l7932z9euf/6XZQrKtAF+j2SLSQuF9Y1v2S7OlYw4yoMaiQ1JlaGLid/4f4jGYo5B/YcsW
rwhW9rdmS/6RrAyTXR3yIZt8jb+lSGIJ9F2zZeimrpoMbEnwwx2o8dLfP1VSOFpyOyPHIbxhcwuQ
PXQMxcXOVCKmzN7LpDKkVUmQUrvZqLgZkfEk2DyF5Xqgl4aSAKZZy4LKUxu/ChXyatygxkgdUx9g
SxKh3XJCEUkTIa9DiqgXRYRQmKW/CaMlK+S1PrLUbr30tVDFe2W1l2mMjrQNxHS1jPKIc9bKFR+J
gw1aM5Pgj5QSG8JuN0rZvpeKXYI+25Ex1WQ9bDKBEnbGtTAUErh+Eds02k5k8dE2bpYqrTIMM+26
UyG7dOVRMRQA9CzV2l5shnBO4+k3wpP3FeW9BWyfJT6aXajc4Crbd7jZx3wkwydhoC4MaO24WgDf
msQh6d3SCAT28MSJUpK8WvPQJDZAnewSkzzVRmJjyY3bAs+oaHN0KC9m8taPr9N03/W8DjshCWoV
A3GLUROhAm1fuYY1bvPmjOzTiqG0UMdFsoCo82bQ6/WRSgDgeK6jYaWi5WTEbt7McNpUiCgzq1gA
9VoaYlxa3V4dicDM3hOWJrit9PqViLm1FNvnVh9WGC1fijZ/l5vG6dWNnhLqBmqs17eY4OEIsRoi
jzTD7FVr9InxK4R1m6NxQDJVtTP7Zp1DyOyKAUi7hPJKYZSHeT1m+CiCB1v6KeK5uUBwf6mqrza1
uD5pKmSxUTSdZud9rJWVBeSbSZ6M3pw4cf3oe5ua8JRK0pxiMFGxoo8rJDdK42WSf/XSe84TMvT+
ujBhisLd1fzQEeZTN7b7WW/GVJhCA/gquHj5JIDTZ/6rZT3IGtbI8MHong3pSWpOI5Gc5uh9hrgN
zC0T0AKkncR2EyO5Q6gZq0oU+Ga3LIibgh0btPkaPzWMKURuzNfIGYc3Wo0Y0ar0nBB47yvkJcWI
YI8Giz9RvqKpIJ0SDLC+MPIXJO3wD4iYQ9lWuMJrntWoWJtook2wfyPCqDF98DWkb8ey3pv9TYNy
U9tYt5aCLWa7T9WNja4p28vTYWjEcgKokKpfGpbQEXqP5xSyG0B3waPK5PChscHVl8e50Y3RQQvv
0gRIrAMJ6tpYwb/aKNi+kY21zT1TlExnzmsyqyO9AfZV5XQURjY66QQXMH7drj8CejOii+UbO2Qj
azy5CwVZPaARAljT7UyjkcBtxcfMlb5ax1co7Fat9OKp+5ixZ5/ccQJUacrKik6wuajsYtN24Znv
CQGaXc3ymn3o16gyxBZzza/TBfUwbeR1x71NwRdAo10rHEqNf9TZH+OVGDkqbPUqix3tXgSuscc4
TsoNpB8HYTE+Evg7AO0pbBPpYhZ7P1Qe+iHj8843G8PV9ulrbHRqiv9k+uGn4u1sS9oCp4ZP7Kfn
390b/+ZKn1Uc39tshKGpYj7+DQZnXAbfH75E+QxaYkrKAr3O4rjfv+xfXo6j87LKF8fjin/Oq+31
utget8Ni8Zk6i49Ftzh1i4/DZeEmi8XCdZ8z/sd1Tq6z2zj8Z/N1t7lbbtrF3Wb/tF/+9Rc8+07/
/AXjShWyxpfOtOP7L9hQ/TQ0iWdEoE4bQPiCet8wg6iDzUST5RvrTt6qvFGD8WClHAhgaimdD7II
3b/+SmYRyc810vbbP/9hzcx1TUXDawssUghd/iAyiavOL/Ji/skpPs6850oOH+xaJut1tB8UeRtq
5ZVgvOHnH8D/+hj+t/+Z//KW1T9NLz9yvJ2hHzR/+Nf/ORef2Q+X5O3js/4/8x/87Tf+z/f/yp/7
5XWXb83bd/+CbgLyx137WY33n3WbNL/OS+ff+f/6iz98/vQqoNA+//mPt28p1WlYNxUIV+7wn39t
/lnNAiLCav7SsXYNPn/4taxZ/PRNU4vOmutN3n3++xf7TW4tA/xEUk0ij0pZwn//VeFgf9YN/nLq
FITXs1iJ5+nXebL8o2Uz3DVB/igInBXewV9F1/KPJt4yBQG39nenycos3v7Dk0IFhaxbWOiu2UL/
ocCJQw29YEWPMrKvHDObHFE12LdQIdJeug8DBixEyCJ59a4SeXSIjMUZDKFerUzP2gyGt1fGkyYN
u4L5Q2i8kJ1Mq+rqCGcARYOsFx/wH9gyNsxUNQtTJwx7moa3EczcWIfvZqiuKVqMheqJOyixWz1n
CNoHzZtaPgkmCol26hnv9FHglGrzJPXpTZ8s7KztUhuqg07mbKWR1613N2u6ioTYq7HYqRXRNx3r
YwuJpNHDqmwlbWuO7aZPpX1JEK2jlMTpaBq7deJrk9Rt+u7sMQRqo3Hlh/4uzirGXfbOM8JxMfuM
/GZfNMnCy/BdYbJeKKnhWrTlSVdAQ2F/6ZXEGkmropnx/hDjQ/NZ1OUt0+kMw/SapLNspNn7kn4t
Sqo8ChbTZ3QeTifEZ/cDOSf8ejkvo28dC7FRz93auOi5fMqa/gwU2fWzR0ljWC6DCU4/DDQASacd
TLGfC7p+QtraWytzYtGcczdUMEjUelgnvsbda1EFjAQTdSb3cj6+w/Nz+U1ZAxZBEIsez9vSVMQX
L5QoSNMn4pgXMoqKhK5uEQgGJkVab6d43JpD6JZhSCbLWc6CHYx5VwE3FOMpMUXJ2LHbVYO8ilLv
FcQ4afGnQJe0PVetKdXLFP6MJNfHrDM1yC/LgNT5CQyswdxzk1u3elhOIbMsjYz0c1Cp6yHok3My
De9W3i4Hko6tOWCmEge96O2fO8n/3w8xuGCcEf+5L1u8oaScD62fd2HuzEn7i4UYr/XbQgy8lIHd
VdXogXCOcKv9S1EpmwRyYMQ12UhxXv3rAEM2qWG1hYNmcQdxuvzrAGMhhmMEUxM+X33Gq/2dhRha
7T8eYcAg5m6Pmw7vPS/4/a3rpSRhphoap4CkY3wRDI2TPnK1qn1o+vJUmjK+Bh6wDAJsvh77bAP7
/y4XE/EN+2B2hrFnAC+8i6t1hhwRMfoOsDSoMDerX1I/X/YWm7ToJYex2KWRm+v5HQPvMipfzfA1
D9CssGYr3BlINMSO4heOFJ5kkKK2eW79qz1TMTF8yJNJpvl+TsmoYmcczm0LEq0v3y2h7nXsh4Xx
TGZuOtnYV7ZFwkywLYB+yRukV24jl8S4wvDRm9eI8VTkQXIAgroWdUF+2hAgt7GOZSrhoI/wuDNr
GRN6t2TBpxIgokRPcDJ6RDp+dB3sYFtlyP4VksNm8YKFiqh8LbXHcEjuNbVB/AOsWS1fphl4NOFE
JtENYYd3yHx5k06von0dETSVYq/4gdshnazt+oxe4qY0QASyYo+T9thAh0mLgFuVwUzB5LpgFUQs
R33sZxBPTzJqPjmsGwpbvvR2io9AO2ToOs2KFVENPXZkCTErzPxMvyuqcvd/2TuT5citNEu/Slqv
GzLMw6I3PgBw+EzSSTo3MJJBYp5nPH1/UGZKIVVWtql21VaWSlMogkH6AMe99z/nfAeAotstVis1
ehxg2Zao8JwanA6/VztynJTtoaaQ29xyzCO6akW3YPg0RNCycDRR/tnytpz2ykOqyKsAc03NQbzW
LpmEzAJWE787kcuHAczDXJDLzDjzDveAOdbQ0+9dcg8HhZUi9tVkI+Sa6HP+kmKx7S3BhpV2bazp
oe+1Uzeqj8s4Op4v4ZA7YORXEy2VbTNvqJ9RVOi46GBtiDHG9/QquYh9thvlzlPq6mpOyo4BJTe6
i5W1u2LpVBEuWZKso/wLbo+98GwSBQWw1lDiPCrYfwhcJQIvQQ2ymWndSh/LjTgwSMDPAT86ozIm
P+aNO4ueHLrS+KiULNCcdfMfBd1l+FUqAb8YkZvQDaCDCEGxKlIuEAW3ZngVOMBO+qVtwdUhgG9K
iRJoCY1Bzh8K2EIEBnC4YERKiZoKzsREfMDlG/joBcznF1ofZIUHPXjM8ASHeIO16YHYFW5R6Sjz
lFDYjxZO4h5H8YCzeMFtKZaXMTcd8R1zgHW7/sWEAt9x4B5wJ0+4lFNpemmYo3YqqSHp4Gema1nY
nhZvMx2tZJMNMKXld4772RiKYz268EWR1koIgWbl9EhKJmdXM9OerFHZJbiptc7q1w2myAnVTPcB
KOG79hf/tTg5Jn7sqToPovgU4tJuUMhGeaKuvSNs7Ex4uaNSO/ko9IHvVeTusXP42Dp6BrXJ4vOY
kk+jbh1dG5C87obf/iAV5xaKwGlv+Ui/qfq0L+bYqbsSNbq7SSjRsEixvL0nhv6ZciWN5vSSq24t
VmRyPgOScRrmFBbuftuS7oo7n9XzK6HQj+dHNenwkNX5NuQnZ8+dWgOxbt26iUheP5KitbnqTKE9
mmXhNciGfn0UwwsL9gRDOg+OjeYIA6nlPtwwKOfYMtpSl9xiYE0th7MRg3oJjT/fmoR/rGIn0Mhu
ltShEqBBVaCWru0tN2ltCWm3Ln1iMKYrSu8muRGNyRobITyIbLJa/GLGRhp2aR5R13IoBG8mrz1P
ZyLYNfavuPAkoz8KHRYssk/ULxMEGtsPuSVSizFY47XJ+pitBI5r/Dkd0yKNR0eEZQvsSeOtBNmg
7YANfjaDbaHZqTW58NYL6U/p2aKg6yk1OEr+rcX1o1RfYtHRAxxgC57QldAFU8UpeXw9auGEdsfM
iRvkykJLnJpHTH/bkggOOmPYHgSK70XUR7i3CVok33EVROKmLJmopZe4/5YCJ2g7t+VYCMPdDhGc
0TbFkXo2LsymaOCrMzC3XkyUUIygDUb1MnnmyJgVryOayOAjMkTNcrmC22rWCcpql90NqhxNzvSY
rB8G9FerfQy7m1Z+iSizy3Vmzh8mem0VOcp8BQuDZv9DED9ydF0j/0bkEjQ7HUnwPBbGrozuM4Qy
hZtxbD1W/VfQ7pr0WA43XeHT5/poyNSu+/4DDeX4SQjZtcDUEQBaPkHN9J1mH32rbVMuLst4VVGo
Z4RqenszdGtycyoqdrCo2VLmxajbgbURGC5WkPAX5VsmQH2TyDMiivt6zyj2QdJ++FwUKsJ5U18J
EGH063kzxqPOwlZOWGPNW9XtK8myBxR4BrHI8Qay/CgGWxOZXkWup4iBcBYWRmR8SnrErkdQp70i
Vd0Q41kuMs7VFlAm2IKRgCOmAIVFu82PrQgWFcuAODSOhYVAxkpQxP5emL5yPrcqRoMG2riQZ46K
AUEvQsdkGCBCzmwwKOj+GaV5E+aYVS7cCmB68J6MrhE+44HLMTkU5k7F8lAq07XBAiHX55yNijIm
54JPkVD0tma9mdgmRPb0A0YIBq47g1i8zLKiqqk98vwCdZMbx8g60bmZTVuNqa2S3P1i38xPMnaN
srirS0XraO06zBxY32qB9P7stovRo1HYo+BlHmgLmJ4EU3pr282IOaTw38J8ma8lykcT0OiEiaTH
TNLEh0F8sPJmH2I0UY2PXtlJmE9a49mn/xNDit65Vf7a6NdM/Zjiq5C/hZhXxvAcYmXJsbQkWFvA
xpHQXGUYXvj4rxUpfQIToOmveRq+aphjgqayQ5ybarkLJNBziHVkL8u73l3khWWJxUbBaiPTsAjF
nBEZbxroTyfFlEPalzaL/Bo0zGLxvzTyLoa/zydrK6mTLeOqYtyG87Dog4M1Ke9FtINfu9Koi41r
kvet4oiGv/G1xDabb7bMgLgM5paYOdPgITcEFOubSeV1iplFjddZgueEY+hMiyLCIk0z3cBZNmIL
N1+VtHcD8ySK0ZHmV9tQJsfPMLPm9bbWTBSqGHS5TKE2/VqatooCHYfVPh2srRg/Fnm1znW7kKTX
PCGIEInHMeqOfs3dKRCl75bgwCAoDPCCJz3y6c7mTBjT5Zh/aLW4NZH3B6R5WJM2wyAFJzDBScwI
sV3DfuxrMkAjHbvpjGEsRozv06dWIO9mde+KfuvajyhV76ZJzP9mQibOwgSEQrcq84MMewL2H3If
xjGroSatMZ/iRNq3hnZo2vjMUIHFkPzdyJzV8J0RzIvAlVXpGaQIvErTR0crqKw5dXSjBkHqdjTL
DLACB3irc/Aq4QAT5xdJM7a8R2X9jVEH55ccEzIlUcg+opUuWX6SKYebUSgalftT8SPDgvHrJgk/
UsWuxVI5UGITNZ9+PV39pWPkMfqsi6b4bv84+vrjAO2/6cSMQdF/ftj857Ts1/zee1b+h0rrX4du
yyCOY+j/+V+C9AuyIkAlZl0ckjRIgL+dMTlHcsTkrEigj1Yozpq/nzEXSKAuUT4Jv4Zy6wXc/fuQ
DBfnkvPTYAwu3ZN/5Ywp/ZrK+8NAlbwej1AEzo37T/011feT6TKIw4DypyVsbJo0AMvwSKlGkwPt
kizN1gZdAjFNHkYq3oZysMVC9uZau9eUOubNXa360pb97rGS8WzhoBrubMOnTmPsbtzoJBFXJRP5
OQKhuxs4Mhn+Lh/z15bOZm6DFZ0SGsMXY/S3nNVXjdLbVivcpExnPAYeqEThoHji4BfJxWTZVobh
o4m1bVsFbmeBBV5WM3922ddHEDgcSTTtguaWJLCQxqfFThC8UEBJMKtdpRFMFBwm/GebZQ9ZMJFP
vlqNevfrdjOwZFt0u+hEoQcq9eJo11ifht/jTwAgN+RsqSwg/gxvmi913AkmdnS3nVQ3zb/MyPck
SPqymb83ITthLdcf/BDfJRa5XLKcAGN1PthtArklqLxe09adJEExKOdNNpAS1C0ER0CebPYz4kg8
dFgwWNDpnyKCGwW9HRlHy9e2w0Q0iRxfLNmqTlGJRoLHA/m5xRVaB9m2FIKTxKAvy1TbF6yXlCi0
UST2PKWL75B5HabCttvXIrUf8lieijHaq2NzWo5gsZD98OeJmh+yYvNsYfELGy/Oin5FAHljpUui
QVtVHSdQLT5HPAKFVguCJyNFoBa48v+51/zm7V6q5P/dvWZF/Vj+9avX4H//bR3WTPk/w67+/Pu0
60Lp7b+a0fMtf7v30AWwzI8McP54v/mT38ZboooLnD8RgaVgLmEo9tN8XqTQgy+Q6CTRDIZSv996
+Ia0OiK+6LKy3JX+qV/8QUH5XVH52deiaAv05E+3HuZbiqpjZjBVrOR/HG/JE31fU9lgDGYBn2kl
1Sxc3lx8+lPGQcL4zAZ1U7BPFfy3WsI/R18TdMm53Coihp3o2TgXHGLXuJgk21ekwi5UMXaSajS2
7EbkTR4z+w0iOT5mrZ9czdaicis3aAEY+KAksT5Bbpae1aZ5HGen0u9LGVWCvFqmwID9fV9uauPD
jPF7kvYwt63yFZR2Ndz8wJ36d3N0wvZ1CnaB/7iclqgyadWvBGoTWPJMO4Fy3Ge5O2gQN0C+9xXe
TNpya8I9Wv1SxenRNNNxq0w1rtZsLfezF2rrAFjx3J1SNd9G0nKWJgYTuKL/aKnBY9QOlLK1r2OH
4CngM4d/aeI+ntmT8NN7sKDxQNY6lhcke7SjB54yNuLFYoLAoSFcx04kEt1klm/QvGup61zkVeCW
r/u4wQmx9C1HGLqxQElNRI10tx6se5omlBvBGoFqF+PkPA2U+sgWKm4Ub+s0USDxM0VMDzEDw6yv
Nkm4ZwVb6815KB6pgQXgcs9rm6NzYo0MO7S1oin7GMC9ZW0hvtSwLOki5cBzU4sfwOo3QflcB6dO
XFBwX43G1GLUtksXSxu+N0Z4bqMRE/sL2xwkCWkt1oRG1btELjcgZV3jfI4uhgLUQDSOY04kKbyq
gbbTWRgEYY9FPArKrSg894xWtOrFpzWpQhVQ64+uTskLnPRq2kBHf6pMbSMl2WVMZsNRo4q3JXQB
ZnAsScqDMRZunUDtmUa4WuO6gZ9gzO11xBDcC4UdN7dK9d2ZcgNGTsZZ7vNjI8vXfG5OcgZEHk9N
04L9YVFJxVU3/aBdHvyIByUPS7lUEwDFu8jxlDa8i5HWTEF0FusJQM6mNIPnyoi8KFzSSIldzyxL
m4Fiqz5Yt+PZb1wx26nDXs6mzWJr6Iv0Qc3jTU+d8PJy+y24HxYTTP9y2G2GTHEkWFaRuF4SC+Ut
gHAx9PcSFmo/sCS3SBxp64bgAtO3WladCmSYjwXB8EEINeJqWQwas0Hnl3fGrF748GPGDra+GW9z
400Wpk0N4lEbcyhutd1Eyq2vsfoJxkYRdAekLGT324zPI46k69xzIpUaGsRycT/W1ZdpYi5O2qOB
FXZVMYiqU9oQM9JxFyh9Pa3vZaKuExUoohB6QuG7U3UshfbC8dAm084rF+NXCptbykS6fmiB81F4
kazkiVPJvDg4BY1hR9q4TUc2oKDyYrwE42vWVED/4LVoSvqmibBDagwc95qgkyiDTVZBxvD5X05b
mJIwB/5oyGlhPl2p/jUJcrQl8VvHwj6Hvp0i860DtlLrpJxdbGKnvmxufaGfpIJRIwo4qTedkQZ4
Hp2bQ8r5FDoe6V8rJv1dveTcU+pO3OnVSMuOf9dVbgft21ibV70e/wscsv+e2ve/lY3+uZM/fEUo
+u1X/S/07t+1IukXEdMYfj5FUgyEHZ0t/j8WU0QfIjKLKc9Q2Egr4k9akfyLjkvhn8juJSH122Iq
/wILjHUWOwMQjkVG+guLKffd/7CYihoYfcR2XaLR3uLx/UxujfJsTHtxIHFYip6PF9lIE0AAsCoN
zXRxJRG67reqUV6KcX4HZbONKPzuET3JZxdM06wBrpM4XDjykBTIt9Isbv1u9oxBOi01UlEHhTUX
vIyppSFqjH0kEoG102GC0pEzCgSHuCdwyc2TvLKi9becu5ACx6E24oOZGOQjqXBo6IJM42bTd4+p
Mq2H9CaIPvQww8XWfB3EGesS4aLM9Hqq7hIYSrn8OCMuZ8nRLxYP+24oglViCEydJkosKJUbOU6X
X4r6TiRxRfMVQ6JyLQmcv5v03rMfZgFims4tsdhoPvLLkotg+OsXG9F8BXcF1jDEo9R9NOGlUiNb
Uat1MhN9j/u9OGGnJcrZFeOn2qrnJrBFFr2y20RAMkqT0OhUbYbw2VwEbvkllsm70HFrlpvZqp40
w1sk3aF2B9l/FluBMRWW8XSQqJk4gnhDbASMUqROLOMtk89Ubm4MQXynRRvowWbO9kr9o2y+I4rF
tPYjzruXttSubfc1tSVWSKfAe5+bTtflrhwGm7gGJiZlm2QKn6K586mCXXwHSnbLdUfEAtUroeOb
RzpLs1ZxgSFa40HRxrNmFUed0L5EpUky49+y5pOvfHL9UH3HAEVwBMLXMSgMV6FXky4D5ne+C3TE
WMbK+mHkTlxTNxRwnMzJZvsf3VyvLPSrpa29ee6KndV38MrMbdn6B4XdGc4tPIP+RmyxTUK5EhnK
JdQ2WCK0l7w+aUsoJNCOqtE/M7UvAX6R2r4Jk0IJePoyl/1WVB+i4FOU2m3V3tJIeg+4TSeV7xSp
SHuieKMkas0041iqAle09lgZyjYyLNaE/JoonD7nbQh7qR1VojdVwgcGHCVl9m1d0RTKeVb0RXx9
MMaWkl06602ot7my6VgRm8E8GEb/qukhmRzCVbncbNN0WJfa5FjQ3wYy60XB3rF8kCxCdsN3Q5o7
jGZgtQ8yA/Fi+k5Irbe0XowR60UKi4YpKFmoHAMhePUlg8zwSEZvm1YJ27xM+DCrmIMe7C8thGqW
rIzkFM6AL7ZTA++4ektSvqwzv//nNPbzaYx76n8++Tl0/3rWw1/6x3kLhzataWxY4UYCmtRM6XcE
pUiKVgMzaRmqqOOZ4st+P3JJv1gynieTc5hObfgfI7ZYBDn8E85VpIXf9FdWCRxWf14llpI1BYMV
Lk5+sTzAn1eJTI8En3QFgbkzgujn+Ar3X/ZynD7hVvtsnk0wcCdorXnnifTfejSxwaNdWWdAOesY
7408bKJ5LXOxGyCHEM8hjyCbMGwmKDVufXqz0j0NjdNIBfIqf8wfsbZWJpLOWo0vcGbFCQ7CtDVj
bmbSoagcTeDBTN0lN7fsmBZ0tf9DrD5xgXdEO+JdvpPI9bxg5IqVgy8egwdAh8sPf613FfWSazac
z3hJx+lx2OroYKv6MNvG64bJurwxnenbkA9dxq8AGBXvZXLAFn5I4NBkW+VRxD58EJn2Y+VJvBS5
urvRbczJsGXE32yFRxX/1Od4v8rBKj5iu9ILD84M2Axq6uY7e2kc3QKpqlXFDYCtI+AZ/Nu8PoxL
Ajq8V9i552arJx6GZuOzgwbybX1mOiHjl6yh0MmuPooPObTxMojlo5bbJXEXGOJ3flmzWuQ2chnG
1yxepyRXlZNo2I3XfKeEeGrIgOZb3t9H4UskqHdRZ1eo3sR6Z9xRbpXg0xJ2PyJpKyZHxG1VRdx4
H4tb3TkykIes/FErBMw4eEzD1ejB/NWOojkBtEv1RcZYQqPHrt2IDhxRDojblPMcQhEvAM0PgEM2
Vf7FWU3jicuqXQJMri+M42DU8TsqxC4Rqsp4Fh1bczW3OkUP1TtUZAd7ttfvgn15aX+c64v5HO3n
A4SF9Zu4/ToerfPw3D3rXnZSN/1KeK5ZVzISrlh+V4mwyt3pAk7ZyFz5ydrK9+BYIArsBPk5U/YN
cg6a4cIozregMCS3q7iUTlXwWAwuMigNv9rbonSx7QdhhMZDY7kJDaRCfsS0tZe0c3VTGmzGtC1s
dJV1HvoPbor37Iu+4xh5Sr7p6mlU3unUlcSP0nrS2zOme4CofvdSoxZFYEh2abEZOTnxUJXhIMzX
iFMTSv3BfMrpLKVA/Zg41gOU/MjcKulRjfcjj1xfj5pjmHaATgMMhkzFAGYSrWSlDucd8ETROoTo
LpfkOu5R/YlB5MdqJYAH3Zt3cA/ZfFX5BH5VTuTFlg21NT5LxsrfCGti7fjnnHkvfUju7Eov855J
3hs0/ZIekZXC71ROcpXc1Kb31+WS3xRrNHkX1LUXbuLHYMvrJWjHWKa8b4tk7pJCWDdO5mlwo0Ny
A8AXH5XGiTWXIMmM3yU9IOnW5EJlPIVr4STiJBq722Qge7w36kMG95qeNwjR74bKs+bUxR2nTGlU
kch+IXmNbhY6ZfI6Th8Rui0yr99tlVN3V59ElKe5ik7B6DXVG1NrQwEr92Mqzua52ZRUQl47dhPq
Dn2IuD7JQ+5B0TW1jewYjTvuUfTJXZuremMf6T9rDa88LdArspkcXHElzs70Fc3eoPHJXEkTNVZb
VfV0Hip2qIvCeXjadA9IXvJzeFe7Az0DJiFczJoAyAyM+2wVpVsjsAnGJorj5E02A9Kyz1LmZsPq
cyhX4ctwJ6ZOlY4aPqs/ajyEYvxhybvKgGi2V/3jiPvLwf/wTF3hmlR28GYYj6DF1E11yyfXt42j
oXoQ1nSgVMoIjuuNDCmb3qq8Etzvi2efhPE3xLF82LAPpjgHfvaV3GdynNV9mXyb4Zssfom7gWnb
1/gwXsuty0yI+c6qrm3+Cv8QweT8vK1e6UTvucZJqRar+LslgIbG+Bl/8/b6xMi/rRueKdsBb7cm
O+44YNJW0fryEK2jtXQKHAdngCNeLH5bMu6Z/OgDQ0XtHHPPbJ8W2FFO4NBu4Xhxlqk9fKF9/lzm
+5g+ccW2BePEQ6c9ewtafMV0AKAazV8iGXbr5qNnQqN5UBpeWKwTXMP+OmbfH1/VbtfgHuq5u9Pd
nkqbpLengj7CdliDYNr2AoT9vYT5q6xNuxTPNB62z7y/u0R/ZjS6ybJDE3MjYg3T6fhZ/h/OkzNh
indwEBNrvfJB2QbbeLOCWWcHqyeaeFZP0XZe0Ue4rta7ap1uUvvpidA0X4JN9fEzXeFWmq/BQTy3
3vI/7Tg7zEi26vIuTe5L0CLC1OnaoKVbc2B25s/+YxKtyv7GzptGZJUllWFW7arTaZZsUqAI+1jQ
FIs6U4GIqa++AYjhFNeT5BXNe0E7wRK2sCBm4Zh19Zkd+Co5m2x4vZ5PuH6iN5m9plK5Gm1zQ/48
iF7d79l/q4CDOCWBtJHPUWezLMEfVZTNqFxEERY8gST60tT2hwht1Bb7zfCRHvXbOHUbjUlR63+X
PZZc6y6W20gl4rQSCxBMQJXEVZOj89NTDEJxUdTN+6+rbnhrPuJqZUh7rbwVgJ9Zt3kCybxZGhB7
N4tsi0z7/MCJD1KUbtpa/QZtSI3BTWbZURmuhdWB6KH0mBOyr5MR7e+YndMxRdk54jqZxh9DhL/u
ZaidyfDCK1yPRM7tsDzA2OnGH8b8aiiPsdps5va8PBhSKfumAKTIaU2yB0BELJHsAfg2It3YufoY
GR6HRP46H3gK5B4YcZVAQdDlV+39f3bmP+/M/20w8xilbM3/tv+a8q/mX0xx+Mu/7dA16DLspTVN
M/D+isrvmgi5BEIJlPMwwlHZJWvLCOWfooj8C3lNRcFnomi6CuDj9zkOm3e253iEkVLQRQz5r+zQ
+UF/3qEbTJD4PiqjoQW586ekDdOULut1DCBi4WOxKVd42bFUJNdJ4rbADmvsfGb09bnCDlzHNCJW
D22DbzF7XUKWCh5MEYEiegwqyRtMeSeZH1nKIRH/VArCEZmlK5qrNEgbXVY3/qhQtW4gvQgGvE1C
U1W1rwluUma/raZtudRBqOJZze9YkfGNMgblUMtIBJyj1zYFE3/WiEhym4Fy1/JHIIrbUfsaoj0h
L/bYuIz0fBfns6szc05EHDN88Frm2pb2rMey9O7rzRaU/E7ydVtLDKyW3/5AI6W2LvPlwP5DJ8bY
R+FeYkNGzBz2THMyh/7RVzUbiw8kRhZMfXIG60COEJS2carNbDOK0qEKy9Oomruwll4IuB7FDlKQ
ElzrOMMrmz8FeQOomizcoiJEi5WCBhIWAtLkxsh4GKjEGGgYdkEZtL0jqImjJ5mj5OKtYe5FMTqx
uhEMQ7tvghezZ30DYd7nBF+xvkoFe4kQFFl/qnBoFYrvkddwmZGzOWAhsrDRaZG8WEAKN2Bo7Uvz
pQ2YikSwJ+B2aV61VImFsduXQMaHE1WdtolQj4LrElO+Aon8SCrL6eRoq0V3nQh/XUmbujFvWe8u
qokcVIc6M3cDqncKOmfsHoMw2keGgutIkTd9dpSTAc8syncwn4aIS87PjPe4FGwFuGjkWxSghugK
b+Af7rEKrWeyLlbPZnyW93moo9rri31xsIcqe24neRM2lZumnwZGSrXH72TiI1R0ZTdL075qkHCI
uLoAfmhzEQM7KURGLV9YJXYNjTliy8GzHZ6GWFnFWmuHxbjJgTFORnIYxmqDNwJ1AVtA+8OMKfgQ
LMKWbDXmPKfvxd9VPvcLYz8rmscEjNSmQDCxwJhHpYKPVYkBlh41TzPfpjNzh5mfVLwmuOPLzPJq
H7J7sZgSgF4QGTawG1n6Xaiic4uLVWDmmVQV7cfLEN+LA/Y5lCFL9YfmU82NLXPqiIdWmbrVmxZm
iDnwQljXONGvoFGgpdGumCVsTtltLKV+9chRaqgVT9OPIfcmdtsS9vaGZU/Ex0V5TV04bO2sYk8/
L1g/PO+VREKXHq3sGhc/ev+5kqjb2dVkkRL5R13Xa2Q4bXwzFpqpmm4a8qUy0Wl+NoR4W21sdgS4
5zCFpp5mgWW4j3DjSOswrjxW448mdFrqXYwW1B6YiC5bB5yWyvEoxg+FHqFWpeywFI7vCKOSsOrp
RAj0Q0EvOWW/QnJCufFE7IxRSuZafYB6bENZPEcGGhbjSCml5Vuwgy5bYZAQes4H06fQgMEqt7zQ
2AVfsgjKg0qJEixVP3NB+WjpvaWGh9o6CslE8HgCbbxLpbJHEzXDXED5AhZenzZFz8yPghGCLd37
kCE6faSNR6Lmt8FLnn00nfIm5fixMtICeYzNTKTpir1JYtxk6UIb9r4gNio2u04/+jMt0wpNq4ww
BHKig5i6Fe0PxWhtxplwFV3pcuYJ3Np0lZ2TxGiv+iSKzZQbaNK0qSr5sYSwrkpMmpcOJI55ubrK
ORno4z4wpNeaCUYgOCPXchZyWurdJHRUpN0YvjB64Auv315kZMnVDBlb9iRfguNT6s/REIDNbs+a
oVHkhJ9UJSZdl++N/sVPLstgV3b3rnnR2f1ai0caxK2fUP7bs7FM8Xh3AtUYeJZH5UVt04fBwAve
BkRNVCH6iITFwWmZ0lpNlO9eTQ9pxsBTBY1A/1f8xOterNOC8i94uBIoKfBRjPorLDRT5JnyE7tF
FWqI3wAi0h789CNUBw7PJElEJjTixpS82PACJrlF8pJl+356kRQXaxvNhdzAR0efdxo8oXl+jQEN
ZDQpKNyKY/EJGsaLT1qXeduXVI2frJdXjJUog8S8kubLZ/pUxPe8NcP/ghb2/633DUj8v91n4Xv+
av5WfP/t8TNK0+nPO62///V/7LR0IqCqCK1ekhe1DKjfb3qZDnbehDQoslf6lSn4u16mWr9wQam6
qBlLVY+4qGz/MJ/wRyabIoQtkzJbHXDMX9lnUbzz532WRQM6ch3RLnxvosxG8OdJ6JAIUlBkM4iy
NwAvlJwmz9o5OMEkey729YGqmUt5KPl3fYA/uvef+By/4HjyZpfQU3tg4P4UPjGhvPoeEN4nzgnu
kV2QI7n5OTmGl8GB1XbRTuUeDPtV3k1nNJt9trXOgDft5JReZA8ezz7b17tx3+9Ll9FM/iis/U1u
p7a2vYRndm/XZhee5F3PpIcOVjs91I51Lu1yp24Nu7hap36fXyI326dedMoP5rV5bw+6Z70qr0zP
mKBBGvSP4kl7ki7SxXJDT9p1XnLCI8v4iOcfuVSBQ+E+6jyPgYesHww72Cs2rKlb7mbe7DUH7Wjx
IKSTvm73SH6HYV862QHf3SU8FQfB6b3sUO8ir96H59IdX/Rz/IIKtWscsOh7fVce/F2wy5/lXctD
tM7+VTkHbr0zPaSnzXDCsXo07PQsnFihtrltetFReej3mh1cCTCc5E1lq+d+Hx2tt9LlKdulqx3J
pLg4hreGpz5pe+uobMNTvu0OMIhs442XlscJyGDPduWYHEmobwp7Xs7XV8UT7fE5f8jsYQf+2TYO
6TU6Q7rfjM9surq1zlMeLv4T92iWorN5b1/kS+WVj4Gn3rWTcWwOyXnaa17oWo7wxv3b03js0TE6
Dg7363vLK2I5f3/rgifs0c0quaC08uOst1VlrWIYYphZWKNWjJl4dNYDGIuNcIKntVeYllJkxgOI
vgKvuFZHxcvsmrmUVzrivtiYduzVJH44rivbajcdWqfYNAfhmp5Uu7pkdn8FwLLtndzDuH8RDoNH
l+KD7Erb/ME4SafhQINyeEUJO4Pqtvkmdu7pZyp4DoYjefmp5hsxbNtbbnrkBbYpP7qAxHSXn81M
kxeuuLNp37ZX05ZuXJUX2a3s8lh85K/dXtjDVC7XE6OD7/QpP4x29Jzt99ND+dp5xT486qdiP1/U
B3BjL5ya00P0Lnvlrnroz+W5Oo4vyVt2TdxjfMHuWR6a55qv8I/xQdnpp45vkLxMV0AhL9FL8r18
dpXH6MU6MJQ3MCMRRRJX2WO8dc39fINFFtXEeNcykwjtAsELQMs9PDZcGeEt2/vvwoVdd+vwKToI
B5+Hxsz6ND/+pBf9wwH3s+PN/Bf3HCQXSVVUAgg0uv5Jox8jf9SypEMsOVLLk5FN9ubH+KB6DLyJ
KV2iq+41XKnGQ3jO3eDAlXry72TUngave64c/zB60KiBOK5y7hjV5oWU3M5yfBezzck6pYfOUbfR
cbwqD9ZJOPp2cGz5/AYXwFhO68Rv7ZEybLfah97gGhfeatJVKBgn4knz2Ti4ZCW8zXwv9tLZQjRZ
/fsXQF/kpT84/iyTF4COkMW4rIra8gL9ZDbO9VDq9JrZocnEvt8ck3fuWDfLlc4MAJVd8M2PPaMN
HJXH4B324hbcsfPQ7h8yh+4kt1+muABaWp5R7qqPSMgn4xo+TxeD26DkhR5vnW05yW5b7HKv2Cge
JsBjfAxdzUs9urf/vh34AxXi53eURen/8YwWW8ZPz4jSDznKDEagEDy94caFuh9ewkOxxybtBkfC
JMdhP7kg4tbVHs/Varn5o41oj9EzzsdkuWu4jDoP7a4/RK7vCGe6E476ciXs/dPkWQ/hIdkm2zfu
+F6/913eeT6n8m7e9y5v9V46Mcm+qhdm9Dffbj3plGyNE/G0V7KgZ+1NPtP78c1N05MeikPGfQ2w
4m70qt14tK7/l7AzW04g18HwE1GVEALh1u59YWkI200qCVsWyEogefrz/erMmak5p2aaBLrdtizJ
sixLbjeLebfo15/sO2oUw/bOvRTbUiPER9YZN4rn4g2+vsfP19veW765O+udp9/J5fymf0gfil36
eo1OefSn/tO/9BV2yPoXzmr16F84+8pMatPc01nOeBDZE386G/4MiDn1gw9Gum3BEMBgQi8gytEe
vJSMvDlb8mTs+jfehSw2yaVGX65b6Wf6Vl4NWvOX2UP5jo7oFvuiFf7kH+Up4WUzwWsyaI2lX+kR
UStik85i2+uWlwteYjI6ZWezzeA866ChL6o26oGXC6NRn1GJj5PzkOhLdjPmSRVGmpd02Qluemve
zfZBFMlf9S54i4HrDGBafNH/Zg3F+J97FMvU/r9S+bNPSUL/wqefl+3xePiBT8EsD4KgDKJZGfGb
7xyXQRIEUTDTdcDtkg/XfKIojZy+xxG565KzvAyAw012nXGR8k4Eo5wF3Pkt2HVUwXuhI5cCIt24
Kv1hR5qocilFBGmoglaHi2JVIhhDocJNAIESGdjnxqV1IUOMrW8ow+GDJPH8Gq5sj8NpBEWQpa1x
rKirqDFN62SVoWAkKGU/isimMlZNzlsKnSEPcLHFU7lVr2pGqsgnCVkpfaRScqiWFNoMZYEFD9UL
Lzz3F8Y53U0CLxoiqBIE/nJxuSR/HwQOjgyB56AUmUBALOM8hblPnk18+DjYByl8KxPs8UCBEuo0
LnKWJCOQpLr6IJ8Oq9q5mLJCllqtla0uMRJg1GygXhwVUxMZYyiruLQLfiNHA6l+DgGJSpJ8DF6x
K0ScthrSzVXFDkT8pLFz7EdUPflqQOtWkJLGK7KRXgGD1lZ270IIJIVk/qd86YwyVFVLjvJFiJEE
yYiH6oj2A0NXCFXVbohLzCI31iVkinj328Riu7GKb3itC8m1JFsVUWV97gSRipRgNRrzvfN+xB5K
/IJLmo5rJkl6doidWAGfAYl4gNqvFKhNjbe5GD4JAnZHdhLWmVCjRFqTs9AlxKRArQH7DFYKoV/2
gJMnxYszHjQkiiBj/IYIUsF7gJRIUHwiLJWcCu/C+ywwxNUiRV2I/KF4LdbeBH+0R83oDZjQ9vzH
9NXIncR18oEy/VaNz5XahyvOkILQ5AqmhQZQxVcUiAd8CSFlEgQd6uccoF4U3BJVuncFz+v0AixB
F0ruTSaolBRksTLmCIkUlHiEla5QwTQUi3vxaRU5MB9XVbqNuLEN0rQi0sYt/UPCj/Gk1jFlWs7O
fJ8uarWCQR+saZqPFVHeJ8RHwqMebP1H6IsqMqlGqiLdhdAL/rpQD6QfJdYfJVs0KZALERfTlbRZ
l/qv0RKtgAWRdFaJk8/o+QKkgxtGvMmZMY8U7oUxfz728IxjVQ2A9duxLb+zTmcyg/gLOYMYBeom
oCIKtFmYcxIT6pCE6FB9VkB5oE/0qltRLX/cRwTUS+CFOEC5kO5jAAQSdjg1gESkFmIBQ/jSPrdT
+qLJDDfVfvW55eMCXaYKxoIvHtHM8QpQFc0rKrkpqah0RvbKQFSGAh2ixpH7xh+V0B3JOH9uIIgS
pUF4P73XLYGGVO9WSoeT5GIoAgC5qsohKkYF1wJAQkyRe34qw0pIgCfpHCKWDm96OApqOCCrgRRJ
sIN74h6btklHTFD4nJmUMD4FJVklJMYRFWHUkz5XFrI+pqgM1IS0BZeoD07LLmXqAyXD6PCrv8BH
pMOHqSiOvjWOCKZUYI3x1KVfli2Mi2dYF8fqdYxRpQYhRpCG0JEiMkCCbH0eDaCKlQwTqKUCYQ7U
GGquX0ZvXCJ1JKdxRa77XxmBu8XUanQDcJImEI6hKSAbiriqhVkNxT3xSkc4RTFRu2oxGb7XN/CQ
Xuq0PH8STjplpUbESbBErHVCnfxZr1C9MYzRdnjkI2MqTaE2RxdValElRe4r9AN1RY8imxZhyB8F
GJ6Etc7YUo/fgQdyMSCJUkoXK41btf5VHSQXTRbYXvnOVv3TgDGAhG4OQOgOw7nxgjrsXpsSqGpd
zr2bhz3np+GrK+xcBUOfsH2fxEQygnD9KWeStEnApoC8qx4dhsXFPbUrJpokEunRT1AOZ2a0BeWl
w0RSBl3ngX/CAhEhZgZIEo2H3OZc9aDXlkGwXObDJbZLfqBQsnz0w4BL21KQHxBkkOWThL8DbDBU
RooHyZD8CdDYdxAjShYRvzKnNI71EhXORihC26DQIPqRoPggI8voyKD27XST5DADUZ/BjbDHif1L
hfq1Njfkjx0OuQI2nBf8oW6SLdFZxgEQg6fah8rBn2CpQh1QQUvZGaczkndX7ji96bGd+dOHbkMI
DIEegiNGoL44lsYyESwyuWCDRftdBhPx1Q7uwCsDk8NZA8D7Q3igpfHKzgo01YR8SW5W8NEZTiRE
1OfV+JT078G2XC/BZK2s/AmKmmoYPHKqS2UzWuCErEX9wAElKl20Gtu4QEL5qBv9DkR199Flr0Ag
a/ZQYi1LwgRF6AsI34KifyEibipVHCWJNNnE0EuGpCu89IGIoWT54PhWHg4/HPGdl9xXOWMf0slB
M/ENcVaQ7yFgVI9lGunbT4JhvpQhbTYw4jmEWeBKJkkhWeCAcBeomaB6Fr6kYC+xSLCQhvxwjgrk
5lJoGrJmqFMbRJOm0ijeSnk4xFFLQtOiDEipG/SP5lcWZdKhwrTpkhziXMAswqYAukd7hwUK0zhb
A8xVhcQEvNFEmPU+LPyQngAciAPsMkkkHeRLJhQSVDGdawmCVe2H7PUJ/cENAOCISAINcYWPZFP/
yyT458kmm6LJnfFPDhwWMf91svnY2bW2rTNNNuEXI52htA5AGDTt2sYoVc8JWfSnsQ4JLyezX5U1
k/TIPkhlbUmjh6baUeVoX92QBSKbRYMXtQgoHUXM0zA7AwDAZV1EGoTq0YmyGtaY/VoK5Wh16l7M
AMBoZrmpSSoebU6SNZHw1IXq1sjgMcEEwkwJyuivHoUETZNrWSzkl5EqoFaGH4hBMiEES8OQBwgZ
Sf01zzX4kRazFo5k3dKYUx+/w0s1FeRKyNQ2iZkSzIWYbMkwNlxka2MRk6cuZQa5vhjLK/JBas0R
UaqKKn3F1YrSwu0+HTBAiuPKzUDOGSYBWWs6AYWRb1AF7Zc33DYLbmA0K6+Uyx9HnGr0Ux+XBvjt
HDMkF56guDN1MxNPfpB1/qQiUeR5QjeRbHOFKPOR8NgJ1IkClBeA1VHVSbjDMQsurI+oPtLqniEp
UR2MEHP1GJpQukKlrBeZxpFYLICiGyopn4d66lJ5QvQFxVXFTMLGoWunsWkEHShAkihAISRakG3I
EFJCHUGFdH0CCZLaR7hDkrC3CqleUgRUMYFi4qLkjvyq+A8rTxhzW5XRnhuEVWCXBueXYBBVKxiL
4LJUgLqd+gu6eQQ5pKCWaAYAoVzyHEKBJv1AVu0XLL9CQo8SF8iq0rWpgdU6UVPUWJE5pzqRoFqE
GqTn/6xfmq3/eTxB/uHWOXvT4yRnA8a/+bLYkX7f2X3jH24OHybP7PSCx5+15EcWHPSPGTvr9J6S
Rr8bfcSsk77+Sh96h+uH7Dy4+0rSl7gZRqxXIRrVnj3yiPPwZsTqU96DzKPQ633CKtTDnGfUiJE3
/Gtyk7qP7DI467E9VZNwQdxNFiz2XrINXfwdRk/DLzykTwWb/RVsmph8ssM4e7O49oAlngStztje
PLpuJs/+kPwUr9Fn2iB49Tw7DTp9PZnQiXZhfztinWPciV4L4ljVJmFFEC7J92IX/iQKD+7C/XJ3
u0+7913HRmPJw6o9JyCUNEfdxdn9T/ZCBIlV9YwpLwHbbbiH9LK87L3nrVQO3OP91eitaN7zBPyu
vCk+ZuchobuyMZQ79yLrZq89dqCLttVrr5G++uwhGLLLP5tvx7xpybExdvCc7foP/WQzYk/7zqA7
bpXvs21xnjblt+y4jzvCSGWLTSwCAjzEx1iNUj7Dikb1Q0g0ZY/29Jg/x7hN8wtWqLIFf95YEl15
uiMYM2ni+d6XP4OfeSPpFK1ep+A5j/isam3+JazAzvz/b1j6i9z8bVg6fLdfX86PyM1H1hzuqhYR
hEden9U/9TujfcEbtJJHYqLns8aIp4YJYT7eTi/im7h520k+xxfRR+98zt52vcucFcSs2w3St/iF
UBAB3KIbPvlN0SbCsJ+20zYeCrYgZ+0u8czyNecFImVj8USk5jnf53uikbwAp7EP3tnbiIWeEfs6
3bINYn+bjdhRMjrhQN6lzWR4MWA/MccqVwJsyfZ643lAPm+kI17769m8INn2b6Kn6zcWFbc87yAu
NmUnHHzmXXcKeFNZzE4g5fuEd1bnbJrL21NLeNqKzpJ8Nz1kPB5cHqe0H29muBx/kHZz21xcLHdR
sgnWF+m/WAVtMfd/bII/mf/3bRw6F6fv55vt8dLdXO8LNnF/W/M+LcLbDxu3SJ+yn/yy93BNcLik
AyS78qX8yn+y17w1+Mya/W65K9hDJLsY7umS7J/WZ5P4Szj7igN/n1z0eL9djwhruumzPPgifckP
+bCT0mM/49fyIXgJJuf9m2ofd9PH+Dz92vtm+c9aiQDVvxD4tyWZze+n7uHzEqOHLdF63/TnQ7Yj
vkMUGylh0fPwIqGlWDSw89FN8EaGp5L98UbteEZgK9kWh+yRmAqh+bidPSQd+v759J0IO8Hi9+Q9
2Qf9TZl+5ucJe+mE3Sq9SVk4EO2yN3+De/7D8xBGyXt4Vi/+pviJUWo8YXKxuOh1z/x7fjV4z5+K
Q/ESsQyyAefaxVmKDG9CpJQXdPa61a7cBq+jY3zsdaKbdclC5W/Cqc/jd+LyF/1dfoVe653mO2K9
zcWHlkS0h6fZdtwaft7D8OydeNYVyvdn67Qi4iNuTC8ThYY6fVRGdPRnQ94J9Fo8DJvhMeY1EYC9
403F+ffgDpthkz1P2wGuPZ5Hnj+vd0Qxb/rWruXhnsWjLxfsNuBa/VU3bGXsd+Na6Q2rwa/3+Ymw
y7N7i1v+jh2qkxbLKW6in+FNwcscy7crdhhIPoqv+CH6dmymAY+RAkLTL2NeZF2wC8J++j046+9S
tod+Gr/fakHFW0roumgWb8vO5JC3p4+Lb0c49XrTfy0PGf0oOxEpbSWH9DttAXt0liQPozdYw3sF
ex93jYFPzjPe/uuGm+iYt1lHxt6GC9bBseCcla1PI/aY6DUKRfxaSTN/jG/8IZ8kjYDwFcHBZB9v
+hmj6WG6CZZvTB1GzIFfCJgTjU7/WXTPm//XXv9L3/xbxPmwaTZ5Bc3p0jXym7IzavR5UoYBqMlg
s7m+JJ74Gn0VRxZVlawPKJ/C6DT9KLusM/lk6cVz/2bwXW6yizve0D3eVCeWo1Xt9aH3OWDlR/FQ
PrIQpRvxHNfGPeQs3J08VNuBPZ/XzL5YFJxcVoPnafzN/JcdzbruPDut4f+X2/feBt1sm7ejQ3oV
8fa6yUt0lrPpXHKTf0x5I9fdSx8mFxdlu9/qP95e9W/6P1mDhRYXqJlRa7atjikKc9AtNv3u/CNn
q7WLMUv8r8rdtJF+xk3ab3e3ZYXILuqOjiyY+BfOtlsdBSD/R++xD84lm9brTT9/C2a39+/f3cYN
eo+tjEted3K6Z1rEEBR+ewzMaBHM2AWGhQ0EAN3sE2fNPi0XwSINr/DURR9u1nGLcsb87crzRlAe
Y5xdygtXTvoozmN4NyYEt0ByghkvnHJvmPdfPsUW2LlofJcyiUjdPsIwjCYR70H1z2Nejk1VB1K2
QfDjUACb9BOffur6i/44OmfKtXF3m/CuPIZyKi3Kdtz0vBwv+wp+okUpfxLevwlRmDe3+PY88aNc
MzxQ++JtzRsqso+QZ9Rp2WduEFvjgUoX5VfhW/hcfEVv4REPxtP6LeRt5P4zunQTHjHkDRcTttNq
l+/AhxMTdt8KNpNjpky8XGX4joP1pMcJH/FYMX0++Eae8wZkijKAUXxbJhPgYb4uD27JfveuHbbD
g2e9R9Isl83qI2lEPGjGdHh7vXzJCVQHy/P0iYw/gyU/PtecmgfX/QH/wFXvmNzw5Et+5XmRe5Bc
4SJgD6Lg2Qdblwyf/TM3O+mVf5OrZsh7NbB3zQEl49crGofdjLltd5Zc1Aa+7GJcaXII1ea1/WBC
a94706wGm3uiL+x3TXIxtbHHsfD1IYs8wxHzDmZcNu9kpsBUQfMvzdPki8Tg16F4RaVZKX+auJFb
9+sQBqd2AEdzB9WK+V+7F+uKZNbXtahwPbvWlApUKMHMhi9Nc1WY0pR3OG+Zo9QzEkKi3NCEvPZg
06YW+yrldq4hqGg92bWQnVzRVnXUQcJY+vHizpgs8cGzKecmdVuOX18nd1S1xFHVMOO34KyCqyIK
DC1Wiy8dR4DSYBpzJ8oARXVbIl9GizIwvSmDL8M6KsfgI5SYhQm+PNB9fcnrzQxYfIiisfAX7wVP
IHRK71QN+jCJJBKuODhAxEbyQf2ijPCfl/R+5TLwJDGlOvPH8BiW9oqXjmJSs28vRCG/zkguawSI
VWxhwpVkh4nbRK4eHZIhwo2PmrgiZnL26DA3sN0lA3+zBHeLyqhJhwonM9m2C+Wuy4gkjkQ/NtXN
g8nE0spAjWT36mo4hw44IDLFDLlBuC/XcETleXCCk/ypFG5ivGo4u9VnuMyZY6oiFRNPOVG7GGus
joBUi8hJaOPCTXECqY2FhNobDoO6RABu1rJgzazWKBeCh5pVDTVlQpRWgST0GQWEKAzIVS+XiKj9
ouZEor6S4ICigBEAFJr0cTVdX6c13iK9jr6AgImB0mlmvDx1ISsogBDPwQkpEhahA6AJ/zXThEst
lWKPzkz+GTCEWC3zFBeSalZSDLaSdJQS9YBuUsNRlTrwSlFY6zwQU+MfBDM2SCrhi7mcaQ98BTEO
GbtUKbWkNAPfYrAJD99gop4hYklHFaAM+pBrnYaKDa0OHQUCrZ+oqLwIUhtUJ/rlTzBWgwe58EiN
4ZyCm+plYqJWb1gjKLuOxORaZzBbR6nFFkzGKiLzUna1lwpYKg9tUoH0V7UDYqI0IBMZNc5zkRqC
NHwfpMGHdFKrVPFSDXd8rP+SrHNjiDUppEP+H35ExAzoYC75gMv6z8Uc+SnhNmhYUNmcjIYa0U95
0vBPgqx8WGRj6BUFcgjpmwNhV+AIpOsbBJfqG/r2bsptOZGQJzmSCm4+mz/M4Ci19la6KZ46suDL
1g8H0UkRZhKk9tehtgSLUDE+Ao4InomXCSVibsSLRFuJITEyJhvCItzIt3s1JGMTiIMQt4yz4g6q
o5zQqGp8jQnwC7lZNBzdzRgotji5H9WWOkQbhMpPaIwhhmm3WlBHijnGqILFQVKjBqUuSbQNx7oY
JC+kOZFTnfkUdSLZcmI4A9yvFOD1UvloscAIU3uBCbd/m4TAIMigM+Rv1kok1QgQ+ttC1xrb5Ebm
UMhcZU0i8VvLdU10U/iCeQxxdkyFphq04t/aMDZiLSTzm8xtBWTr9ufXDnGIQ/c0vld811n40aIY
dXZDElkfgwsQUkZQ8Rr6jOd/BlKNQeanFV+BAxDgihKI1TVXsFGrNnQYfcqDv7luQCPahAFU4KCY
g6o3XlI7TzSbLAQAjdNVNKg5AwQcpi6EvcYn8yaTRSSpSjvM6Y9gT2Gg61lTQwVoReUdoB8sL728
4m9FKRrTlpnUzukvYApiXb9YZMTyQjQDXteSKkxNLlA38hENIapzMenFW7kY0DSROlpF4f867DlX
cXJq8RG36gUYBHmRO0Y/v0SJr/kVh+tqvygj7znlpogGsi5iJZeZnLU61HGJAdP1FcSUE1dFuce6
KhiP/FT8Cg2No9QpNQm/aQnXlyYUMnCi4scNKihUE6oy9aSp2wM7PMgBLYpAjQFJi4USxVRNsKyn
UcNKKioGgBoftJBNYlIcikmDsP92xG9//d5gWo/pCnmCdeavuUfBSqJVwxVXjV/WKn1TkRvSeIsd
yz8qo5/g41z8siUiIhsck3rVDCjzOjs+IAHEld2rEQKlEIRITU3FpxVSYVwT7lIDwlsH4Uziy9+6
TqRRxQLLaNlCqDBXPLTIMFEJDBar2ZZYQYtJIlApqohnHagEiPJKlarzUFyIgrcaUBKl/MlvH1cL
wk11YmMr0W2KYkqTl+U+LuOeFtz8io50e02D2Rx+a0iDhgppLkHFr07Bbgt6q3KxgkqFu5FOVVaD
ygpTkB5aFlg7+o3bAk7MVOSBg1Mhp9L8zq1+XQmu+FnHjmNw44oVDMqG3EWBupKykyxBUgsiXEQb
rGDIihGogUxCe1Nl4hBUwaWfSWjrxWUqSWd0kYAgNqIHxklFcaaAl8mL0hSiGqR0K92RBgGI3dSa
C9HLZRVbn6hUE6OSsKwPZQylWjEnZL6psCNcpdYBF43YKesabcAwuMJDDWechAIqFTNqsbC6jXpl
Eo6GLr+VuiHIEYWDUrQGvVYmM1VwhT4i8zhiNwhMAZZQYQuRATzVsXUg2AyWZBOeUqpKBgCQbCyS
xckYhCpABg0etzXM7mzOQqrBM7sMwAK7sGGOHmfUPIuW3wPQNpqiVsw4MBMcEHbUY7VIq+eNMiW1
jEzIsdgXYsY/UGXLx8CPuKBYisiw+sU+3LJRVhaCDeLWRqZCySBxkIDWUgw4ipMTAZDooJJI4TB+
My0DQZvnWd+ASPU2GGzoUQyapFlldKg61ajSWjBqF6bdBJD+ITGs+KcEvbDGAXt/OVwSLyPOxw2i
YuRT3wRnHaKFWriw0axSQh8TUh8TRokaYTiKC3MRYqvkNla98ngnbaweqpU/1p+kOqwWC3mSUwOb
DRVajwQFUgmqX6FMFaS/0jk5gccM1v6KdOuhiiFjSVqWulOryxktRjFKh74JLFC0OtF6Unx0BT7J
UuoQ8xiAgmGch/GMPNKJwkF1M3rYZa1ASNI4oVv8j9S/0UfiUK05pK6kaMhhfU901A2QoCANHVLI
LIbjVNAhoVYBQcaaYznjL3xlYWyDazEjG+qoJaR4WTvfAjJdhexKozS6LXyQZChdX46hRvJnmHFF
Q8FqRF5r1KyApI0zWKtmthYVWXV13EGg+bYkFa2FhwzCXBx91i91mf0pseQQw+AkdcFTn2ptm5Ig
MBeTjCnUOiUdWVEPrWRUIum6pjNUtWgNyMHiEL4EwYoKU63Don3XiDB6phIWyick+VbEOxixLke9
izu/qAMR+OBkS/UFEa6QZ6Q8jJPUYNJH7cpWKSta2ijh5PcgzRTZf9mrE+5Wug8LUUcUV1+2w8fC
ilQ6hdhhfdXwNekAbcQevVnPW8kDOHT872BqQJADa08aFjjSWJq+aNYGPfR45hh/TD9KvFI2P6jn
XkiXRtvKwMg4AlUzzcN7lgzSUKXN6cFYekPUkgddAxoc3BcdIliLbXU+oTopXy5MZsgvlJgpK4lP
pUchfhfIwgmb/lCrykqLqR01vpq2E6ganMYKq2igtRtqfUQADJhYo2xtPSNJgg+rCaZYX9FEmiQp
dpVJJY5KoAgIai4gibJqwVieBLkNKHNfE+bGYpLVBy0ax+NfU0m6AckRv6z5kYBfa0EpKCcEzLCp
WH8jzKmHijm0QqKWUprMtLMoBi9MVrLoGQH1TyFKik7ow6aY5EMwoJaoTNbjrNEk28oEjjWRWnqs
LKq1vhlL/dUaEwAQqNv89NTxtR7HpNj0Ezck+JIpoTOwtcRICa1CNi2zxYBmlq1yv9Yb3FBHYrjQ
IMrzAlRd1f3UKMcu42OHaSzjhvqlIe1YgAg6puPqFl/Q7gbRFbzB2c2nKiW50IRfVBkAkERa/jCf
eNszXhuZgUwcyK5eIY+s1SukIUB0STnUwwp3ahaTM7yHk8oFyaJb4mU/Vp1xwvAlpxQXLgJ9MKG4
b5JJ0alopK1tPsMNZbRm5luHJsDSrPL70CPF3LrDMUsX0wcSPKNSnZA175rUGKXQg+yJINNlFb8a
RTAGagIQEk30OWy6RyHu1gImnKqaHDM6QUp4WWbIss4sKjhs+ABB9YyKfmXJoAQvrB7rmlJANo+y
Krhn9mqlDEw/wVZ8+8VKvEvHmEUAU7p4h/OzAvm6BUU1ddeztNq2TVdMWlKmeXRjKv6iBssrPKCj
YniJTb+u3IrZUiyXkVQK/3y2PBq8DSgdrVA03NpQ5CTbaxXtmIWTCHKyzrSxmDBTv+OravgqInZM
GZ6hgAy6H16yBx584IKMYDEmAQAUYoH/r1aTMgeBaU2IMc+cf7JVjIei1cnfVvtfjbviGjNfvowx
mInAk04Vm+jnNhIgIUqo78Eb0FRh+TV0n3rH8haKP3xsWkyjqrC0mt2QNwfVyyVlqIxEGl7dyGqo
SVcRdTb+pblLHluTGpRvFForkDRp/O1/giLVoXYzt6biGYgpPq3aHlfb69ktNas+kF6BbB+XBZE9
6gIselV1G/PHFKZeXQopoVJjZwD64hSrn0Pm8NY9JfgCq/xCRYeRXZ/qW3LEHU1VaDdaX7vNESnX
MzEV+87pkRha9zzHPof1D1rKcs7Zjg0PNcoYGgwscttE4wewuSNN3DEuWu11PrHL+KRGlnfV1JYw
ExdhyK/nVHxlCbsNw/L61Z5WEsVxzYxUJZcaDTV4m2d4Jk8z1xo7FUOaYOGLOzrkWCefOeJ+x3da
2YwX1fVH/ML8y9Y+4C9gIq7mm1S5VirSFKYXxTi5gUxApDMltHxJACpjqd2yzm7stUecKIDaJAtW
VmXGkRoFNuPLELvpljTB7/8mZPkZ51hOjE9snakumI7HuGsQ5LsxPGUTQJfe8QPPx9AzpnVEl+RG
jRB1Z83sxf0ELCE7DnesC2Al/nLLIucnN+sSCy0H4467K/tdJGRBUHY2IfLsJlsis1+zZ/+Y9pHX
HfHVyeQxPhI2Xeo5AXaKcjO24AsXZ0R6PwPec+SDi4PgfXtMKaAhK5C1+uJZI54wf3GLqM/KO1i4
9U1/Ck7BIZyx5y9/Ctzhm1dM9jt+c62M0MAkp0IeG+azKL9DpA/OvQXj13HLE6ZT/d8UpJ7+HfoS
qPLoSRppZoJO8kPPqLLPzaoarKYDHuh1XKSrVbyKK05gl8AT9TjLLvv8EB2DPOLmjUSUUD199IwY
OCE+4lH2oKgUSP/c0RaPAW+0I4qwGgyYVU2LwQBTi8qYxC1wZ+bSc300GnZEwbPyL9riMmDnSh/j
zcVAJXzwMTmG37yy4cfv06fbbh+kVSdbFPsjH54BQjbH7C0aP3mez9YDKve8EtUPWOk7iAfofQuO
K4i947n3gCA2FFjbwDZCEWes8lrcPcjViWdrNWArQRe23Xzedif/7FpaMvwWfPni5HdpXOzXX9kp
G3wE8UdwCEDyqffiGv2zEEYig1VVvIfTz2zAfp4B77vKcmohxDke84zZajBl830fPnhmUsy4IRLp
W5QXs/0XzaQFAV/gU15EVzyMfhX/RK3sPQjWzJFzOD0jbvkVHUJWKJwCW8JAnTTXk0+f/Kf7QGLY
8BxABPAuIZEOToAOXpNno+ie37v5bVVo0OfhxsGAZh7A+aJHEzgWcNLLqqKY97LsmUdlcPrwJGpR
PDGNqoRoWeZ0vfew+AzfQ16NE/SJztCMEnV0jXpxeBnexD7XmtZ+mX4hFFqVcY63t9HjVVolor5j
U9sfN77TygrbiQC+jaub6JwdQTDLZCLS9ikPUaJyZRwwuH9Kh6A/Er/clyzWx4+mh3vm+AHXo6VM
Xz2B5mg7uWDnX2vgYI9o5aycCRgmbDLVe51eDRg3yIiZ6aePLNQgzsUowkA9qOJiug1OUzpRLCso
5CGadp6MrjPc2poG03VgAntpuY/ya/rIcjO2wfTxzm8DhnBEmUGOIR9/1hhxVHczWRRePnzGFZiF
vYK1Mv4Eb19ZifKpR2VG4I4BHQP8hyqom8YZNZ1n+y+AbFz/TlubtOcN+UIYudXH4/DT31/L4AJR
ijDX06xTdjaoz/UozyUz0kH8xYbDAGEPg5aPzt2YNyX5Fx9PB76Ya8CVPcTaWt2oxjwDSedZsecY
aRWNj3FvEDWsUnnOPt1O6y/btGDbo/xLQsxEOBlhZA6wdoalwe7uKazo58jVvBAmtyJQohUh76iB
Ho8bIUbyUT4VHX+IegiNm06RTQQvGQ2PbnI5uAr3/h7mCgPmQQSKcaZAIFsn+FeXNQmm8iCT3OE0
8HOO7z4mkNTjVaZ8UE+PvtcLp9MQsL1ebwtX2DfW0Z958ScAWBMV7ON2xPtxZbnjEctzGnpekHk0
2rHLCvuX+zPWGO/J73vXGVvyHt2SJgtoyE8aKWTSNUx+wk1w5q5fZXlBGs6lIVsa8ZRIMMSXHha9
W/zho/X1bTa/cQeAnLneO82mBqPS72D+7rJH9xyeh7dNx5sjooco+5V7j4rduvX66HoSNXxBoyHL
ccCDRTNbx/q2SZv1PryPOx6+JOcjdFz0xQqfU8Sr9frvxVWcf0UlW4izmKhsoubQHYfwg8/77Jix
pOiIFv+8P7Jy6BVqeS8oq28awSZiy4nrZc4amxHcxVCg48PoxF+/jHi57OI9fr9+Cq7ueI/6iG2D
o7Ng4z/9axU+9q76tz3mSWpxmjx9xgSrvjw7B8av4Q80sumtY0cOoZ/dkrFHKGP96s/oDEsZoSg0
BAm1wlBzCGWjqNWz9b5cP2YdSXrPX/sb529HbA0LJ/L1eu8bAxqAHuUkXARQfIayu3+IWS7d0wJM
KZwHdulmsRaKc7ZAJdJR0TLI4I+XxoO1/uR/PK+XdZ/O3aNJcPXRBQZVtbluEuqhO5sRL8HF03+N
EA3Xamj14V6RISLrb3o6O71r3tTx7cC1gwoNGqN8YvChbxkQhtiH7IORFt50w1VLT4vTsbEIzIjI
ecJtOOERVfkOGKpm+USrJNbD52sEniUDs1nJiJJ+l1+0NIOaBkOtFzt6U0EbHiyNq4qJxpjx7IdR
wFwzRGhrHR68saBNdgajgjC6d11/xSjNFuMBIz6zH0braSO8CuITA0bb7dLvGV0XOsLr0Yh1zEfQ
0ecpEps/HWqGWZB0SddjtVGNnhqvBh0GiauAyU3/Divihw2dIx7DfZmUj+O3kNZmSLnIsd5Yx4kS
ZRQbUDNK59Xd+muCKYpLohhJYoOl8yxsyJ8Xa6KNjzV8T9wKIZvSx7ohbYmy8iF7guJ2YMo4Tvsl
72sPVw16DjgS1L5frSD3JU5fSk24KkzL++kP3tdzf5vdmjTiiVGTDz4wFsmSru5vko7v3m7veP5g
U7LTC8/VMxtEib75uw9ESrNABjUat9KpY39CbvIyyajPC7wdA5+kiMpY5XcqeANwjhqGyVh+YhgK
l8LuHpcqssi8k0kOVsu0wqKkE1h/gJenZKuHkMvywzNfBHsG7i56mr5SLi6ZE9DWMfswBtu+NvIa
r+Ak5tb8MoNj9EN52q5iJGwxvqONQXWwSZjqEbnh2MQt9VT5uqqCnoGyx0DFbuaaFhBWnFXkqx74
o5OwNatvs1YYO4k3TbjbW/bMddfh7Tld85Cwa5f/ZtWf3CYZejLDNVrEg6275dViesxHIxWPYpFa
ZOHo3aFi28m7P5Wj3Qg3DyM7TV79hDsWBlJAKn2mkRxdQBdY5pMZNtEoyLLem56yRd0w1CcBaxev
whsfbFBiXyEKAhSe/fI9WF6Fy5twyOPD8bvigQAZrSnNYDPMnz3ZpJBYKssG7/PG8HXSENVFzBtU
42OhEfssotwoeYyH2zjgbRnxaBN9T9FkGz32SBQjWI8AcnTPXG7jpQGVPnj1SSPw7+7GhcdAG8C7
9r2slUJTm9dwcIi8n+Nj6jH2rQt2/w7nPKt8nWQZD4p+u1vmdwxNzL1Qg/PwOkMBQ91NmGTXjHCF
n+KFn04Z2WAlI9dyyGiTFdPVNljdr+5PnofTGQIJWTDqzK/ZvtUl+fp2xLLMbzeke8cdT/e9/47u
waKFzISsAnWTTdAJ8NVi4kb0K8bx6Zmb7H2HOaBGYnR8lg0naCz0OWLZz59czlrq4ZNba1rArBAf
S5XOJu88prueDLETNe4cPWYs7zANL9FWWmg3SpbMQFhYN/l2wTb9CPuXfemyD1bJMtbtkHB6ZBo1
WMT3xlraRTl+8WOcsci+rTVh3XTHPabs73SK3jE2d64dfwUdfp/ccO8PLh+ulzwQvUQMjn6btnna
7bqHrfHqeuwJsorPklYUjrJegcCu12idPWZ/kU6nBWM+CPJ4KS8fiMPefIDVMJ/2zlxyzuhEbPi6
Ny1um2z5jl4cBk162q2CIy790bA3vfC3yXoTBLcoLYSt54sKVfMRhCGDqld7jxDcxM/9Op99hAHy
fPLzalpk6x62ukd2R5gcj74dfiQdeJRcuCH2AFvqM4D2RsxOJ8MJ7dh0tLKMbp46Q0t4tmxmMqiO
WWiGtHNJdqVG3MrOvIuwzsJgmTHyzYn23EXpVdB1m3gax2OwlyaLV8zWGL8QvhEy3AtXVfbueleu
xZSH/WjJFrrMFx+BK9qut0YbDFgh/Qo4dA0APlGFPG5fRWPGD1Q4rehu2U1ME4l+sHD3P35Aq1Yn
VOAAQ66YDsZv6MX4k/EzZuSKe1kR3t6v0gqjmZmdRbSru8UhGnyGIa/+Chue13GGNBWK+4QjJ2Wl
U8qDZoMK7074zX4CT36qCRx7g1D+EJyw2p6Z0VbQ0esd0q3D0qS3DIeXcOYsuF6vcawktzz1Tjtj
Noasn2Rgb0LCOzzNcoQjb8qAY3U3kwvsk4DtqX2Ch3XU5bn6dxcSwURsEqyRM55cZMXDNByeOQyL
bH2LMM63rofReN3D9iZDfJ+mml6zfCcKpwzbxTxqMG2lDdIIm63vUu35oPFx5cgZ8YhSHI6QI++r
eI/O8jSFnx4CTXx8RvveXvM0/n0/bQWjNSp6mjI3idLebTGdQG4Cw7Cyn5HkomhQtsCHPgqu6GMu
C5JzBis01RWf6zAcu1set+iNephIGPH0iF54jLBcs1P4H8LOq8dxJFjWv4gAvXmVRNE7UbZfiDbT
FI0kyptff77qA9y7O2cwi8XsuB41TVVWZGRmBK8dUC5PQWKkN+UxKMbpBjVC4pZJjBmn91FZs0q/
o5TALIKigGrFmdgSJe3YiZdidH17GW0e+/GYQFku3p8TXv4huLkV6Rmm64fRu4SQHE4744tHO4w5
rcfYIlyzE1H1vB/pw0Rh7u3odpNu4jfTgh1wC2QgHmmniAY0xBMHYGXE8LoUgA0J/EXxxb4RgeI6
1kYWB9IX8e7nDyZ81EggYYtxvcROpYnSjqqZmfp6qqK+tr2Pn/Uoqj/olS/EBKM9pu/d4bxp+G/c
EgbYntwou5ZnIIIJwaKZcHsA/3bEQ/zpWomQjcAiicslfzpXtN6Lfnn+CS+IfPNde38GQxgesi7D
mc470yYvxdESyQcx9L/Q5dGWOIAV0FqKUowggqrcojr3cuWfJliWJzBm1CVkW7nLscCxyYkrcsUZ
MUpcBA09P88i+uJcFScrXTHxKP66TQ88Am6ME+5OX34z4WAvBCsh+BMghJRdXX5xYfE/YLYkMQ0t
xiHgiWhAjRgNfobX9wuKQe0Ef4fJRz+F2spRMiEWAOsF0TIPJEGXei2PdyxBWIjGtmiN/5oYU3iw
8MXsAVYfPBZO/92HSEz6xT3aLg6r3Wpyb8fWXPcX9vSLw4aTh5eXHN8FKYIbNs3hBDwxTgD9oU1/
KCvdUz28UpkuwAuCHETkOhOuFTiViKOHrDW7RDW4WIF5ycQlXF11DEWhkDI0vuzimsUnXMcG/wor
XVYIUxKTNNykNZiBGFLyTsNUhOaDG8ECous4Mmf2mONtontwOvNfQbKPl0Upsj7YRsmdkpNdJmLI
kH9A+hOtG9r5Qfol4eM5+vLhHieRwTIWl3NhMa/FtISQH/jfR9MTt8KUI4DVxcnjjpkTSbhhzmXy
B8JMWYqTgi/yv+EDeVLgLk6SyNcy1iiLyeWM4RsyIMXRMhasVCjg2E8vNDMaX/dxEW68mGMoOnNm
M+MyEcNVA2u9RF9jIsayf44WRjcKGnNvk+XATv/ywzycRJxF0dd+DJRg5Qpawic+ijmTr+V3yVYJ
07D8In0ChJnJ8spkSHT0bbcQl4CL34RUV5p8f38/udiWUVes4MfbUBVxWAWnHILdXOBPNatjfXIZ
2fwf90qiWs2onh3fOGPi9y2BsZuo0cBVD5jN8otdtnUbgMuVgTBGlLngb3W1FdF08Q6EteEIIGrU
aJES9Tf3ySaW2TXfQFmxU0Xzbspp+zb9GZn5TlGu4dEXKJNcWcEgJE4WTgNeKdlaA773ZkeOXcja
ImIPFykbnzjJ7+CHr/TLkyZkcsgIEp+5prH0jeYhLJn5TskHrxNqV5nCsV6YFHqxNBkQnJ5diEDi
F+rdkTQFIqRHv3Ird8swHsCOeGp/nMbqCBV0xvKGkeRVo/fXeKFwkOHHPHIIXFcCz368vEz2wrQN
Nk7QuAjBMk4kINrP3REav0DNdzYkbwgrFYLaMIKX4NZwWANrMk8HA8zUgwXUqqfE+n3CkVdU3D6p
+vjrC9RM8BL7j69a/gAzMb/zyO4F843taBs/ver9Atch/cd0smro/zEo9ptG6Ot4GA7PG0N4dj85
sBXm1+9uZodoLb8fios9ctrxjrluJEuj7WQ7PUXe4DeLbXZdPAL5gUnb2MCtJzoxm+wff+3LU4kJ
eXjbjnCkul2YR8bIbtUtHKaya18F1S6ZQA0fEbPrqESjWN1MbyRFpJznxOBL6tlxufO11evjElqp
nVdf2GMx5qm7UmqyFj8cD1l7X0pvH2g+zxjAxwWBWVfGOqW5idgmzkTzVypHFlPLn1JyRiBz755w
tXk/5NvIXvXFsHA2dnKN6vIaqb7Fllk8o122K0/JJTmuulUtBlBjIZl5iPRZXbbhudyBgJrpaXHt
xgyeY+SKDxOGgajeT9V4nw7LLSq2zJS7TaDnSqqhdYxXxSd03CtUAzk4xn3aBIxK+/uyS5gjvi13
X4evftb6h0BlgFD3hwTl26DJpaR3TWs0oA1r5WbKiWrFN5CY15aPSHdRB10xWuqhrJrUxc49Fs5U
DS0UjhEHZRTUQgd5mxjZLcY/dWqGiGXzsxgIthO8xQt8ScI+OSWMIi50hkxP3vatf2vrcW+Oq3bc
BNu3lrNdnXGWRNpcn/3HdKL959lEJhMxj8U5ErH0f+m0qNZ1qG+KbIxaZLm7SE12EXP5cnohpKQo
G3/ZSX8Qr/XSjKw13k0InN+9F3rcZ8+ZXtNAwhGwmyiR8bHNHhHLgLl5bcKQclOgUhsyIBpUzFpu
46oQw6FSNjBsHDx8IRPOcG5aJyfEupngLOoGH65XJIiLvW8GV++YtKz1Jr9Hx0D3JU8v5U8mgudy
cPhkecZqxgvFF6/NWIyvVJk1aNbqOdrrb709qsPdos/OyY4CCDreM1zNgmZRoxZuza7YeKXSeDc2
XK/174Xiai6m9oyW9m9dKeWn5IiS6246/NouelYCiI7Z3mp2jnQmWLNT0haHskcie+trIfLefhuq
WIJnz1WdfTuY0hEnIF0ifTeSEBk/fhiBkR9X1mQXTeTZI3dKdWaV5hsKy9M6u34YGhjt76/W+qPc
K4ZDwhAUI09NBJt/yL22TffaPW4vg8FShBpYg3oiilBKMFGyevmcXb9fa71ARThXbiMcbVAj342V
ZtTn+hK1A4JK/QYdlYyQwPCdRErUAJH3GEFfCLz14zS6ftYozr8QVZe8rQ+u87czTOBB9xqZDWaI
fFYKIva6kunmBRvbPy1kX2IjO+it//12zT/Hzv9/u78N2daS9LSMA7d7+dQLqxQK14pfJcxnc3Qw
gs60+LTylGhHVNOLPn7E5qxi+l5eNiHONu42IyxGR4Ij95sfvCrfTmCaOlRCuuAQD+8DjiqBuR7S
K7+5eLf0ldzgXB7JIbst2jd11qz+fkuq+Uc9gX+8wt/OA8sacD3u2ZwY+62dDLVoX2UC20xwlInV
9IRAMQ4uIrhMqoS59vS4MoL7ErtFfMmsXNoYXwQsBp0ZGmea1hq91ja+Y8tXcMsddEeUCAuTEJPQ
N/zLSjvflvyJz/GxK8z3zjfiS37JH0EVdn4TVkHVuiYm2TBp++kDkfHghF4yZwH7SEvqoF2ZcR04
yQHlisvyHtwDOXplKH/ML4UcVRkSJD41jKWRPEInNcNh3jMDrsT4RZ7HdaJOXsWDM0Oo/Wt+jXZI
x9GGCHXBopvv/W2qfw7v1xgX7fS2vGZH5rcPAdUtlh+i3b7loXBe6J8jHxub2Q6QhjIMvguqqzHZ
bc6wlqtHDrtQQ2V+Oz9/n9ng1o9cPpGOMfAj5wJHFc5w5XE1OX5E1lxNhb41DtgIQeO+/I6MzLd5
4nhTPqVgFxgkfJgB8OCtryvHjT5V/Q6BdbFseqwInrETMp2+tkLsHtnofXReoHPhP2YnYYrgHfiO
CroXqFx4jme5jXvlqTYIu2vRJZQ/n0i76ISli3cOukxz2+IYKYH0H1tH1eU/4Q7LMTSczgzV/lGO
/keoOOz72/4lP9GKKK3ygDP7kUL8fYlDaygRzufB4M/me2wJKYxCXqw28mQYba6TM5USql5YjDJI
3v0KSJmeY2jGfvxTtF7b4fqCpo3oKmCmP5bHdboDuVHihYT+FT8noF/6jea6O69deBNRuD4cRiss
DRMKIrI+4es8qIgoXanAwudEqakfi24Wh1Z8K4VZC3eeM4YCOI1TZRzePCqRLqWwkvzc8zp43OVr
fAxOYMf3c6x/usYYzrQa9X6f8qazPiHXAOapIWgeeEVKZnoWuVX28qePieiEiNrk6+Au9RTzyFEf
LIWSj0FCgsFrsNwmKsRs66agegiscdkm/m5S9kno5jXfXwwfDaNy74XGuNwjXAUXd3dfcH83wHFR
hOk5HlLU2dD8JBcyNuQUs9bT5tf/QJeK9kcF+n+85d+iyWk4mWetVoSmfovSCCocqV4cvkFtp9jK
1EIgrR1C8q91P3+sh+CQglM4yPtMDc9LHfUQ0I6PC0g6OqHqg7F7wm/TYV4FbbafOLhwnFZaamOF
sXMfkc3Sxh6CTbYtTr86zCM6zBpu7Ou2PACX5NKMBUrQfDtwFruAxhHy4G1xjQ6r1r2hdy9jG6Eh
riRHiosyAx4admawITirY9IpNpQJPjCnT1w7BMxCQT06uGg5TCMjkAqJM2uH6cEAfBL75rbh8BYq
+3WGjWRgc+62C9wU0r+H7R8Zm9/kHthFJrJUeHxj1S122z9202l/dqS2ZjedkBFqfJt4PQS3zzra
krm/mWN1cf7elpgnGVMbfQxh+7L9AIymx2QHELJzbabgYFCHl8ia1cTELtG/Lv5tNESOa2Z1TohC
5cIdijo7IUDSxGa8zeS8metTfS3l10D9aN8QZvJboprpC5wCoeRr+YvE7bys/QPCMJ9bQPWutAAn
UqwIaSALgYS/PwrtD4o//3oUvwniVP2ptjSLhKZa1MhBPTiU77m56UlQolpUFTHC2ZfXNfYb29Et
YZ+G56xK9wmCU9Mzwkr7qbC5MMqKRJLSxH2kBP8R/RTlvy7yNwg8mK+2Pzw04cyA+RpSJyi4EGih
zOZWfEiuXhtz+UhXXeIKax1sTmLJ3y2FA4NGw4/wmgFrxOjZTPpM3JeC2w2tdjd/O6lDnczqFNWB
irmDDIISxi/iPhHVertHcnRncXfYsOwyZ2HwupH+R6Ls50Dmk4MhOn0Inw9j2vBRJ9C3EuI4QPPC
RB853jl++jB+3VSdtOFh2hcscTVSJyowS8v58+MUSxNUpXZTtJ9SI+jJtfpff3/NivyHLALDAU2x
BNbUAWH/XvJ6NViVrLLk2/g1Ucf1rMO1HHUfddSlO7efSh/iNW4zJTr/Oibbsnkz0hfuMkbUl3gg
h/fNFd8ObWIAootbpIVs+LVVvNjDdhY3Qb/c4dTj0OizK7duSUCvUsMzKVD4V3+ZamNsZbBlGT8j
0qe0DUkQd9n1nZyW57sPL5+X/Emr3Hl+9518F9vsiC4+xvvwiZGJQpnFTC60zn0fPxTXgHIJ7IUO
geZ//f1BWX8AdP96TuLv/xEa7n2jybXCc7rRFom3RzQETplMzfHZm4BTQ3lmfUk+FF8LMyyPp8ir
7Kl0Hki1urFE19Rl9NkBsfQRAAMNJ5yD3jw5EL1fn5DqzZjGhdVObOxV6/XjBUkcVHPpk2q6k6P/
97sx/rhx/vHWf8swnOFh7s/ircuhFdvIKmmlMb+PVY/QF6P8cmCnGOvHqgkPKdY+89pvkxofbW8P
60C0cW9oAVHD0UdKAWRKzPxU01vy/OxTyzNLJZWSuy9Tu6dH7O2U4iOUh9BBfpMdo9fm7zfz51D1
j5v5LX8Y9q2lPAfyB4SrQvgIn9obrWtaDI6MqtxJefaXUSUsq8ptZKUdQDTVywvuTXsXNbnQ2dzD
rcglc3XyX9mN84ez+18L57ez29budS9fuLo6xdJkoYbHmUAeqiux35e3T2zFwLLCXuucimujirqd
2e3o1oyOhN46PBY7DF+un0N+9oZy+ABdJ4dgi4tzZMOEYMkNxBbCdOf4PLUAeu10F6uTiyd5h6wp
lWAfV7NT4vi236iUGSyQojaxMjwZkytWz7TZbH9tf4ykGiyK4Newd1wco2Etox54WN4StlzWzQ/5
MXD+490pyh9k/f71eER8+se+2tm7571ueDzn76kBpkPEj4SXE/c2surJaV2/97FWOqWTmeQy0DSJ
GiLBtU3qVEYXssa8TBhpabPteD9pwOFN8orwilkOgRYZ/qPoEhujMAsLs71vJXWyz57rE1piq6o0
Ch6IDeq0wifs1zDCkCxR1+COb45ugIoUnCOLRA0K480uD4hOtUm1cPKmPC2qWZM+l1auv9kLLd8n
HaYxkidt7NTIxU7A6BuIdMC0SwpwgvovW6I/GU3x4EwTE2OcIVX7twN6r9lHU20EFUiWo+ILJbJM
pcQ0Z+1g4yXKS47/KuUUAExrFlyhBMwTR1yHmqadNzy30dmDibRwQUNoEtoGiiVtP0YX/5flVlBA
UlqLnAc4c/bqsA4FKnsBDS3sggx+QLxA5Gx0XxF6XJMTJYrnaKCKZvHg+L0nzVuu7e/7HYli1sT/
gWk4bNki6cF+8DcJ0XPn3I1hILlGG8p9LumPAbfyFKq3S2BM72H9zvleditM1L4R/9RG6gztquAh
TO9IhmdHD6Ne6FEzt+PrWv1WKD+27y/2WV0os/2qDk7LboGK58fxF0lfoK1AxYVJ7owGIDhCSptf
j0LeOCxAVBDjc4h6I/a3PrZ4M4NoZ3iuSCSt5CWP2kwh+8OwLTgH+wRn48RK7BjVUWhOPZEjzRW+
Vaw/Uu9wQHONPTdRcbi6opc3t7N9VC9uULWHuHdvyXV1DjEkd7tvZy4FLVlb+MhxxIovGK/OEU1M
JcFdwnHD4kJRopcHtra++qSbnhC9w/B9Kj5JTSeoHAY9lm5nLuHhbeElyh0b0Mr//rowx/6/b8uU
bctShIyarPwGqtX7fW/XGIURadAIkzIp270/Pjlf8qd3DS2OoKurTLIq1Itu2fhDIF0hvqrEfuNg
gnnUJldP806u6ywOWJ3tvytEVLUCccBPeb3/6LYTyYPpxfTNYrXhC5uIh9UEGg/6NVbGFLnY4ck1
VhWM20epPHkXEqV/v0vnDyQWq1FgKHzfZNn4bTvWSv2wh/ZnTUKfB9qkhshwYmuOfN33q4TQyXc4
rvVxCyFhZXuEUgd+ZtHCYJ09c2PNHjA4gmvuyybZR066g0Sp3+ygYVE+/KewSgue+T4yYLsqolmD
yKI5acZNjKngmwLZIgiXhh3azVWYi7OISIUDJS7l246CzYEKC3qiTx+Ezrmvz8C1Pr6yEE3RFter
vz+SP4GMfz2S36AlTuzK03rwSNCCS4EaRRskjzhR6EGhM3S6DfAXHr2m27G2vrpTJXr48zkLQXQJ
4z2E1/JrZNBy1bvuqxCQqZ73yyceu/2Y0Cxaayk4JU5wXjkYwNF/9ci7/+Dx/sTEWrbpmEKsWDUU
87e1O2jtTTYVEu/L2iC8OhQ0tRKN2eyKzGcdXb0OxhFosScTfETw5UWdityIksvXdjVEykzddKEz
hZpE6PIkbN3gvrtm9JxuFrwO3g18JP3BVn7yqtTGjxFiLNICagy+OTuHYEDkFIGMbHM1PWMYt6dB
4O8vSrX+kARYvA7UmBXF1IzfDenv90FzrnsO4f36HN5DubjEJywLGx9SEcdLsl3KHWd+xRKNSAHh
6QvOWah+UdQ6e9rshUGhvdklu7czwbXN5gIT4jMKpabmZl7lfBKI8hTUsA+ijnX0rrTNalHD4WJS
4v11oKZz4QFJ6XnRl8cfn1WDExw7Tp/0jPJDs9Tm0lcNdDLDS4AHHBUZHTFSCyvRl28wIDHEzDfg
IgiHcYthrJZ6oZX6m4Y3ppFhyAjreg2b2S3uUGh9pqBbymUv7skipJ6CM7Z6Q2AEh9U9pG7Cl7lV
XvlYgc7sfPjQ84a7bWK5FCUzc26Wx89dck803yEhqoMq28XP9TZtfQxIvWalJ69MEtqX0+GdMtZS
Xffp+3HO7mtD3CtfiFTDcRxjafEqGsROtxgdYu/5beQ3WENYRxJGAGpwA0FcQ5LXRQspY2JqCos9
uxT3jLaU02N0+3UuT2+XbnS2RbWL04TvXt5R0b1fRqfE9O2o3o4O5TGjuCGJ76pOqWWTe9ynnuLZ
GVD9TeH5oN1cVG/7tfHVZZdfpv+cH7NdhnrqqoWFAPqk3cpO9wuHxvVW2IF+/Rce1FT9D4mWyEb/
H6P5GyDsnsPV3tpXg0Kdybs5wwZTiAGEnagI3lC+xUU2e0A9V1ASNUSX4Qu30Sql2hMf0m1oBWTS
VPBw9kVJPLWDDtB9jSjUsDQRjryyeNCZJbnvED49JLBTwR3bXmrEwbDWhe1g5qR6ruddKqWAuATC
5+Wr6ctHrvweaplTGrjJmilGpUS2OmSZZhbrRlsf3rtlDUHewTs3fgPDMJAwXRBatVigGgsDKXNY
M53CxSk68bd6KApqbQYjh2LwTYDU6QOZ5Cuplqj1Iv5L4Zb6W7QjD99Nn6TYDGqE3Dv30aWXYI/x
oP52WSM8+6kBNO48K0AFtGBPEFGwIpZDKUKjONSBDk1KIoALsJ3gYwmE0zbP8PKBLnkidiIi48XA
gM4O/eK790DTXJgtsn/RM8enE0nnijorhWCfFByiG2pX/5LhFw1mnuAQKzLFVzSsLBhG8bRPqzZ2
SgqQ4qZB38gUY+zLNuSMDI1gv37OZHS7K5afeJBmPkyrxSPXAm0DLeir/l2cXmzILesedOMTGzfA
lgTwwuW3pNGIdlPjIuOh1QdhWRmaGinj6peo3ZqJCgASCqIS4uRP3iG2tACdNjlMBa8oFo7On8Fb
xUdPVKsdEq6OJKT2BbZk3fAaruwkSBAeO+lHKvGI68SgOKph5Sv4VTWsCjkUacvJGyA3NfeMM64R
1NwHy5cRCRPD4C0GsBoZhZ3iYIuR6JbXwykcbNmxWBRjbEpNMtxD9SA97TopJsoszeNHDy0qSiJa
qYZPFjzzcSUettSga7CeNacvw+cEp0zDUbL7wK+YlA/f21Caw4otdiggI6ntb+cS7aVZtZBpjus+
pMhMTxRbDpCzGPQOMMuUGmkk4KuQsvcrFizJwfoSsOoFdmbR4JPMgqywiTZDdgLrnVeiczvU6th7
V1ynBUdrlRQ+AgrpKCRzgcEre3zqmFXXAn4TlVVcisn0YilrA7pPmG+SxpqvepFEpAcZEWa4n589
j1ozpr8TC59qAdyrAJtuHy4aoNRn/fRB+odFKKvUyLe4suLP+bHD9JOSYImgvwdcJGqoP/tcMLPX
ZGAQDLlsnUVd+2Lz2IUS7ML95MnKkiGUzR8ZbwfERFjAH9eJW5cCMltdWKaC5vyuvK46JgxwKB7L
H6fROegXT96o8KClLhWp0ypFEL8dCU3tmm+EL3auB89Nw9LXiV01JbQzu59HShHuOaYO4lITR1eb
qJEPkWhLqALgH1/joOytzk/RlYfOETfTOXSUQiXtJ1eIOmriFfYFTVLldmhR9+AAjA+JyisGE7Pz
8M3OdXSfHTaS2O2DB0dfYu4c6imXSPaR66FM+nYivCsTVj3q0X1yBARQiOSRXsNnKAVPQuOW0EDo
mOkp2CSWcnah68w5NoAGKE0THETAoiugMNZkizxJVKe5KDvhOcc/Gv1U7y6wZlZ2wUacvDwcpodQ
mbM0Zkwhvil4PRAyEFkXoYnV7RsluxA0zQ0XlaeBA84LO+xxWR2/qDmNn5t48DnLAY9nT/IPqzO0
3H7a8o2a5TA5uM6WphbQclD7T29LzsXv8jM3L/bdFTxOzoExuY1aNjXR+EnwQ5gccXXhxu5ke7gT
SpqTAQuAnTD/BfVZfMX+6wZ2V0rARNry6MlapgNRQUuPjJcaHCsC01eetQbckIZ1s4aw+EKV+xTR
/7fg4CA8SxHRjfsSR9krPawBi4GZaymi7+/SY2S8KRjL3+CMK/+Zt6zyq9dP75t6Zk2blHC1MlLh
NHEF/JwIZarwjX5hqyH1Y6uUw+oNAENRqMEkt047ViN+w96N1XXiswZYbyWiRvGhrO71WAMgFNsM
JEYeQvvdrI/kQB9G6oaNQ5OFTVRip8DJvmb3jVhyNHvA8ytuFWOZAKg1UjM+rK+bQWFF18luwT8T
Zr3ug6tw8HwGNK11fi+sPa4e9eFpRziReIgy9hQad8CK3MZUOoAg9tsuOso4Vpw/uEvCW7D/pRJT
JRTpzZk6Y10AV15XQpqRycXgjPTn2ORM5yTmk7cbXt6cZMrH7pxCdzMDpKW3Fef5ZfS8/wQBbfIS
WJSuEmiOXyazkh/0Cavw9nBsqd1MqBHTriWlWG3zKwwgYFCkRNR/rbBNJZj/Y7CL4UR4DkSPwk5O
DSzfLbbBz9Araxb/GwF9SspN8n9ZvmAZDow1Zs6bjvlDv+TIT0keEL2/fGhRx0WyM2bn9DSvOI3U
yTVofSXpCy0TNb1b0PMocYYAvXWFwnqsOZ8UansWZ1Xnn3IRKh9+zS3I/KBpJq4oUl0o6NkxpXj/
NZNLKIYc4wnWOCR+geFxohVmCQkBOSTcyDFCIblhw2DW4HUowBts8Av0Ii/d3wUyPgbCCUMLX55K
iZHnRabw4ij86dqILSgvmkmINpb3wN3kCLCVgtfGgPTYCvJDJK9B43OQUtK6cJvX5RlbFz3slhAX
2YEil55JlFqcrMZzAeTEsQu1Eu8IGbCnjBPagIddKkKL8O9oQmoqLHEWHYbqSUNIqGI9U1I5qOYN
Ttg66UCf8wGEYo1uFzo2SddAI1iL2wRXDccK2WWd8xn/WwAVS5RGhlBj6wiYxn6esDWAAsUzPILm
nKzlLQNkQFcNO0+n9KFEl9V9c+M5AjzmFxCewiVVUJPCyUW8iu3SLF/h9l04TePL/vagQmgk++Ul
hBDiziwqKxdQGM/af2ZMhM0Qfyf8CUsNY7bHAb7m7GtAwLvkmHQslpev7EbVXKczTpsZfIBgoGoe
OXwwa6Bm/Rqp6Juz826x86qJwdSQMtbksZY27UTNn3kvnkVhZ2d6xZY0VcAt2yXMCaTDdWNvRyKi
nWOagUAjum9AF2F8nnL6xfeAynn2CO0ZXRXshH0K3gLi2istZ3ATOuvFYiItZhnZmVr2U8t7Zg9f
K9QMFxmqnBCEpB/cMFRN5fdLM6tKlgnTnTrh4p4fY5uFY8zob/SG6LnHG+O8IfyCPOHjWMIeNvGB
1YuGJbl0WGJUiGgCbEWW9rmL5fUuaObD8rmWyK6ea9yCiiozMZXfprSKBKLw1sKbi1YhjalRkXdp
mIFfA83Vvg2eCg5B62emFJS82d9aBu7Zg1z2RNAnhhMpezbklYfYic+OgehSNLmOHcwMVYZMepMi
gxUpZ+2cMM7Lr1kUVvDM2EIuz3Ei4X5Q+QwbU4B4gTna+OZgLjPCzoXF/VofsT7RygfBKaCPNepd
G2x1gXg9kDpKHND0vXFAk+7kr/AKMjeptYkcAW+E6W5+4zJoUwntT6rx3PSZl9nNBU1kefr6EBis
QB7JdcQzIERRmo/PNAwuW4bi+rTK+AMaXQ5xnW9nJwQJcNig45wiKFci8WJZ5TGIAguiJ9HiFtBv
R1vO3r8kF/AH3O90gDImXAMhrOwanaA66gCGznUwTOcRULft+Vqa/7jeKujpOJUp7PUu2SWfZtMv
JcV1eSzVKSszVlxpDqCfAqYD2behMg0gcwvdv0+UjebSnfaxXQyLnmlh7o5oRntTQrbHFmEvBXr2
mrElXiPhpdQRYU1KITfCFGkjuP5MEnenBwpcFIDV58BK+FB+zJsUCJ2YoEWyhYWE4YtNdn+IHti/
yMV2LtOXZgVWJtecSEdyLJyWUuBTZNN5eAg4LgKdiEYnaMndkTvz6nmPpn+YiLtwgsP86d88+k/O
8W5i+xavSKEaRJMETk+iQ08krHRaxv2K9klOXA4ubKIqUtBdANidylSh2TFLru+niFLxVTRhFO2S
Nl9arRxWXh/pmU0gAobT73UJtdmO77CP6KnNOsjiptySbTlBR6ncpPXzf/c6+U+ogpj69QtQr1F1
JYfz7fkT+pxDleZWTuYvCqBzeabktGUs9KTtx49sWNPDtveOWFppYBzqU2RbGOXEFbZY9CKTRfH/
dKuPDOgvGQjeZE6wYxyFTGaKHxb/t1hj1Iz9OnewD8JZhOiqcqI+P8Skhko5uGc1GeOnOmry3mQh
96zyTp0cOXpwwnoxgQ+a4zDL7bkg6nqBwHCyCfYfMiuEIzjUibqU9uM7f/0IJWdyaAB54I5QJc8l
YSwuHkhp1ZLgNVTkoWMIX3rEt4DJQ13igLMNxWezlG4TqRs5C4f5HjqOoDbf+JnQxrdV5+1Pr7W6
MS8TCLGPgQY9qIKPIThDhZk5HVLaDOaByqUywb4lthgCc+Wlukfr4uIsLupIW1cc7Hco76drll1A
WYrsQrSBww0kDayBVYicwMzNbOAIGCJp4Xg1R6IO6O5YAh28xVOERWF79hNRHM56IL2nZDt0XAoR
ZAz4kjM3+aSyJhIqDcD5jM7kQKAeAhFbs7A2ILH0yFkgMiMOxc3TH5Yvt01F/LboFOyIatg78TNt
v8GFBq2QW7xwqf1Hxf5ig8BCV4lM9n1jtV6wcOF5YQJE43d68p+A0ZSDnRT/srp8qBvaULBCogOJ
jz160pJWicRmcZn8YGO4EGipSBZon0kMjwgy10Iy0cRiosTTP038ZnbgnRtnhpacMfoSLlWsYGY4
9IxG5SkUOXvpGN9YDqJ7ryHk9LxmglP8jPgTdsLASWEn9bJZ3rk3InYqWs0dvt09NqeCwVUzi2fA
S080l1YnyKbn55HeBXWyIwSzsOHlRRlJKQYBo0LOsDmdl9MDnef0/tCwbHMqdSIS0WmoT5XwuhYn
UZtS0khtUGfHtTZz0QO5H13cquzJybZQ4NvkQEA5E5h1KvC0b4W0kZBPqf6Tc6139zAcnIT+kfNQ
y58wIGbxdfQFwdESZ8me2P4cdnhyEaEEr0YlygD8SKRhgjC5rC3itAmeP/KyJL5aJmpRDOTgp+RP
tzfpL4+FQxmgbKe0JpUidbbp8nrivqZCwhx+kuwDihYyVKgCfhS76Qg10ovUf8Z3Y1+LV/ECy5Mq
Bbt0mBJyRZeMuwvuXI862bsyKFEUu85weia8mcrf2pnB45NySrZT7P44D4882Kqwxf3wfwn64gzq
FA3+LGZSvJaOoAtJBU3FqbaWYjt0AIqwdIR1mdSQ1Bagrc6oVhVyQUpbPAD+tE7nV/61Q3QYkiMU
0A6OvEsbeDPyGGhfsXlsZhGOkQ3vJlgwkXU5/p4mUc7j2MHBjiytuK80aC2DfXkNhs9maX0RFmFQ
4D439qz91ZrjmrUJE8H7UqdQXBzIKvl6ha0fbeoZPFlYzVpXPCorfs54rz4ZIJZhYr/7PbMmBOuv
PaGGzr/4THy5LqBG2QZnahZdQdvOCrZ+M3yQZw0rkUIBuzPoy1DNq2DnUtZgp0BebF7+LpVKUTS+
kcnSU+4a+EidYspHGdlI0EcnOnIOpJvWz3pl5ACa8UZHovjvutSDC/Wvnut/kA3voN0Hcn2m+Mr9
VId6P8XdexdW+S48UPvaw/XdPMwQvae3D4/zPdmn5LUQIQpLoMpu3iW5LYf0yF44v2OoFu5mXXSE
g4P8JwPfwm3soFG28841PuAN2C8HgLM2Ee1gVUo7VfL0+Y8XZ/hH+AsoIs+gqanPu6X6Vi/V4uTQ
C1inh9QqDd6WnD7yR15/6CluVOJ5V2eKyzT2QjkePpxhdP0AfDC7Nd2yno7lNWBAhLVM8XEqmnuA
2YC+IyHWoiPyVVrxEFifVCr4E425hVfav7fvMvgKxA8ugoaiP6xi15jRk712oiu+h+njfZHEkioc
kmdyLfSQj/H/h7D7Wm4tSc4F/ESIgDe3dHCE97xBkNyb8J6Ee/rzJedG6tOhUat7Whpyk1irKivz
d7WpbImmL+WNvjwxoPpvqTSd0tumejKxlphidOKteSeN8I2LyI42JaUeX83dDBmldd1b1ZZkXVeS
vj5DQWAeV/f2EbCp6EjyKAiO3OgTlw2SrZp6ZfuVqol2UWVbtLL02GlXnYWiOkNZjYX48DPUx1Ij
/7IfbNwAlmlnWgVFIW2QCxDChIBuWoHyAg/J1khDn0pcF9DT0Y/VEEM62vhPvrl5yrRdMtUo9XO1
ZQWxHccPYEIvGa9zN/oZ7QIl7J4sMcvT+odrt2CjzcWHV5WqhvA0TqvgVC4A9Hi0pqRBQlO6VpCs
zpdZk/2grLOr4tgnt3pBE3mg1puqsQjm5wwQ/84xYWohMMTLEMjkiB5YfhRJSDU6fh713H5NVPNv
iXZqEr29RkJRu/3SFcXud7lo8siFjq1HrYPZgx4UWE5MivrpE7gFC9VZPiMJe/dnHH9s/JdVe+5V
ut/OiKIC4u1Vjrr1Zy7IKv5btfOmuh0DlcWGzL2uZXNVxZT62vjohzrLQcmOK/icdjAo9mjn5Zv5
Tv7NLY21ix2xpaffEOQUJhcXbRbfFkOCIBMRMa9Wf1nJjt1FWc+1SxOTnyVdREz4d6uA7P6/6Txz
/yYhyCVz/BRo2EKp8A8a9mdDA0KzRkKgnEShyHxGVS52dkDbhaIT0LtZArcCJyNioAGBdvtU2VqW
lKpeghBCnOypgysqt3ZdUqMc3FF0DCYD2WpJxWz9QbEJQmG+G2hEhhnXraY1jsfXOwAv96uy2TVn
+Ud5afW80b9AorV6/h6tDS90qCboqndQcQct3lCJXTZPRqhwTXuNL2G5Y4Z42Td3VsY89Oa81Kve
Yf7o4dcDWJ3TsNFl2e1HzoidQXIrnuSnT1pkmSXrgeznK4uesu8F7fpXkqQA7M+vV1tDZREzYXM0
LqyXperX/80Uu6f3X8QcuWQpRW+Uyuczv0r1/yHXWtxOt/vtjtNPktqvzU/lzVB65ulh9VxK4ew3
bl7tBgV8rtz5D4QYDk+Vcb6cEHBYQceu3n+el33XUm4eV8K9hlRbL6srZu67l3+8BgN7f7imOZmS
j/Chx4+Pg8SeTXn/oRnEMYnbuz6u3LhbXT+ciSrbz8cH6VCV3jfpqDSzfTO3EA2jR9rLjJoWH7a1
QXOyMghF2t6PkLn8Q/vvNPdI6d79lM4heu29rL16yNVmk/fvx83T9i35sP31tw4u/LjzztkVpKXq
wdW84lD+5PpQ4/0TgU3jvy3z1L9oSHIhMvA/+Sw2/h/U52GaQtBvqDKJCJ4TveNTsmz9duaWdOpz
M5wz4r6u24f3w3tu/PPurk7OvEQdLf50dhCE1X1Tvk1CZZwBp2Srs0FGqNRigKWsbRrf9Xlv9de/
Da6dC/V6AFuheZNwCEO2/ZXds8PgVrnYynMN8Pp5pVHWpDZBoU8Z9JQeSP3I9YsGxxlv1d3Xz5s5
ZWNp7Zb698kvB+M+2pPVedC6bgFCtoDWeFm7jA4fCyLxw397csUQUf5/irD/8eT+oQhLJAs/+eSR
GC7bQdy7JBLTIDxg8zB3NJ+qqUn2LdXL/Mn00bO136ZO8TB9tBK9XfPnfdbl73z9GegsNGm5l0Nj
8WY/w65+GlO6THqryh07sapBgD9KdB+7JokmK+1j6qnUrBprXOxa3bdWb8nlA1ckqeKuecBoMtsB
eKpqSDvXTU4WA5yzg/l7tJWjON5+JRrXrx1Nlia7NZucRgH9dPM623157+jd18kHnmA0jXxvyZYE
DMDRnxwlkJ7W9is51oXrvwudy+dy/bAeTlvzWO8/r6teYZIQ3oBPM8W/lExryXqpk6vlP1F0COJU
W2zA6BgnO5Ltbnu6o1NTouHoKLKdfGPuWF1pWJZ4nI1/6r1WoUhnmLlU980SuEPjJxHuWl69/JdC
k/83bT/pDa1KMlXKFrPpfwiut+vLaboNVS9+k/G02Mkw4arWSMIEE24BLgwzHZZ6jurXXE8rjJl3
26tjd8UOw2GKaWTpBfrO9e7nybQZ3RPIsVoM0lmNDap21uHUGDgZjX3mAhbgG7f4jbuz2NyXkX/c
BE7cXjhvKGY7GZTQakgHbzbApWPyZxV4L/PwMqtfojGeaKXBXcXudRIigS2ERtfbKhgz4KQQ6plv
vY6XsPyl63cPw/Pm8ah5TWgEruNMtQRTQ6tgTxfdGafgso9KCl79ddvedG9saOf69WM3CP8FEUw/
/tjFO4FSkCGokPEUTpn5vDD6t0IwZMjrZuRllDd1o9YX0LoPljIpbht5mSO5nsGnV4Tr6OMRSXff
GZSqhcoVzfCKXqPqadyILy7Dn6ErtFv3TxJi3FmqNef8reqLOzfxZTgZf73dOrdu2lR/2j+WFs/p
4yNd9eyhkviTWz5sJKTJBHifz5/yWj204+uVoP67alWPFk97b+Dwsq7x+129lFvNINdJ+zw48aPu
KNUqEq0dy+r5MHN7pFqN6367/JC1tGITOqk1JxmbkfFr9wQm1Bzhz/WZ6RoGsxzk+LI568/9MQn2
sBLF5K186eTvxKSXDhdmK9fOD/afpZAdfRqq2lxO1hEBiKEl3ctWMyF12DT2o+mfKfuUbnn6uMcs
peoXbAWVyuNbXJNMOtG8YrC6AZ7tMQUhST4sHwG2YMrUn0R/DeFVNI29afeDo7GgIRq0qu0sym/E
dlw/ttJvEc9rckaW5np36RMKzKg0019800ts6dmDdS3pNdDA0Ir45wxbleoWjXRnqIt54dqZj5Y8
cuNrt3B6yDXRTZUUudUdh7AZnMokMhOCpskCyZVmgkY87JqnYbF2ODxoZtEKP8MNVic9hsFWQuwV
ZFjxgne5358OjcNKAdw+WenVqTOLgeTHAU0t83Xnlsh7vyZkp4pBIFQnxjNPcUYismpO5Ze8LS5P
u4/zt8k/2z19zKXiXFMv065N0M+0C6+5/QNdh+cWl8x3bPmGO46HRL7V7VB9UgxDMWd7Yq1viH9e
THSKEbu3MuJq88wYKb8m4TxUMNRqG0dSqpZs730Qd0/Dnk7kAqu/129R2+fvBwb2l2Ur5w7sRJdM
p351Gfx0AhXSnifHXC61ae/4xUztqW8GvuXjEJ+mcx8tWEKQt5XMy/frzJzssN4hofeOj6CfEmOP
Yzp/jNb0MFy8RxSB52GnJ1orR8au68vNo/QX4eIL9jkVV8UvH7x7EF9NQKDZnds+xnIMrZewaZQK
D8WJ1djb7R5XhwdfjU3q7hpztrzW8WPWWb3d61YOuRpSekY9gUA8mwD0sAOZ870749+xmkDTclZL
KilnRXHIv5F5Jqhk+3iuF8XWNfEsvP/tkCKlBN0mtHrCWjuLHbzBImzeGZVFLmCmU11Lb++S3fvD
dvk4H11B17MqPinzdoJ8wd9wSqVyvuR8RK3WcDr1tR7rb2jp9vXc8bFEUQ3jRsz6XRZ/2ZjFWW5M
74vG+iWEhRtbLhUUs6ldi+MNEpMQgZ/HRBDU769ZwhkNgfoYV5o7vJsYRAkFOhZ/8BzEYUryFJGt
0dv31rQZQIfmrW16xDFlWwv8YoGSi/PCD7JqTQEbmGOERjDEIfrP9ZN/E1qwKD5ntP6nx709CjcJ
L8HSeTyDDm7x5MlesqWRaiRN24dafhIpCjvDxbxZqrm23BR5r93GKX+jYFvT8bfvXXa5h+lJKETV
ORAyUNfzSLa99814C0ld+UUylbm5q9DefVAJjXOfBGqfhy7jN1b4PPKlySrjP/R/uHuF2ROF5N4W
r4hDdmXUxYyZXlf4t/i6OD+kKbB0UIXP6dsRInj70tW85uoHjxxNClQpdS/l71dnUSXohuTtoeQs
OKjNPVIaciGO7fp2+1ASn9C8f3g+UksA7h2PhA70iM33vNupUXZiMDv8jca10GS+q2zYy2Ku3o5S
FlLx1bilcUI5iZKI/SZxM+ih1r4y752wDsH1TiG1mMNWBkd4DoNd9wblXdeDFH2d96KPKnWChLRF
xWU2Voa6n7EUkXjyrQ1J0mHJh0z/D1rdV9K9zHPWC9nqao9GOjry8YH8S3CJjgv5iYk41284CYeM
PzXvhZbPj58p83hQSaVGCdrAoWqkW3fAU0r9upHDf7nQ+jHNPOiD/KbDfQ8PL3dXnZ/nj1ZFg/Gt
ufFZLi+yYWHUs9a2id5rsMZ3rIw6C6NfI0VBnmmX2hkJt4JMVh/ZLmpKgxviGiYe9hYAw5PegYVl
Vz12qeIre4B18IP5ru02uQEL8Wajc+MqAuFS0fPlHndPHP8PM+BkYInXT4NxO+0bWA5fY55fNo6f
gQjAaFAv6KqniIIAKIgpiNgM4tL06KtoVqqtDw/FzYNmYrJ8PL6kaI82I2rM/SBfycKETvx72+cb
9Bp4UT+MQqOqheqmLoSrW/jxkrFy1Zq10pWsFjUdFv3BOZDkl20jN8lD2jS0tJcZxWiyHsBQ+tM/
UHCjCUj4V+2Xmlwn2Sb8u5ftAuQOsB993mTWK/Xz8h7raUH2lWT33r51if6GNGuV6VtogwmBgE6F
dqm6/5scJT8CPF/MHwBuHtkeKO4qeoTi2qcwzDTnMJBdK/+yDSFsrVROPc/2D6s/++6SYGbWT0dk
AFa6SgpgnxY5fY2w+T+ZJlZGL5FoTidUJqGO0PMUze3nxr7h50V8TbIuispbSOwfdEK7j4DQZ61i
Pa41z9UW5Le8I9SAliGqEzI8gjNBsoxhg90HsNDotsdw5NpZ0pr5W/qVHwDzfTw8InG6SGlb6fxl
zQyE3ZgWJDM8T7sHGGWaNmMqtoAIDDgmF6U6G0+bhJhAHmpR1uWiZVLCXy7ah7Gthm1LQ/sPIMbt
s51R+elZrKM1ZDzTIXGHQskmaMHy9c9rzvWMQN9m4H+yqCWb6BQhafhFGT13GQ/gr9dcc9Y4V6b9
AsHb8isxSBPxpep5dPQeJYhw0DPBHH3mgsrHutAPrTzkjl27RIuXD6jvl6q1pvINIDbReIHhokRv
pJ34jzISagZzFcpQlDCRZi/NdxMJi5jvNPuwB3byvcm56hxtav6JhTUY3OT09Hhs0GGPIAWVtCHi
26j2Xb6WU4Nj5zDZ1o61w4vokT72B7K3tVJswbLogpdV/2rM2LxeqBTkbbzdjXjz9+Uw0wmGFDv1
ehkfkO227+sGxrkWnXMcFKrLDq6mnW2uDDjqwPKhaOcH8PqUapf6//folUv+yzD9vyavf5hDV/Ns
6Vi4wHhCjJXXVgWIvyasry77u6GTn5g45sHV0KNraGu1gcsHYxKaZ/3KNuiN+PLv6hFQ09SJ0Vmu
njeOgnN92TLMgGMKskhaFuTQivMoOCJKnTOMZnzA2WDuuynK6103Y0wq0flwBdYOi8f1H8K1GLma
xyqw6D1feEpKVuTda+Q+wxRwoL7mLnp1/LHnyfwoR9rBtXqufiM2LgPaUPxg8c+xnnpbfxzkN2Rq
2ehKkFbY9K3AFJ7CJeWSToABjnTKTuX3el3oWUtIvY02D7XZ2NNE0eB9kDV3iqTAJd8+axQd60Eu
ahkhzzASGVaWLjXP9ffEwLmy8cxqSaBgpsNiV030MmMah9a2patulfz4YDxJl6rzPoOQVilUF2wC
DQc/upkuo7vppyHEzzukealT/Fy1C2TswW1gF8E3IN6XfPdW35wfQlay6p/6eTt7+7xlHwDam5EL
HYbT8lRLUhpMXy5MC4f2HG6cfZmPirBU0Set+VYTycVPqnfRTBK01QPG8Mu1NJxNnoZn+7ZeauzV
3nl3k36YtVftKYHBbXwaL2t5Qbht/LHRJU0Au2qz2tHmXDumkjpvD0F1xI0xjzvHyTT6u/FcVsVm
MO0rjv0U1RplUvP0ufp7HEXiVHDJ1xEzDTkwq14t1U2Z9VJdlLhuC4P++aNd0/c0N0RTudyDA5QZ
Y2ZMKCCSDq30U6QaTQewrsaxOe+yQPRI6VSuhdiPqUMj27l0kl2Am21KBEEtW1BHSioHTr0mS0BF
DDan2PWubNLVqNAz7DlFsmiF62f6LcTnzhTevTffKOqn0L+2hc/l/iA0/niyEwKJ2rUVR6p5U6Py
fhVQl/p+FNh1feBdz6TM8cUBf5GlkOsalHhUnH3fiYfNx/XysBvRFKJtEBJScTQXa/kQ18m6Mn9b
tbbPsgyrazGWpBfiJzcPNxVDIa9fWzlrIywcLM+d46suL1MKqz91/s/xYTacEivduvIR6hdhG4P1
9eGH4OvWz1cygyWeskB4bxyr5v5LwSn8Qjn/QO8UnHyalSpfzBdK//DOTeerRXp6AvWgiL/iPpLr
07Z6HbNeDPAotDhn0bufuVbAE4AAxDzrACxGUlTtG7zCJte5f2znlhTMorEbXDXl+5eF4fYwXL1v
+7cheeFoCwzadGw/btBQN08FkOkDe3KlDAIkiG1+as8cKzXcYliPZkeaSXEmoshenfdAIc0d8Qkn
JzGugfw1Vd9rSL5pc+6jAjfSvHUwYnEDQAALzaSOdvV8wM4tgTmFMb0Y920YqtYIm5totQSDepaT
ifTbTvuuJrrL0ZQ014pm+k69ZXtKlfNkpQO8fPzQImybd0Vt2bshMoIrPVOPbJ7z1eLk/LEw9RpH
BuYhQ8umKfTCkTv9a/Tul/qz02PiD/CvupDqZZB+U0b70w6e6D+pW+CHXI//azRnNgDt0JLTT9+0
v0IZ5p1ZL4Eo2/7lINrb98Di4Vr53Onm5u+USkHF+dqwYEap8Zy0v9vadXAe7OYPx7/R0mwbGhaJ
MAWG6XALFOiaU96psc0MUqJKzrQu7p6hGH7IvCzbh+ZWxNBdIxr60v3LvF80g8g5U0ON9jwBizck
1oBdon4YF5qgj9d0/zBY9haITA+/c/mbEnB37OUiW9Fgsno7vB1TDz+dwmimEhWapTfpTJVz90L/
tugX++brtXKzNrtcR6vnG/Bo3SM9N/0se+ve7Ap+EezxdzOYdebicEqjQJdu9uvUeLgYLHmuAp8p
ToqTxd/pRAAB0ctHnnolfIEF50Sxn2+Xnlf0s0US1Ft7/pHv78hL6bK2lePo/OGQGSj4bbxndzpJ
9zWMLDihEr93c001gT1J9E435r+LadwK4QOdaeSWleBh1wN9bn3/cDFhn2vr97kUk5kmb/cEwvn8
DokqVdkKh6+6lEzF146EAQBvSCGv2pDFK5qdbDOc3EHp0vzV1bRdpaQIpGEvHLSMQGKCnrcdSpN2
6FHEvBhG6M+6i9Y5/yg3iBSh2PTyk687OoXo9T3r+n5AM6TAAmErO808QI9EmBroo9hc9ZZUaFPo
3O7JiNKd17dd3SwCIqvnLnVMQo5OKjbIl/OggQx/od7/VboG2rNvLvqo9ZdvbPNqfDdC6Kc/SljN
gscdaXhZBX/xnwSv9u5p1s51lHokhmZdgiRFCsmONi33mAOGO1BeB++sRNXlgHrkNY1xzPVuJLAa
2EGJNmU1zL+FRiXbiJgS8j+9H5+CpuUtrGahIDxiWMg2wOcupOB41lcnKzY0AR5YpUXTYrgreQyB
Xa9xtDdmpzzYclcJo8UJoa7yggUvncxvuxtwYekP+jsFIjyM8iDG6ySN4r7g4xdDJj51E6br1z44
jOB4jd37YXiqoc+XQd5XSTqNOTJ7M48y0TQcdEYt+lkD1gkAvvQD/+SeIOf9HHAxBB6sL3908/VE
Z8sCErYhvltL4Pbfokn+3YxazBfT6SSOsVSK9vR/UIzp6TFxzu+xYFkFPpt7oIlp3funYQk+FpHP
s/odGk6Y4NHux4vcy24tu+ygxBfL1OOkJwTyz8nj7zeC85t72xZAdoaZ26D43QCIyGpbYOjXdSRa
1Urd00Bb6+Dg9usXtejpJxqcCaBr8XAchiIMkdVXUZksoqrPv4Llmbf5OuCwNhCXlHgAfZLwvfDT
4NRnTfEBujIiBOAtoToQJFT5037mLbTZfB++E/QyODMx7H1HnAJcYlRwibfjFw8KaZ6kPnD35plK
Q+fLVQOu2moot5UzSOJWKVgsNGTUEwFDpMJ9QpWZeTrWqe5gnEVK983v4nPt1agEa7l4VIGx0bq/
F8bMJJTf+GNHpCPl8HVT93CFrdILnoU5XY8K6s9+kRz54DnNWuJZERzuyNlmjc/C7z1TxHeC5tnE
IGOdVe003g9LZRptlXPBEVGoH0+PVw0z7xhsekvB85u/Z3q1qNzqo6de96QlgACL7SwDy1uysRni
4mjvdZt+6P4F/yCGfbJ6VKK12QCeCGuyq8dCPi3Q4ay1bIYgXYaDHs+mGAu3ae47YRsMpVZp4Jh6
SbICMuQbsE4UNcvmFUm/+S0N905mkJwYALFDBzgOrytGPcqaEa+ZhaGRJQu70HV+DzWXwxvDJeUt
PzDJc/1ehk6BDUOXA8EENSYF/uThdsCi19vk1g7a4nMzXkU1kTluES5uDzvk36+C9Ec8XX3lCo8B
ozLcL2SvJZ0HHTtqItm9dFY3c+1BEMm2pg99Xg9zJIQXGWqRWzPnrTu0wAEVEvJQYaT1y/mgxByu
6MB2kdJczS8fUFpKl4iszSjmOOXrOVfNr5+KjesnJiuFCqHUfVmYsvE1J37wtD0fJ3UCopOurd7z
OLKlc5yIZhyc8XYYgARaoyqFsBIe8oQWSzlCEwmSvBFRHfGxV6t71ry4zOCFfWqcwR+GuVsfunqf
NYVVCIy90QvR3WBHpk1g0B+iP7PGvJJUIEuNkxhZyBgCgr1kkqFD/dakU+1L4vJeahKBk+Nl9/aa
884S1Wk3CzQhN+pdaovRNPi6yvI50YF05uuJ3GPEu0AF+hGeS0foIJA6aq0AwIgw1+/TXjRf57+G
evb8MJ1eW//3uK3D/f+560Lxf9S7f7D+6eVulbmfcdfShymg0qQ/NmRVf7StXr64CCOx/oc7gOSy
rmh1zmM0fDfZLQ6SX6G9SbEjZJ/TVGz52rEvkyDON9WBZXjMOkPFmhNQt27JPKbz5uAY7jDdEdpV
+FXvCU7bPYSrTBTg7EFrwkezCqEMtkTl4F+gblUY1Rv16O4qifJVh7QcCdvSBh5Gs96G6pqC8y8S
6jWQ/rVVGbHT+ckcaAPJs5QPzrvYzJEtCPVqXF417E83F8T4Q3ZP2W50yXOaNOKVOtLpnVSAx8sQ
TFMYcqYgbEMNS57KIJB/If2WBf1TvYzi6/QS7YSXFa3tf3lFuX+Jy/pfr+gf8oJVbnFaLbde0Zbs
3yWDv5cH/EYQ9Hf1fYNQrfH2FhefNXZ67h+UcCTVLhxSIQuwsoU+YYO6tk739r7qnsdFwHvshXM1
hVDLtsOmsOY1y0+mr46BhXjwMMYsdAglLvjpa8HZtGz7IbNau5xX3UUtC8uetZfdJV0azTGQ9ASI
CyVyyHaLdop53bubD60pnbluvOOcASyEt5j8lZieLo/41fhu0HKf4fP2PSUrJbTCZES/7oDb5xIR
fqgXJLk//bm9LhgV0jbLwuA7owzXBJjQtCidpbEhgt6gASTy+/J/ewuFf30N/2NO/EegSOFncc9e
19I4Nl8wH3VqMbxiH85jhV5+jNUcUX7gZoxt/q3kFyySmG++vpk0yBmgf5nW6n2v4IGHIfq0E6QN
yxgxezPa3QIi6TCgBmMNzvO0yRt4OJTPY3OE2QSVhxAFgjfnf3Yo8oSswXRXgtZKdC/mjMX2Vsa8
AwgACNXcn82o8CcQgBNxDbCLpSaet9BoJcnBdGXVNHUPNmvm66zrDJDdU0byBKtRprV4n/5N0oVC
tlrncaL+pBfSiPEfeW2osww+NdnZDXdfRWQoQ4W5Is3WYO7jthUsrDN5vY7jDzTnOju3Qx4xfXAk
D2rbMOfhRgqdytbVEENUtK229jy+ucV/rYywVPbjCPnTUEF/puRZnPwPBu4XVoWn7PD+IYPeaDRv
UQm3cMWncng7c6i4jTF32Vs9yzlT54mKRTivKhtPfyd/Mf1OVKDy/zS5HPj7fjo5TVK2ldDma02b
/M4vK5RkXtdhsvOyuY9nXooZ6/Xa86b7l6/TcFM58SrvzF8H/x1v8cvP4AKbWrZP7zOsGAylspzs
kKpHQV8d50xqvHgn5W3lazeHEjOX0GKeGQglz38XoIIh6QRHQhYbil6aDHJgmYR/05fHxSDfXvYM
7PhBwH5rzVRysDtXtdXqgYK2Sk5YT38tmqnxXhRMZK7KZNYRBI41e7c2m5ku6pzLLDFYtm619DAI
eE5DHU4W6jtthp+WmsHDiBiF7/pRTLXJc/e+qREc9BZ02998KCms8YavlTCsJyCcLQdCquCsfgML
vj8C/DhrHMMWuaolJ8l2cStMp7ywy9kZWgKf+9P+/OM4mv+ynoQEyOCF9vOK148eWRZE5/wBTmtk
PjRb/j+sld5pJtyPjhMEee8si24/ClxU9rNGN+ufmSfax/XoMN747H58Y/O8eWfQ0gTSZLfuJlcC
XbhKjsUwIZwzeL1km/D5JdOc6pBSlJWxgPCiMtV+ygnMWKqbrBIwTDbW9qK2ePthC/tP8szs7dZK
Bnyc/AE4F8YL9q6fcUzG+NXnc3s+yWlsRQ21Lu9B954nyY7sCWIGegVNb+lTTEZ/956epFv59oac
xlqhkpEa8hi8/7o9f1RntMYYzbnp8N4pSr7Ivy6HxV5A9YlGYWAcZX8mxWcggY4sDIgx28oDqCPE
SqQz61YyAZ2aVi8/MFmUErNhut5bPd1bZ7cl4LGqBUzmvXxnukuPIC70CaEvDfN/sc3c/wITmGSZ
X1LWfHhd0+DzfIjDMeESvJtuFqE0ZrSrb/rMEVU5WTxhU96Bo+Ucsyid7+s6/XC4PUh4LL4VvsLb
QRk8PA/n3Z+xQPz+gp9EmFbcmXD/w7pwexTZpUQagjD/aIB99WdU6pOZDtU0xTDMCiut8k8V/nuW
4MyrZgOjtCSJvWInWoUfFNrJgU1mRp6ha7W3Cu3CH4RNP4RHmxeUnCEY6MoN82wErx++7p9n+mso
pqGa707jViS+LfTzzTmtNjoWfZluJgilyGvqAt73jc1XkHPmup+HpR4910lQGeDTuV+i7QsfH83t
cIZTZpt0Yv3ExQQS8s+1TNv7AqgmBUAugPcQPidciWQs1AcyUHJYO4y3EI+9zZrimoTsq1fXjmP4
fSoAJS9NMCjc8Bj6z/IBGR/8CTvOuPhDq88bKqkESo/dNYrIeF0B2ogpwV8BiJm59V2oOLMaEk63
dWgWJ2tzp6nQSmSjxP05ZeOKEEiXuuiWDldQMPVVM02O2LCPxVMstBMmhhN9/6me6IcRAb1lWEtE
p98uVbKdK+gaPTbMycQnLAL366nheByxXQNS5QcWsAtrNX8F3JEIMUw9TGzMluYSiUaJocgr5UCL
JyGJTLGWifSiMIs+FTrBj2bwZpDo5zjv/B5oVsetz31BL0Tu+prEbe/PO3wIw3RpyleEu5O7WlTT
wY+VUuo5/cSzS2PC0KGNzabbxjzv4pC9RIL1kBMtAmkUtICufl63mDT1Bt33Pdo5hrYvuCe3Hkz/
2N0vxf7+SLwS/v54dkFDaYvL2Kd+4s2LYQVPGIp9u8Y4bbzG51TAY+gfxn1SG5aOLaZOqtpzCY2y
rx+bN6azA8Otw1geSq30ZqIcr5uROZAnVqEXIw9TITiFX/mu7MA50yK2uoEUP33TZOQm6UpyvNeK
ZF/sXjF32QeUlBCfECTc2iK0ETc/1kSgbcy/LDx37cwV9/xD8HjVv/06Mvi8zMDtQHCSQh/AqQS9
oZhKmxcKYiETamDo6cLDAEixBxKYgbkHrXdGsSfiBHQBmW4uqCuN50XfopuzQjUhDgRiQyKmpJQy
esykH54lFN1avrfArIQZH7gvonyEkSLfwjRXLsKuQyWcqbHbIUWBFTFSYgklGd7Ke/KFgmhPCE5R
MsqiWer9B3mGNeZ6s2HO/4kgw1xACel1AXBPBt8BzQGJQFJPuxgv63kEhoeQ6MxB5anO1kLEaH1p
qNsXap81sDAOmxQv2MFkEpAptxicYEogQxLTynUQkp2sVHMWF8dOqEa2lteOySrTmTd3aRczyjdz
YC6qHPamajEH1bR2otxOyaYrEmCHIoVCZ6y74wtO9K8uN9p89L7LJnZSltzjtHuxEQq2/5l5okAA
5ZE3Q7Kr56mGG04Ei3CSZS3p9XCi8c5N/X1jPD/gqo2GBJsUTeqKwwvrlKhfP7/rt8keEBrCohmY
oMRecm3f27yciCaR7KWQhgDKgm6KWpBqlfp7uZOL1omp4EKEQJJgsr5yIvp7/ljaPyZ739pct4+A
hudfasqveCt87uFdPNES8DAYhs1a/Ikw30qJ3wUrEMEz+uCE/O8depoiD+bskPvFjvQogeDP/Gep
d8N5yulwqVCif6qFwJeujcACxf9ewnjKjrCWAo8WEkPNLmwblzlJPe7g4Av7IfIs0uOTugL+gL9E
HND09eooqedoflLNbN/U1Dx+SNEaFF8poABDsDK+fxe8We9m2sDQFi83d0tcPDadYF3cLP566bdH
kA5Z2e0W4G7tjqiI5ZU0b/vVfK69KbWUebj+l7jMVOnf4k3/Fx32D+XzNHPILlOJc06zGvgb+R/e
cKmo7xn9shF+h3YP2GZHXigHzPg/EwuVfi5aO98Ke0C9kfBVFPpLUxhI8tM1jvXqqkIR7Bif02Hw
RLJ6Y8WHGlE7GFHlJhLHXs9DiihCSBLC7HnWIMmqrAYmITowaeaV62uiSwtnIjoFm63nA+xVSrA/
miiZRuTjLHjBnUvvbM3juiXuJIeeg0ZMDkb+7JEmGI/EwwOnxJtYmKEz9WIhMXHDwdTvfJOryorF
YMQXY3FRUfrUUUb3rHoXTCAFj36UTk0oVjICh8rQ39aM5x4/WLuPIloZzPl8rRzYEoU1lotyRmaU
mLkX7b4lVNTJf4clnKSsRGGuBezN7DFm+OaO90EkJ6HeNx0hQ4DEmEiiCqNgBPz89swVG18uLLnv
s+RBIYYltiqNZhgc30hSKprdsgkifgQvNZwwiC4PlG4PxVSVOMR7l35WVaAF0Fgxi1Oor39WQ6J4
chnOqkZP6mQOwTqj4PNJ0x48YgR2zej8tnCcCLkR+VR1KYT/Bdh2FkPTYrFzbe/H35+5lBKb+4OP
1gdsJHRkxMYuB4verifPXsqgHhEizetdA+0qlP+5E0Ux95jXFDBRc4vhAg/j72vaHFNASURYAwSX
pCbRpzRCmouh81daf0Op4tSMiIr4E0KRvZW7FmhBsnlxIMh34jNPOnMCzYmLmpibKCXJ6pw8KAfx
YvpZ3zV3WrHDClRYD7L+G+lJT8ZgZi+i/8rSSeiz6BJ5FCI9k4hrRjuLBxG5kDP7nuvJ53wnUlcN
MIL44iIAoWKe/3TNjTl9ljfdDi0nw3koTDPmt7Pr7EP8IhEOgAhPrxLej1gJbAtZlN2d/M9N97t6
GYQRLRwTycr3OCydxMvh+HPsyGxox+LyJ8JdZioqlZbDIBAf7/dXLxNBmC7kIj/aEZwQl5pjXWZp
6NrpZdB++oe3B6kCU5fB0UXk2K/lTrSYO8RkvZvxgPrfRpZDmeH+K0Z8NGCzNAA7u/GqcUIsItKP
H3FKlH/2zE2rkRt7mvk/M7zpblAwKBfRCmcIgNXyGS6yP3PBPIjh+SOqWvQm40I9+XfjlyCA/HEd
gMZoVV6fHoXJ/Hw/LWiITWrd60d8WmXo9ThKdCk5/PrSi3tFuPi6l2yb5YyJ33RASbcYLRq/vpmZ
euaPy050oXIwZRW16ZUxmxuYWFbouQvv7JAE7XVBX8mkQVgp9SJOK3vGFvXUdKuq8vRl+RxsDEmP
n/VTDtghIqEz6vzZXEmYw4dqBAZHCjLUmBT14tAqychideruxPLvc40omI/OL06ZUJ2tfD0U9C3O
nAhilIZj6Bcp4miJdIlvP1vyTAicsRsl6Ber769BCihqZ0XcAqWrQIuYrQCG7auw4tOICLG8HYUG
O6zaJdNb6U+2uZd70AbqAdSwfo5qgP1oBkAi/0OebpmWEQJaajCf21DmdbBnf9llenAJY0R97D6p
nI048uMG+1FcW3Gb4LRFAB398jOvr+g1ZidBA5vsIzVBtGnEm16VJ13wa2qc6xztie3TXuZeYvWC
nl4R2N2ZJmiSkF44YkRTIAVECUYBoi7Fo2i5h1Pymx5K7fNyApBcwUsWAowz0XX7TogwBJiUWXza
ohbemTsHEzU8XeTUVO03DyjHKg4E9G4wjoiMuGwJ+N8w8zjnrgoUTW4I7WD1W71Bwo2GIaCOCyJK
ZSoyrQqqKaT/cgHOtVs7pIV+axtMj+RzrJ53v/MG/KxxfxXmzsQq4r22bH+35v4KvLrAXAILed4S
roUl/WiXWOTao3AxIOjFeAe6bYFDuUXH18FmGpIMwu9OL/n965XIKZfIO6MxGJZMy/LjxC8KpCg4
cYoi7WxtgETITbLcYvxfTs8NcE621d5jW/BOigCqU39C2yhOanODM3cO1XikJ6UnPF6x3q10O2Zw
ohNJkm5D6Z43xM36MHiuRtMJYp/YjzHm8LG8PgC0AZ7lLpLB8HGypmR2ASJSFSdjpIswCZs1yaa3
vSDu5IVoFuULir4gRB2rn6SxU3ETG4U7R0o0gHpjnygMLL1kyEWh9OF4Tct/MaVwIpX6MINaVmsS
ICdI6oW6kak17j/JYNmOZY2K+2uBUaK11i/73k+ZtYbW31Uk5NqCTbDeqYywz039OslNNiLNNvib
S6wuvfRMAK5SW43h5vabK3OqV0TE/FoOYmq8l9cf4efI93PCmdG+jc1HBpyGCDJ/XxUlQ6FgmFzj
GBEiXlT+JavXdGWRpG4Cvcqdajul1fwJwBLUJsJVo1RMEBlnJqDE4Nk0H5EZTAIfn8NJHpvLpv2Z
8CDFdDVxyqlm4DpRNCJUXRxEz4ZYvQSU6raCQ6PIeaXIv7tGpZkYLPpLb28rlXj/XHhMDJwk8ocJ
FspGf5JhMS27+sWheoj4X/ocxksaMcabZUzfRuo4Z71kP8XdZYQ4S2Tigdg9IR4ygjcW1Y1HuEXg
xW8bkU2heoJTlb+7vP1Motshh21ot8sip2Rknj74cdCk1GfGwLSUpCQ6UHPIX2by72z/xpRvnoAF
EBEbsgqv35P1GGeF3IfEQq+rt/d0dXNgHonhvOi7PSkuXmjshZNETFyiPWulfgXg1H5kaHd+8xMs
3Q1D5Lk+5Sg92gLWJJlFaJnwMHdOxWNdNo/DRXsht+OHRIaiv4qiILCH4VU3jfsHE0krIuNigCOG
ULXABibYDTEEScrr8h0zaKul1J95NzSE96GkKYGS32N3DFTPHu5c7H+ik2zBYmrxFVGZ0k8nOymt
xWFBVauuwPKIfDGQDXPVOYW1yuYCm+hjNUSiJ7Z9CXgvSWxuGNmSGigbFo+q9XqhGZeF5ADxSI82
tpbq6fCiBeoWe798xmsemcs/CArJ1kvq4K8z3IsyVf0/9s6rOXLkXNN/RaF7zIE3G0e6QAKoKrJI
lmGTbN4gSDYJ7z1+/T5ojaQZSSe0utyN1bTIMgALBSQyP/OaY0lbioEKrpvCC11RiH+cBQV+49YZ
79hLIXkj2UEaAltByFUGIRylFWb3jSFC6MVcB+R6W0I3xiOylhwlYRRbM4A3AAPBG9gLIuS75ESg
Qo+F4ImmlwaqrLm9lXfU7WgxUGOgt7zlXzlTuu6d4KvecEJKeiUcPuswA5jTuhXht3G28qcz0hHs
VBk/cAY2gRUiICJeZgPmGExqiLC8BGAl0i1QrCLqxFtUpjHead3Q/EG7lEYvCp8sakiikP6wABId
gLKj1kpN51xA+dm6Y/ipsQd6RKj6bvIwXE5AaRQk6G1zZ4HHLz9Zx0nQiRvODI0DtSioAls9YlNQ
w1XxPqP2D/GUlGCFZgRs+GRxkenHwZyAlnSvMftZW6uD+bxgmqK2c4CTAt1hwxfocCQ2VPlC/EEk
waXaKnPWpgkPWB0lSC4ztBxmR+0RyR3OCNVNKnosLKeS6HPhHgM5cCmIzzeS9laL3VDT1OEowTKL
kRbiUIKxJ41u7DxjgEdbYbajxkpwcVtwGWUqrtuWWxYCLIMjY2xMHDx5+KG8Q6+TQibahc+Ar8gB
VQr3JvcSqytBEQVEDoNJgPUMetK9ihovVZRAhz3JKaLDs4ktbV8NtSEklDa9g419zmRCsu3w1Ujq
kU/mK99ohFJwZlg0mFhQt6CAyTRDzkWWvxXf4uM2v6PofWyeaReAMGSk31oo8Ng3+LhzelhamKoo
onFHEEXdO/sXicr/RpsdbklGtsKY870XxncHJrNCfBX+G8cSVfkXouak9H/zETD+oYFsdVNbKSqQ
eqJ3etkVB2HAzFZ+bKCmjePP7XSdvxNUvKgkngTi1NW5eQBhRjTjmGM37hNqzYB0GYQAAhiQcB6h
y1ApRI9qpLSGuZzF9ZnJp6PbQ8F6CaKW4lwKyHOTQ91yIlLYZyDxbEZtGz1u+xyCBUbjA/nh9XlE
SEPaowLywLx8zR+VD2DugGslCqWEiwA9VPRp6TUAG193eD5SpKH0dpufB+LbTWYguR2+EdJxCTcO
FkahyY32jPbsMw00lpXNw2yT3CJAJxIzIcWwgJ6hPxCEG2coasREzMDb0CN8CPcykD4bwSGG8QFi
K6W3CIlFixhX/kB8hZt3pZgMXhWOc/OofSG0AbBqm9uhv3DV2ZZtqPuBi6GxTUy7gaK0e6pDjD/A
v2T26oEon/uSIGLjCjdUFf+dwwK4tX8F8vjNANha278BtaVr5CSJg4IJQisCkglleBOQzdYuHvGH
Dbm1UQQF50rR7qeAUgwxjeobEdo3gnRIDck99TsWErxJ+WLbiWRGO2yYiYIZhzzooFGI2KZjrgP9
Q/PcXKL9AMWPENqV3PftzEF348a5qKfiWnNDtV8d3FfaGIurLC6GMy2s3S/nTnsl35xOy3fpKb1P
n6jd3KMJhxoEaxMM3QZvKOAMTzjZ+lSQghCc5LawMwiRyMaLY5/8O5SMvKFg/gkj7sgqFjKY/vyT
27Wi62E/WUAwwnN6KDZ8DLfGfYH6s/bBnc055IuTeUgX2VdpD1L1JbbXSLThGcaojsaCrmhD4LDJ
OmyKDBm5Ei05wiy0MZ7lG8cfkW6gUg8o86yxPlDlI6Cl0kDKAXRzXyK4SVMHI1uqJl51pRFRnUgc
g6/4jloVGCMU9VAm5ExsKNr8ydptpumUumUWj4lVhQyT1e0nvYIKf8YcL/0bL49/jZ78zXn6h+Jh
H6eL0bWgJymikbplF7p1WLjfrO/0dI/ou2GvUZ5U//1h9VrIlFg0cjdC52CiiXDGGAjeSZdzdz2X
V/3DgDQrXyNW6+mcPKAiiBu7a5Oq5vfTcwW9qaGqZkO+SC4xhH1A4AgDDsQwcMlg0OUXCL4+jMlX
4pfXX+fV//qY/1f0WZ3+cvm7P/83zz+qemmTKO7/4emf75KPtuqqr/6/t93+ttnvd/rzQ/1Z/uGU
v318dv+43e9246//+uneW//2uyd+2Sc92g+f7XL57Ia8//kRHOe25f/pm3/4/PlXHpf6809/fPtR
JHiSdX2bfPRgWf7y3uHHn/6oyKqsqSqrxH/99lN+3eL+rWBvwdH8ofr6w+mz/2zfq7Yaovhf/43P
t67/0x8l+RdZUS0AtfwPi1kLDR8+YPr89U3dsUx85G1FNWTLVDeDo7Jq+/hPfzTUX0zLUGVH1g1d
kRWDya2rhl/fgj8mO0gyyQ5aHViV//WAf3f5/n45/1AOxalKyr770x91/Z/WSdOxbdXC5xgLVs2U
/4EJEtWrrXU5fhu5Zu2muj/mOUJOld75xRyfUijli3Rpys5t0KWNgtxJD71lirBqbjS7F2r13Jt+
vkTvZQglLR0Wb5AJr2Lyg7Ua/NVeA8n6JkXoMPe1bzhCS2SvsV8Gqa6ENSGauZ7M4iJVD9WQ75IE
qj63Qivjs9KUYhhakWX2s1Lcx7XylKu3IY4q8QRNlqDbZHoNKbhr2kFJZH9QlJ1jRbdD1vsLAaZd
7/Lsos/orzk9LRat9FTnxUbC3Kr3rcx6nmeFa8AIVmIArkU/vcpjtbpJiV6qBe7FKXaTnMluNMHP
sYdUEqadL+4SFyUs/WgqX5dsFaaR+HEq+YWx9IoYtSz3ohRRmnpYbEhJeFgGZTfXO7mntiDJqXCU
laUlR6ik6U9mjrCRNu57G0ClSTe9rH6sybgIWVr9PjXPUbd4ttp5+dR77QIoNFQL4eiD39X2fpHC
a54oiJcm2a29Fk9TLT1ott+MFMziSaTMKUoStF3PobQO+pfTPO3CjiJF3T+u8rdlKgZ3VXvXnM0n
rW0fqsWdlx9hNdw3ebKbHbAW+uj3PX9QbdpJtOsl03RqTNNbutD3R4WFCznJmjByxRs5rCgANBx1
3Z6d/A660zpOQuv8sVW8VUp31gQLEbX5YhaOPART/JI1CNUqw2tTNn4EMtLpdWFIyk0v09weQ82f
QrsQutSKPtnn1lFWz3F1aWBwLe3k2VIaKOGzWjBUEf+JWyGpWAzCKAI1nb9I9s5sUKvlrCz5a5jX
7ihxfIsu2hjCVXhQltwzKuzallOfvFicABP200KVEg1C7daxYOXRY0CvWHucU11I8mFMpkCDDF/t
B0TK2+Q2hqSDBEv33Rm8WZsPNtJaxugmlAOWh6wTneFHkxU4PWjChcjHDIWGzuRAUzgaPFVFIBx4
ikW5T3sdwZbYYmAgOuHRARAwv6Z16C527vclNh1D6A994/YEmrrfSyJXvqfjgykFXUcxycldWfLG
SfWGJhRWwzgyRRz3exltc9A+47xrle8jkheNErumMQlnJGvOZTdsx2+TnHqr0aEEYe6yxp+L1lMg
hgG566b84DQfOY0U5Xs83I9ghCag1OpRWmHq6rafF51bpMXVjL41vRj1l7ir9pPWuLJzLFcIcuNX
oXXPbUTeI73mI6tanF26sr1rpnQQWTgQExWVX9S+bfilFIkx35Xry6oazD7YMwyGJHTlfSpSIZmm
ZyfaORtPhkJ9G0pZpD306uSqS+w6CyI0yJ3lL5VO9S8JvdRqQLhPNNQcy1tm69PRay8qvtsDLtL2
+DBMtIl6oKF95a+KXXqd3PvyhLqEFgqkADsA885wyDfIDbSV2QwDpfwI1UZoESpFWulqq/FgVw5z
WgZ8vW/v1UJHwoSrW3eZ28jv9TK6kxR6s0NClww3oz4baCXHfp1F8W2VLH1gIR4SKpTR9XzfWrhi
TW9SdpmzgTlVfcolTKsN/VxkxLPh9JRJDMLxQY4NLnUpYlSUQ+fcDhFXYq/1Yh65E8J6X9tUViPU
EIobPVbc1noP08a1TLdsoBHb1OSZmKuad+R4P3aM9tL2syh7ylpERqTsZMzhY1Lph3m60+rFW5LU
H1T6sAblJXnxY/IOXSYJmTN3dIyjnVpPY3Qd41pUerzLjeGQhB/Jio9822FKbXfarSklQY6VkTaX
71ZoZTt50MegnO2dIyPc1y2B2Wwkroy+dn+zzIn7c+H+j+KY/ysjlM1583+OUB6r9v1t+eeYZNvr
15hE+0U3TE12fvp9OSZRyd8iEu0XU7U127E1A99I0yTo+Gs8Iv9iKLYh2w52spvzKbHTX+MR+ReN
IMQAT69qsm4S4fwH8YjibNbBv8s6TN3kEzg+WXdM66e35W/SNtOIxiXLkbawtKelhMSjPHS6KiwF
MUaz953GvBYOTIqmj8Q0/WDOfJHt2ktryQvH0WW1cAvihhxQbu3Vc/QexYoTiby3q0jotaQFc+60
tmcNbesN63BeqzWoptHtCts1LWJ4a1u1Q4pNSbFb8+ExyxDDsXM3smPRGPOeT68aCM0Jd4t+JzW6
N1bFITPSwNBeK/SmWiXLhSYxvFuLdDtN/H5VdlkJhFnO9waE47adPSXxR8jr62HUS1fOB09Cr7uO
gojISbUL5onjLIuKBLYrBk8JaaUvzybFQqUUXfi6VjslUl1Dx2HzVQ8tt0ezxwbcSZ8uSnbTOnrp
YgezpaL16ADVkkLRWYo3LZ1fy7LbzEet+zFSubWaS5inIlRCP5ZGVzdCd4WKbFKy4BbunQlFjNfQ
yIPGDncps60OsLo1PcOWg7H8Krr6ZWZuNC1EbCSgJXr4vORvFe4Q+mkxqPIgvCetligmtInmS6Y/
ZcsTxGQsnfLxPo2+LGMmUJndYviUmtTPwmCwHT9S7CCzyJ1jlgW78vP4xxTvZsKVyTkzFJnez+uS
ehoKpKO8GzLU3yummOVu0XKRyZGX6uGtYhi7SFu8vEsIwNbHteJKG3Zg4vk0RLtJ+9Yn50FB1Gut
ArvjCsfgaU1UGKudtLLQbMqjlcTaIbuL3vsJAqPhUzcw/eWjaGTPLtZ9k7x1nJaeYKa+X9pYRCDN
claswoTqXZWmPzeGb2vmw2JTja5rdJbS8sd/PqX9P5yabWqF//PE90xO9Qf3s826OGk//8UEyN5/
S8rIuCzdcZjRNEfXLZnJ7NecTPmFeYxZztFVR1NJ19jtr1Mg75maRc5lOLKmkS3+fQpUftlmLFPW
FRvtRIU56z+YAi19U/v43RSIby/HxSGYhqGTJfL+b6bApJWrJq/0BZ2AVCzTOotuGgAI1lA/GKUz
IV7VWftJLcHpTslnBFhYsmPZq2vrLjbwlVoorRfoemQLslwWBYQ4Pw1V59bog3SpSC3gdXNNvyyf
hBKuD6v0ns/2nWxYfiTXj/bSe8W0BMlwX8qAkYznde6FZlRf6qB6WmY+6sR8WkTRxsJjSvnUGyRk
O9caiX71wjOL+GZNoJH1TEb5WZnvC2K//LPPclelWd1/N5AntFab3O4xnFbu1tJVyzyQpkzUciZs
VGDq9nGaGh8XVW+K7wqi3jathdU/GOqwS1YKbF17JLQp7dCN2quqQrEjlM57P8Jxyp7MQ58DX5r2
UwrEX8lF1wsnWo+JTQZbXpy19yvVDiTZdE0NCbdrjzIraZW1RoJQrW1endB0bfBJsafF0q6sX1si
d2KleHpcFPhbk1+n+mWEMDsnR336KsbGLyt7b5JottLjFOd3dh+6znRemPai+xCxNBwKNVJZ+t2I
/nUDUSyc6cby1uiaG1hbNINI83ejIN7kpPZRINc02qprHT4P09Na8O1rV4o/lPkxrNB51G8S0P9S
99qNiFGW7tJabk2CjVmDvQp7+lY1s2tRKipWl5XdjbJzs5Zu242u1u2NBkXHjHS8D7LqkPe5n2Aq
wtkGHTIMk0sU7KZd0DLraVEhFIjBGGBbEo5a1q3aI4moZYEVfuWzuk/Kc5SGrplxGYk2zVyEBrZm
M3zL0Gr2UzHdJmO8eurItUhVwuZ4rB/aFVmtQj/UDpIwcqYlblo+hja8+JzmlCoU6SyxOgwgdHXd
qyJz1xqZ6Al9LYUcZljmSHR29Jou5aOipIFteGqU06brQSsPo8kXzr2+RJpjqU2A+OubqjWXFcZM
Almn6B9bqC7ZIImWSNzuJDEgAFmawgwjjwxOlO1rI/deVbciDNebUesENy8nQE3y02zR2VPpbKZe
CnhwUldRZPi1J+thXd8qc7wzJIQZkh+jcmzX46ji4wtsv7T8jHKFofaeFt4MJLwqUOLJ9ubuOipk
sEhIUXeZRi9Rvs3ryaKBu9y3puSZOugawMIs050CSFTr9xo2VWbznE/AJQz9oZrVZ7nJI0KIhrug
V5/DIXo265VldfKGT6UwjqtMfuh4aRGSgMpeYb9MunyYE/lhcZ70junG+ZFa1o5TEjjUAXpHhHCn
HNtd6BdVFvf1m2qHgVPolGEwBlzbmzRWjmvRiGhIyXLSQLWPUeebdmBl1zr63nCt4vrGynvPRpUl
6xDVvCdF7LPHVA6WxprdvqpFOWe7UdYu1oTdSIsH7KhybuAimJmnqM1nL1Gdl0gWOwVYcNV4mvyZ
SZ0wk4+81cTcZokoSMSmWHW7EXcpmZIz8pvJ4MmT5tYpaKyOIeGrpP4SEEpS80pFLBJInKq7JjeQ
HIV+okhuO20lL4/rsZOnuz7V9hmj0gipRw20jxC0qpBTLUwmr7LbFw60rEJtvWpIg3iu3uskftG0
5MNRUMfOvLbtJW/lVow5T+EyWMLmY0ubXp3miNWWXuSYPsqC/qG+nrNpWZnTUKVmoI0Wrghre68p
jigLZMCzJCgmy63cXa3fhflNmwE0HCpCXCTlIvmtqf1xlTzLlr+rKKe3n+myBtlQXBdTe9OpE6R5
M/rNZmmTqBezpK+dk2vNDaX+tpBeq2qRRKQ5NFm10ZtarDplVdhOKKoq3ztt4WUYEscExn30zqH6
aAnPBFi30WoFsjU9dLL6Manp6FcFWFinW0TdSMeIIqGnzMUln2dhhAq7wdRZRk8xJ2LJ6YVS0U2+
HqdRRdETvZDVN6BQpV32XmbXxUJArqWZmTS+GVofUzHerQN+ysNEdl1VX40KxEw1vEqr/WkYWUZk
EcbtaVjSfePMuzCWX1MNR4J2Be4axrf20L/lULDlLLwdVPOjLRVQ8Q3KqdHoLdn0uPbgXPJmXyXJ
1Y5hInf1d318aEdVcOGulW2/tgZGwCpGH/SSshqHzOjZzpmBNc0irB8+7TXni1jb36MSU/W57uZd
9FYUnW9Fjtdr5zVMd7qevC4dW9YtU4G8vrLAGgk6ozOlyWjqjkWKIEff7aRUPVPF/ZRzcz+F8mVM
oSaty5ukyeQU1vJj1Sk8lZNOb2l1a6TV1pg2YWq+pZCk0ihmxYMxmOmXoRpEUSZAChll9mx/jsUS
up2FvMoS5CnFHAq5Rp1yHpP1XZash25InnopvjNYnSwvMWNhJbJNBXX2KznajzYCSUVya/bP2/iL
Hop1ujPNSsjp5BXlg9lkO5J+agsIDfbheVha3Z2d8HYegKGHJbMnk7A6x6KSANcl1AnQlAmtmynG
HsRAEmiVJm4YLDoYkBbrvi6nD1OBAmusXBxTeraLb4tW46smnc3c8CjGnqa+dZfiW1VUKNdPYe6G
zFgS4s+xvHPGcwsTL7SYVFfPtOPvi31olNu0O/TG3ZBLXwN+HVWC1hllVPPGjpFt7GnAFunBkiA+
m5pr5suxpQiWxp1barXIuvwg9/kuqzqvVRm8De6gKzSKsHJXx69yDBzXYI0+iuK8JI3IDCUYlmEn
67KISrGax1n76laIMDjt5boIqZrVo5c5+F2dsyb1YmNy+xgcsj4wpBbfsSw/tWahW2j7SvjHZNpx
5tJucRRxgSfFpzE+1EZMlRW3rvXHGiZPqQYogokkSp2bCJRhGrVCHi0ySnM/9AtFG30/d65ew2do
Ne5HwGlTLQbjZrGjYOmBUzN4mpukpCQEN3CJdwl3djwgyh5TPL+fVH8ig3WNtRZaYy4k5bK3NI9y
7niGDjyPhHrQwX2kutemDZaxnR+P9q6OulNDtGVEYJOzsCU8hQZrN/d5M32lYeN3FK1G8Jv94P3/
3Gn5TVsL947/OXe6fL79SMron5Mmld3+njSpNo1gx6b1ZOiqrf+9bKT8IhuqQ9JkQKxAS8z8XdKk
O5psW5ZJC/lncehvdSPlF50qlG5juqCRVFn/Ud1INel7/UPWhFeJLXMotqFbNmYOv8+ampyQRSkd
CheAnL2BtexlWIRCiwKvONO71d97BJRdr5dercbrQn+OLkD0Lbzy5mDTvqkFU6ElYGoio3czwQ6P
D6139+R5d7ee593evmw/X24pyPiL4MEa+QVc8Nfp0nusnS8HdIpyT7EfEA3hs8z0hj8nXe/Uie30
zMuhEiBlmByrNqF25RugWpO3NQYuKsHSXV/7UnZHBFOyQ9I+IdIOTCi72sbL5NwvwBOlU0IutAi1
/OpUVt/j2PmKJhogwvW54YamwduIBp+Cm6W+b2JIZ+biq5Dc0BwCreFS6A9vVLHphVuOm4Cjxlyu
9FGOjIiNKTnlgcNco97k9PvJI2qvyTxTcg/9tcEQmHmXbn8mUvSIFVd/GuWAWpEW++WPbC9RlvEf
VIo68S2Lz9AHLLXf8eaa3bKnIHJite9EZnrOm7EbKVf5BPyV4yqWkFm5nRvTS6nIHypZWCCd4qfa
vkjjS44emmmj1r8JUSI7jw4NYbA0CogWxOMy0T+A+fTHeODYxhMBXCl7QYDsmFTfJH7TBmYtqI5F
b+8o2CqnMXW1HyMFQlS4EA2S4lvDI27SUQ2yv8+Sy79pQAAWEZZ9QRR3Qo3mHhk3Hbud8qClGJLE
35p3bdtWTQWdrXXEqtnxIq8W9S6yXpfnZfWc8pKNtHs8vgR66tQEuU6c126vKzsFyDpxqoZncdvy
Q/ooH82vpfRTmH7qDciRCydNusXIcEdc5qIN6FWioInqum7kc3QiDmIPURB+YZ0Te5GPPoBfsDUb
HtzHw+dx22Db8hKxPw7F7qES2/N5XwleQZuZpzwI5m0j/hY7skklcINx2XP7hebAtuXjYXvyeDg8
/nzpcAhW95D+/PFAxA/WhZfYrGHfPHh8TL2gEY9A1t0DD5Tbx8RFNEAAi+F34mfnx8PjepucL8kr
3abblI9Zt4/hIYdf4TL+8znHxuG6CRpH8G+3A1ldN32o7njA0+28ICy8i0Aq6cT0Hj95z/55fnjT
Z+FHACn8DnmA35ymQLqM73bqOak44MwLxhdhbD5x3ofeyFmMPRo2KC3QysW3N/Qkn2c/f4777fEI
dSn0sl0htufxtgXHt0kzYR0v7AOcRNToti0kny14xblIPnKmPJLYh9yGY3aEw2VTBNnfTE8V8vrd
oYcMa2GKsREDNpcD5A6+g5F+7vef4eNnv3f8QoA+fg6RECift98boujyCZ/u52vIDXw/2LyFZCx4
WiQPjrbniNHl0zKx/R8fn788sPzx54uju/vLC5+nv7zlCCwtf27bb8f4c/MacI6wRE3PenWhW0Cl
f9YPHwt30v3oXqacWeJu99qoOxQt4u/1o8VMc5z82dMgnUUpiZmHckoq8veVJpHmpjItwl09f+gn
0zN/0EbPaz+t/QXAYnhLYTlcRHZBHJ9+Z+nJla9dU9xGrpwmJfFk2yMrs0Y3LgP+ss0s7znWzax4
UXbFx4V/q3Se2gs1sFa7n+ajpblds6OPZyeiVN1yCRraBvFNsu6N4ntdPgyZN85I5OOhB/S5eF3S
lD4jng7E0LfD7I/XnKwZOVBAyhuIiYr9gHrk5EJjumuKL0UKYjCrzsNU/rArIZF8ZAifLUdI46hz
VJ+B+8iovKNCETSfSSTS4MDrySwQ0NzP79VnmomGe9GPzskrN8K7BlwteOD0AR9qXDz1BNNZEDB5
BsFj8JgOOB2MpbuRrXMveHeD6VuAAuUdmwSJWwfBAfY8ZhMHkLYPlQi4bbl/6aW9sCYVBGMB6CTu
rcIlrx2HWBBPbjcgN/Rt/qBQ8PHQ1ihAbjFBbDv+/b/tRnQv22S0TRrbBELofgCEWuwuMzckE8dh
u1slnx+fTFniwmub4ry7BpP/8vJKL35nQ3SSRdMIyzVbFx3eQ0dRE0pcJwhZY+4zpPvRbhBHEHIm
WjjpKnzb3fHnADCe4ikhyLzkilhrH6RZq7DbbYQLw2e9evwLFeY+45pyDJxj2V07kdYeDzjpCiLT
LGCccqaMc3yV7h9xcbq4IQE9YTZ6ANTOQI2I+Boz8mu+iAIBRHJx+UlF7XaHAlR7/XwIXL7pwf18
ht3lfv+ODvl2i2k7LIFa38GM1zUBUk6AHwyOPH7qPP2hwUftLntIX+ObL/m5/XZ27szIO5KkkHS2
blGxK3sMAQtJ6+du7yZCAbjeedaddn52lfOx/Gp9xWXq2kxd3PSt9/eLSxuozFkjUGKFkOa78dv0
YiLFi10RoDI3SBkXuOC4+N2fmx3TNHqb3vG4Q6ZOOyeHzitdaj5edfTdzZVr/3XjXaG/grBGhR1Y
58ZchtARyIhHaWLxykt5Abnszr79ob9gcC380ceIEVGAezkgHzwQvXACwIs6ZyoNx9E3dpttaosG
1le9+eh2XufVX0OADxgFRMgt6InAHPrCMINSBPXb1bh7PFySHS5nBevF4TFyWVh+rhR8Iw1chew+
Xg4/V6jg8RAw7F2mNJOrsvv8NL0TIC4uiOHz6un08bFzcxfhPPJvTqvuPufuKYd588zPo7s7Pbvu
juvJjaKcPbHfC+Fd92L7TwhfuP7R3/mlezz6x+em9XzX9XnB5anrCpeevbu9xGz7OgS5+8yrnffh
8515fCwZAKlA3R/Mh+aqrNFeDfZ73J0QHrg7+W57jl5I6K8USt/7DHc1Icqz/Ww/6y4rBtLw7unj
M9op97vd7kI///ZzOX0iW7KHX51vPMVRHFFaMF63b8dQ8neUtFE66DnkEh9e9/n7ZRbX5HDcKTta
/S8gDQ3/ufGqF0hyN7AcP2aW1xwS+owK+AjW6TF/d2Th+PoPp+AD6fDbDHF4MbjZtyxL7d7yLb/2
tdey2PHjlqLHUIr0Wbk3jyTJi+Cwio3i1xu3Sey5+CwAHDa9ej+ymIjos5bdGslepCOoOdh+artq
vxva/Sxm3UXwnQ5AJokFFSLI/eY7BaF4eSiWXYelUTrorr2clJ00nw3UKW4NdaeOrBCOMBGFavZK
fksvwHLeSuVaIlXiJHAI5j18C0Z5A8g/AZ51b2iPIYEB9A6dGi4Fk3sb/VZ8cbJXiiBP0isj9AP/
lXC+L7HbIJcIstTrwYCsqFXUaBA2E60Zd73IP5w3xrsUgNtx0zvoMeu0Kf+mQju1iEiHQgoQKo13
ZkjEAmVvz5ouaLZwOZqXLkhE/My0xo3cgH66OK+ReKP+gxEQQhnu29umG1qEnq0LrgTQi/QZPNm8
k4g6sTDOPapt7nBNFzeGPQzzOntoM+rgvjE/TAgp2ldVoWK/ayJfRhuGkhSD7QMFxIEcA+ttN7za
18k6FJGvyaBHDlp9zSS3erGKfdjfGVZg6qdpIgh+qhLAPtqV+TnS3UW5nZTbBQ0zBMl1b6q/1cg+
RLVbpSdSGf00SC5j5TkDFVOwIu8dBGQtNwMWtXJKMMmtgTFdcsT+KaunqD3hjudcTGiSKZqG0r5D
K2IEF+WbBjA7Mc/HEXpK7DWEAQVMzN7PJCpN99FARrILwZ/ZQsezW5iVmyboycpweZagG8TICaQ/
vaKFsS8NerDCxqykRGc0OmXdPpb8shE27bb3a3tPsRUP8+v0kppuEroq9huuBTcGVue2PvX7Kvb9
6MdwLRLSPU+9UJkS/V1Fw58Fk5IRgQ9zahxkkzDu6jZIKfaqc8BtsR9wySSyUb2RcLkREvDvfMeD
vg1KTO8coACiobyPMgC66jqDgkECo/orhj+fPYLXUoxT3dLCsREKZdD02rVPTwn6i5MqjOSjK1jv
8k8bVjMNBOemwMfI9urpXLAxw5KSd44c/m459x9Qj7uL3h2j6r7BUMqmb2C3OKd0CSpEXz12fT1/
SywwakzfkT0rDDZ1ovbCOBcWphMmaVS6m4wdqks6xisE12hUmDf5p8UNcLomHsjsoIA1pflNfJuW
NytsKOg2rxlyDguc2vCSfqPcTs/pPdeebalyO20fOh6lUnQjKPZeICBhkgLNWNB7FMVjn4jsVN73
jRhC9+12nINizQLOa3mWmxs2zDxUo0QtROzufz4Ve5xS3OsNz683TOk8vqKv7fLCzzd4tL9JPDJ0
zF+3NzJPbBter5vq+1QCbyLkcK1pn1zp5Ue0Q1w5dCmSjWe6lUr2v9k7j+XG0axN30rfAP6AN1s4
WomkRFFmg5CF9x5XPw+ypvvP6ula1Haio1TZXZkpiSJBfOe81p0mO/1MaRsZnOBgQmA6bW+DqFaF
mzRguJteoh0JnCuPnOozIWpb97TYzVAOGl7f3gelJ/XbxPCCxSac524ijh69H1hEqfpwL1WBatTu
bdPDOe/S2uYk4NQO8S7A9fh3ELe5hktJpgNu4eSmoz9Fgm2QCWQ3KbEovSc6E85iEZ0h0b2zo9i3
r0vkrT9+6GCX7uyVUsjsnjrOY4IrQtwIZDI0LwmfU+wi3qgD6xa3HgdJlzPaMIORN1+H1p65ZS4O
A8hNPqmcRbpd2a9rSehj4RROwHPRsOZxg7J1r3LljbqZ93fM+VYPfcjYErkLwy1cAMuEYWt8D9hD
L9oEXkHIbEQ8Fek2z+2WN+cGLGd0xH3rjVyAENmO+cC/Xsk/0S7gRUDVYc8cM9yVXy8HZdmMHZJV
L1xrRn89GmJXUfUhjDdXoMHtIY/IM2A1mzcC8OXItRk6cn2y3GrmyZNO4+DggL7xHorusgfngqGW
mEF3DXq+XA6wnNzyAQWIhHMvo02gLDWwgWO5l6/Ldutu8ZCz8+2+Lvz3jcOBxyw+ED29wZlkD7xg
vZNtpbv1ElyvvGSv4qnM3pI3ZkDQcybabzFwZXWHLIj/4liUn1uexo/kLblQW9c529QFYAFSPUvf
EsI+PovDFJLUKQpHhGfkyRRgIfxC2MyYE9qt9LI6jwf3Jeclze2X3rNO2S59b/mxLBs+0jghjgKS
51paHt3Gv93IIfiuuWwwhTFvpL4+kDGTlVcwMT74Gr8+kh3/F+D3178v7svs5PZdEbmkGky+eweS
5qY36N8DfxtEJL3Njd3+rCg3lJ5H8SS/z1d64onc3i6HS+I8PSqlY9W2A/7rR4OnN86Mbhvx4uKI
XAwu1U3X6iZw2Yyu6Es/kxeeTRs97X49zF9t5+h5jGB8gm2ht0TALGyJguJFAbsZ7dH+2j5eHh/x
t0dey/LwkJSOTgQglW6y17h6iRuuJvkXRF19TmWIYUAxp2SJeBMiB3b6gnnpqcB13j9Wb8PT9GQ+
p6f4MTT228td6aX24YC4lWYIhgG73vJMXm63g+4dKiDFP652ot0v8kaxO7x1qZ1SynBTbPeGl1O8
d1GbMeRvSq/xZ3yg8l3vHPhTrpzEKbe15069/YLJxev3tSccBnd4LfhBHwVKOcXVyLsWR5Wn9rE8
BaINk1fMLvev+NPErewsiIovSLH+i6f/jqdjkvhrPP25TIHTo/f8PyDqfOK/EHXybU3sHyDZkiFq
mE9+kyGJkmTh8dD5E1FVVpHk7zIkWRIN0dQlU9LXuuh/KjGRIeEZwc8BAK6sIsq/I0NS9NX58ScZ
EoC6AeQvqYopa4D1fwbUy0IMxEzhZFO5+pe3OaeIrTPdRv2ZJ8LeEbZRbGLMm06f30wTCqcQPSMv
An9ITfC4+iTpYbCRksSFj2MZGyaG/6i+HyTzHq6gta1BPzSDDps1nDPuBGYaI4KMnCaWt6EYbsrm
XUzJke3wUI+aXY35xeQ0jWrhdVKIzckiT8kPpdl8JoniziOJuH31pacpnSUL6VNtxsQzVDkgc2sA
DYsP0qzbi2Js57L0zPqtA09vRraMGt31UG9ywTik1kuQkKaYyoembG4Dcyg/qhlvay10h+KpVwAl
9KdmviAyc5J6O4XI7LtH9IZRi+2LmhJZegvbdyGXN31/DBU4rIHoVzjMIMc7O0svhtm7StO+tApK
7UgSHjRVux8mcR+lCMkZn7Q0cKaqtkeE5XWDGXco3oUqd6BJVZEKoBYqHULYzhfJydCE5r+sM+Ox
ncrnfjEeDVhWlNsHXcYMWhG6MQ2v2UhufDveD0HqZz0jZtp2vVdr465W3/ECgBHoxWapxJ/WlCYv
58QWs2zTJ++tfhLYS02ZcSnM7ak07JnhQ4Eq7smazPPoOWi4FaGeGVGtmYGMJ2EryLUnVsjJ+5gk
LbM9V4OROHIaOpEhOokkbmKG3zgdnKTkpjXpG2ky7TRpboY87xWj36Ef2rShupdb7r0WqtSOIJPg
Cb2DF6bzfVkytIfEmqadGxpAdUJwXL0ooaS4wZwO3qQt962J+LSInETVPNji02iEaNBy8U6cx22q
TmS0mozA+XAWABVHNpMOkrPrkoOULbdcFLZmQUKC0aPeiN1QQ9MJI5FGkxPLYPj6kxb0fpBPd21s
HU39Lcyac2HSV4qSLBwiis1xkDbKiykDmYmfXR17VUdexZy8VFDAvMKsw6JraTwqdGWYBtgodu2S
uarYOrMc75aS4IJa3SXdY9hHx6kQ9iLIV14Nm1wS4UHolBKrrTgcUyYXE4ZblixfMyCWdH/qd6aJ
cgcYfaabCNtGESKzR0VlfSkofSbr1mXzaayWXd+/dKiBlJrFFC3SLLraoBy77zQc3bmYvQDdq4Ge
SFqFRcsqMSrQGjVojlK0RzkaJKN7UFEkceEd54YVRtnWM2lU6Jaa8l5vNl15TqSnAU0JCsYQB33c
2GP7GE+GK0cHHEa2QWYDuDjvei9DJSVkO00EdFOPCU9nbL5NMsVfBemDkixdW2OgV6YABp0DBq6Y
4hGRUQfQTitOqXjfKhVBy7VbFcWm4i4kyWQrKTi2a+FHSr7zBLR4fDXF8Ngu7aWMZlRFjaOHy0Oi
LX6Onm4sol2see2sv4xCu62s5Szg58gg29VXq7zmaIWD5T6lk3Ns2X9JAiR7K3vpy/whXcSXnCIW
dNebSPkWLO4lmWCbi7LRpUuqBW7L7IzW2QxJ/w9SrEyxo0QGCLb0X3a7+/005uD869PYbt4/0+I7
y/7hlw0q4f9wKPP5/zqUsUZoq2ETNSGnr6b+7tc0MTpgPxE1RMKaIql/5rl1/J2WasqqjAqYA/u3
UxlplswRqkgGJ+nfOpWl1TD6b6eyiTVDMTRsoYasG//W1ZKEajOMXTtBpSTbsEtehdJ6aiSZozLG
pKYc6oVxEqHoHOJ/xlkkYJey6tMyKjRLpTPtZuMpNOKDHGlnjqpTm0o6SE6je+HM4IsDKrORTutf
SR6ftRg8sNRqpwmn2ikW/b0UgDbEuCNgl8gkFLJqHr0FCwLcVIaB0SnQbKPxrrU01snkaJjBbBsz
7+JYa1HUZZBuCbC0bHIfjob2WM8o+PJdUrVbxSJ1IYZrzAirMus7SRnxV40IiqcMEE9oOWNDBexv
KuptKoq1k+RUsBcWaYABd8u81u6mpXPVQYLTTT6aZb4qsazj2oh8URcCG/kei6Kp/8i0npTpcD8l
ZW9X5X1uptgmyTgo2ZfSPNpKy3Qq5SF06slM7WzutqFA+kml2t3IrlVbiZuZiR8gPEr6+1aqv8yw
fMhWWcxMpE69SM+WOthl1LtpJ5yGpPcrjKDybLhqCRBcfHTjh8wEMzLJZLr5ajDZlEw4mo4OMTE3
C5NP0bwLS7ipmYcC5iKD+WjCu1gyLxUWaSvr/FTP7GN6eu2ZrJJ1xNLWYWsqwAgQ1G3GojwtvYHX
K8Syli5oaBpvqsa3dp4wRtxSg6ui8YbyJ+6RQmm5nQjDZ8mWUIqca8Cwkp3FBIRIEa41OsfNk8Us
krsh+frmJlGFrdQ8BVMA7li5CrHCVTQjp2heBCndYBqbpflZ0SO3iL4Mam9q+T0UXlX9KkPgYzxG
/+xIM6xhieIAuEPpRq8xn7PhNeebh/T+zYFXorEagtpl0vrvnvL7nRGPwl/fGZ/j4qstm3+8F1//
uHuPv76LCCXQf7g/8lX+dX/UZJmVwPrfm92/lhbxf7gpWvL6hyreLcPUuK/+trUY7BL66jBXtD/5
2dla8J9bhqxyaIuW8rfuj39sJf++tag4PHTWK0XR9X8zT7S1NeOUzhFQRPlHy4w2NIYXU6w+DVC1
HU1+oMbhEuynpnbrWLk2DCTLwptcpF2w+0ks5nuKaTC/JsdW462cf1jBczF/GuJVHHch3IRRlUdV
0MEsELTDRNDRCwjfDck6Pun6JlLp20kvvfCY8425ch2J0azn9jUrna9IpasXTl3RN17kppsI1n0j
q9jcFm9eUpTKkj/O6bpO7MxYx5AA7Uqj+4ySZYAxnRTBa8VltY8ROtzDGIy9fJIrf8EH1wmvorhd
ZqxviVf027ACjpmbjQHjneNIGsfK78EmByF10z7ZxfVNVB6NdqGagndkWdanabjjKQTPbWYkPOOx
0X6SXt5UMmEkeEgaQd5H8s20RKxo1Gm/G3poSyNqqZKdbmIJUExQN8OTpNAfOpTB2XhYhGcEkvch
QLTaO420k4MOPVI1XLRKpGU2hRk3AnNvZenGxPsvR8HbOGemvxTcw4LbpLW9G+R8e3UZ/IrXQDIA
zgZ84mb/aakWtElF/5yonNWZGz5P95yRoKaT54SJJBTakxXUtqiUJ+D4Rrvm8BANmc9ic+mnW2OA
2RXWfkbwHyPErOptkIueEIQvUt879QjPLPH0ZNq40fKOnUv0rZFvGpXxG/kfl6ohQKALsu0ckR2X
cKtiNC+WT/7Sa9EXe7MNoYaJoyy5MAfSw0r93uxOBT+2IEVcFtQ3o5cfG2GjWzlm9dgPOQgYNDy5
M55qJGR4F++TUnzQ53pbNNGpLz+0yDqGXeCHNckCZX+eFgl004TE751ZnPxueYswgje98DUXIQcP
ldEtQZFx/ZU0pidqMHWDcifr9VmPJZBcLTxV0XQR++KamN2DoiPaSjA3FtPDEia+mlEj3Uf3KcEO
qSZ6ZT9Bz5neUlU7Xe7vGxIUBBEPR1kIp1pJtgqOGEvFvt0X1AjkCvYMmGtNW1BCiI7GRhqZ88as
Ehdaz4uJWhCzwiXpAXmc4FlVdp9jO2nmjEWFCiwOZ5WDe2Qz7ipk86m272bODWHed5ZyH7JJN+tK
LbNbKyCUMbt2bsbHmd1bYgcXZBw46TFgMxea9z5b3hSqZ9jaxczVu0dk8E5cb6NIddr5ohe3gV1/
LJ5mS3BSYWPqkd2X2yEob/EoHn5tpwjUwAwssIOad0ENltCCKRj12wTCMIM0iCAOE1NX1Gnnhh2R
vJ+Vs1nhCW0FKnQQi9jC0gGCUYBkGMOhEj7U4qOE/cxnc6UbfaOkn7MhL5ftgxWeRA4FiTzPQqQ0
+zaherntvjBrrTLoSI39iumkXceUiHlFCFQvZX6ZZyjZYh1ptHE5qeuQkwItJP2079X8JM333dgw
TTEV9cAOnWz9qOu4tKyD0yohltdRqtDFq5bkH9xy3JFZK2PmqueR4YspDKQLhHsdzKy5AQBgVGtW
2MRKcoQI/ZK74jrSaSlJ3sx4Wk/qiNAexzzdZsyAzfwdMxEq62gorEPiPHWHZB0bzXWANNdRMhyj
Y8NsaZb9XcMNzw6EGYhhqB5VOXiVSh3I/m5Zx9NiHVRDLX5R4hygJga1VZlmY6baMSPJLy6/wnjc
JAWp57CerU4uWvts1mQ/VKqGY/86WOZuZEcn7EFjidWM+Sgm6a7Q/2i7+ltm9P+PnZsySt2/nkIe
s7+I0eGz/jV1MFCICpE3qsrao//qT/+/jk3xf3Qya/R1K8OaSaGx+WesVAFkxeH5h8L4T1ipilTZ
sFRFkjQZu+XfwUoxjjIT/T9rGROMJKOCFpEfr2Dqb55NaQwiQ9VTTmroZ4jml9Rw+8aPRzStMJ8O
BYHSZ3AZb31mX7B1e5oLA+jy9uq3hwaGTl+ZAvfQg+ybHr9qrnBYaS1M7C4g/0rH5Pwuves0FEDQ
UDbBtrb4GBFNCkUHe0bZcpR/Frygn4O5bXInKDZsOiiCY2e+LdYuf6jvR4gQOn41NAxH0AhWPYCa
FskpuShFZcu6X9Md2V6xaow3MXcxTeSNM94tFDIhYEjWTyHnAwtBn22H+SA1hNkWqBrup+aO+mDM
nAZHXY/Vy59paqP7SvBUna30LTRewKB0D4O+DQEVOdz19ieDshvgPxe1iV3b11Vpyh2fWNDvh+tO
9vDqudWVP1jlrbnzyV1/w5l4+tx8swL7b2/lrbb9CB3qGvJGtNhtBaZtmYf8cZftTI2n6NeX1V8T
96ocI9jFy1tpH1L4yOyueLrcWFS5J/GgbgfBzU+PXy8HzOU8Zz+z9xY5mRuv2k+b4skOMRFCUdRj
0JV5/uslWU4tTFp9P7nivvu0kJ2Rk3Jy49hnNYVGRUvde3gbdqfTrx9O332SYvtRo/FreaD5e3bV
N527kj4ZrOrDAfqWXkILOrQ5y075LjF/3ADCbOU6EGCu7lFovNaIbqVD/i14pCVv4E/50cUf7bMD
Q+Mz37TjyqeuRC8BLqeS0sdn8g/t1V8EzwQ7bdhkukM1se9dgXORtzySHpht1DskC/bdohyJhIrv
s93kKzCqvDiW/aE7EiIyWG+X/mq+0RuG0pYqGftNzd4769CBQBPmjQbKsKXo2oafY3kZZNEewUm7
p3HaPTcezpQN0isEMdoH0QWV9Tzmrwkdr7xrPNVtP0cJUz1I5nTf5q95+CDlB3l4rLWPpXmQzTs5
e22js6ispRATWZky3T/TR2rcRkt3FgWdKqm61ejIdMrklZ0QW2XtK2qROSrJgcgdWX5N80d070r8
kOq21uxiEjw3/cM0OPIqNTc1f/Ze9Evg2inGq/B+ojAJd+bgqPVhIJS68fqFvM8Ugc3gCuL91F5m
3c87X6OqwtqJOCWprb9feDFexBuq+y5H7xjbpwUVhQ/mrI+wJU51KldNd5jaFjIKFFiqa3ktgTwI
r1Yhb+chSPoc7Ls7n4J6FzngxoJ1/6gRw3RO/RmTr22eogYg5QNJLv4fI9solzZklrVzdEWTX9Qf
0vIKs6DUfkUUjrjBiqOlSNb8yZl9ZC7Rg4IN+4yXl9iqQ/Kqf0fJ9kNEidjUNslixOfszOitah4Y
Xmq+NPqbMy/uYh3QIAnKnciSgWQ08XgIaO30CNXPxiq9kMLs3lMmfrqWopERjtfvK/usTQ8afqhY
xfOMqgYBlaNZzD6+Lj/qexCCBTuTW7Ck1XhevxCpWy/j9KQQkG2niL0jpLyBfBWRLQnti9a+JEON
I/ohrLG7gkC4iW9NAFoMoVD7bvL8hx662SKdQs3pZchf8wKZP/n66upuEB6iyi2/09Rtn/rv8m18
4hUyTNxwTrtsrOeEMKOKSFaXHB+FbonsMX4DxXKnD3lE+Y1mFfVVJXna/UP8ZPD2I6OJfGSKz/F9
4si+a6lTR/ex6mcwmyi44+Bqi8+pISvLxlLG+95U9xO1repb9aIajn43EuAJwat6ZGZJ1qqTxet+
/p5UgskOfemx11Yi4v+ZxoKd0tr6MfpoNScjBh6d1sQdZNe+0kpPqx8E+d2k3iU0/dJzD2/9bHg4
zLju2r2ELqf95t1abSGERuRn6Mxzt+uPi0TWz31ZnZb6q879QPMUedNwNUSXAPRrlyLoxTBt7hry
n1tfwmte2uUXwH6EKJ9ZVn8l1UNR7dwXbnHxFI/7Kcl8nKPYPvjmoOXiYT7z0PMXXHEnFTVWTOr/
9GN+EknK/Ile7NyMiDJOGeo7RX8dzxrvbgtYcYdjLdGOOdVOsaM6m3FCdbnoLlJpODlim3AwP9Sk
3Vo/0/xhNpmbs47qF6SHc3xosV8LX6VxbGEml31cOZMIRXkvmfYi7rlwQglhzu6MOO6IKC6SLkZx
Xzuj7JeUkuExQUH9IqPCFX+yxDesizZv0Rf243Ze5ZT1mn5ZvqTtHhKHqrPKzTfJ6LccPPBUA29w
+3uw+4eekO/Wjr6IX2DZl1gxJLen0NBAMrYaY7LZ2YDMKb7wzqcgKcuJodGciH5mvEXXePCguCxP
32m/GmQd8Syek9JFq49eTyi9zrBRdZokvdGkAR5Qupq8FaBooT6P5Qu6z+FQu/IjW0HQoEI03hDI
BahX3hAiYzzNfup2n44H4816io+cuTuVEeGZQFqKAYe9RFu9hjbeh/6a/Lr1kMXHyVtHe/iRfPTx
3L9ahRvEnnzNIgQ1LsF5ATn042OTIyVDb+MRESAhJ34tPFNweyptYq9VsR86Q+5GxWbkfUMLgOkM
hiulW8o7W2KpNq1/1jZm8Zrph2x4z7u9TOyLGdDnpaV7wm3IJaMSgC6My3inHRBN9XZ5naAlEfcI
NiVZom29jqcyxB2+MQzgGa9UPSPeITSFmcaaK1To+J2RblJQS+cZ1LMLnPFLghhjXrqRYUj6xCj6
jehR+9c50cx56Wc1pkVgH7ez1rOsRXlpNzYixSsvmo00k/znYQOB2DVO/EmyDrqRHy3zJmKYO34h
gO0+XW5B9CxKnnhpkpuabRrzmx1pNVU94zlAr9RMgBv2iNHKSVDFUeMC2EtKUuXGL5WD15tBwp7u
LLikd+i/9zrYCDiPB6f59ejHa/klB3aMhEzYvPPA9jQAVPuGMofifl+j3KS2iKT4aSNaLtW+5M3J
jIo3SdlPYMek2iAzJvLws7lhuCGBm4B3V/5M7jLnPj/L/obL2OEsMQp37IFbiAJxSotZUrEBRKTZ
FcYjVyhS4TZBJWpzIKigz0x92hW0uUeLshOsL7F6bBNHFT2MsCUhuep4dEWwHmeMvayJbEG+Sx2q
1XHXZts+dwiU2Kz/GC6Zd3C4pCRuMsRx33LtfyyKRxK3t/hIFHbZC2qGLnRpCyPsuvicl1f5DaXd
UruC7HQZ8Xx0tv3y9LoU3RcNZohnFEwMkthMRvj3CzUw9Q9Svj7Zpo8RyMFHckEgSCIKdF8W71d0
4il8bnxxM5IxzeqO9jSje1zcTCcOHujzMnEYyAoCCcDAbKmyyfDlgFTuScNon6XzV3kQ38LnkKzJ
yqnptUQchfD/Ub0UtOTMBBmiNPVj3WcjxiebXXvuT4hESbQyHZo1FAY81xJ8qJzV3Lc40ktqoiG+
SCh8JegdW6vdWwCHi6ow2nEgGSTK9tv2I8OFi3sNEZ66AP45xWfxiV1OuXI9VPAXD8jmQgL/0S0f
NJ5hJHIJuRmry6b+qElcSHjaNm17gGjlo0+ctITo9URMMTQdw+1K3lQ8/OQAKSGyW8oLjF2p74Wv
vvIkIlFQWn4oCj+311D2wZBeI3EYt8or2A31A9SA4hFR7Tom7omQu5J3cNzdy7ypanEHVVSq16iF
KajsSMRRt0HltX5ZotdJo1SE9ctxa3kOsEKoJzAbnnG+fTOQbufwU6WSY1yTp4ZQr8Qtpk29XQSb
Yb4Kt2u1Qv0MvyVziz1LZH58d6XP/46HJHX5IIbY+sC2vVDDGLlptn273JRdWG9iYBZKIUoEbFcL
8TnYYzdcZpOvnNJ/XE12lnFYGpHL4YoszkcKSqh6eSJRtec990TH4Kt1Na4CbZL1B2JNfiTri4bo
q3Yun6m2R03N71xJN6fvqH5m3verb3qhIH5YKi5IFuYH9V640jM82eYDAjhEzTGpARMlJmftrBN1
nqobrsR2i6ZXlQnLGDzUv1wqyqf1SQiPFnmkFPhST8bqVqzuq11D/Z0IAYiQmZJAgOxhE+gHNsB8
QNXsFhXFoJsgvpYSOyMGhRhXP4hvhcoVTecANwdjtVUt9/al0MjBqyXtzHYnMZkbh4S7LFpRUCb1
rTFv/C0lXh+fhfyWt89y3mqryhN9G+zWgq/iLn4WH4L3iJcMUc5oK9Zu6FrnAgAq90QfpR8EEwj6
McA0172MwxdXtyHsUtOPaA65zDKpbGizSz/wBJebyR1qWhzAt9GZEdatArzlvMr7BZd/djHt6epD
/lEbdvixavvY1Q9c6e4l9+MOqs5DOEyhLZajEVMi+kMN/d7H3NnzB+gcDKnB+k3H1+AjRRh8JNyq
eSVdRDrz2DUJ/wLbA7cyXBm0jCsE3B54CyKKSEzgRzT4NoRh/jVjuokehh/1c/oJz/mXSWMZBuCD
8qT64gvFPvS8NxcijYo9V6DXOD3WHqoOKBUtaMXtLqiqj+bTWjU+chB0jkPiil/Yz/ijjpJz3/qq
XXmdx2zQu171jS/Io0QXyKKhSyF3592TA52x/ck24zb5Vllkdv22esq+h4cQsaQT3PPmmZy18ywh
8NaB8aUxhgYhxOgeCLHsDMS4QAy73Hj4oG4TNT2Zc8v6MSnra6vs+IWXGeEMV/QqVH6mSgNDU+HE
OEVaR8ZKlq8f5q8P/BekBP/xK5Rx6oToHU1gPZvQCSqMnou37A1xMRnhgyD9l1P8k9oCwcFfo3l3
31/jfwqglPmsP9A88X8Moqb5EFUUEcRPqgB2f4B5JElaBslqInidZBAyoP1JYaGJCnmQcA6oHkUd
cvE3hYVskD9AZBuiSH75O1gemZV/gvLAGE0EUuCCOpQkEOEq8/gdypu6AElDHmAKb49mSQjR8lzn
3TGJ1QcTCi5d2O4H66LDlNipMfqVCqpXYbYKMp8bG7FsbhMW2xw+Skc3P2q9I1bsrQun9YBVz6QY
A/uPPLGEZa61ZshO/TYfsycrJxV+irw6I8Ijmr1KcMqZO46mHBShfh3Y0TS936QIps0h3ooRum9B
YPyJz7PUJ64mphxNwrmaxn2cCfeTpjrWmHhy8rUId3VHQDI0+4SITBP8gfyyRbTsqXtpLJUMpPpL
n0LfKrVjmZ9r6lYWdWNQfGrg/zIZwirxnBKNS6ixcp2Fghxe8dE0uk8loOo7FYA7kE8pJTXlwRj6
dYmXJdLJoG4kC+HVwIkeaMt7l3WSLVg1s672LofdvjC4/YK+90zqZJsFCOK0GpKqwWcfJptoNt7a
ZJrcUGYpmbQKa1BkG/1BWUNvhGD5lLFQDMGzsNpa40djtghISBuvygldhn9Dqdh2RUK02mwedCja
sqTDIEx+8tzcqk39WsyaehBD7rV6bwSeLuLVSKXwe7K6q7wsZ9HgGIbAjZlcu1fkWplfRGwzpW4e
p8AwMPOMn4uEKm7Gtlwqod+rjMjBwsESeVl3U7rXmhkwIYO8q1pOuelA3sNEigqc6l1j8Bf8RRsE
20L+zQLfP8HaEpWJb+e7TU4DyJUR7prYQCHLeCLd5UXi1RM+hAmMr6wexRlJK2nDy0DSLoV000ua
E6gnl1ut36KWjZRHZcI+xgHSiDEIr7W36uOYiM6sNs91Mm/Cxg3xxOEdwsNS1zBJWyjgTdVjQkwx
BHZd4eq8CNMvrylSXXLsHXWKLzHalCRoH8idfi2El7JLwHm/ExVQK51IuRloqsPlsYz5Tug7DkqD
u3VluAoWI6uhAUNbXL4OedxBSCqX8Wkt+dFifszyr6haPgmhd+KEcaDN7jrghsLI7ytFwCIVI/7l
lCeneVSsO37ubZO17sCq1vfjncwDXVC6l2V8NlpIr0WpI3xYP0VLNf3A5lZhezcoMtIu4zq+JdXj
ImHSQYHbiUczJAWxqR9lEh86aUU8OLfGmPzyeSL4MHPUXj9l1Sy5UAxe0jZ3cYpJxrxo2WcBBqGr
TW7X5MiRPg/HVbphG+1nqyBpx1LsYYr5/psA9tEqWI5yQbZVVeQk1G9tU24sK9vXw+yX+TWSXIX9
Dy2PYwkNZ77mJCPgOYiiwepJmH2ElyElNikDoCPvtaQZUzr8uof/l6CSRHltfUAj8tdH2uPau/Bd
fAmQ1o/f7/9BH8On//NsM1WTvBuR2odVI7iWKfzzaNNl+Zc4RpQtSSNC57dwZZJFjZWMUhHQrNqY
Px1tmgjphSpGklbhjP63jjZ5ZaH+VxyzHm3Sag8QNZPvJ1nKv4ljRi1tzWriTmHBUQlq5E1d/WqE
lBulXeqNIeBagV4gDg+jhcEJLfEolJupD87IsjpsrI1ACAwa5SR+QPwKBtmdS7ohqpFBXlZem4ol
X3ksmEHHyOmVV6G46Pmwt4J40wL3jJmJw9XCu84Wqbb7DKBapDuJm0Ex4jPUfkV7OahpvChTXKHn
3ZFZsR8TlzhoE6zKNtUUn0PxZswpIS3drDyVCxbHaCIBRhlFR5wrbl3RRuShpKVw1Uhal3d9QodE
1GabYLrMhQDgmnrNehqzdDl1m6PqS924OgcdpU4m67WscsjU864vWP0FVxkIgojeco00zjBMz3U8
kRKMsldz0gaxUa5r3oS2Q+5Gt2Mbi7tXFOhkTaPfqax7JaOqwEo8Q1Ru1aB7YjFD/cRb0PFLJJG3
EcqkxyXFCz8wrIw5Q8PLLKUQbTOqSqXofDESQJaIkigbdsJrU2MUbK8W7uJFO6dDtxOGGngPi1zM
TyS0rJTNZiI6Z+w6J+/zbT9T8BkndwTke7l4qI1THnhS/TmUPBwQOuo6UUTPpE6WymDrxiXJO7eL
AeSs/kE23hJRfQySEH+5mZ+NGOmGGm6oszA9RWlwkJlKSuKngrwSaXdOdIekml9UdBDkh4uR8Ekx
ve/0Y8/lEk88Q4SJVPG3ps0Hc147G/QnacavxieXiAPsMUWI1Qdk22XukpLOUKDrdMIMq8YIiMsP
E1alLanRRylgNlATb1EscCo/TvGUFZipgqcxfSD+lqAzjIsiMabIBFgq3Mzoz1JQeE0K4N2JvPbv
QixeBEX2WmDakvaJ4v+wd17bjSPZmn6V8wLoBW9uQYKeFElR9gZLSknw3uPp5wtmneqqmdMzqy9n
5lCZFEWCsIGI2Hv/pvF/TLTupRiNb1RMfuHvUdmHRN52uIchhjsN9Wr094N6lDNiE6LfjLmeAzR8
mKk1xeD3W9LX9dIyH1WrXuplc6yBzCQZioPNdEtNg+pC+iZLXH2EV0ySZqNZ7MYqfsnhMWfAPscS
VbjwPcEZzMC1LkNDRia9KJ+0YV6HkrGeoEc6tVuhexIQ5oJ7287mo82UcSjWvXKp5F1CdSeNaL83
NEApNhw7lJySmQhUSl8ynDVJRCIPOSXySxDWD3WenLIYlrw/bE3lR67eWuZkmfPqaJQIlOHSVPhz
Jrh8MIvNrW52++xUxC9yiXMJQnllwZxZGwHPwAhN3m1/mTUC1EkSKhBSsgG5t9eW9mWHG1/Gw3Ze
hhP5iiYnK4SUT3JolcSbJXsb+/U5aqVrERiwgzOqabDzEjjPFi4FanqxIcbKDoXi4r/jt7/Fb4Qz
/3qwo2O6Wxydirb9lyQ21vAHMgPpNyIuEbGhmK1qssrQ9QcwQ/mHqpuAIRzxC5Hmv4x3GrZItqki
FmcK/TedUeg/Qzn1H+A1gIkCotcYoxTn3xnv1Huo9s/xjjgOmpzNiKpY8OjAQ7ATfw3l6tmZkrJH
WTMOP3oyDn0ibyIsqEFihw4GHwk33muJRhfBVmZie+KjoEDKElHbAJ5GfFGhE1dme8gk7RHNpr6b
LtPw7o8L0/S7TR2RKJa74aSOuLDm1toG6mfpyX6KbUCKH9ZEmrz3PzRNe5DzmPSkuY4NY6sHzRFT
AqiZBYZm+fzMqHzuKaOFY3xKrD4nGDOvmYx3tA6gW4UAhs9L0FwnUCGBdlVN0mZNscWN6NFCjzEp
uMmJ9YqufNfKdBUR3uHcQ0BDcFja87Oaf/hAtWFCMeyQtpc13H2ueVTDPmMx1fDXlq7sS21YObB3
cug+Y9Tjo8PokW1HKV7qjeSi0bzUWmUbp68WrjYx5ZEedbaoOCgFY0wx42lDZkzdNLB9lE3l2/T9
hdeV3UMo+UeFBeSiPvomgE38EIpHGHldoOxiyLZgzPe++lqp+pPSdBcUPzdSlhgoW+iPBZUmxqIa
dE0OTKyvVTdgHSrQLGWEVgQyMQp/eq28oNO9sntce7V9qMOYTcez2ZgMY3bm1dZrQLbVgZMFxHLb
YJo0TtES3A4C2ymyIfOvQrc+enta0tUsatlBWHYqjw7DE1J4+0SfFrMVvEtSsZciZWUBm5lVi/wA
mV65SFeDES70mZIPPPSuRxFOzYl/TKb2rQlLDmVNVbD7mWPJnMPAXGuoAzBqLwoUMwKMKHKLEQRG
xag3X62ZvhN5rTJyh5Xxq47Raeo/2jHzzGmpZehgxkgYYR2zG3TNjcA2DC0UQvVFmpEaGkOkB7/q
Vl+Fyaehd6gMUy8aTDZlwVsIScCWq4mKil9u0yHZKMw6ZossZ2B+9NFH0MR7i4EJ6c+dlPS7mnMV
KVhWQiEZtRisDVCAxDa9IW9K12iyQ9P1JCQHAAzVuAyZQOKWUa1UHePXxj+UVfwgA74o2wcpfHVk
43XOBdy/xsHI3IaO0rsy5MdMW3djedTldhPVz6XUIM+CSO5oOyurnhd9YHj/flzzf6ULjEY/+687
cRfXveSzq/P/eIna8D+WH/Xwnf+vcYtYyR/9uPoP7B2B7TuKZWL4iLbzn/24iu2BfrdLILUGckUh
XfafqH7tH5atQAcgVyYycn8hPWElo5ish0hIN9F//rfgdWT+/ha3iH4c5hVGeHTnGqu9m73+BV2n
9uqkTjnsVzP2wY8RhJNpS/c+2JLHsb7o6zbDkRIL7vnT6OCUIESeiFpW4TwaebNONbT3EaFzbgnz
O70SaIS0JgpapNIBdaKKGlD+YfURGaAATTEoz5Qf7HmjWJ+JpDO9W5C2AOA6UcnoyhGU2wNsICcy
lhNFsZGCuVU8aCSkob4WaAsHGJGoYLHjXRNSKyFOCeAdjuu59iwQdeCM05J+kM0Vnp9ufam5GKGw
BIMlqxVXsLuU//EgiKDu5gBhfXv4LhVq1eVH2IFB04NTLcVM6aJNps2nLmtPIMzdHuDTobNucn0t
6s+KMCaQt4lDBi72pOzooz3fQ2LVLmFerKxRRvIEtLKNlEdbBut2oNS4KMfXRUQu6qiUl7kmwID4
WdKpQjjOd5AFsjWcU8CAJBhdIA7IZq8Q0Vbl18hezgfQh2w1elZ1MpVkzbBon0BogZQb4S6pIO3Q
mwS6oGBG40WzN7wr9iYFqSygEOMzXtJJcokNckvoAO6ZspI6FeBvkF2WsmCNzUrzL3LVXvJg30gD
eSSqedOHb6ZMzifPGvU3P1VRQAC7ls4PjjFtAyt7j/rucyRvw8Q4PGBE8x3LNiUcW96YnYwi815t
ooM86Ugi2BcSAS6EbBu5DVv6NQ2l7Wp4M5DFGcYPH82/BtMgCvBj15iLplrO6rdFU4TEDZK8CTQK
pOZTDw7HQPC41LYyGHVHUKq7T1PelfYxY1TUQYfkKMSYPiKlwDOczQzbyUduBdkkCLHBY1k7+7BW
F9J4ILNcO28juak501cmhjoxOLQmmFEUXevMu7OqBl+Ful+uzZ45PEGndn0HU3euMlq0xJQJ3ht2
1xGmMCrr6iYvf83TcIzof0FR2/pwQ2gI5yKvTQbEgN6liXCfdOBVxqZDN/tz202rtkkIZ8sdCPyV
Y6OUVWynOScZHa8a0smJ8mz5pwbSLwFd0t2MOoJgMK1NwU2BXs/sw0eEr+uPady4GCYFibyUlNto
u7HdvIX6+xyCZTUvE3lspU4XdeJFzkc5EmwiVhSfwuAiy1+yjJQLVj4sQAYPGYEvn1hR6lRMS0Bk
hbg36j810VM2oR4SbSSGo5ZgLibfWNjvunmFeLgxkGUdlJ1FIKjFX36Mcri/rzOgRkq2msKBJP60
LyOc5WIFWX9l2yTk4JySeBtvsy/JbzHBfNardCU3ZPUpeRYYRaB6XlhfE8FJU+7MAMPHwe35DNVy
txiglhSKV1jRUkiTx7q8VEtKYlCMy3ahYCbRmq48cSND1hvaeVOhFFTUl6TJd93wM0zOOgfN0Trj
Ku6JmNAzRccEkn42bfQq2FA+qKjwhss+/KWTDpfjtwQiT9Sd43SvAwIZAa5U8qHVoQUYLzo+neYx
QAcMxzeom1SKS9hG5SrBw6R7UcD5RlR5YWlMk3/WhsCrjczzw2gbFyoOKwoKC9pl5KKQNdp0o0F9
9iOIkH9PANYlYC+d/pCZOH2PSDalFDlTqFYNlUdVxRMgO02F+l428ZNcIQFoATzrSrPH1SJf1324
+f9lrAdq/n8Y60uMF/6L8Z0v/jm+k37RDEZvzXQIvow/a24SwZgFnZgQjrHVUTXtb+M7BCNM1C2w
9VjV/jUxydBvMR1g8Be1Mlb97wRq2m9bt79FarahwBzE8Za5hI0J3d8jtSyoC7UNVRM0LCASqVvp
CPj1ff/UZm/Jq735kc7SGbgGN4edINuLzQixVuBMXlDHa2o23qyiAwXWWD0C0N4id48GYXfqxpuq
7kf52gDfM5vlgM5FHtgL5aVVD31HLwmYd7wZ8y8lpLOusBlzLZzQdKGHgQRGtc4nkB6L5tJgqGYf
S81bNWTxFbxz8OJxEQBvoZx1bqTeABiqrXvVa5JPCP2Z2Kfvgs1EnBCiDNRdwuxDsZ5Nwpbe/pGb
cwV+dl/lqEysy+VEBtCSgGUnYDOCDfLPVCADkCHlElfUKsXMpdeJNR6maT3oj4DfKXcP8Zka5LdN
aQgVrZFC0Lvy2k5AfRmypH2NTqaBppkoQSwKc4GBrVrOh85omPKwtRyNhj1quO2E2jjpUs+q150O
rJ55v/mug4XWYSq7mXWegVo1yRpmsRFinbfALlNSnrPqCaB24CEdlyD6+6roG8x/TrfsKZbeKgIC
JLBXdvuWdJd8OJjOIaquOJyiHErpDvAtxpeY0t6q/mEMDgMGkrtBYSoA4K7imp71t2Kg43dBtaIq
Rc5WeUTbsQD8YHmYHtlf4DmDby2nJkbGNDgBOVkESwvvPUfoQV8TZERwVY1PUkks76LokuAaOxzj
VbJuK+zzPNtc5q9L4A+ooIHQwtVnR3DZnmESFOcKkZB6j42JDgH8VX8XVyk+cMF/gOMmxEmCC2Gv
UTlmECIfTElmXhbjcm5flU/l06wOGXqpaJUgSYLh7DfDrPom1Qu9v9hnMKGrZJfthnW/bU7Te41+
Khd7iUg2usA1GEUEoUEra0BEQAL21IdJQNLlLypcwIAXz9eRhKMdoJsay26nLM86vAkZWXGvDx8z
YzvUmF95UXC1XxbSM9OU3VMggfg+ZHjrIQUDa2qk6XsWeP5pqVdu955AxBjAoXj6emR6NhHyzxjZ
qt9OAgp93kPEJF1qo/oIALdCCaPE7BbnkWqXYsfkcf6meJs8C5wdDaSY1jMC2qF7w4y5RFcMhkTd
eEWNg+xzh0JVcsIaEXIstDLHXgsYSOBF6gr6fLiqvRoLZSi5PUaGjfCgsSnyMkZrQFlw8prir+H4
kOy0F3/57Sx+acd8Y24lr2YGzpRnFmq/bpfQNJfGSxu6q60u/BSX8hMEUM8BFUnu9wpk7pCdklN9
aED5RVebHCROOlWYLVeG0ZBdjbdatMRFozuZl1x7yilYqFOwtpKbZkDYfzqHJgRS2Ytx823Lx6x0
rqWZeM7Mdc8Rw52DFVqyi+Wep5MnXi0wEViK581ycVnctWZ3aMjy+L4/IyPLN/Z8vNx07hdLLYUM
7QeLLhYu63CRnl2gLMeXPPfNhTpyXyPmBBfe5f378ovFbuE9uScW9948FxXbBUJovPj9SjwLeTq+
JfYFmdv7fn3x52ol1if2UXzOamKXLXsnts+XxK6iNL3kh9/igcAaa2Vl4jOPtW3QxD15PNzDgk8u
7BHH4u7Y9ZyPxHv3w2cjYpUu3+Bg7m/zktUcxCnbPD6K3XIXa07IRsg2emLZ9eKFI+I1R3Z6u29E
/M0BepwO5H9vqM6zi2uxe6vVw+f7A+LAq9V1dVPQsEcK+bZC/fqu9YtsvRByvon3byuhMbyN+JMf
PtjybRS3tzcUvFmar7ir761Q/uUw+UQoBrswWcQxixMo1IHZiyf2E0lhcYzipIvf7PqJA/p9EXa8
cf+IT7wnb8dZEYcmlhNn92nHsrzBQ3znj4f4hDfFQjx7Qp/4keXv+sSn+0e8/8fS4kPudRQs+Vnu
FpfQ5RPWwJnljNJGxOX44rHf7MUVO2/X7nl75miEiPH9krEh1rL5uTcR8WrJNx83mwu/uEI/m8tl
c4nXlwsrEu30+YshUjTEy7JD7w6rjATxwD2stddn5AGfjxDd9qC8bLHp1yVEtvtj4Pdm+cwe/bD3
y8FFe/nelkXDexQtgbPA8d2bw71dc0ppbgta2SPv0mY4cWsahHt23Zc1r8TlOIgDufJqjRg2rYuV
ihMgPqNd0Ebu4s2u98aHLn/yb3U8viJOuII6dVw9HFcF7/BTuceHh3fe+N2GaAmrB9rDveWvXeSY
14ezzrYPaCzzn6257vcZwen1uRW7cN6K/cjYCptd3/dJbFPszP2K06x/3wG8mFzO74aD+31f3m/1
5eZ3c3kU94doBNz+ooGIl9zavz8UDYgVnlz+5sLRoPiY68jD4zZciLvXvX8k7qA3ToYnVsEOiPbE
hyx+X3rh7Vipx1oP4j2x+rf7NoSI4n1h8Ta7wl78/iZvcm+K5987wa5zrOK9+8XjbNyXexLf499p
9/F7Ba635ZNHsXEWEYdx32nxmxYrdkLcEX/0Yxz5H4d2X/6+KO+cdvceSWzNu7eGpXjp7sQmRTMW
+8gB8eU3cdL++C47Kk6AOM1i50QTE3c06xI/7P19XeIL9yXZQTpecZV24l4Sj/tNx1t0UCjE3t96
3D2J30IyfLHbiePibzrixWK4OTttB2AD/WH9F1oJl/hj/jFfW1Qw3fyKev0aOL/sUsCGKqAu9ZXi
7axdd3DWxs5a+w/Z9o2k8I+P0y98S1Td116x+vBOO4Dzqxj4MnW2q/IhgUy9tR/OrnZz7yl2P9Ci
DQMXrtdz7bIGCPVLBbYFSHB+bBfh3NOH9HOS1rO3UFez9+azjNDN9E6omh94Qilv0Xvd8vDSey+L
F1TuRX+buye+oa9oQowv4oxUZ7ZxDTeix6dhsGsA0jcnOjaZC8llENfH/9U/E6NnZ43d9V1kjam0
bGp3UV4ZKBcL2FOLp9rlH/ADl0vrnU78T68ow5zsVe1+gOd0TzWnd4dWr7gI6Ptyz/w8Dtw33DjL
H4a/veiMlhshHFptAOXCwESf9bIUzxjQ0/nxYLTh69xujwwx/EtQKQ69ZPnIwYjrTDtYgDly1UO8
5wJxbdj4vQU9FkBfaZWsQ3RU4mmPqCkdx9E+Wo/Dgj/ufZvwC/q9gGhhyAw3W5V5AM1xJ1blPc3H
J959qo+JsI3h58+H8ZG8ac+cMu5nzqi4SxnwxfO9fxaDr+ivFEa5G6L3vBQ92H0k3hKaLPl07a7o
eMToJ8by1XIUPZt4yTv3xcXSJkuKr7HgfaHl8b7Qkp7w3vXhJ/H+iQ/F/Ss8318o7ud9HdstCX53
C0N3u2YXxA9rxkRGSPGLMZbv3VbKoTlp9KGV+8mqJPfzobuStYOsGi4a95OVNe6tuSB/tnrYin8M
u+L7PHi68g9vlQ2eG2fECtfrEXohkR3jFB07/LB7b8tNzN8HfkS3L6YiohWKdihOoTjlO5W86M7e
VA+oJS0whNtS3HgWF/ajpk11t24rH6YDjXLlu8PhVNzmhbhhwAvzw/DjwVbcfexOAWOR98ElEUMk
/Qf/eCCfXCztlZBiF22sXDwFq2U860AoghyDcY5uKlfACJSNmugPWvOcyCHC2cUym7Ni4bf9ogtr
YbhBnma4Dkyro4oMyzRgtYYzRklNaVoEsBEk8qY5NBE7E9k0r0fWuIf4gCbGpMLBwxtbQ/8FSkyL
ISyFmpH7EANg6rMb3EzXGMbBzVa7tR42e0ggGElpeGQ7ozeCBamVdm85yVI3hqU++KuasVvv9K8p
elEvm/RSH9sRjZVphwDamx1Wq38/O/P/sASCSKr86xzO7Tv9KeqvuxDTS/2Neux/kcxhDX8mczRF
VSnFAAyz/8jY/FF0V1FDsESeBztqkGgoDvyzWENpXbU1kGYOFRRQ1mSH/ll1NxXd0MnKoJSDfN2/
BaC27lX1v+VyLE2XqSEpALkpTpsChfaXak2PwGvpJ4nmGtavoOCeqxQ0Qro9GigHU46fySSS0++s
LyueXmPj05d72q68J6HjFyt5DF5ItQsOSYlUtJKi6TgDMQulc5AG+hLnyGg99SN2mcT1raWeS4Xy
Qhys8xonheDSFhCkSKCaLaYaxuTJcrdNGuc4QV8N0Qxt5ksHRAtMMApkCdWdqH7V0gq2D1womdje
dppdV3W3oMRet3yVreZEWByT8Tfkg445jjkiKkrGX7ZesIv9jBG+dRCaBN6HhVe4sOVlZMFEymAQ
tQDEUv25Qy6+d7Jzptk/bZM/F8oM/HQe0TgpYvwtF1SZrNxZpaa0dagUS6p0LCoYwFCTtZLKsVCS
hJQ9NYjGl0tHQzkzO082pN6Y+UG1n8fvlkJ2KMXEnhAe0q9cBaGTThdbBbWnLhBjGGFYmZ/VgBlu
T77XGFa2hbYVclYP3XBpO5h7oJACATmoymuQfsat56RLCQir0pMctnEnQ/8upCjdLaAOh7GQeJDt
Qx9iZbpF9MEvx9vkz1sZ2tAUfxrteEhGQHfD54wzxZAUD21TPIZBt0G0D2R8tDZ0ZB2GnZSLfba4
0rBQSKebI0kd69L1iadAuhNSvyE65nKIsJGN1KEMGKzHLrw4TrSVaQZKIb2Z9Q64nma/yepb1W/h
3UfTq4UBmLmSa2zeegw832bQzGXw2XffBrZQcgmODz/sWPtUJ6/HUcHfjlCIRxBRu8I66AXaVsoh
0W9BPMC5W8rRS1geKqiAak8tH0CE+auR8ZzakpEHZ6cxKTtYwbKyoNRTjHAuurHK7FUUv1DSicE/
kuUqte9xpr3te2NHCsppT9Owx1qWhmZqLwm6hsO3lK7l4mPUybd/lc4+IY/SFWel2sG0n33sZlcl
1E9HqUEf72eSOKOxzUNy7z51hSO3QTR4Uv+oz4767gRYx4fDRwal3ylr+N0FiSH4mSN6IA9V7awk
UkpSChkfF+fwtS/x5oYWDDGdUllmWtC+x4WPAIis7nPLgUOvbOQ5Pslj7jkQaP0+Wmc4scx68g0V
IvIch7KD7a/TzDrawAoV/7GAFD90OC8iXWAr627A/GuI1XM0jNy+7bpR612Wb6chOkkKOgrVNgKC
EAIv7NHEXdRrXduG9aqTBO9Wx1OZEkEGerMuZgBm/oK63kySFIBDGBzTCMEUSrpptBiLH7tCbq3e
S4ZB3ghnkKz1ogrC4oBPShHvwZGvlegFc4oKubKiuhhzs22Y/unySS6nQ0ORjZtgXUxvE7fL5Dir
kPlE8guA+WsbBCcVTOsy09BUULGq0OYP7Ti12FqNa2lCTW6AGaCn10pJDhI6EhFuqZWG0mKKvUih
C9Hk58imVdZo20/5se/Hg4EKWQhE0FdHd5ymjRQWy6JxXrliqvYMgawl5WyQPh3bQ+d8YfYxO2jh
95D7Uoxv2KIaXefopEtHgCIUsNcG8gy6szbtFluIdV6cehLi/kMT7nt0IQqKSwWmmKNbjcju/uB9
m+YYedUpUhNvM/Xo2f/sfHQiRanby6bjCOs6yDbpvMyMaQm+1KTCjgNaSmIZbqGenBC1pR4LX1k6
ZjW+NFp07C2UFfqfMsO+rd5a008sC+0XulJN/VAEi/4hCjYN6pI2rFKM65Wn2QFkC4AxoywA5b3Z
ROG5AcmihaiWhnAOUfhD4EalYGzN9E4dJSZQLXOjbxV0oy3JQfnPvgEJWJvGUxpF59GMF9SLvzIk
8PwGLki/G9ONzeRHJX0/p/6BgslqsqoPu07WtZx4fgZAJYKli7SGiVmZnR1Bv7ht0i0cM17Kdf2A
dTJp4EtUN8tEbikSFuHVlGTuFrtcpDjlZjoK5nD+KNScxi47jDE+GFDXYlk71PJrEJ5am7lidZqd
9nM0Hudu2ox+dQgB1Qpro4p65NusnGuL0je9v5MsmgxDq3pYTqECFAl2gJHHpMUrFRZu6UWh/2OT
0JcraSHrPwab1UmjRm+tFu0HfdjFMxIgeKFXwVeCgkKS+i9mEC5VpNtQqiv8Yo2Rb07VL04oAxQL
Gzt4zWm8INYoYybnckLdmsx8lV6m6lPIZIPT2GeDsMFT1JMVx09WnTykVr7WUZvTTQjknDW6036A
QjV2YNQAWueg6kIv0NK9NbYffkTCVjI2ekcFIAO0xHiM0HlACleSxPy1P8xwhI36qy+ulgClNTsH
8ECOqU5tv8W2Cfj2OkOsRlDAh1c1FhLDx8ZxBk/H50By5EvPoOYM0roLqsc2pyITvIEvo0QLlQLn
aAWAaTbildFFJ8seNx0pZSfE38ooEGDH10dD28Oa6xc9JWBIpaNRNL+0CMd66I6huMwtygjMlK3H
ZHZe2vFYl086KmUtfO4EgXB44qTbkXHEQqZuqoWONVUCjVq3fynTe553i8CAm2ipn6MZItpKj4XL
dlsoayPZGmGFGv8hcNRFlhYbP4Jnr83jSzRE14KOrQIfrphUrmo86GSQxz3Qfc1St36IT7kM/CtF
XQ3LVFwoJaPc2K1ECUlBnXwILlKjPMsyejtzcEDK1tdRB0+AioMKAIBmDfHG7s/WXKw041OZHou6
x7l9Y5ZcvnDZmDIOSq9ZqFxqiZR+pF90RZqxz5K/TI2EREqxSEnetdp++O/o4U8ZVwfmyP8uegDV
mf8G7W6+628RSDRhVH//zyHE79X8M4RAdBXGJDECymqQLf/Ee2n/UHSFoi71WI1PgM3+NYTAigI4
r2kahsokn2/9ZwihEF1AUwFAZuvEII7179SDrTug6+8hhKhEo25tQ0oDScYZ+GsIMctxlBuDhE6B
wEciLG8UOX6HTYJDSyFv7QKIEG3ryXeKzzzrNS8q5nCZpf6HaYNJtVuzWsq4gpmF+W5gBmwnUEvi
yHzJNCViNlMmS0sF9uXL9AU5MbRWqIfStl79xpLdoPLVA10CnmU1JaIyh1Y1rkBYPmndcJZq7V3u
p+usjY9DyBR8cjT8hBlsUkG7c8xqUQYVTkspylIWDsld58ASyW9WRq8sG9+hjPJRbSZbezCuWHjh
voSVjeRbGx1apxtO0NZNVQG/USQtkBOUzaYYUUP/HDfwaApM3XyLaRECMhlqUaX6HuTGu23BLCsm
55pY9nvRa1SnTHk5DtpxbvNz3E8/mS0Fq3HMP1J869t8LnE71pBpyIeHfJzQbTWpQZtjiehlKKtY
4OD+MyOAxYg36SXc0xKOnoJedRQnz1oDstWpMfgbmn0pF9vE1FdjaW8UuY0OSle85HmJP7zBLFRe
9qaBG7KxitRqG0fBLnLavezDRJUaa6VFPgCfXN75I6bwPfRxp31EpN1tRIE+L5rPrvOxlbTD6VBG
00mTgKLWMDD7Id+rXYKODtXnDNveSYj5TAgVSdYmUI211Q/73PRxbyu0TZcET4XCRFfNQx8gUrqh
m1XBDwzMX6H1yXp0yAflI0whwOckb2qUD1rHBN9lH1O/eo4aGqSiYdUQdOYT0+9NF8zMxJzQ61vQ
f2UepWhTSNdACaG1wzvngBBaUL+KkSmB47NZy4SMopf0+oFqIRSCSC2QoI+oNmDhPEsBRzFm4wqT
WfRQHQBTFRhmp9KxakiZuo0DLCjOyM2Ugi2ZmKIqt1Gqw1+SQailI+aISPESmUq2gbRgvyij+aGb
0NPIyo9Cm7wUcFYSGBnNZtzVMTZwKIS7khx6ZiYkLSrcUhUjfQkzRkKr0ggHmEGVJTNLv2Ptfko2
KgocoFiqF6sax9eMt6QXMAVYcevGR6Mh7ZBSD4yC+BN6RgTDiTsCaGBP7V5rESI0G24PeVxWMeDl
mskN2Knup0lGexFNPlSSEJmOUu1uABkQZZvJkrfNq0NnhA9bFW6LQMVTKZcXoWw8ZE3xUvQ1NBdz
3xYwhqZ5lzdvpWVzj5cYFYbBq87Ucs6kdpVP0bWz0Zkf4q8mLTD25ozPsyJ0d61felw/laA/Zloj
yj4hCIgQRSwnOuZl82HP005vu5dy/Ga2rK/hmsbIAGYeyZizbrTrUQ3eRgRju1B9S2tYY8ijmMXg
GYAUtbyGiuucZnYHcgEgeaS9xjrC44/QLkR6xG5Q10W/2vWT4lUfZFqMPG5qpabVGNJXpmJWkRRP
EzefYdyCwgncWJUeQYvDEEuig9XGx6YMn6R2kpi+4ZabfpYtJfrO39Tlmx+BbJHfGjys0AOeY5T8
5204SMgmIf2VWvdciDxcFL+nTVtQn15nZOZQ9pOLjY6wYBBeG/0sYzSlngJo1MhFzjJWwBOdWfkQ
DRibAZqAzG1Knsr0NEKzarAwritQAZO8aUDZB70HUvydZ2o1OE2QLr61KnPAJIPxmgaRhH/vl5rY
b6jUX8oE4xA/vE199lSF71OqvWoVaRbwnZhNa/ljbxWfcUWSVWelaaN4dtcjexWkXk2ycmkOCZMP
XR0WflceRqUkj2BKpFqSFFgFk8mciKUBW1hIRIoSXpezEl3VNsaeRTEe5omIn2nPJ4ZCxqKyxlug
4NpsqKcYh46wYieqAkEZSZu2hW8kP2qF82JXKNcBNzO/FHaTASJ1Xaw95zgZK2rekVzp9IUqaAea
j++Rv7brH3JCjxmqb6UuX6ykXIc5hLlojoy9oxaQHaN08iITsK6a18iIBNNbi4a1D4zBbOxFKMQJ
ZY50an1Xzm+R0h2ypomAoyoXbphF60/XThpfSgt3xhh/VNnSnn3WlI5QjqOWyyaDxmMk9fLQ3Npm
95XbuAJ3hQmiI1ERfkueiF99N5BaOIiIDE1TtK1mHZOZ/FmeQ/RR2uijbjuKVJa9nwMVMEtirwn8
9VVvoE9oDkRsgxEA3Y5LfZFOwdVKgw8oLyffRs2kccgvdUl9qzX8AvPss58HwDnTtdGuWqEjEK61
+86uDiN3zWpSNTwknV+6TfdbS9FaHVC/UVO8zdpUekr0HD0vSD8yuCTDL1d0WS+TYZ67qSNwkhNG
SOtXlJvxXs0SaIE2OEhHv0Hq/5k19cVK/K+idD6bAcJpaDxZCTKnRvmcRRZI2ALvTx2JGrUM0ffC
E0gL04XRWU8dbnuhDbUt6aUtOcdfqoX0ypReokLOTm2EWkQkQDLELHMEcW6OJy5W9JMjQ+aH4aNT
JSjnNf1bMRHzOC3sjgofKgdiaqZ1u8TXYfqVJC7lsFoOeM3YavpUKfK55matA3trYlVry923EtJ8
0gbRhtkmESOts27GLbaT8KuHKnVKQzvFQghLxQ65v6CRvUlQgpXUkXhqb0lcfefRTMcQTBvL18/l
TAeuAWYa5hQl01LJ1kFahpgx2r98M0QbG2n1BhEoS02uwei8qKVTLOq+e4wKsJwzjH60FCpITLgR
zn6MdwTKcZKS9Zj5pKgsxjY9YO0cQ7l3VoBFiZD01F4Y2fjstKFygiBPJO+jLGT3yCLifqbgiIjG
ZxSPX3JopggWxSRV4C6drDx7rLrkkNDiysl6mS0yvPX8JEdkhXome729z1Gsy7ruzDTys7XCj9xs
K3hcPZ6aKJunJVpbeSVtOtX/1SoKhZjYP/a64mpZgKqjVcLDgo8fV03hlnJ/q5iFMTb80gegfvrY
v8y5uc3K6DVMYCZjLqa6StU/qc547m1nk08j9iUBEnJKdJqMfjfIzgupeWox0W0aoAfI9ckq8hM5
UsrEym7QqEDlcS15UtGf/gd357EcO5Kl6Vcpmz3SAHc4xNjMLEIHg0EyqMkNjJcCWjr008+HrK7q
rOquNstl9yIXmffmFREO+Dm/RAH+4en4Xtd879IJ93PW7uwmwv6cl7BC7OGlClHbaVKHnH6rBWBv
5Q3UUTnb2c0Q/PF4dGItB/t1EuQU5D2OB26QjZ4VKXxdekwjqpSboX6YsIX77rQutXXWs3MraYFb
8fgTXh4fJ2+8+E32IEWv12bR7QlsuKpL9FYTz6M7Wdeh9g+5DQsoYLiETo71NMcbjwpwv+5+2lQe
7CR8GWd+tFSYt+uBYSMjmDCz8V//+SXxv6HZh73tvxQAv5TNJ7VG382/2vr+XQVs/eYqwnfw62DU
9Gkp+vvSt/BG0lwidExKjyCW+KG/mXzEbzbbHv+TS36Ahc/nj0vfsgrS6IGAGK+ntP7M0keiAUvd
Py59EmsPKQkKEoqSI0TKf1z6Im8WIox7a0WbD95/DknSo6obvpLKmq7cCOSeHeDQBNV2KptkTS7O
nTb9o0VaGVUNXN+sLvH8hiNu608fcgYnrnA7JzLCbzfdeI26xNX4posfCWdDK5l6Kwra1nR2mDn1
ZlzgN54HihBERgNaOpYsceaj1wefc6x5YOlT2mcag4FKHaIA5yZc+9pkNHZAYdA132cpyWz1BG1R
1uoxpshnB83Axj7+Yu1BWltnt0Vt7Yu0OPQNxX1TS4NYelECLeuQZGeBL5TAPnn0a3K6yc9ZWZO5
t3OKdUzekp1FoVA5UbbNVAC/47svVc6m2Ojm7A/OJqkU9oKBoggH/bKSV23mXDlW7K0xcJ+NltzY
0DT3hP8jbrTYmzklD0E+ReswIFhN51l97G0bFFwPrHcByb6w0ffuXGzLlvih3lZPZi/V2ka/UhYt
ScDG/Ol1iXmshiHaGE33QCvL2WrA24OpOCS5/Apn70Wbyl5Fcfbm1nEAqAoK3fA6keZTbvd7CppO
fQg/QquRbEjUDSxii+x6wZ17QfJmOq69mlRNrOeQEHH55hF/K5R128eEYsZdcT1ElrmZMpdc9ZyM
gFhZ4dmDPwxSwipz1lTbvu7j6HtuLYz3YbcrIzZ2P0nvhmVUU3xOOcxhuIK+asCKDeuBTW8ddSN7
FVkKZJ/r9ylmSiU+OYxrXO1Lh1SGnHoICaSdlxJGymTCVQHMgP8muO9c1ewh9LegpkDZ5Dth8Y3z
4ZViTy7MwaMKpmNHouKiy8jaS41uzdx+V+N09w0Pj3bzqCYgXaeXt5W01T4dmwe/m5+bBvO7q3wy
nWaQxOzTd7nZ7OxYlMD8Nf2cdVAWuz5ahmI/fZpz9vyuGONd0RaEZULQ7inR+ZARUYs6YCqaG5q9
/c3glxdbzw/1HDC4q/jkFeq+mlkgHcMge4NvdkpAnefuo2ripyhv+6uynF4GKzn67Am6L99ELY1d
MCfXZFT8qDC5t6Sd0sFuvrMybwOjiw5G6L03NCMO3s8Qx+elKSZZQp8BCPN2ZrMjiLQMtkn1mafj
U97ZCwsnDmoqngPSUih9MD/iUdQE67LU9PUZ/29hxsy7iNx7aBE8D09OJc+O8akdua8m9sW8N640
HRwrR/3iGSH5KgR3GElxIS+CJypJxlPaFUQbtxCDvvnTJPOwK2t743GHrmzDwrfm+sXRjiiKt5pp
q6OzDh9mNBJh/xSQBt3n1AOHoTyPxfSQho+xT/5D/5HNCDN87HtG+FSI6uL2yK4J/ecZaqfo7Du0
fSE0LkKWJGTwZHUPMj+zEheEZhqv2hZ3Y1A85Gg0pBk+y1Axm5RXYgpO0QjnnCD1hnPMDR4O6lpY
PCRwxJzJs5cbFMkndELXchaYEvuTofuHyWtepI1ARHntVz0QErKEg3WRfppiTFXDsBW4KUbbeB3T
/NjgNQf9n+jh6ntWVUimYLpOrEvb5Kc8UBgUsp3M3xMDx7eI+IDb9M3hREbBfFk4fiOZNuZcnt0o
3hlueAoIo6WEJFnxcNzGlJhgLQ8fgqF+i0J8Uk7FKzjMmJqITiP5aEXxA0kosv2SQf0YDhQIgEqX
ojwlHg6B0rsXKl432SmGNIfG4UtedzCTRL+R1LZzUXOLluCzNPdOOj2FDofx0A0fxEcQjyou7uQ/
+ewLGbOlo+EO36zExTRwYkPF1v7R8qJuU2D4ycNjhSWZbBmqLd0jWcHSuw6ZfCnIXFd1e5d25aOI
Y/Dw5Jv3+mtUqU0ji01NzMYiER8IGiAgAIeHug4McVHpI7SLImu1i3k1Bw9u9207N/DWvalXgrDR
iXY62zc2U/ve806viYLtBDki2MCH5DQQa+KM/c4ajFWuvjxN3nGhDzSQHnVRXtGs95Q52N6qsdjp
1DPWgRy3EsdMCqg3Ft5WEVHCVUIbTaTC89BB0s4xIS+x2SER0O3NMPEWtN3qPXOs9agT0nRskA3H
2lVdTBR5f7A4a1YaBK9zVMHmTfndGEJNe0Nhr2zWYZIJuISXoivXoidmnpOtYqUbpzS9KyJmyTmv
zrlDspDfjO+tDWJq+dXTQBBDTs4MjHX72VLGWkQ22rEsJjLcIfN6hBJyUUAyB1+nGca1iigA3W2T
3LrkU3hre/oYzlBlYxPd89biWFRvxkW2GESSEvNHGyVPMi8ob/DlrRjkrfamBzDSz94he9TgZFKj
yFFX130qr/HkjlsVzGSLg+ZUKkX+gP6B7XsOWdymAR1YeDUXp4ie7xdb3gcadlFSH5tv3dC49mxs
IbaxT317V87sLqNwqXc33wofL1PLTDBghF8ZlncnHNO6kcp78CTNUvkEWxm94dvGz1E/DOV8+R2j
pRr6Roj5ZBPm4wy0lpsSd582tb9OQuuuz8tzBcaZMPTd2lnyU9To1Fji3Ho8qwjUZHLpMa3DPZ/6
vHKHscU/+G46xIpmSXvxl6qq3nPXlp3+FHF0E9DEm3WEX0wk3Ma0RvnhR2El+xJQWIbt2pF9s8/M
+cMPBDuFFVZrWdkjfagwUhONJGEHLtUCUBUiOtsAVplZsU4BYZXawaGJayiM3kt6rDKgLgfIq16w
r6gi/XdBw/Kpfi3qzoeGTW9CALNoQc4ykRxaoLQhsQ8SgdC6AmQDKTn4ab5XgG8QGVDrwQZ32Rtg
51NWBq/liHs2EHcZ4N3cukRRc7j25fgdxvrFBeZLZPVhA/uRpkH6T//Z5RaaFGeF23qdFzMJrU72
qwQpDHX7pEAOjZhFe6jDXbOAilWRf+VTdQ0gfc8U0QFxUwoQhq+FaJcAaFq0g9cAnHJ0w18puKVN
CiQ4+4s1urcpQSNlR7ucU0zRUammWzWgn3JBQRc4FOPt42gRUlg3ab4FcPXWBehp4WcUFS+AqgBZ
zRaIdfaDYwfmWi7ga7TAsA3WdJK3im0l555wIKYFt+rEPm3CamOB5MYLpBuC7To4eTspaf5YYF98
1HQqLFCwjNR1uIDDJihxIaRmTQc4ds1wC/TJnupM+9Hur5iTQE4buStAnScz/+h87N+g0b2F92eB
p3sXQcnQQ6YyHMZkcABj171/k7fx0Y3qRz/j70FiWIsjGKq6pqM5WhDxSk7JdgAkDxa03HSeIsDz
CRBdhcXOsEDV5YKvSz/HJuWDWxUL+h4Y9pcPHO+ShMHEJ/gUGPYXxD6pOH16QfHzmMBAYH2jdZ5I
Y0OcRYgNK375XPjO2Vu4gKL8zBduwA/MXQ5ZMEMaMPm+TSDIQIwHWpvFNreTg7WQDMOISS/w/EcP
/sHNoJYcGAnDUvsahiKrrH22UBZ+HGwLOAwLLqPxs5NwoomX/3BFFMGD06JTyxss4DmZanlf3ccV
4EjUdEfDqK4UrrqvOGuJv1J0VvD5+SV2tr6K4cYNK94mPZ9Ik+kj8s6rYQEjOKvetsFYT0RjiWWP
87D587v2/0g5JyLJxSdr+oRiIOeD6mRJ/dfKTmi/X99NRsPmH+nY//QX+TszS/ysUoutFq0ma/e/
FxCTqWGbloXnlihAco1oyvz7kq5+Q7XpeyaBhkvqhgNf+jdm1v6NJFsPcy1kKhlI9p9a0v1/iuL4
/Y/uEPq0qEs96johev9hSY/jcQIQTT1yhOpmZVT1Q+lPn3TCyw3YFc9WL0n7TtIMCQ66ATclb4C8
0qvcH9qtG6FOUrHmte2QSR2rfKeREyVJiGsvAm8fUubNsgZ5dpq3WodH6aGWToS42FW2t3Jy1XsH
/tN27+x4OlhBjOkysPJtHiyga3OfegqDKiGooeWjaeD1RMnbXY7wAcaVNBCFHs0of1gvHcQKGCCH
fE1k44UCTGZXRNdhYd+BdpxSuMjcsd7sgjQ0nKSmXZPHS6a060b8xpX9wxLVwsrVJL3T+7l0wMCt
cQMdYyIKg7C908VnajgUSbnljEYx3I+hBu2krt6peti77D7yGK6oLiZcQnxlZnHbkgO7YRU6JmlE
sW67bfvxMI0/ZTDtJa9gsN4PwTwLCQY5LTKG+2Cc9pYmt2AgwXZioK7r8mJK7yPN6FnxBj6hoSP/
dm5lezHs+nuiIJoM36MbWjdFSEcJuTv0o59dq9q1RDVw//xY7nxbk6CUB/bJs/pyE1T0crgOef59
X2IdHapl2Yt/xyW5MCZe1VAt5mYI509XqEfCMMeVGtqHXHOxZi7dKnqYIK3Ft+1bl7ljFMj8dydD
glakCC2HslqljRuvnaxZt6l57qry28yrS0jBYu/7T4MVuZtEsSMnor0iPRfjti6+rMLYkm1B4Qbi
Tq8k5GsQyqVFCHFYjbE5HYixcKPncqKJyA0rsXYMmLAmb1n7fL/YziOwfhwOlzxr95O2b6eeTWkI
1LhuI2R4aqYXubOupLa+5dyylaRyoyR8eE+Y5GiQF+JSsd0b3ibz+m5laaqGWvddlebasZgOOGZU
VrYHHuDLbLJ+i17mmNCdh6YQv0ybOStSeu9o7RKkWd90PmNRMKpv3Q/+1i7SltiWINl3Ekoxzyjh
MAztb4hkcW7dgSGuNV3yIQfcszZMMbMWPHFbHxvX25WQ0CRhgZtX0ao0wosMqE21uoPwo1Pa+JeS
R9YKnyFg1kDxd6nrc2GDxkI8VeDUK+lB9xfpXcPtLWv1kHCtOHlyM/oi3IwQR4XMLk79nST+W1fS
T2Ha91aXPYn5cQyci0cfiR2jAptckqPNblykYS+JOal1jMLVbvNdjRbD7s1dXUwhyc9muRFpcKnD
4TwM035iOIo095UdZDdOit1ZEuabUxO+rYv0XIcGjiIDVXdjuWeHMeuYGd5Tq7znLBwpcQhK1Hxd
uctaYuNjuz8VvtyFscDC3GbrAunY2p0YVVVilCTL0yRumdezR+60x3nplHwxpfFaW+UvC9BjJVK0
okyMKYXlRUmrH5lkOifWvqLZaC7Mp1FkIIFp8xHY1cUhsbobcW3FOiW4vwKom0J5NQdIuTQz6VHF
8uQN9NvIsnh0knA94kBOTRa2uhjE2o1Suc/ZpoHcSZbUBdiUsspsny4gSGLxVI9G9x4vG1kV57ve
KNSmH2n2FkYLnJ+Wz/3UducxDdbOAFlYNjq8TQ1vOOp8CbHrDfQlyrjv6log3qDYCG9zEswPbf89
CLHWDRXpRvQOFUeaiqP31ujROkCr8aYU4sa0VblPml6gN2DqoWdplj+qpHKEQ38Ie1wmMqGtiVBa
qkqHW5kqQkHi6aEru11IXI/XZeZK8qB0rSROkiDNLN/bKNFQSacfiW6vIhQvtQieImd4MdNg16fh
1yhS2DN5IYfzV52zD3glpvuERi7yCcy6Yosa5/eaoL/CUNeDpoOol3sBVrBhtkdvEN0WBAFOKt6W
TINOiePKNW88Gtqc0dCb3IwajO3w1QPGgzqBZxo1TFk5vI+8g4KyvOppLSvQNdu5fRm8fjPa85Xy
rKOVF3urd6+blGyIrvBvp0Dt3CE8OcU4r/2s+Uqj6lfYxiT70QZVch51si7q/NHmFea45rbz5CWv
Fzk3joAaSbLb3NgeTRSC5rUlTp2wZ5IsjLVfe3z99KrN4/w4hN0pdtETT8p+1t3wq4TA0aXec/Ju
aJo+5pB7GH+IUEqoZoSIIWI16bzrIIg2EMHb2CNZdJKnrKXpabJ5gVjfaUBjYDZTP0vHT+o8q8h6
l9l7PsLNKBJ60rg/jYNA/YtSeYqJ0IuHA291MixG5CTEEoAxoTqW5Tbrsm3VRgYXEJokA5hVTc6t
nzB+51FabKOyo8kmsj962/kOJr6JLLa+DMPc1BrWfC73UcIR6YCoKJ4Md0YNUVUN1R0JeObRyp77
jCwlc4qGVYam5gDBSFlVw0esyaly6OYJ0uLOTXyCkFBV60nuIYBpE6vNpWAnIJK4El9DK98nm/K7
qj1bXvbi5Dk7cE9rTRCRvI5eaWd3GiGjb9ArOcW70eAlMSKSlg4WsAl8YnDDa/4D2ViyPoo0eUc1
h/Oh1i+tbSJpdjlHpG+Rdwc1TtWuY4373u7Pc+YctIdgrUWVpsNxLahUsyRIlpHXt8j0QBxziLmx
f+qoV5sVcuQkY3MNRtLzpIgMQjWyG0ickyD+mBh9j7ChNrrPIlGvBqkrMAbPsgkuT7wrI0koM6TT
sy/UFSGGpIdTat0kmzqkekNb/D3VQIh8dJpC7BWuOAlDX8+GD8HMciFs3Bq85UEN0meg1F2POsIH
M8ua7OyMS63WeBzHDqI3PTZJvU2RgKA6WsVB8GBnr2lb3s4NOgAY3VLSjk6T9hxb0OfeTWdYN3k2
ngUoXDTtdeIiCPantYoi2Pw6ex0sWvF8ohKzriN0MeYtPw1i76Q+/Qrw3DpHrREOOepph/oDxy7W
QyoChjtGpmLwIR24xF0h+51HHtJBRMVLP4f2uq3bjNWvpFgkKobktQPP3Fa6CkheYWtHxjQe+7l7
LWxJRL1tcNzStwgik1shsndZ38PBugPtY2ndHWXnPYjBBv1SSPCp5jKtKy7vx5m1axTsn37ZeCuf
Tpx9Iz1yN6s23JbTJ7zXjnpna6SGSd75KGx9JPANV38bUOU3UjQn01Nlu6j3o2ltDuReOJRx9ulz
7dM6FTv2Q50Ou6AZg304Qg+0Aw3oaqgoTery+9aGzCrs/DCBv5cK/lhlgrYZTolqXvvO/mwCwl5U
y41HyuXsuSR9pdbZSZe3S0HGDT4HL3zrXXZVughSfpkkNouVEhHiJq5cZRKiOhyh+DaN6m+dMr+J
3WZrif6sbbQJbvcRFKhZco+Au/G+6kDMHMTKaoZW6p6GHJWaCFlw0VeMQIhhuMqD6eiO9KX23XVN
3nIwiVdCSikGkwOGxnDgCaUGoZ3S55FdWoYjthuIalnt6+7JSAd3vyREV8WXip8d/2tC8ug2BOzN
7s/Y81cvujTaDvb14r1ZYavZXJXBKn+2zk1J8qQXEbQ39Gi/h6wOryxRXdvOY+hULN3DxvfcUyy5
JOavun8Z5YI/JL/SZCmdse1j6xUHuwcdag3EQIwIVeEr8sKa9QhwGo7cVlGtQYbROaC3Ujr4zjPj
buwzhsvmRo88HK0FTe+3470uSY+lFnXKjYObMopkXNLeT8hfsMBbken0uZFouXL6SEsdPfSV5P8j
9kzaDKXmVTHHpwrZgk4UkKxzUxhodbQysG649t7wIJvQ3j7wBuhwEqHaF0ks1hYax+fQl/c13NAG
kSd2vdkh3FUAdYXmux/FL5UprJspC28L4CtecYjM+xQXVbc3+vLkDi8IDm9l7JR3TYP4pcuuWYN/
Dfy81IjSLfZE59DX1TqqPtOwZm5ZZBu0Oi4SfxD5Rryz09AABVK1Gp3mhjU0QE7AC2ZCE6P4x57N
+MCzxD1qTHdmn98F+KEKCh2t1MZ7HiavSW1MH2GDOkWp4isfqesggTo3zHQfdIU4Giq7A+f9ikYi
Da2HBi7DIHM98bmwjF7+SqX3iEr2euKxuEpj5Ph+o+oPxex9HSevZm0m1qptH1FEoJMpiCdsJhpX
UVcotc84kV7dXfpR7lT7ZowoWZbXDs0nVkyYDl25bjvw8Ljswb1zBt5bm3Xwo5KJ0ZshsJflk2sb
W6tVb43X3vdjyvTsUAEt/+drJRZkAjwCZbpLDTiFCR5ChX+NzLygmcjL36GZ3323O+JSv7X+Z5jm
P/yKf4dpkEmgngdqoUAcLBDA5d88uPI3KWzwFo9mCQlWA0D0NymF/ZsHbsR+C2zo88f8g5TC/s0E
3EGUb9sO5l1UFv/v/3yO/zv8Lu/+KpHQ//Tvf6F7966Mi1b/3/9FrNs/SCn++lnwgbjYg31gn987
jv5gwTW151IoNOGwq8Kt4b7l6bw35x4xoHtGZrkvAvWiKq/ZmFHy1eEsX2n8OLnJQJFl47O0Iugq
TOSeB1Tv/M60dDdNFx2ZsK5cUdHwXVBTgqHF8qHlR+gss5lvQ8tyd7G0kbnN/mOY11gO5WeDIZD+
t1c/TV6l39NlqjZiRovhjZuKRp+10AgQtDa+M4m7Nq8RYhFcuZGyvy8Sex1LhvI+JqJ7qnd5IXDj
xeFTgp6Q0LeOfbGZ/KtotpqjLfQ3C8C+meSl9xp9cmoBJO8kZCM7iHXronvMEXKB2Js7FeD0FEly
bch4OHWj+2OIyTjOSqRbUYS32u4f0pHMKcOvdx2LkdPX7zVuxG2XEXI64+ERswsGZsSEvaWUF2hD
HHMj3JeIv97UlIdPyFOoay3PtUVZQVMWDTtT6a+tnuXXLwVylQIAt2rzvTFn5ra2+vmSGGG/mgkM
varDaNxWCXY/QMldW8JLyyFnTgqopKG2SN85DhxmarO7pj7hWEVnvTGcMjGPLuZI9DPkyEa7qva8
9w4N/ONkEmbaRTbmgD7Mnio0YJtF4Q3Ubcl6YzktDK1Zn9ucqvCm9+jEtl78WexkpDEYGxtu3vVU
qIfOwKRmzgSHUluTh4BcIQF5VfyQAnVfJYjJOmjnXWLGtFF0+bly6tu0QC8z5rh7TZJLYTHpNPJf
R4u03Lbv31orgepCwJ0P5d1EXmxoL9JRbk0WwM08N1gNsv5k24x9qVE7jMjhMbVK0uLaaGYdEMHB
b9t05/WvnpedK1ccCFlHJVv2b9xMlObgBJgZi2aDUNxMGMcsQD3qYkoLY4sOKD6YjWKS2qqyn9d1
5ls7hT+zt5yfapie+Dlbp+B3sVte5SLqbrPEevJGgZCjZqZPMGi3CbmjXVoSVaxMfW0lgJqzT7tj
2dR3Y23P2zBvHo2ooJHIo7IYdmo3F9E3zhaoroRvv8nJwizf4yLGj1yfiCBn20Gli6Djk5DkjRdy
GRVLdt84IW2tHqbObzdVT2yaScu0qlr8s3Q3qpGmDFd/6Tm/0lMKSsl0GESLPmjRIGfjk65MZCix
sFZARU+drl0WGmqZapeqLq+/7pyIwyVe04rOzJ59ooPma9FJbjLt1iTzDgTVsV6Vg0Tbb1bRtpGu
TW57Fy2g4rE1xIZIx6sxkYcxZb4YKV1H78ZbxdxkIr5pO/8GbyQ5GzPKhdAEkeni7Bwx76+KnDXX
i+5SqEe2HROkwzNPSdV/TnlBIuAA19IxAXT+Q1B4Nwo8pl7ZRU1RG5M+HuiJ3tVu5891vfUGFr+5
KMsz7tgdJhq0AYWP67yG40lYYhYY9yYsA1IvxrLbI+udT3PK5ql0x5hYjKM+p8FUkjMvkAK5YT+R
d6rNN78NrAOKczbJsLmyoVSpQWf7izv13g/BNmp6nKScvUQ2VJjJeDf5IFKhHe8TA4wlzw68BU8T
pnbPl7xGzPDObaTEBmE+DEZ3heuP4ZTmlsn8WQLc8bZSk9EjPnN8dPep8QutwkVKsnLthmJI/2CL
kMhm+lV9x7hRqf+DF+faDJPPuXLWiJ4PoqGrJ2xvfFC3jZaYDj3jtlANR7YgoTYe5K71rTsesa2N
oFeEQLslslUCQ4zZuBZhvxFxwxKmbB4rfQl5+BA//8yButIue0sCSp7RlXZAV+pstMt+Kt37Jo+O
FWW/s+5TlCB5sUsCXFx5RC1nlBs8UASUbHIPi/nk+FS9je2z4bpvSceXVLrF/cwBeaJEzT36Ynj1
ExaqarEVWTXaBKZuo3CHtbYX+LULkp0d+9T8ai9am01Zrmfd7ZMFKJtAzNIFOtOO5a+cBU7DgjYf
5wViEwrNeME1vZ8mopdRmlHBCyaH0ADSO3tMDbrLbFC7ZoHvsM1Y+xlEjyek4QoInG2/wH0uuJ8B
/ueCAyIl5AYJxqfWSwkzBSpsWqTg6QIfFs2cHuUCKYoFXHSi/JcF2gg0/cKp4A+S0gANHjmCS6If
ouZ6gSrLBbQss3zNXMKUDdefg2nWaXdSIxByUPfWRjkQ37Hcz6i1Nxo0FNDvycH+QImLezadbiB+
oI/YiNJzTnrmFmCd7c4H2AFntRLpbWeQ14EGXKfozhJENiugAZycLHTq0+g4TeiCAL2V6V56pFyE
QrzM4LuTWNakLkxvXbBfQkwu1vxoggi7g7hvQYhjkOLa/crBjX1nXA8LkOyEQBdw/QKEuSdbOAJx
FiDPgPYkZy6ZkGDSCdj0nFF2lPaA8k8VyLWu3AvtgiRbtAcBsl0awR2iDdI8wbxDiqZrMPDWIKUa
jY5awPGUA7rtFsDcW6Bz/3cQXRf+BndviyksNzbZArbLBXY389rf5kp85wpjX2bD1M7vKTiELPgK
6xg3EsC9LjOKKeb5Vw6kn2sTMciC8mMyuIRBg6cP/H9qmyeEe2sTYsDkhKYLUzCnNHS4j0NA7PqC
jWFyu/hZi9cchsGtRoFk2vpWcA+tyXO0kBH9Qkt0aQ2jQA9IBmMRwVz0UnhrL4bW70fQT4BkajkW
qgOpOVojCoQSWJA4GZ5rq4VBWwgSd6FKtKrfoOoQB6TBllySLyspGzI4W16NpLz2C+XSmO4T3sQT
3sZLCyej4WYUHI0uJYqlGpzN6x3n2oXJiUznvWupio6xzhfPxH+vjbqetkMpvVUBEZTp5iHQM/tQ
Lx/DZvg0fueMin7c5EkDAVRzr/ULtzQsLFMv+WTEzAioJ9QropKnWpJ7HYy3CSTVEBh8Qh8VofIl
/JUPj8WZ4zBZNxH81lSP+2Dhuxbiq18oME/k+TpZaDFCaD8qeDKn1UhI4UvQ0K1AymDZ0DqdZ7o8
EZllmzEV92FzVgHZISB18/gzJsPBhJiTiiJniLqqJsIghbqbWShlFa9ageq0E8l97bZHL9cbqyiQ
GUL/OX0yb7SHBrcpPvO4uUsgCo00ZImUOwGBmEAkgjDQDgwcx+T1Y8TOeOBQg/1LVlloSIA6tB3W
W5qUx6RQJyO37xBh7rxF5Q84d2khNL1o2JoLw+lCddrKPddQnyKAATGi4a5YSNHU4UsYqmOy8KVa
tveMQkeAkhxtVgCeCbnaQ7LOcr41F9YVIcw+hoZtxi7axUZwSCFoK4haf9ZXHhPIqmwO0IP0lOXr
1tZba+KVHi/EbolwzMo+I8jedGF92xwuylBGS1f3CHaXf8pCfWZwxN5CFmMjZP4OvfRYtiZj9kIq
t5iVN3ZBzWbUPhpmcJ/iM9v49CjUlt7PlHM5XXErLGO9FFjSK/vTofKqZXmDT4VGAufsmgPWEIi+
sXther+VtKXVWXZMhuJ7XgyqWJ8gDtdRregT8BEVGmvDqAnpqk4xCuIkPDVNyaYynvGhoOPOb0WQ
Hqbe2JvM0IqHFeGpXqSQR8qv7pGO3jg6PEW5dxdDMqRNs/E44UUnH+BeeCF463r0192kvHUfs+K7
rUa/XSxoV0b0LCOo+W0SWc1wJLtd0Zn7RngrGZloTyoSGJi1w44K+8rdz/54UNWnbIE5DCvonv68
muO/mXNi2YBd4rFol1LKM/FuolP412jADXWl0V+2H7r9y3VcfJYZLaD/5KH/T3/Fv6IB5m+mYMdG
SIc7XtJeYi/Fi/8GB5i/QXUvQgkf2YQp8dX/wVD/V0mHjzHWVqzG1F39XbYhf1ti1cnRsm3BvOH9
KdmG/fvC/0/eClLfTccWjqIAcil4+aO3wmYuSmE8iUePrX6d2F86dg8VZskb1fhkhfc01H0XFA6N
aXLnCaD7Cl81Qc2mSOh0NEp3zc5M21VmoW7OkVm3h9mrdm4YbfX4HrbvVQC50EsMq3Toki4treQC
6rxFB68M5BTrQTv72j6K9skqkw1PzmrsfkaCngLGGS7MvrllMf1l47rAhkWgTo8Es8WHZNAmjxGE
Vep+FiOnXm2biBsC5ju5S+r6bahAmiFiOrUpLVLXp+AQUHRoBbdqdmiBpIdxgepyZHPmIw4QnjX0
ouEXn9e6zK2DLPUdgti9bWQba3JfRQ8D25d4RwD+N4X10Gf6VrjXHVkuhRt+B2AWRVomdHz5d7Bq
q9y0yQ/B1NCIeSsHUJFu+jRHhxuU0Fv9y7UpKCf7WhkOUx3pKty5tF12D0X0/8k7k+WGkWvb/sr9
gXQACSSaqdh3IilR7QShFn3f4+vfQoWfb7l8PfDYEa6B7QiWRJHIk/vsvTaPqjheRW5ytWmHsutp
Q3SAbzEzA9E4S1zyGvuWeiA6GHjfY+BcbEGnubr3phVP8zuRcs1WxT6u3iQJxIKexU5b5HJnp4+V
shctgwwrAM5SdGS95U/YqzULnoRfoedpLHHGmg7N1RMN8Ng7gFZVE417PHg8Aqseu2liskZMLr2u
Ai4QgG7mSQsN12opWRQYB0ZaKGX4rU+8niKrNjUADsYs1+fiSazN/Gew16PePlZFMDLJaFdpXcKB
rQHn2a0sowhvq7ESolsVnrGa8KVhMZFHF4uxlz3xQ+Bi1Ds8Lp5YdqB9wrw522n6W5k/mBDYQ1lE
LUVPu1dAabzOviOhUd4bDsFYsZiryNmiOWWvIwgTWkBlkK8bZ2QrCFegDD9UBurKaUscKCN1iMZZ
m/tA/fA5ApxljBsryTblwHTXGnt5TkR3FG5zggFzKCTL6lZiWIpOlYBrw+7hIaANTjXbXht4v8Yf
Gs03mckkaKBF54X3mvIR1KdzqDbhhAdf/PC1vbOwdOC0jGLqM/bV9Gqnv23FMpmgSVtvLYyhdsmC
RI43wHZnq3eWOtfOyS42jmEfc2cXhM+moRH1W+n5dzz8OAaifk+cmPx5Tr4OggzXbrYnaXltvOxk
4JrqTbZVzNtGT6XahLdKv1HheEeQ2QWhQ5zPK7RTZ1HHLbyNNYqncEw3SXyMnOd+jMjx+GyBdTZE
z732pmpyM/LN9Kyl2adnX4qPKuaDbEha55y7JBvpELj5GG8EkZOxU9s8pMwmu2SpGFaZ8VjOCYyR
7T7CXzPZOCL4eAZHz8GbzbRgJV9lxkdNYEWy8Ikk6UHpPsMXXg8k8mDhdm++pAchvhDssFKco+b0
EzYpS+R4Z3vrkSWRZURrZUT7lnbz0vB2kwmYx3nRZguJjyesT0lp1fDUGN3eRQKVThyHrNmFgEJM
/aNrP6vyIx54EtaPPr4KOAw2znlFmaqI2l1upPe6M24ECciUEWAojkP6SayfHc4SrppdBN82Fxg8
Q3dGMas4AClyFK2qNc6l8N9mZI9usZoaCDK4017XSEQHiAA4vPMheAm9vZ5SF1WtWO5t2IsVqXap
kU+96GyU/UvNNl1OwakJr4EbbGPBKjAZjlPXvLs15iBhL3rmlP+GCUE3WDGZCNSOY9MCDc3m308I
CyS4eST4Y0j4y5bgX1/n71sC/W9zqTMdKUwHjs2MgEz/97FAksVkMKAeU5HEVOwJ/ndNwAaBbZvB
hsC2nb+SOl3T1gk4W2w4TDKS/9GaYE58/jVxOaN8dFsqGDuuy1vw56mAgGDiu40wwJIYS6AaB73/
SYrq06LMKzKj+4hIfzAEK0eQ5TaQP+psOXXppyZT9lQVBoJC8vUhSaaFdUeKiLYQr0B2jcJNkIyc
TtG4R0Jj0V0ON25/M4IhWoGqtfNimQ8lqN3efais9D51/KWTdVvcnPetDpckkfspJguAt6738ytr
fVw/WUcYRnngFZB9I4LL2Miw6Il0CXZv7+TZObOUvsyccZGMylio/NyGDMX2Z95Pj4kbnWuNkEoC
VhcIz753u+ZUcj8eXB/WY5BjbeCwC/helvSwJGO9iXUClwEljkEP3c17RapcWwM1WLK9tB5xE66I
y1b/GqrhpGX2sVbWtkznFFPApbG3y9+py5KVX2RzcJF0aCd5dW6RDnbSYZs6ycVrnfu+MJpDbcql
ZXdHy/Tf/UIdpprbdZ0RAiUYf6Xd5yTIgTpmunOn3yQdzWWhOPIFKL50/lIrTrSa3FwvHDpmLFTU
ZoTnW2o2NnatjT7xkpwQMyvU14bHXEiDt6LlxC0BeOpDv+t5nFoR62PX/epaaoEbfTuR1DZHvb8r
kdJEJA4hdx52u2gsKJFYUm3tNLkOFasWaNLqaIZi1fLKZV7y7L2vo/ytgj/oNCZUBxwmer6y/P4w
msaTW5bWxqbUVCNRMXndg6/UgVsRgdrRwTpVYLAL8R0qHm19xHzAA5ADVJlLFHE8xLF1iy0rx8KG
o9iieu3O96YPvANT6d+nXrIM04fOb9ZGm4b0oGKDzPSDW4Biy4NgDgbnVE7508Yv/QdbVjomlL5Z
TJSM0hEdLJIpO3cIyEjPk8PNzgygnVXVqsQ+s2BpDxAJA4t0tVWf+rPM5q467p1Is+a505j0RCVf
O79iW8/81hDPCFwqoK3OOetus0cXXjbZsJYpewKl2B+EDi5I85XGtU1l9eADhguGUeKH2jrvtbXd
yEVh2fhwhseI88VRDAdZ2h4HkheLlAwwh152DegK6uP6xxmddzeS07IgLQmIOoTDysBo1fpX0PvL
1igvtnEKEUqfWppCp4DwlqBhB4cbnpZJm1aKrFh87mCFeNGwT1MdTcNaSy728A8OuKbLcT205auJ
ydnt8A5Iz7pkwxHeCqGNKQO92MLzG7SzGsA1JQrjrUOyjVF/bXqL1rtLjG0RACE5OGxtcnTi19o6
Fo9hvep1ClXXGrtxbFoyRJN/8fE99+uqRvR01hHHZLSgOc8tH2F0zliBaBWbP/V7CGmbwzdZhGTZ
yhX7mGzCx7bHegLtMHkR9UOLJ9hfdfzut+EXLgy0Gq7/1hZ6dtc9ez1DJ47QbaevEo9KmUPUfDjM
0LhR+nYXBKtR3ecQxqKBIqi7oF9H4ZpBjl+GJRGPq2c2T23JzuTZrdf9pao3ajgPlX3ic3LDVXGm
IXU/eMEudrKKmwQsGgKET0a312H+Br7+4QXGIyri1dV3ZVx/6kwnItXBZfIG0m5UMelqZcnn9UXm
A4mOiZiKDzPJimfHQsbXWVQwYuXGDbnzCUt7Ne36HGuyQYGoT44nvvyR/CU95fRLnhC9iIKZ56aP
2PgYPEkQTRFHf1l7snnDeAPQClgKI+dT4MQrv32gxzyr20Wr8LxBrhXnboA56DzO18vK+OQrj1N+
74Y1VXWXtte2GNKwyn65U8Ozel4zQI+svIcAkOEwPDTJY9adJzYlYuj44++8+t02uRhyM3XT/kAI
KuN24OPJ9dKtW/xxy1Hq2pfmvvBPXr0C2Cyo5PHd4d4Yy4eMzPJgvcYOCmZ0Ji0ez2prwfDIWwpU
zuwh4GQblg6bcTd4JHKmNTn2dabniyLZqeZjdG+RBp4KwDJhm0XV/rJvtJNHzX1O5cvgnXLPO1CC
m/G1LN1gmfPRaDBgKRxOz3gze8riHwpjOyXHvHwfWbURSKOuMNuVJn7D5MhE2TnXqYAJwx1CfJmP
XEsV2Vdb24QOxhjWsvOe+25G/Mi1yyeLlXzA9dI3HxNWehZSpPdbTWDno1vZvPUBf0aQjOprsLYZ
nN+L0f+o6tEJeF8dhyoDcxu1rK/zVSlvwZs5Vuzf7s1+o1nHnMtbQYNXPhCEEF9wqITZA8IPWzah
hBFq+RZazbsuFTTb8q1BAyj1cpfxWItigVfZ2YdOdogEcUYjY2gITf1lsOpLZDEReF71HLDBSFq5
LJpvZah1HEEodqfHNnRXNNx9yX5Ob47mYzHov55ncAUc6w51gaJB1mB7h5nXhiourTzYtGHxWmGt
ulM5OeS8Riv30AnGxDvoXY1TzayWvl1/2GSnYxTQyCl+/EHrFtjNaQejtXKZjuonNTT2hRXmx5yR
vk/lYxcrmAvDyAmAZ8jrNyanJxqm88xH8SMD45/X8VvasKuMlbdsiYeL5K0gHxibYKfTAQ6tCq+N
Iz8ViXcyV7pLcqR9NkR+xC6Ao5AIAokPM6Pec/IehZ1vLCPb5fBR2QeWS9HHtwAOeMKhGtqeuyLx
czabeh1r8VsPYWmLmLUB1U04euLvFnYjruLgPJdG5l10CWEakF55M/lFCkyYZWZ/ZhYpwXZu+FQp
fsVu3Phhg0RQ3gbUSh453THjcGYncmf2I52x7RuU4EEzHmXQFYgHTbbQ7fwDo9lHYGekfP37RAGc
re9cG2W9s1l6+tpBaswVglShR814RqT4rsWqSAi+vwZjFFCrCuSw9Xlwc+OdenAzMfmfzPABW0HY
IINfwJbl21EBnPDkfWyGV9ay1wK3NO+sS0q9YM3o4EdLuKYa7l5PbiUROVA37TEJ4JX52c6zhp+4
Z0kyEZCTrTjagXeu8BO2UMdDNmchpWKd3zrcuNVX1zQoXpSdUHRp+09DTvOK33BLRgLIoulQ0LjX
1qBd4/qOK/BVjSF0XksctLjeeZV5CNvuyWIy1YvioxuadQ1dGGOH/lVA6L0r9WwngX7LgVV52VYP
WsMjz/Ax6YYpkb3Qme1e0W/e2cRQ1HsZjwaLLWeX9ng8Q/tz0InmE2uvhmKd+tN9gHGFmFWG2TdV
60RYW1u33xLbvYjaOqW1u2oHKEIemuei98C3Yo/kxBw3jkmeXPXRD9uxkfpV/cGy/K/WE/hKk5xk
sM4sZSKnMOq/KdMU12IqPqZi2hRueA4TsrOpon2PJ1YStzHeD+PsB+FmzLq30E4/1GwintPMiWi+
U+WtOrIqygldFmLhHgYFRo50gL7h3MdN8TjRibrO+nCht90mJE+TmyX50/YJ0wZhJxrJUUGorZ8R
DNOdhr9k/mQ9DmX3ZgUmzY7GSxe9dRn7iIm1qt/4zqdV0MWcNfhGhk67NKa/G3xzq3DiCJ+Dx+o4
OZQoXpyq65ehOZMSy+JtlB11kIgvCZxFJ5T9MmrbgeM9fMn5qjQZp08vOQfA+K8Mz/2t+3CZZgwO
hh3fJ0SM2EM5ctVWMcNMFJzZZeaIrDXTlj7dg1U7dtQ0J224ZQ093EXSOcQT9QAy7/lK5ZuWhbap
ySfpp692oF7SMH7Sqn4dp97rGIQs+PBlhvpZzD9kXDiHtIIBL2R3/a+4xysT7dmykdk5N2bt/d/f
41/w/f3PH3L/R1o0+f+p8+v/8np/v89rf7M1NGGqUhVcHNdBlv/HhV7/m4Hfz+T/kxrxTcP6k+8P
hBLwJFIubAJoVP1fkX8WCPABUnCOldDUzf9I5EfO/6frPBsKfnLD/WMDgTfRMv6SzZSBrbFBY4ht
CkYnOWEDUo2aDlbCGj2i43cIfbrLqRCGZu5jRMjXaak9FoLjm/Q5AQwU9DptcFGEO0hNp26yfBpR
5aqw9S/ZJC9m7SKZJ3/AvIK7so94tAaHFAfMOgq89VTn7xX2sUD62qqY7KtpSGIj9ZNH2ydOCG0h
lUfFMd9CWXAcxL3WLp1QDItQup89Bjkg2V6wxg8SbjJDPNpce1TjfPsQ/Jt4/GgoDi1cuHwOCJYi
4cKOfRxCuCxWeZ6xgGjsXZ7gW05qPM1aA0k3M6q30jd+wqndeMLnehYNWxF5a5DcuJeDk5UWL2Nq
PrSJfszCmHGrnn5I6T76A0vxoGJXHvAO9dHwGmXxtVSUcfltcm8X2QHDxZVjVeGz9Hheufi6EbxN
c/wK8nlZ122c3PuOIIibg40wWC2CHlh7olMt7tOvzNMpXeKMWRaB8ySRGFouca2gBSXRDzh7vkKZ
8H5lIeKBUO+DibAZm87BC7otXsmjP2mPokzvVTLgQRDTLUuZdEedK1Y7vBa57y2tuP+19fgTqNRq
bHGNgL1XinZ5UQY6lyZG6Qm6q+0PL5EPoDvvFmFMQwBEpFVnymrt5M1p0kixeIE8hLFFe7y4Yq5N
VwPcp5VnEiHPZix7/5VwJ6ng7xKtecIo9ehmEYZ2EwtOFm4B9CyY2DYB1kM+jV26Tk2xxZ+4GA21
Z211oAUE6JcIaMItSYrFDmUNpjNg/5GsRRPP2seaj/UEYSWsJpovSkVPg86nOPmCfBSslM4DWLpU
TPi5ifcxnp4Gxpc41mfeLv9zrscuEssE8lYHIqjr44sriovvdM8tbz+xh/bJsOt9OCouPpk9roAA
cUjo2DUaTd/ZYC2L2ilWuItQcTCMycTD/2qIYd8Z1VnF4yVRVQdCs5iZ6ZzAg7nvgybmJlMBJgYx
tTbtyObXGdiFRfGvaxAbNjVWB36tY4WyYrgmOktvxwA1aYzhQQxPKPdcjIeq2ExastcrPlyDkR2T
uY1G+rCXJrZvbaT0VZWomx2JeDs11ngZhmTvJAWp2oKczQiq0m67m5uKRU1fuyrtBd0O2zoSW9+x
refWn3uNP8FEl/GADaHZR3NKoopLrDE4owoG1IUxclPHvrNImvzbBIDp9xtYVBdNotWY3lm2ZCor
havQND8Lv7JvTeGyyCimpaCOZKFGbW1VzT6paEIJtLmbZ48L9oradm8V/VmMat3nmF77sN7gntq3
NfGZujJZX4Eo860dUdx1Essr3+873XPWdnEN26FbGl3zEFTaz4ylNSq8zMz6O37J31wPnpPYfsIX
zMvW47EDfk0qezGU3lY2MyuNN5o7qfM60Ipu0dbjdf63nV+yGe7SYHrtubDxeX1M37Xwk7tCPKON
W8nb4fkFjqIXG3Al/0LtRSchVeGDNNgsyAA2Rpq+9TVSC2Tt/meEttFU5dHqvbcgy87zqGbmzdoV
yDZ+3NxGIfB3ohuDA6ouQVj+Au74MotopfsGjI5EfnL6qzstmN6FW5OsLWBAwwIbwoy1rsqYGvN2
G5RYhmaSaJVQhTJCDapnc0a4r7LiOcBJAmE1Enujt1ZOIW1MPNWF/dST0QAEGqdFWLLxq/T9RIjO
812806JaQQnf2w7lBJNpmnd5I842+cHULt+QS79bbhmLbpjcrW5Zu0n8NowwBfdHc854Kbp7Qo0Q
kSVb+w5d7VWrte+qNj9n3Ajpf1Y41sStrcnEoomabxNHiW7QUmPwueo0DeyIfc50l0eGjrWV7wHD
96qpuGqHjnYKsvapqYErm7F/8XpnG7sl0GN5BO931goSPD4+VsVOrqnwpcKDcjV+uoXN7kq/dECJ
6nXCb2MTAcPSypKK6TRcYIVbRKjheN1cvCR+bTzoJ9cm6E48s4SxjeKSwP30omzhDGKJQosIGxTb
unnBIvXQFJcSbwox2NRJd+Hg3OtWuBEVzJk8wQ26a23xqvHoXrSmu8laDEUeocGdb1I4o8dvnmn4
28GiR4UkwnIKucXw/Dp4IbN8MPn5qnDdj34ceYcT60EzMKT7Iv0YIlI/dGyBV/bopUniddxKqJuE
ti3xOEquKRBpkTjrpciKg9KMTQWsNANQMPod2yQdSlyO+s2BSVHWSY3OIUqiA8GjizaGF1cG5Fm1
OQVUOZQt84EUHoEz8E9UqneLKfY45rTklsoGEJDDDyvKtdH36zAOlj2EgaY6jRJlO1LU/4z6htPo
RfNCQov5g1WWcHra20BvOZmaLXj8hgcykvdmktEel8WuyuReJu7TwG8QOBC29BbNuegWDpkaF667
SBNYPdXULqTnVutYR02Rvc0feUz0t/+OudnRLTInpqOYQedp8t/PzXc/33O1xF83X2Sa//kV/jEp
S3QRc7bE4MGxXc1mKv+HI8ayOEwwyyjLUJqt/YljIgnPEN4hyoMb5p9GZfk3TZlKskUjPGOCKP1P
Nl+M6/80KjNwWyzlgJkqfhI5vwf/vPlSk2BIS7kGwzTcDa3BKQbzaHp3M/vg11xjSfjPHeI26QXy
rQ71JX15iXxta9fWSzvg8YtJ09M5RLCWyoIhf+IZg8cB2ZR0q4kRD5OWsFkK5+s2rH/dtMEHHIu7
ZkrOuv9bGPHW5tAPdfU5GQABLVu/DD0e9nbGgpYrabXMVv2l5s5xR1Zg0yFN1wK6X1p7WOsspiSb
qCKySG0NePdIk9Q0UQyqJ/pwi0OC+rb6CY1o4zjOOvHrHx2FnG2/o3UbNNWPwMOWQLK16a0b8PwB
CVjfww87a0YMgUALXhu7PVWGue4x9prePeMVBZZMb6l7nNJ3htiovsoC83vE0jmzlmAjvgRW3b7R
92Wos4Siy2YezmPUvGC4NH538YxXvzcXhTntUlqt9IjWNvFNDca64oYyAiSic2ZY1tjQBXdltjUH
bInQssTGADvTWAEsFXc7QjVKi0sw5TdinoveAV6dRxhpJtCpR6N8n0NN2bTs5WkAauelPE6zzxDc
WwLeO31pEKh5RlHoBuzU97aWkZNGJM4suNtXQc0g5Xym0yoziabyfKWqgaqiqvTxjE/Wa0UIchwh
tOO8M/EK+Hhz6SkakMxbedQRd4Lhq1AVKR/zSNWHZB7Kp+qUz2lt7+LAS8CPdTbct4KnpWml2xzz
tdEzne47+hKBpi00YUWzQ4Q3wa5PbcCwhnwWVAfNFDSjJRHVGoqauwyrilXGpMyRhAXJXrM9+SJY
14ho2ZDCAKBdr1RsbvRq6yXwudIMCElyhsVJUr4/uBV7ETGdbEvfJ9mP6TK923tSqbvSbdnhHKX+
1ZRPQ0nBSJ8dlaSDlEStfisTiGE4Q7McrgYL3fatw29QG1RkwZhwanOVtdgucBnVYPNH87uzTw32
X1362EtT7AvsWLi95O4vrnaQotqWchQG98zjAIyex+hxrJ6MkFzusbEeMidbNQpt6L7zHkTzWuFd
MkxOnoCNnnthHxqCqfYfB2crmDZ9okOJu8/x9kN3hP0dDp+afpiDDH4A/iBcUc/ylJUWSwgsWLF8
L5L+Hk7+YkSIVtoyaOnVSnVCCcVWQ6jq5Azmvw4FOQyAETrQRbz1R8Uia8Rb6swU/lgjF14j3PGg
8FbA2442KxIv/SzIE1hzgrXesPO/byx91dh8g8pHUvkdi+HauMVmfJiXsXqjPQi334KFpaApObDp
XAQdC4os31VyVeLET2liI6xtcy085Hh/u9a5YXUwFl6mdkNjrXG9PhtpdlZKdbtaheB7/GndFWsv
fMBfkN0V1XRq2IZulTTSTZ3OGfnm6lc0L2b5pbBeqr469Iz+olo3bHXyYpf3rPTRxnvRn4B9LkJG
NCYilABcPI2bnCumoRJXTDF5R19MG0ghqzDxqaPw4N94m7rGi0/Q1i5JwFspNzIKNlgDiB6JAe6v
Y/r7qgcO4pRQGnvxPYT50u9Qp2PC9elLksJyFM1N5RjwjbYFk4HWB7flSrRv5SbmjsVoimyu3SDh
bQbcVEYiQTTl9lJ28PvYkltZeQ0H8ZUOzhONNjuyHSu+ZfpdZI18sJN9acU63yiocG5Kf5oF3dzQ
rZ0Vo01z5C1Er28DcvGe846VeRd4AAfJOYcF2FvlfnQh+FqFUKvh7/VMUKMpGUqD1T5oA+FTvtY+
Dk2zzaEBG9LaeWV+JCi/SLptWTtPJeWSikSvGb6lkl5qnxtnn3+qIb5m6dZ2HHUnaWIz+/u2KIBG
RluLIrEI0RrD/xBuatKD5FkuAvqK1oLCCCkuDcz2KDyAxQAQVt1obDP6Jwqe3FED4SV4VERFXduj
P1NRGcSinDt75b+UcXOIwmHXziosBGoD+VMFj0JGL0UxvmVQGJoi2Tb2fHmlL0zaAKsoBp2vXU2z
Trk6JwO7UI9n+aC2Y9XyYCAC+CGyVTzb9zD35ZUF10P7yj3yN5lR4mC/pjWtc0TMsBBiw/ZXaU2T
Qf/aGNFL3bbUcpTuccReaIl2M6UMhlTRRVpyEjCSsasvoPCtVAtWZpI7Xbjr/4ppDwkSaJvUHADr
pkSF/PfT3uIHjfwj+Z+/T33/lxla/5eX+8fop5uMJEx+xKA1afPPn0Y/GwwAhihrbiIGIzfPZf8/
HS3/xvNpZtshYeLLsv5khqZdDOF1dnMbUice/R/ppDrmq3+Z/mbLl6YrPFnAg/86/UkstFGiq7n0
7gnWSsWBC1QZjFGPicGz6mtObxWXK7ZKzsUQxqrUiEeFkspefBcVh2LJpw4s5bYIO4K52kbrzg4r
Ee4Wq3FsXwYzRvyKLwEP5GlsN62b3AIwdgvRmPpC82dI7JQd0yo9lmXwYBMHxQqDunfsx3Kv8pFr
WrFR0UNi/PRG+SBH9RpiEVz4PvB1Oe24w8wSUIAaM/BM9u1VC3WVhHetUbisHbUGE+kfKw3WeoE1
fgyYHteFMw8zDk95vJrrSlF6LIJfG/yEVTZbMyiuvQbAul6DcZ08LuRadNX9cKWVU3NHZhljsjdt
tfEmrE9l8fBJtmPIqRtiHebHkmwKHQqADOkfGcbWJS2wjWyW2jieSmkeik4d3dA55qa7h0Bzw0xM
0090hjj10YTxFzOpX73n1pc1tssIrA52CMg+3W3q02PSWMuSOEwjHNB3Awcma6ZPB4U3QKkstOCU
wZGQaqIEJl5AP3l1Mzqh+pmCChQcVhIdlmEMUqzU6HGRXOp9wfsuAakx3MI04t2BsVTRMKOrct9G
xfSAQW5a9KTGue2sCCLOgbIC9o1xM0AKozsAiiD8c9dRZZxENUibWP8qqxDn3PjeYCV33fS+yzhK
jG6bBE+B/06PMT85OXWjeBqd8YHK5jdtXEprOvTkN8x0hD/4yS7xzDRAB5zjP6WZgQnXsJGFXExk
oCCAjOra8xhcRdvvtA6kkb/s2ZPKZNzW4ffovdQZzlgKOdZu2F50pOrK7nYk5llOn8Co8Hze+1G8
kGWAmWvtAkykPiYJjz6GPjUhFWE66KKnSVrrKEsXNW03on01fWZN4G14pJajdkPzZShL0JjoKS7v
K9YLLsoJx4Mdn+MB0zuqToRB3ZrsO6mdsOITwwt2XCc8c9hpVDXhMXgIubrk5jlEGa+iL0slK82B
AEfml5cIyqMC7czKdx315868L4OD7m8bvMPeuK50ACzVt9VohypzNzF8qDhLSDikfIPuM8dciKLe
ENh6MmP9age4IiyykQ1XgqHqHmrD3VUpb5L69jxwsCstohuKttl6UeG0jdJXNz9neXfWhbWhJOhY
ReYRKALFEjhxKPmc5BcbCBo4zUXk8jHEyVStg+4RtNrdNHX8wbVV3RLfBCNtmw8x5dDhLulXVvVA
Rvds58coJaOd8tzxVb+iIBkrIzNGp9SugcFeTPrSjao3DAd3Jo5gD8cjCojQ0ic39zHrjGgj+Qi/
hQwX3USLbuIUVxAAgn7jzectFj1y53dG/V6wKUnZu4/putX5c4a/QffUprcOqh6204svQzjcBs7m
m1Oz0OEv77CZsJZjuisN2oB5qWh8c4cPUX41wy6fXkxKuDHJYbDykPqL0sWZh9Q0jIdWKw4BNhl8
95ruHYPg2XdYEM0VVnYjaRdOFn2zbjuyDChZpt7fT/GJOkHkni/N9d6tkpo0vshFUTy2kkxh91ri
IQtRzGBIUBTuMxgo5GCoUj0+JEZ1LxvfVIzGzjdFFHwvPCsmZd+9QF+ElJRYuAQiwghN5h0kEYfB
o9YgGDDhdG9qwPc2YQ2wDJPy3qWqnNPYvZWJCSduCWoPK6mf7xJn2nV4fsKSX5JKAQoZ6P3A7h3V
D0W9mqKzqPfGTIuxcEgF77Ff8CnvF12wNqrtRN/NXJd0505ro1lwZe2aTZiz0t6Y9cWTB8cluo1k
8O7HGxk/Eh7P5V7HpK7n77kkXDuc+P5yyTBY9sAYa8919xS1Wz25wiZIrQu84LqJt+FUY7zE86gT
vaPT2pJsHfjvHo6FUAg0VmB5+OJBuVH5wIVihLKDfWzggFEvLa5IDzWgszYUrx+6gAU+WnYSZLis
zOaWROGlcl8yysh9sqOjf5LdZ9TlKz+LeZJ4GAn0DRt++P1YxbK1xRrHb5lqC0h8PZ70PNx0tb6T
7ezEkRdZcDDmFSerWYlfYufoMqeaUvkYfFRTTYcIMdwMjGSdu3ImJPU73W4ecxtDBgzojZ9HzxFv
8gQgKw1OqciumXRfOKLLJWkiOv4c56SNh2g4tuW9xafdwUPWa+5DU5OjEQ89DWxmyYNPB3bH5b6e
b/ntfN+ne5snE4cmzbo1gkCNMIDTFjaFFzxT2PWZT85WizEMICXUM8RAPafed1m0+Oo+pRC0XlJ7
Xp/SaTmxQzLLdzqdY0SKzgxXA5+AUnAqIWKk3nlA0hhTZwt3YWmjkcvc28RR/JqI5OAhhcRAGgtq
sNh+ym3Ho9GrA9LN31R77zOkFGwSuwBpJS1fh6C5+MMlxhksavSXCELlH3oMwoyHQJMh1OgINlS0
rXSuAYZ/1Yh/mNBDjtOAHU1X4TnX7tkict0x1i1C0JiJlzoNRoIy9lkUpO8HGK8t4pFtFqgvcuNw
gNuISzUdPhKbd178IA+uR9rhcQT/REhSuX3rEagqhKpo4s3F5QAVYKCqC12bxV/rkn3g6RxypjTP
HajaZta/PNVePJP2EAJlPodf4rG/QTDTZuUsQkJzeueOLDpgg98WgY3UBnduFLcO6a0SKRfKVdDJ
hbKvw5Ce5xZ4uhTXY/6kCLI5iHg1eY8F0DRyaL75IqZx24tzO+t+Vt6tQ2mxvEDeiXZAFItJHcbk
XSIZ6p2kDkLtJLcMGZo7i1sHOs8KVDFfJYXQn51Sbica8+KYA+zi1tJye2nma0zLfcbrXzNuNxUR
p/myE3PrSWuxbPvrJPNrMV+KOm5HBbekmtsSxPpfu1mN6Qel3BPPd47ebcf9SsX6NuO+ZXHvCv8f
d+fS1TaWReG/wqpxu9vWW4OqATbGEDAJBpxk4iWwYst6WW/Jv76/KyMCtqGTsga1OqsGvYC+j6P7
OPecffbm/VVG66G00c6WvMvK0jxdd9E3TKNTFJ6+oU4xBR026fGeI4FnMLMVSUbH5PAsKcUKz/WQ
eOdCRZgjy8Cxrm95Gw8cMz6LFYgDkC0hnAAvDeSECc9I707GWaOa5nMXjvnMz67NWTWtFOPCCYKx
aW6uZCrrtEwdJzm5N/OqW1JLDfhmsZbtTCiSJumkUKJxovgPZUk5AlItlVEiAkVFOjgifMtiSbr5
hwed5lJRhzMXeTY1PlNXUs9SkwfViQHKU78FRtvBPg6akqCvLkrQbnLGN3XAfdudDRQ7FPMWSR93
V15yEqiSD6MFhJ4VdPkgG8OovwSopPS+oaR1E64JnPGUDKOzIFfgBA0/bTpoPvH6JzFNOEHvXUGb
PCiiFdVVyReRCFp52mAREEL2AF885gasYuwV05kYq3sJiFtMTFTzv641CHai2wgupDWAjCyNbwqE
Oqu1dlb21GtHcr6UUdjXCShrsxlh6h7ZN1w67/tMvk86lkn6kXzIjeIMDbSCNlo1LApzmOe3Ui+n
mmhG/eRYM8szNPvufTKcBDRIq1tqNC/Yk/76a5qhCSfJaEJmZwoXEqQBa5KsqftkxBDrBsS08Cvd
OaASHhakzKrZrboO+zMeBhvvsRtCzZCOoC9DSmKc5hee/klx1AEz1SjjDsn7yUGhD9DWGaYe1Weu
9IMcDDl2CM8kdlK/AHOC5BR8Sp0OoK0c/QRjYJY6Ee5NPtm46jg3LrSCknodV2JBUAJhcgRuiY8L
oc/sS+AN1IIY05mrQi40zoqH3Djvxcko0YFsa+NOJFRRUM0qwbiWA3w4zrWxZ+IQMo5FVVwuCdvA
zq/Bdry+5S4tkvNCA9Ytx987YLNPg/U9eBp05yOQepsymjiec0eJ+/ImiYpRtCng+QARp5mf10Lp
tDTPVojrueddBY9VS1EyA7IPLtMNgFoY7jm4Qifm6PIuvdACgHLVlRdDjRJUczVWZ/Ko1Dm7khmg
4MpadaAkiODUdCgqia4y9DYkkGZBJ+2DDGAnz6KhqiZjim4uSggiPE6ExDAuupJ343eevHAJwYCL
/HVOStDd3HbcdKSW8ECwtyp4iGJyskgqVAuiRyXs7UQ1pa4P0N4dy14GntrqZcb/P7FcnSsyu0rP
kJUuVVfAvz4KnWxLyT9CmB1s8CV4AjmaRvDEICKoyYDaqBZ/yZsJYn+wZeB9dVUj/kKE5GfwRFMo
FwefBiv/2+CJiKv0qIKnDFQQyxH52aGS+4haDkapN7GTGmQmE/ZQZBHcIXi8kzlbcej4KGKTEMGj
XQWSf7mu4NBxCIhCEj5adhQKWTtFfj0DzX8emytAC7FzERBt1ZOwN1Vn8Ngn4C2gqiKeTooJAETG
kaDJwGk7UKNXC4KkRti5gFoWyVqI36jwL8ZgNYC3EEBeQ8fc57Y8R0bM0qrFV62C3mSRwPejrrmd
3cob6l5hdqmVIM6dLyQgsQq3kpb41HWvQuWsuwaGlkf+9UYLPukR4FgAcdlAd3raPSoycyVaRaMS
l3MQqcFoocBG6SfqpaSVBZRgq2scnGChfNkgaBaLWnJA2Uo6TCnP6MUrfHggQQmD5LncQRy2QK5U
VgokqqRgkCb+XbGCQLik+G9Urdb3sgdphVrGHSqEE+USmV0SZ9SH+Xp5msbx/YJILgszHEpQwXSW
OYx2FUm40qD4qOSFVrjVkAuWyh4t6Sc5L1M97E3SjEIMjL/OfOpxFwXcn+5lRSw/hnBtsHTz23iz
JvXm5RfBUh8Dgo/ORKk9VP5PpZFkF56WPaQ9ZGiVbAglnXOqU1CUSL6Gm65+B207jzwQvMWSa0Fb
kLwJpkSlbFmVbzaSCbpCAFzV9FxBPzTeOA+RFCYDRrWJyOm7xLwQ2uMpODRJ/fQVX/62ktwreUNd
SN7TJhvSIAoMd7KCZ1ua8UNebKiqLm9MwumL7jfIWgabUgfuubrHafL6vkPkKgRnnCezwYxnp66p
39dQ6fRThaNt7WrnmaZCwNKJb/IKITtI2bo9n2FBnOd3To1Ym0r6wnLX0lDpwE9rLh+gzeM65y2Q
EjpXS/1O84t7fAsyQujNsurOyzTrUWxePaCm2F8U0lxZhDq6Mdn3OFOuEsJPKU8k8JFXaUAgvNQ+
Kx2QVQZyPykfipjFFz3uWGsVJ1ddQU1IbEwU2FPPoK2+csxLp/GaJ7vucY0BUo80SpOTbPOVsMZY
p++lQVFVHmTTVY4zFyJW5fVG3FLFqSRxwneKLwaEDKZSwiDQ00hil2du4FyCch5ogBdh+MFz7341
ezk6dJQ741RBQvApMni0gpF2pcWp0BPUoSUGPXrnEFtBBWqwiaR7QGsj0De2p5f3EOHyHFEHCyhh
uiplRm5YjWGMh0Nrll4v04CaFVJkGiWjMagU+KlNcDj6wwoH2+1SkZen4WTl6w/YMhwUsXpNBHkx
CHibJGuV3G35Q01n4MKoRYqJeOaa8WkRU35QrrTLsDubFJSeLolOzXL9cpV+V6EEltidwACHxGEu
YUAENwMdFxA4g13oFzmaAA/r0p1vlK6FQlJ/kysUfVGG5/YsXWDuULZLvfJLBAwtUh9XJvkuIgfx
IrnWUp79eXBRrKflGiRoot6qQWRRCDKDbhpu3Iso8K9hG4N/mkrYVLrVjc5llOKf+X4BAk6DxQBa
J9/7vO7m8KVrXZgCjFNqJKYzxztfmgnaICa59QIVPpKkpXOtFNTSZs63qgPWRxeYPm/JhhYoP03g
/YKZdCd1KlYE4X80HXipKFBVYZerMidxnsyKUbI8L8AQlp0Lk3Tg7H6Djp6RZvCAuQuKbAKqhlbF
504MDlHu8qIyBDaxB0jRBawIDwSwxUggGAOBZWTbuv0ceONSNpI+GoP4u0Y2V4BAIlVxUwhMpB/g
zRGYHFC1S45WICc7mnaeAKXshvDrBS7V/lUAzrLKCWHqSXapAMHMPPyz0K8eDMCZ0M5PZwKtqQrc
ZiAQnJ0emUO+U9RPYbVwgXkWKnbsCeSnIjCgRBCWZ/+UrM9/tkSvAyu1KBZz0upLZsfVrZ1kXvpy
N4vf1nyvd9TD/J0/ai79ww2dkPGh57tqbf/5hzX3nWDgJGnsPKWvIT/IC+m73k89qHrEH7XhEcBP
szmNq2B8QLyLPM4fJ14YUGhU/7zT+7eE/HhXw7HY/tsC+V9Z5735fzy1rSE//pv3h07yamuai/mf
f0iKuef9/cr8aeSVAdBh1kAeAZEU+KhaQmnHDriaPWh/tr82cfNI1f2T7KACz9pxgv+WGXoYVKb0
of63sxwotlBwafFdGzPgaf7D7MA3kncTqb9viK4oHSE5q5CpFP9Y96/Xg/JvU1EhkQcx9/zv1+3w
C4vm5YTpI788r88Wx04OHUHv/UGztfZ//2rrbI+ON38qDptt7z8Pn7/enD1Svepf/bbZBXVXz///
5znu9/6ms2ZizQ9Hjh1b8RN6q/XB9zzSseVzRF3bcWJX5Mns15u/Q8WPqctsTD75zzHtHJds9Ze8
+kd9nMe2hWr7ybUVPMEtwv9sGhUHzc++WPRH9zWl/ZNrZy6E6N5QnDfdILreQjd3VWDXZOpT2zo4
G/hWWuimns23MHYTQcjSNPjaahRiNT8+cKH97he6CoN5GDQNvu2HrXr015mEGeRzH04IQs4WOjrN
nlwnWCwtf89y2wP96Kn0Lf8xduaLLVdOM2RhMuIVOA5HdzCw48dqb/RQI7fxIUZ2nAqQ8177lLqJ
Q/no0V+x16391vF32tgXV7bzVB8kB3pAlKKN8b/DjSiQ2m183W3s7OBOQEpBuBxHf4JxmKbv7AFB
s9jGLG6QYzywiJ59x6NnMFnG4XrvE8Myo7TxiSep9ePg8GVIotrYA1MrLpyn/bNbVtE9beEDD0Dd
228eLTKYsjZu0bMksctmhOJMo+FWTHImeEcn2aHm27jHPrHkdodNVPnohchu/UGpb9OSsIhC1UYb
H3Hq8PLdvd1hatPbsMck9IV/98YmMLYqbRwvk4zds2MTqScoX4829ySLY7tqGqqtTcttDLp2qPbX
HzYxeJMdPXCgG0FheV7T1Hbo9cPp6LbPqQJ759LjbSZq8I/uYgRRwP5alJRWFno/zIK0OhlkMV5Z
M9jaQLoEyvX40ddXanZIhVqXKcAy21iZF4lnn4Q/TqbOYvlmV5EiR5SrjWkMbPjeG3MI+9C0Coi4
+dERbn59+t6ikR4sxCQOeh89pKVgaW1jJlsf5z2W6eeOiPgcvW7FRJpmhMW2Tbfi4UDIVglbofy7
SCDROEGLOTihGuXNHt92KEgojp7LrT1/suL6bdn37NzeVVR/7qoNs03S8An9yaDDf3e2nTSj/2lC
pQ0ncWTFqWdDa3XAZNCAHG8ynvtzz04e4zBbLJv2Xk2iDWdxu5YP3afbD9LK9XFq8TomcLFlbdmS
tH/QZRtroFnf6E+yvA98IbONJbB9939wg22N2Mo1cLe0T17NinOaDSuMOgpze3d1UK7bxvya/j5D
NJX4IshxoKM2lnrTUW3QLa3PgZ7aWPCTwtmNBYmPhMHauIlOQyFCWFvqXyfom7L4npYZMcr6S33m
rDj0qdp42lxlrIcDNmvDO7jGl2exfbKJDu6dpqIyvOn3iDv8lgQ8q7lpqTnmaL0VB/b5unsJsBzo
p81jpw5y7ffRa3NTcs25dn3HxdzOBzprY2MKxzARjsLkyfG8arcXgUhqfnbExx9YsYcjsr+CoaJs
5QZqzpfPHowAe8eY1KUmrY153IXxo7VjpLrxNtZw/cY7tQ8EzUnMiBm0sYBvbUu40c033W5D0Xor
Xuc0fI5eH2i/jdV6GltPbmB73skwjAmkHuimjTtkyhWShFtn9toix4S6o7VzdNU2a+NKmfA+3nX/
6saVZnZHbLxre14cWrBSG9dGfZnbwVycURPbaob7ak21sedetrZNAu4xPOAs19ZqYwc2Xf2MQB+Y
Uxu7cGSJC3e/cbmN+4PwbXzosBVmaiUJc+qxCx9xhAgn4PhzuBf2ocm0sRXrvvbfYPVc2th9d7Yn
Yum1+zaNbY6vA1+ljZ34HEbipiWHZR+M34tjHm3VNsw2DeN3Ym7PnbRhO8pEHu1an/u1zQTCuWvI
XRMdbUOVFa2VEJ+4HP+WGPh7mCms/EsggO0Duo5AvRcREjPWd5XMjg6o/KacybHzrL2PerK/xbp6
bLe/TFp1bEd/jy/h2F7veBzGRKtebxC2B49RTVIgykLtDR36Njbjdp1+9AEPFzUcO8OXZVovIBGv
ED/ZwcrQtQGYUFWoUVZB2gMibCzyrnNzCDP0ArHrvwOE+p9/AJhJNPzkgX/5678AAAD//w==</cx:binary>
              </cx:geoCache>
            </cx:geography>
          </cx:layoutPr>
        </cx:series>
      </cx:plotAreaRegion>
    </cx:plotArea>
    <cx:legend pos="r" align="min" overlay="0"/>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Map of World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Map of World</a:t>
          </a:r>
        </a:p>
      </cx:txPr>
    </cx:title>
    <cx:plotArea>
      <cx:plotAreaRegion>
        <cx:series layoutId="regionMap" uniqueId="{880A0EB8-EEE5-42FE-9EF4-C1D4EC44C613}">
          <cx:dataId val="0"/>
          <cx:layoutPr>
            <cx:geography cultureLanguage="en-US" cultureRegion="GB" attribution="Powered by Bing">
              <cx:geoCache provider="{E9337A44-BEBE-4D9F-B70C-5C5E7DAFC167}">
                <cx:binary>5HzZctxWsu2vKPR8Ie956GifiAtUoThJoijLlvsFQUsU5nnG158Fqe1mgbxVwY6O6IdLWxPBqtw5
Z67MXX//Mv3tS/Zw37ya8qxo//Zl+vl11HXV3376qf0SPeT37Zs8/tKUbfmte/OlzH8qv32Lvzz8
9LW5H+Mi/IkRKn76Et033cP0+n/+jncLH8qb8st9F5fFh/6hme8e2j7r2hPPnn306kvZF9368hDv
9PNrL4qL+9evHoou7uZf5urh59dHP/H61U/b93lC81WGY3X9V7yWqzdSWq6pFfbH1+tXWVmE/3xM
CX+jJefC8j9pvrvP8bqzx/h+iPuvX5uHtn31zz//etnRif/6btyW3g9mvXI9m/fuOzM/HQvzf/6+
+QbY23znkby3sjj3aCvuu75t4/+gvJV4o4zixBryQ9z6SN5Wv9FCcqItI9+/2LHYzx/nebn/+bqN
4P/89lbyd5/++5L/9PH//sn7f8DM7RtJuNREqiN5O9a+IdRwWLj4IXA8/+FbP+z8UxF3D19ffezu
u4f2z0fPned5uW9evhH/5ulWC58+/ve14Db3S5ydYvxl8cah5A2kjS8C034UaRzJ3/ywea2eNf3z
J3leBX++biP7P7+9Fbp7998X+sYu/mOx/v9fJ/h/J4i/kuPuvrvff8+qj3LE6ad/JpfNS08l5x+6
vPz682tGkFL/ytXrWxwFnj9D8+YFD/dt9/NrhyrELaI41ZQbpakxr1+ND+sjat8ofMsaqbUxxEj7
+lVRNl3082tD3xhprCZKMGKsEeL1q7bs10eCvqFGUkKklIJay9hfRcxtmc1hWfwliX/++1XR57dl
XHTtz6+lfP2q+vFjK2dCIZpaIgUTjAlLqaR4/uX+DoUSfpr+n4CXEZkTuyRuRUTo9wWJlRf2SdN/
nkRXZe6wJFXa+WWdLc0tId2i7gJjkuTCJo2dbxs6VTx1I265yXcjT/PhIsmbrnSzuTPlrgoa8iEt
bflrFMZGuE2eJbNbjGks92WkAvVBRDIIfKfMnahyaVGYRniFdMqp9dt0rqPcI4kam31ds/5OLgNh
rmUOuTVF036xpHPm28qxyRWrJrp4Q0tK4s1lrMTBhvVIvED08jPtede6LLFhviOjkMJNpyp7K8dg
jN00jlXkjqJruFv0RUJcFeuo9ZNYpndOKFiLIwxV5hM2UHVJaLJkwlftDFFljq0L6na2CefefWRG
zynnGd1IZDzDGBRt2EY3tVMMDDLTieuUYdK489g0LRRS2es8pU28O02Oru93bAuSUdga/f6/YLD6
I1uIwxYm14nETZxkES4bQtbuEhWK8Q/Ccta4SxfX0XVZlHP2ZbEt/WWoxvbzPLYwgTlup/GMBOAB
xyeS1GpuiVUEf1F8c6I2dJYkDAsau21ClN0Jp2S7vlwc5smEj8tBJ2PU7k1mW7VjdTGV+yLX4blj
MLI5hxHEwlEEpVwyOCx8+LFklCr6xcmCOXKjoMvUroyDkr1PizS2bhp1I/FF4AS1ywwl6fUUKv5A
aFbv6OQw5aZpxZZ7Hg6t/RUmb0R4yKYhqgs3NX21fKUdD/Sd6PgYfRyDZQ6+yGFqK+kR1o2y8E6r
GaHjSKZQsKVyDSuEa0bpyusjjyeJiea4k1XkxrEp/7ForvO9iniWnLEn1GMbQhJEBGVaayb0d3N7
REgWPIB1BDmEpqdOeXVKZ/0uKXOjvSKf4tkbZZ71Z9jbBjQjVpfhhFLKLBUatctj9nIz1lWhoiB0
DQtDN0qr2eeqDHZNYpuL06J8wqGkyhgJd2GGEWHW5484DNE8ZCzN+sgNVDZVO8pTFlx0czGYq7nu
JLvu+nGa7BmvQONxLFhF4BKccZBXgq6F8mOyXTAYnrehCl0RLsqbaJve5kFS925hg/ZXOjet3+Wq
uj/N7RPJgqxSXBFlGOfMbJxxYfk4l0xIkCXLUntUjtPb3piqd2Naii+nqa0u9TgYGSW0pIJZAbLI
dxsmdZeyYVl0ErqLk/YXTVPpQ9BzfnCCzN62mpF9rvhyFUHAZ0yI0aesSkjXEqrRbnO7VWwQpDWL
aw77aYOpKkIvtaIt7tqmWNL7TBrRWleFOPfByEV3sLIwbTKXDk5WdG5aESoDV7SdopFXpo2ab/WU
DMXbeeCt8kjRZ+x9PTlqRJpMWZdMru2Xcvkwlu1UHgIoOP9QLkXT+WqkcxS5fTDW813VEbW4LFCO
+rAEQ7x843FdyfGCtCqdqTuMmiyf6nhwhoeQ1Ev4aRTjYKybzCZJ34oxZuJdXBBafyhsriYvZGGp
Em/MeKivU6LnmXkjHU3gzWNWzu/asBT5fjJT3cx+uMRs6b2eFjH7LXHKTg2XVoS5qNw+0Tb7FC0Z
j91oChc67SodicZN+DItn3vD4mwXDrKQrkirUAmP6D5yzGWVZWNy3YWER++awRTJQc1lLi7wHqFd
/MiZymDwUlBO/siKqAtuWCiabJcqahE6WqIcU76LdGKS/BKWq6dxV01ysrtuGXKJrB45Tlq6vWaB
3Gc1yyd+m9OpnsW3gqtibC7qKs+ceFfyws5sXziijrTX82AWzA3nYS4uwzh3zIN1ctt/Ys2Yzt9S
JSsdulMZ6eoPR1YV8+KoqGsv5lMbdXtLR6d9QGWju52elyh5sDbLiiuHB6hJ3CJPanbjTEWlajcO
l6jcaUqmcZ+KLklTV4xtX3osMUX2m2ALHd1G0XK8Yr3K7cUYjjnxZFh1w2VUDI7zTpE5RPZxChu1
H6Minotb1C7VtzypjL0LG2eMlNdXkqafW6HDCDk9I0PmqnSayVtUhTG7mwtr+fUwzW3p857NBoar
YnllOonyaBcXMpw+zVUzXYRWB6lflWLGuWiaaS+u8mSUV5Euml9iklO7L7uxMA6qo7BXyx+mcIIJ
FSZUVrpJZkqRHkba8qK7aWsWUXWoiphm1c6OabTMrgkl3WeOLmOvr3Uqr6Y2T7PLsUJKmbxMd3Fv
wisTOlLXe51YkfyiNc/7X5eoWObeq5uERJcTb50IVmtoPvkp41kl3JaQeNFuJ0de/8a6XpCrcggH
lbuDDdRSusuUyXJ0e1Ewzd1+7JTahcLJx13DZ5Fc8mmoHK+rKqVCb3JSwm6NmiFUt6zqRfzBmpDG
l9BrVO1FQDuyy8MmZVcslahFyThOyT8mlhDjy7qs+3cVK6viZpkNnd+qvB9jj8bcGWovZWOtL8aA
DNPNXGoaHcyoafiWShPGv+osDtP+7ZDklWn34xiV3ezBLsR0WcWkC8wfWRMG7acg7tKYuUuTZNOM
PDx2xeCaKbDRp3YQcXyhRFuN/VWuhVKXQ6pTHvpmAszJ3jdz5gSNS/JOlx9KY6bW2WUtR5Bwl4CK
7Pd5HFn3W+/kJnbjBXjCr7nuSX+tSV5Ol07Du+CtE0TdnZhGIb7MndTZuVz4pJpRRhiCisYoRTgR
ayR/lIJpyJ3YjEnwLZpDfpX0lF1KHfOXZlyN9wa4qoFLaaCwGyqyX9qly/LmW0TSpnG7Nq+y/UR5
cDWO2gn3Nc/6wm9LW0dnKG8rYKOZQmGhqWaAGxlda4FH/KlgnqpSd8G3GhoYvEwURXpoGEkmH63b
OFymcdoFXtd0C9qWYO4uTZCQ+fPpZPyk0AF1yq1EVgQ2R/nmFJNUdWB4tObDKECdfqimsMl7r8gM
b97WaBvC3OU15/WZVHxcBSirLBHooDWsGrg936qX8XBmrBbigg+xStwgmubuYFhP7wp4TnQoWwmf
ZcugvC6WMT9T4B3XAWjNCREK5esKdBmcYD3eI+k7LFS9kLH2Z0vJRcZZfRWyMXoXFMifZzT9DC30
+4yLtb2XQm1oZaxbeILuxUfpZW9CJGB3kjK9rVQy7V+izpUtitJUot+3qNBRZh2zFRQySh0TaL+e
ndori7S9bPOy3k26Jm416eGMFo/NZ6XHgH8AvUU1hX6Vs2N6CQHT/TBbPw3G6KKIyvai1KR0DUdR
syxcnqG3tRrQW1tYQizslq8QybHaAjUM3WisX6Wl8RDCJ3+KhsUTXdDemN5Qt8wDs3MUL8/0PJse
+jurSqM6xlRAoesxm+6qL1GHZ2wBoNFHbXSVIrVO3jxlwTUhUf0bUcN8mTEox6uaRnphko+5n9RJ
m+5UWdCr04p+alMM5ou4gcjFGdzpWBBZT4ZxlrXjj1Goo52Zkuw6LJ06dgnvqpvTxI7bku+sI8sq
aQFaIVAqfkxsZjGTsgjDQ5s05jJpUutFomhcVvWBx01BlFsmDj/D4jNUjZVoSzQUrpRcE8QjFw1N
i+KXC8fPZNZ9KBkbL5Wa+x2bCPuYOSb1qDPI5oyzfu+S/9WegFnFjCaMKsExAeJ2Q9YUGrUIs/Gh
1EtKDnkyjCjs2VxmLqO58i0JnSD06FL2yz7Lqrz02pno0bWkScLuzHGe6BnQiGAKZxJoQ/U2ToX9
EISVQlXVJ9QZvarPmuzXoa8HV8513L1U5MhIaAEZcoLSQIQ22SBpItqxvq0PxjRD48dpXnvG0NET
c5rvjM7br72KTXbGq59EEfCFBhTpB74FUHRDVgx1OUV10B7GdCIfE87GO1K0Y+n1fe+4wG7UOYrH
yRdK1sQy5D0Ch+aUq00cISl1eI8a8BCOdM+aPHxfOIk+FKyrfoNRf2YiKe7yLpxuQtR0H06705Mg
hpKfWrgTIDlkoW0POlWCZLUKusNcoulMMwq4KC7bXzLBBncsWuqPTqV3U5JOZ/RLj4uqlW/GJOop
QG6Au8Q26wZh4YTRMA2HoQ+XQ2y6xbVTbr80yzBdzrHIvWXsUs/SKt5nQz9eqFSpQ0qk3enYOC7r
h2HXB6xqz5jAEzuHGXFkEQo8HVCc2SikrBSqgK6ZD049DZ6VfXVw2uV+yIdzKfKJ9EFJAOMQ2lot
EDuPw4qM67wv22U+ZHHDvKlg5GqJ2u4yTaTze+dE7c00g70kYE5xJjs/x6RiiJ9iJc7WscDjiFaK
sGjEYucD8gtylhy61OVZeG8h26+nbYw+wya4w4AbQAsBOrk+fxQ9hdNOcUJHehCGt/s+o5NLuqY8
FLlJL+tMtV7Jgsxjpg7fTXamh65NlGdIQz5Wy6z8Jat/EzmrvJC0hWdTmr/N0zR6KBx1LuocHxXV
A5I5JjGKa5wXcOIm4nZ5XoOQSXYylpxeZc4kln84TuYgAIRB+l5Xur3LB6JK6dl5JGe0siWP0GqF
tAzWAPBUbhN7OpppyLRc/LHUw2XhVMUHWQ/3KY2GAxCEzGuj0V4VTtz5p3V0nOCQY1bC4Fmg/EUx
ozZ8y7ydUjVFxNeCFl8zJx3zXaQbMnk51xVxa6GGX2OMiz6dpnscble6a4GoDUYPROMfG7qUpWWo
m5n4fWzYAaA72xXlxA5ZVELT7Zhd/hv0LCpBylEswsuPTbGa+QSwB1C6DHR7rRczvnUSTHGaJfkj
ohM5E16fYw/2ZKylGH1RvXFwh1dN1pua+EqU9n0hG1ShXdRLt0dHDthNBeJMkn6WIuBaKhDVweZG
oGXHbUzRpvmjIOGO2JodZsCGex4MiZtPorw+LdDjOPJDgcwoaphiCOPbcU4mnKGdKgaBijh0w2ge
7kZ8Zzeo2fwbpLixDMQE4YDgj3VnJEefxILFX4Ii2rfz7Ei3LCezT4MpcF6UBH7wheioDSYxBo3Z
RnMdHcNZmJj6yTjJm1ZG5kbVTeUWQOvuXipCJMDV9VDXIhFu5z75qNQyJpL4bLB6byObukQG9ae0
rfWLqueVKyXRYSPoU4Jee534Po7EnZV5lVBF/FS11V6KXuyaMDFeNKJ7ITIq94gvqf9y/oCfrJqD
itCGHRPtVTSSwXTEN2WsrdsFovxlEiPPLlEX5e2LQ6gy8G4EFAxMCJLbMTVm+3SIhpj5sXb6+j0t
dT27mFubpHOnpuX1LotYMLlAQc38SxJWE4/PMPw0mAIvWufc4FcAytkUEDJlzrwMPfXZ4rQYz+WT
V1RZ5df4Wa9KtNqLJclertq1pUew4XIdZW56Qr1kOZMjiNZKx/sV67kMMXa4nmNNAR3Ncpf3c/Ni
l1RGw/HRcOMdUckdCxvC7YWhE/fjRH0eSDb6dC6EJ3PTvj9tRM/JdC2UYL6Yl6AjOKbktPHUc6fk
PuEoxlmR9Zfom1AjZulyGBzbutyp5O400afBDZM3joLFGkwzweQx0Rj7A4lcWo7sNEe7TpU5oOIl
vWizWp4x21VS/2r1vnsm0B0MFKTBQBO+siHFgeY6aqZ+nOcM25YOfzfqeLwJJie6y1ienqH3DGuw
UA78QGPUjDLwmF6uysEZE9BjZch3dOmmWxHlX9N66i5OC3F9py1naGQxA0ZFZeU2bGN2NKZpPy9+
ZePuM+mLvHNJViRnMvtTMpqghcH8wCpUFHKT2e3S5lNThNRvSSRmTE2AJXqsZPy30+w8NURsDcIA
v0czQrc1ezSm2KDRlPmmlQVAc5n+5tR1cRPHU+RXnfhUT0U6n8nqT+tCoHZY4xGAt+DhYuNnxjqT
0yaC+iQzMEREP38BlvaVRHnlDcHQ7IGeDn5i63Mo11O7XPeDpKQMk26tt2FlMU6Xld1C/UGMjl/U
/JvBVOLGGdjvS1Cr3WnhPkcN4DemokquUOjGKgs0KzTEGMqfeFGjzdN9uO+WvPF4lumrOp51+0KK
K0QpFEbrBEADhrEbPClw6qDMw6XDTM5G3mDpQ8/01aSqwMXse3xhVQFqCrAhfA5wpRHbZZuC5oMt
ie32vTOQyxqF6MHJyyBz88wkxRmj2QrzOzGU1xzItgUIuwkpEv1xGXUgVvUsOrDKkl2a9/XVMoST
R6pSnXH0NbM+dvTv9JAMtFQW5cwWgDUxwUx5EB1mFp28LMJq/tDbLJC7uc+Ta9Br3wZLE1yyVsnP
+Fv9wpC20seCuoH9aHQTZJP52xT12pg43b4Ls8kDWp/4M4bKbto1yxmr2UZPAANYZsMvFFFrDNhg
25MdAixd8Go/tmr+fUiyKrqt6r5NrlRcpbenneI5YlZqZFnAblKSTWTjWJPjNBaozaoiuQ5MWuxt
ibFsZ9vq5XwB41zxD4l1PfxxnBUmHvSiVqLaLzSqGzez4UBcJyhbTB7HuvjHixlDdQDnQ4O0Utso
LO1VgO0z+F6IOb6P1sz8mtY22XVRIT6eJrWN2lAYwAVs7JAV8lBbxhKNyxh1oLt9HnTdlWrVJfoZ
sVfKoBebeeJV1VKesUf6xAEBIQH4QHJHKYKssZFmbDim4lnZ7nVli1tHwkzcSDXdxTJishyklF5r
1gc+1u5I4AEfnPe9tI7fyqnwMEogH0nUN/7QTcXHrBCYn2RltJyJEs9IRmF4gS0tlAHYzNsoYbJp
V1CNdQImVOEX02IzrxblvA+BFl6ovIn9phJh9lKyeDuoASAHYC+MMFbZPcKEukSEHMsq4x4LGzPW
DbHXKBrJPayNLZeka4B70O7ytBE8caSV5rrpCL0A8tqWc0E4OVOUluNezFn6Lea99Vtr1WVZkfal
pr2SwqjAwvAUsI0Nezzpy0jO8bgfhXTcLM+4lwxZfVnMOj1TGa858SjsghTgBbgskYQiRBxLMl6W
eqmVGvetcMS7RDeVR0gwvtSBVipSrWlyvamyxRUiPneM9Xrca14PVxNLa79vU7ubbVR7UUqCt61T
n+scn9jmSnSdugiFkgu96zFrXHY9r6tw2rOa8Z2VS+3WWBz6EFVx4NJ0VH7W98VLY+Aa1dfNPq4A
TGEp7JhoHKQTpUk/7fskCneiK7MrRKV5T1le+6cN8hn+ADFiGosrPlg/20L/rJq7ojeAlUc286+G
kyn3El4E3lTF3S+lINMhQIv8x2mqz7jB95VM7L4B6tPrVa7HrsciEjW8oeM+lsM33pf0psceDYA+
MZ+Bv56nJCSiLgL9k40GkReA2CWHw8UkvFiUg9BiW7vLMZs8E0+2FTKH1hj9F6mNw+kgcgJRzOPe
mLS6SXRaVO5QBa2nUt5hNS2Ibp0hTDynKcczdc/TOL/SlowBNoWxAmM5FmiTmFhX/TLuu86OLkGl
fGnDMLrN9DRhwTlPh9It4lbelUrZxVVmtrdkCKb3pG3aa6A0yeVsg2qXlnmL9YMKaxdoq4lzRkTP
BApMqpH+DH7HPH5TtARoZK0A4rmnXfeNFtn8y8C0ORMnVl430QgwMjoxdHscIXA1+UdxfVFZCggJ
Km8HnV5V6KJ80wT8xgwR39NppmdgjzU9PaGnEJi+9wxsu9CA9a4K0XUAvVowv+2wRsF7EfsIJnRn
TN/6iB+h1464fJBVU3E47UvPeTBH+EXfju0dyTfBtxdL2gcxlupqNWVvaU0HcmiVmd7qslmMa8qs
f9/JToq3p+k+K2aNqkmvW0kIjxsx02ycBgKTy7AUtEN3ba7bTrOdyrNmN6Tm3GDiGRtXWMyB1SFf
Y1dVr8b1SK9Di+3KRdFhX9V1FrhRq5IHoK7yF9zMmDp3yBrhz9gH/jok47Crmjisdw4R9UM507R1
SVR1uOYRZN1+IFNcutjVLnehmcz9acE8DTkwBvSOgMEwxgGkenzOthxy4OLDsGcDetVqSSu6lw0t
qYdLMzw4U5o/VcNaUGCOCVBKYkq/UQOcjasK+3Z7npLBxa7U8jvuiiDKBF0Ebh364oC6uhSmxMBv
OeqLDT1aZUs2LGbYCzh548Uor6rf2z6xWHOBhsqXk9Nr14+WAAUilsSOhdkJDPZ7kvT7torTw4Ja
9zcSYuU7YGGSeKcV9zQ6GTRSBuWyELgntN0iwTLfbGaSzfso6tsHNgiOrWU9/naaymalAj6KPkOs
mzsEqwxA9jcO24qxGVW8zPsB6WrX6i76TBuS1Oh1GPtW81Y7bykvaeDOLCQP4ZJNHyBeDORPH+SJ
naKy4etelEbPqrHrcCzaDNUAL1EX+DRoo12O1bqLMgqIO6Ph3J8m9cRIBXYasKmE+z24y4XdhmNS
WArmpUQM8pM5GS4nU/R3sWj0BadNsksWEp+xmichGfUT1etvEDKu+WwKKLRTWVfMCfOngJTvWRyq
O8JT/i0UuI/ilrgINrkFbjnNV2FvSX7Rxs65pmaV3lFWWKkbjIgwkrIS/dcxy0LiAnuWDswPi6j+
vcA48x1Bx/6ZtF05e+mUhLu2JwrXNVh9xsKeKhbgH8z3+507oJ2bfkpHYy8CNTMfw5X1dpO07V5y
2V+G+SzsGdU+Rww8rm0qQAirN1YkK1KNCMrML6vZuU5npx13ddZq+bkMA2LOJJ0nyQ5SxYcDWIKV
JMS87fSo4jqTYqmYP0xOsYux+XwH/X3L5zDeSVznu8hG2p+pxp8xJlBiDOuIa5bd+uvErSPF2HEf
wFO8E2yerpfaVLuS8uojr8bGJ2GavR1whc3NCCsfTvvOUwGDX+AT62Yo1tsEPTakCDPxMKEZ1mDy
eryYST0dHCxn+8B92jPl2VM3Xfdw4DJoTJG/toh8IXqO6xKM+xYVuhvFVXKvGu3cpFMdvI3yVp2h
9wxriOsoWQGZIZfYjaFG9dyjPh1xx7DEQLpuVLEXUeu4OYYPZ5T4HCmASRZNAHIE7pweSzEvq84W
dSv8Glcyr1IAkJfoDdqLYY5m/7TCnkhx7YGxOYE6fF0kNutRHtUpXdGg58BlPj8esaDphqFWripM
cUvb8kOQpMNLWQM9hctuWAE1+BKbegM1V9zppaM+oIXgE8Hy2A4L8kW7E03DgzMqexLWQAxGaNCW
Ij8AjT9mztG5KNskof7MivljVg8zCj5MNAs2VW7spN0n9A4YWZfLciY7P3F9BFEkECER13FNUm0o
573TYPEfbGINsrqpBkuuVanlAQFB7ZVt510ncXn0tC6fJmt8SAOAZI4hIwoe5MpjfjunsnopwC9N
m/CWMqfxRMybHVUydpPIIfsyXyZ3oKL0e1LKq6Yw51LJE9vFGdArYHKNEwCrXA3ukUGRYgwdR1VQ
cB7JfU2GAdsAS+ZmUXBuJvekBAIpzdZ2QkLGhm+CTdU7LGhwtcNngU3fjtMcXi8JLjudluozqkQt
B99Y0UlsPG0s1plsYVSLkFaXkfCjOEi8FNuWvkNicR2qXFxjdfvcSPw5KX4fsWCN1nAASMdSVL1e
Ym2gyQma9vqsyK6wyRFjcxSXXk7z90wEgNtrhU0KNCpojo5JmSAntgVijsoqIbva4Y5HddLu4qqO
b5yQnRsSPydPLMCgLsPSqEIuPqbHA+yW4yol9ZsyZe9ZVwI3L2iwxwKp9XhQTm6v0sQ/zeSz8sRc
Du0AfAP3M4+J5mxWSY37Av5oSOLWXdq4EXPsnuCe1xlSz8gT3Tw+iwMJH5uq28k7VnsnNjQR82Xm
zKVbZSgzXOyx2N9xKVHsQqmbM4jmMxIFRZCj+A9jgU1Vk6tkGesAdcYYhtMubJIFS8BMH3DVrrlh
c/SPGeXQxYsFirYAUDRGgUhU2+FVpOtF9dAy4ngWemoQiT9qE7kqydvDaVLPRHHwBeQLUAxKi+2S
X0UmwVIbEJ/jxqOf8qrcFVNY7niVoaWr8sVvzVLtg2A8N955JsDg4seaQbAJhPJ8kxxFY+Yi7nPi
02pud6Fe6pvQmuXfMBh0xOi1BOoL7Icc26btTad4in2mpAqx9FNPi5f0Q/6eRS0urzvdOfztGV9A
14gdKvT9AKa/f/rEowidYn057GfElnC1GTVjvyAQQX6BNYCvpzX3LCWMkbAxgZyEWuaYs3wqmRrx
0Q9+RcWATwKb8159mNo5WnY25c6Zcvup46FnQ+ZB7lkHm9tdxWVpGE8tYnSFBs93hE33MbqpAz4S
IrsiGeZmL+Vu/UwGgHdqvfEN1P2Yuw5Db3zmQSH8PiLyQmQYw0dsqf+hTBDdnSb11MPp2prhztX3
gcwWMa0w9KtLJwU2GAaBrF2knjT8Y1JiyXdyHsJ8D0gV+4R6iFN6eZr25vbMCtMhv2IdE+v9AO0w
0DjmEx027nTGvcAOqNDFu0oEUfNFjTrLWjeMdVMf8MEISejLDvdL36mGpWnuTf/L2ZU1t40z21/E
Ku4EX0kttiRviZ04eUFlGwLgDoAAyF9/D/29jOSUVXNfMlOVqaFIAI3uPktPYWueBwJB801os+Ra
I/Evi42SERjcSrXwUQic/6gkyIbAUZPsqhpcf9wgJDx0LCQ7SGXHMkMdciWjex+F3gIsMDjkdODl
XMSChi8WTa0uB4zT17tpNvyVEtPdonPlb8Xoqbs2orSw1PRXwvv7VwW9CXksIDiomFCfn78qWF6I
8GBy7jz0Zz+PIcTppSCmhjFLZpbt2MR5cyXkviU1Zw0BhIYEtnYgcyHoJpcUdJbpqO0mB44lG3xa
JFWiSzOCmCfaafixmMgd2w66UZ506cl3IAKPZuj3/eLsc5yNbtvmS3jlEPztO6xaz7XkQ+l+6Tti
oMiOeNojEYt7dkxCNW3rWXZH1vfL/ZCQK22Z98ELhftaYKYBVhx44flnx2KSIYB+dRfVrFNFq3oo
kRVL+50J8uoaQyII8b87/+Ig0yAo++gdwgXksmJYAh91fYULFYZ6chOTwRWpmsJPTi/dJlVGb5Kl
hqq7bdqfHvNfYSqRla0D2Jf0aX9l/d9ffPgFqFoQuoFwIzc8f/e2BklxCmQIMKDV+0bnc11CIMX6
K4fq/ZLiOdhiuBoApSMnOX+Or0JjGobmD+9m9tz6GT+mTdAeW7DtiqQhPz8OZX95LaDnaHIjoQef
fXV9+ndtouq0q1gM+mXt8I1hdZDcE9b7V5rcf9k4eBtcC2tFvQqEz58yEF0NCxp2u74R8bN2rGmL
vLb2OHXjFBYfv9L6hS62Dbo9qINA3QWV55LEM4/1jCKYon2mGPvBvDz5AalOtdxyM3lqOyTaeXsu
YfBwZen+8pZAYREO0elZs8CL46GDTAOVDNeKaJmOCYslLzw1jaWaPf/l45f8yzZ5Q3xR6+AVcUbO
vygJ0CZwscENNLP2wBC5NiKCcQByYbZlWc2u0HT/+jzk0WA+wBQEIP758xRJHZnQhN6l9UJvGkGa
Q4b29i0Z63gTzjbe/j/eD2U7ssBVXJ1fPA8ZrUylnuNd1Ip0m4egmfY1zcp6rcNmmuorN8r7YAOg
BYcbyQu0HbDJudiiUT2ziIwEDSa5ZHI3dDr77HE3gi9Apdr6RGVBAWpEXBXeoCa2yRqV75cZOKXf
BaAXDldDzrv9hJ8ECjgCLnYVmgcXueICqqRMQEnedaj+APKG87ZzYBA02Vxv/uPnxqPWt15JqeCH
XfagmJALBwcl3i2wt7ivhsnt2eLYVguQ/A2U4Fe207uws8JaEO4gS0kRfy5De8IphZNaFO90KCHE
Uy1A2GKZA32tRfnuQSAlIRrg8wFgQwp0UeU64qm0AlV5H0GO8RlLmRxArmdXlIjvn4J8ADDqeux9
NAwugjasOkJwklWyD3ovare8FmFYFdQ1TpEr0e3dpshWdTqkObgmIPl7524UNbF2vSZ7ClHOL4Ai
6Q3tZng61b79z/RPPAv4H7D+la4DT9/zQ99kgUz6aCR7XsfAPHypN/D0iU400sfG9+j/3Hb/Z7b7
+L8Q/W+Tv/dfEYUlsgoA68Bd0IQ9f5ypp7pO5UD2cTq7bRQty5GOsXelTH+DAf99P6DSW+n4b2Ix
sNYuF8ukGdikve431rNBWgDDajp5C4HulG5yMYSVKcyUZPYOpwWfNIQege4BtbHoAE592sBErw5z
RHaVNYWVXaPLpgawX1So4+QuAIP8+zgl7R82VPKzHRbyAPOo6DGhddwgZWzmF7AwpyOt0/CzdZP2
i2rqSFBCrx7ywooq+SWcHqYSalX/zhHf/WA2hG3hiJ7tUQs02DZZONesaGWYLwc0lhCV6njQYdFl
M42KNJP+U2VDqA3yEMrDe7832pzokEVu2zd1+juPFOSxIYvZM5WN/dGGCwO6nqFjcapUDJcehIRR
39BEV/e9MlbvpjbzzC5NRr5swH1qeyj9qnYsqtoX2Ta1YRU8Ejmo33bq224/oTGzpXBggd9T4hb7
O6ogBNxUDqcRnLaI26mcZVK3cSkbVjebJhauHQ5TZyGGF6lLVH0TJAJeWoUmlaTdJszrqX3oVFOx
bSWrhP6JYjeJLRIBmDFyn0ftrR7cQkrC2jFQJY89OeLjxRMqeqSHfNy1kc3bvPAJsFJvlysm3G3f
aef+tMOYjOiGRbnZBnKa56+GZlG9FBnJZb5XnoHW6eOwuyaNZ1sRPQecMVAiEmDKaDme73hADUsw
MFNteSX6vRhivWlBNGgKVsXLbgJeUFT9wiHj7Pqt1IReef7lrQ4+MBIyHAgEE3TlL4tos6h+hlpW
bGnq+oPO1A9qYBCTEm/cZWGvn6+87uXzQMNDzMIls2q3gYpdvG8SUtYscME6VFE70J3Nw1buFidD
mGx2UEJtFtZyexuHQ5jcZmokeguHqfDoFn/K95lLwmSfxYIvO0NHn8JrU/qkaMcYXj+V4qT+3iuW
sQKEKOff9ZNf088gDEDuE8Ewc7yfXeUfAAVGYwH3J/zp4RQ8teDemq+6yoJ+G4421Js0q1HJJ1Ht
skKqVMPGqrUBfWhN36sN7Ca7urBZhcwEqEInvymQVzIYDHgMECLEY89DCOH5Qw0u9CnwhrEvcAlm
P33DTbyVoxDdfQ53gmhvtc+Cm1CE9T9BLOqkK/wRJU+BeCHyR5uFwyclTPUNK9WmZQCnuTsRKG7u
ssRbttaOmn+2MJ3yj/itjv+sE8ApXyrhVctJL7OK9jQasx7GAG0Ggl5XQy4LFTzIyy5Qyj5yByPT
/ezlfQNVtIvu8j6Y+e9oybs9amw6bWqAInm8TQBSeYWA4RbaCGkC8V+RBkLKeVNz2Yavo65GN9xY
zthwQ2DCyuF5KaoA5B74cOmC23RJDiFqRW9jZD5Wj9EsfPcZ1njBb400Kzii5g4qOPYMeYXjGTbt
lubwtitjmRLz+vFORCl1cfQAXAAWWtmZMJZF4/0i31OMWzRhSH+AtUkwqnLE6ch2EL/iwDOv7+F9
keDYyx18ItLnxlH3T14hLDwOHcWlXvcglhZKhiAiabRbppsl6/hPn3TsvupxhW9bE8MSLgrCId5y
HIgqKmToQ2UKG705LFrOwu4Be9wKuEz6MC0d5iXQWC+/7x+NV9nhCbRcr90lpKX91vdtwstu7CLp
w0EL/mAnI7OgLvTsw7yj9FkH0l8PVWR957WC8203tsTAkRTub+RrPKt4+ZZ6C0leQ9n0P4liEfzj
YHijbgmvmgrmeH4EOzXEg7C5z2eY+/3hM80HBKJUiflep00fHOapnrZtt4Ril7Mmh8sU8P6Ilxlo
ZOo7oLasnJuBwqiMDbk+iIUlQ4t4lszgw9Bx5Bu+mH4pAiYquhNojd3HYZ8r+P11Hf2Wpq1Jiy72
5/GWT1k/70SF031Hm2oARwqbUZeUR+JAlfQm3JxtouYn2HblUxH6bsl2CYfgoE7QHXqS1nY3oBe7
ugT1avJv5w52QkcPKfeTl7SM1AWRzipckqGcvZLJTIuXOszC10W2dILzp8TpgyWKNzK5aRvd+hs/
4t68oc1QJ5usJ4lXAmhgfVqqELdc0YGTQ1bLoLldwDEwg7FFynruP/gdPKl+ZUvkLTdijvp2q5mc
rF+AtCCaJ6QsyRc3dqp+Zn6wbLwuEOSQCFL9kk0TfBqmygS3+Pz+vBlh0/iqcX6qmwhUNSCZIOqO
3oYmS7iPfCGywqY9lOLwv4peqYp4AkfYiW9wdUbjnivYz/3oOLRKDwpOIfOPIVcRlikIXXPvatbw
AloH91xNJBNl6Gu7AfsUOKk2TXdT9bC02sx2qLCPKWcJ1MZw8wqLBi6wzUvnzfR77A06euA6WLDg
wvpsl6qhvUmsN4fP2SJmflJwPkIfZzA9f6aRakW4tw0EW7e5xO6fCsl1JMcN+jF1u11i283PMGxM
/sT4S68p4gUEySKCpWczF7motdp3Fa65m2oMGE23cyxVXAoxLOJHtgBO+WopjT2k5SmsCo6MeCI+
sIWRbNcFdXSSXqbAzxhAlbxj+ZhFx4V6bbBptBgMUGJ4ZxZsIS7fhv0UNr+BZ5n8iP9XgjSVRtOw
9bMx20/pXMEhsOLMRVtTeXwpe6iA8iKqlRq+mwAebFul0vCXT9Gd/2WGgasNaxddPXlTJL/EwQg5
Q5e6aN7PNoz7Mh8YP06Tq+c7CeGNQ0MIt8u20YF3ix6Dh7TPGGTPxTTm+SSKGcadO39lvbsytS17
hf6o6e+EbaeXsYMp9T/IvqIORmi0Hw4wprNB4YQf/K58Jq6p4N8kOP/OcdArAMcU/doMdWXwjitu
01kPxOvSAyBb4QNIHfp+QwzykmM2RILcgwkIn0hTcXLwQtRPcyHnMFvKYMpqGhbRJPPsqTZqaYta
NY15FiIlArysBKZNzk48LHH5Nfcp/m24lw3azVdqrvCyMln14CseDIYw6lYg3ud5WoxKqHZAmw8k
UBWkd1E/Nbdwd8vlBu7eNdLVHjM/mq4nL3GXjO12bLMheyTxHCEDd0AoTh4mpPhrSRHEY9GDVkM/
obgREONUVRjB6Ktroy1sQvrgq6q1OMT9ECSfu7iOv5JEB7oIOGwpb9Nhaq+Rst6MkM6XKITaGy3k
lWW/YmDnr5drMAxpFZmDzWHjt2s637+bUlSwg5bdg5j9Ot/qeBK8yCtHGVi56pucuz7azPA6PXhk
/hYDf/kD8lQzFnM7m5d4Mr8JteE1heC7axs9CjDIwlXgvIqOLmrEGPCjzNRsD9hX82ALNyjRF5UY
gMwWruZClYQL/z7zret3INcl/9X/A67C8PpeYV4Ak6jE1xz3X1hhPDEggzT1DxrY2wuAJr0dQRmG
CadAwHdVi8zx42TlXdYMIjJyFTA6MDUHa3TRehbxFBpvVP7BwzZv9sFC56WoM6DNrhCJCoJST9Lz
Pn/81Dcl6fmuALsUiVMI8BCCt0sGZDWDNsPckBxqVFzdE5ELjPRL9PrkryhkLL1PpFkozJ5Ao9l6
k2zdfmAtEoLYecnymDs4HRaktss/yTwvSan6zuipoAncX/eLR9VPa5WpbaGt9TMYLATkFOfZGG5a
M02mvgJerLXF2eug2QRwDKzDtQWN+v983aamgkNr5MihUsTeDkiIHtAXz09ydNmfSVqvxH/QXWuh
vH8qmqLo0UYQta5A/UXkyKNppOGEduzQZCLZSwwjsDe9zQx5rJq5Yc91HmlyIgE8i6/luOsbnb8x
wi4eitdAaelf8o464MnoCg3tUdV+fiKWwDJXQ8tSPXGAp4/QnNuhEGMUqyKAjXv4wGpYZO7iaqbw
8JKwdL1BBOb3sxBGdsU8yqTZuzZsXl0VQjMQiQFEddQ33T8K7xjBxpAO+RUZ3GWJjNYTzCiAI0Ka
9sYKPl+2Sik2hX7nHbJ02s05r37YRM9/cBCSR9yF1XYO2PQAf83kz5ws9Epj7019cf4N4QICkgyq
BRwGuBycPz40fOhgDV0fzRKNwYbllT01ekzRp0Hq0W4cr2Hb7CIWj58ztC9H3PyJeoQneOJKOtRt
9i2qkr7ahhkSXFqapaXtT9JO/G7OKOl39YKSs+xdnylXMHDFvG2DW0LORTyRUD/anCUneBbGrnAx
3Pshfhjg3l90bIh/x4kXoxJ1M7xXKh2kegs3cFYdgSDl4XGaQ0uKWdWD923QKJXFbRzZlJRoVuU+
K5JAQ07qM6r8/cex4x3tDqu2+jREAEIADOMf55+tswvYDIkvjjat3FJE+awPgVrsPTra/R59AHHM
gVUXflD9HhwJDtCg6B8f/4jLnbMS01DEwxEVCgSwiS5+Q94PvKLpZI6dBDJz21AE0gJnPMAMDmPQ
1YwikfqbOJA22nlJ7/NjzHu/2f3nnwG4OIYJGgIBAVnh/FO4ZbEBaZg+1tkso61NMwePaz9wZRKy
NigY4XqbVLV3ZzBIrphN01/ZxG9tlX9vYnwJkC4xAgxX58pBvPgSMmdoxnE2HjG1oSL7VdG/FMoQ
2F8uesLUCk6dGU8oseTPeNQkhGV93N/X2k1yKeDyDOOEpoKVwWC0p3aT5EZuZDCmtS60H876hhh/
EjvoU9WpX/zO/aBY4/xgbE+OXUxhluNlzXBQeSXhJU/kOKQ7uBV7ewrT/P9mTIf3BPMRnCG8KK53
4CYXpb0FMrdUcOU+eiT95XzimY1g9Vc26iEuP17cd7DR+iz0D4C+Y31BOLt4lhCaNJjK0h+N9X45
6JTigjYthsaYceb7YUJXtOAyyvqd7HT7Yiljm4W30zd05MwtOGpXz95ltoBA72PuAbb+myr+0lhg
RkPTylnIoxciKSu1NlUBM+ZRl36CFmYZKr5ck06+8UrPdxhwAnwE6PXW4HGZKyCcpL4b9XSEBxtB
VZQ0Q3Rj+lCZG1trGEHG/dgaflS+V3mfZ2jMhocR4xk29dzo5nVhaFC95mh0PHCWw6i6yxt5RGUX
ZmiNymD6DZ9z63ZZujR0L9C318WSVhnfdHUt0m8GAzpwZ0Udt8k9FBm1fYLHBC5d1LX61Yt77ond
CFucvjQGoRqNm9iRe7i0jNX2yo64zFDx/UF+AhtmNRlDHn+xIwZLvbirTH+ERaC+n1niVyBlqKG5
CYAYEphX1UG1kYkaF0zx0cMviBEc2QVC2LkkCpv0AKttf8Oh+uXwekrZl2ao+vnGLYEnNsMcRrcm
odNVqvSailysITQSKHTyFfFByDwPVLoDIM9sL49Zhh38oHrc7HecoTscBPCLPWIuSnLvLzKhey9s
EvbgmbhW5RSlNXyLMWMm+3rlU65PvPhFQD5XZ0sc49Uh+fwXhdKfSQ12AkJnNBxdakBpnFz0GAT9
wzQS9mhtTh9RZYS3MklGUfiw4hpWZqn7WklwGP9jIo6lhRofwgrQO1dG3cXSOtZSa6cmOio0ktHv
WVJbZEG37OMR+PviAxa+8sR3Fym4ZiuNNQXLbSUHXxK6+8k0AfV8fYysqWRph6xzZaRb7m+wmO3Q
FTK2ofoUCPxHW9Kjzbrx0DMCB6ZuouTKiryPLXh9/IgUi4Ki4PLX2CymlT+k8pioLOW3zQL4a+NX
sUl/ZpXlw0ZhKIZ3+/E2eAse59sA0uzVtQQ4CcyZ3mncRY1hFNGgjx1a3dEd5gVQWPsbAeorQANO
H4c69lQBolTblrRZ0l8DlsmewM5h97m3oKGNKS3jF3ihsxoTTAzbTXDS8A++yxtvj5Os+qJn7WyP
Q9SY7yLEGIItnz1vR+c66q7AnO/Yg1jTcJVbQS2KtX1nRFaLBiaVHtG4M5paPet8DB5Ek46qcBh1
JIqaioUfIPw2D7JTU/cUaRtOoLaFgn1BLtldyQ/eJUooDhC2V2MhWPxgFtH5MYsr+BbBs7g+1fjK
skY2sNRLCVdhFQEJ0ejrFEOV9V9CjkEkGwzXCYAEeEsbXeFgvGWFZwudvKnDUF2vgBSoKuc/RCUy
X+BCJU6Cxm6EbX9vlX3tkz7Myw5icICXcyZ1fMMV6tWiU8ByN0sX6NMcV5M+WiJ1wjbgSzEalODE
Eb8pvCkPZFD2UeuTP3CYdOjUV7Q/ZQMGR6B+xqS6MqVmlr8/3rbvjy64mFBNAuBbhx9Bonn+Nhik
MfpR30Qnr8+8/lOtJvvgRxhpcczbISJDOdAsuM+h72vADYUfMbrxS9vCoiVx0f7jH/Mmcjv7tPgx
qwYlAC8d8rBLd1bf5MCYJxUfAVLF8IbpZofpOT40YitHlsDd/VnAQocFGwHwICkiVTeGlw21Uqli
xPAfGD4FgoKlodPqFckfrjVlKpLseMREtDGJro/t5DvyKQSiV2IcR+r5hQ2a1jtq2o3fQjL1nzwN
YBYmUrmWJ49yv+kLGs4tphDJOvrsuG5VwSbnMLYp76IHjZk+3r6ZxFyd0J2UB8IACm0BFVe6jAwG
WW0hOubpa6umudvBA8vdAfbu+r2uzVjtwB4c3EuINuwXbQC4bzSAvV9etvjZqVcxC0qhevKLcPhM
HNpWmt8tnXGFgL0NtRxcoqJ238Nq1+3TzBuOTZ8AzddtGO8VpqqNN0BbmnCTUQxEWGe/QUN4GtJM
IcVRKGt3aZPM+dFbrez3dsyC23rIe4wemmIzX8k7wnenGFd2BFEAbJ5wIoFrnW+31p8TMF08dgrl
oMWt1aIbAhRYYFIVsHkStyy0lB8mlP7CK9CsYOFQSJk5mO5nGqmZqekJFCAdbnuie6GAwnT0j1lq
Ze5gnZjNL77XEPkTxe6kdwtmEg63YCjUnzH2KOj2WGcfWVmSyqXeOIWRPYXzBEBITIqhIYarqbhJ
CorZagSjp8JcgD3x8SZ/l3mBVIThAW+6CLTUL++JCd4QY6Xz/JjZ1v4ZQDbZp5jI9LoEMX30PRBO
ChNZjA10rMuvxNA3qu35AYMtEJrEiOlop2Pq2fnnz7MZo6DalBxtSynuE41JQ6qEx0H3M2O9qF5Q
oDUZWux58KPKdMJfFPLi9GdCLIbzcTQ2TZl6YfAD/QytZQFHpfkhslVmgkMg6lm8oNCBD3DREFiZ
uxKwmvcFO2tB+zOhbXVPR+bzDZBVAgXvIo3d8Xis8y9VwPIHQpdIlXrEyZQYv4Kuuwf0or8Hi6KH
GaWT408XuB4o1sdL8vbNLz4LJC/Q44OyhNzy8rMscL8M08FPjm7CbAHk64D68vsgGaeta5dR7aJs
NPukFRgXwxKvfY09HPC+AFliXAZ0dJXI/4ySpfzgM8Z50cEcwfuWyxGoh2gxQmqXoQQIN8Ew+k6U
LUYqTZ+cJKP2tj0QdVykXQipaBG0De6MhIh43MdyHbBJrcvT70mLmU6fg9GR/o7UmC25yZRQWMGE
zECfneDxrYy8bvwMpmIXPdbgMJmThjUVphYwtwylDficbMEx6bkt2iEMNuFElm4vu9VECSgwPmuc
mexJtiiG7vOsFp+6LhvpVLh0htkSUcNIv/bCF6ut3jxaWBiQOhavKY1QvSmcHO9Fj/FyjHSHAW0F
Qlt+g4Gh+LGYh4VpaAWMvuU/nNcESN3AverLx+sYXfYS4UOBRAVgIjIFEO8vaWe88UGbnabg2AyK
t7DEkeQHsq4K8zUVrFR/BTAfZIUO6LIFzWnm2xnKA7s1GQ7AZsJYqEoWks4qvJulqYMHmWHOyJOQ
OnqpQPZc+8Itetjfe56Y7HPFatwPiW/HCFfRwszroJqM/RoZfCq7tQTJtznUwHmZa4Eri1SL+5yP
bcDRZRbtbmDIoK5wZf4SXfCbIGpJ4RKE4ZRrbvyvvj+IOqQhbT4fU48SdYCD4fQYeXE03eHMhf4x
lgYMkdxMXN0J7S/8mipxzRcujhIsd5GkraMFwPi9iDAW2CM0yyY4Tqmvqrta+9WdjCdtyqChPtvO
GLLVHkESWuTu49V//2RkDWtLBTkEMLDLuieyFki1kuIEc3uQohopS1nP84tQoQrLJs/cxgMs8Pjx
U9/BUm+d8wz1FrhR2HiXUxR04stIT5Qcg6o1Eqk9qaLqhsLTA84oke3612kE7ba0kR3qEi1SL0FE
9Lxg1/o6JGrTTLOyx3EWbk+gKYsLf6mEeeqGrglvsW9tiwl9MHau/vv3gjQI1MmVh44yad1K/9oq
flATwbjxjo3jJNgDLfTbIlsg/fnUJ+AKqzQxX4Jp1Qp+/MnWPXi+RcCbhCESqKhvOOX69/96cGvX
luy0sBOwucFuIOGbbmKY2aZ7kP+XG1274OvHT3yfs0NCigfCVhXt8fdZbtfK1dhKsNPY83j6nRsb
fodYgpg97FCqAcJgGEHi5qEYVFfk6NmUgIdA9kKtLhKLLk4H4gADIXgpLG7o6lDXPJj3S9UnbhML
yOWA2+f8y+wNlt8nFemzm2mM5bX5PGvtfvHp4DCGXQZUEX9eeidAu9A7Twt+IgzObc9LBALJiz9V
IO4VSH4Tc21W2/t4Ak4GupT4cj6qruCiL1w5M41McBwqmMPEOyyTjTcGuTN9RBpN+APxaTAUSiv2
c4LcST19vHJ/2SsrtLFOoEKnMLo0kkWxlQlwLPPjiFHSB0eXFOuT1f7TFITJXdjQxVzJz94I6+ff
GAaDuBiTFXcFRHDxyjHJMWDIxwhPY4MMXWeMeTJP3LSwMPP8Xo6vTaW5KmsnOShDwKt0iVGcjDza
AWMsd0jbZ1mjEgTd7nNrZvA+Qn9u02vdzL/s6QTUStC40UqFliO56Jf7ns2GPJXVacwpEu5i9ky9
/AIHdrr3ZrRGCtnyBTS6LsqKumHDA2wd8pWcpWnwwLpBd9UObB5Pn1KNVluRhi3z7vOuSXkp556o
G89FyU+PBh6mY09YhG5XZa2prnQa3sdt2I3g4obyGqEbyOd5OOimcViUV7NT74LgIGASCoqvz5l3
w1kTaFV4YAE361jqbrjGmXizcrlY7ATJAgpgfETAQBeL3UYJRoQ6kR1tY4dHKNzNa0I6hUxsTLtQ
FtlgK4TfRWPGZKw0pSnilY05/gx6TE/BFJmTETNcKmZQ3iTSIPh+/1hijDd8ESBrLF/AsZ7mrfJ4
3n8bxzm6SdLaVBR4MltLe12h8b7NCVo4pVvart70IEmprbLwwj6NQTt1v+ToDVw+MEznVnLLPCO6
qpgxjs3LS2vSLju5KBuSZwMu9C1wpCHeqRbYWhFiyB7mjENtpwqwJrofOKsTQliSY9JxVTvvu438
yjW7GKNj0Zr++Oz+ZWET0IaDDJoqaJwuCRs1OGBrGV6dCGJVu4F3PWobwhY/AEUmtvtFpWRToyda
//cHr5IN9PDXLj+W9XxHAbxGMVWBhQ5d7FSjCAGjWhrMhfVyT6KqbFtxApR6rbL7S3UF73xUV5CE
g66M/sX5czPWIg83dDkSSHKyrAQtL5W7GVyipugbYv74bhC0wJzRID/QmCx3Uned3lJlY69Ipxg8
J8sFOQoxk61BnpqtvbWA7pYcXMly8fMWTDwfcPlXWtdozSvVzuoOqXdAbig6APOR5bNIj2ZOjP7R
zGAC33sZutGfljGufxiHOckY92SrtEwoSG52OxFwTNONimvamQ16xde4MG9XxPkRW+k6SMlxgwDz
DS/yDB22XhZ1fn5McGKCWwxfyuQm0nU3fxq7vvuCo4LcphVV/ozKpv8G/qEhDvZOYlEZOqgJ6/Zd
J7zfDg6I17Tgf/l1OPsRBlLAWXEFxy67eUZ6CaOkOblmWij8K8Vg2W0ccFRJ+VKTbF8FvbqzDCbO
L+HgMIC2AIefj2B1BRN7zls0UjdoOfP4h8FEX35t0M37U4QmLHI0Hx4muIUv0zS9emu6qB1OJrHi
4BNBx42UyGjgLaSxUfawMoF1Q2wn0ckr/YL3t+9aEEPRsc5KhefPRWi2s15qA2op6OGK/ANhiAWh
XPIbWcNwsgjSgce7j2PG+7YztPLoq6KEICuX+RKjCzNoWzAHrD0lLhWoIhrK05ucWrKXvHsKMADw
nxpoRgFS3vycSgvritHm/ZMPLG+4/fjHvG9Wgci0+tTgu6fIti52biayQWFyORq36eLbsiYhtEUy
9NqvVQWyYDlqBrQLJhNNNR94n3U/RB/E3nTlZ7wjJ64rjy4eigy42r3vONeVI0PYKH0Si/FmXoZm
8M0GOTaB6/ucuCB+TAB4PExgzXglGKxJ8zQto4Hehrezt3iggTjCQOr2FSefx96aOC0WQrX3ohov
pk8Ihh67VUuzDDcrP409Yl76mF4rOdJ3Gwp3ARjtYBgB/F3T2PMI2YDmDB8nrk5VR2rxXUQR6z6l
zBCwUEUeHuJs5j2YWAjbIFsAv9yYoeH2C0yZ6h1PPRD6cXUFY116aI934Gmii1YitGffaJC13WeM
Zuk++XzGfdM0C/1Oa4Np0mOPC27TDy15waiFHkYywYxbR0QxzfZwiG0EpmnCNiduAEvFsT0kfc2j
0mPURVHpCxJ4evN/lJ1Jc5zI2oV/ERHMkFugRpUGy7ZkeUN4kJmHhIQEfv33VK8+Sx2tuKt7F92N
qgqSzPec8xxFKKw5plPahPtN21723SdpNScuvdXeruqsDhk5zZkRbPZIkof6zqm5y7zaoT+9E+73
VNMneVaL7Y+PRr0AHa9aX0V2PtCrir3ELo7KG4qBIBsuu9PE4yEjS7tKRb2ZFWJHe4m2Tz5Wh/SY
LxZSolfbbO1wPATgk5TYth+UB3qMLgGD9FkfgVmy/bj2q7CpIqzMtfHsY3nDHJk7Ay6q/35e3i1V
EAGvR2C2zqCQcZP8/evClvM9kibZxfBba/qZe3MYgyPURNL0ZCRiojg9g8jvfDBVfheT4NG4vmGQ
DALOlKxVf19Y5T3aSOhnF9rhdRB3npEfR1/b8g8u7WI8F9Lqg+OA9baLV1a0n55u/Rfq9qqBjpal
EutL5nGMEpzlZnT5SBddOzE3xut8zlwLiESkMML9zHmTfRRafu/OCOB4IbNhPqaE691G3l6qzWns
trwIgynSwSrXIKHHyL0LnCG9IN5gGoXHkTILrHV9aJhE5bFbWk7EUDHALY/P84Mx0vtlmL/pGqU1
UVExkL7lSGQc7tRQN82Fe54ydDD2Lt0BVjcElzHLCiMmtcF2gWSBsx8zOfxsg1S84PsnM284nZ6e
/vvWercUB2wkaQy6kkw4hr71KzBS9kelUvti4oHiqc7r3TZ1xhQZWzB+w1kxnIYRTwJshGNZqPTx
vy//jxvnr00M1+cwhMPOxySCUevvO2zBB8PGwBAXe8ZG+7peVbFP3JRa7lHJ2i4h3NdffWxVDmEl
ImibgcJfW6TfIW493VkSS7/onJIBo1PYX+m4NcSJ8gOGiHFv+4VVfTTV5k/6+0+mc+JapIFSyWb4
7U/YOUHuqJIfjLiP8ZV0knfmfaHZDw++Orihoz7g+LybFRCV/qdcnGkS+sbbFl9cEHZvTNq7BIvb
nqeqCz6HtVqHyIa8+BkOx1JFAPaM+3bOgw9U2fcHOYRDoHJX5wOWKt6Uf/9AwJCwFm7CuXDThm11
Mkarf1KuCdE2poWC/IQKnNxDU+zXorF3XjGWXhot60DWJiitOYzwvXhTxIbDBEtJSOFnrsK1u+1r
XQ2fXLMc10Nnr7UVoVG2djzg2fqk5bygF2BodPI4NMS0VTtrrIr1s2kabvirsobq1a3aggiaXcz0
JzfOmsc2yv6Xol+DJVrXwgt2EHqmMiEDpcRNa8JfInc4j5Q9RW6G0hl3ri29MmGVM6xkNc02e7Gn
brjoMpeZjmqimc4UZzjhPy2OVYcf3EtMyd7cTVdYGG9uC9XoipV5O12dKLHV/tBu50GL8s5fiCUn
hm5tP2pEHtpRoVrnTBOEV8au7OvlgVxd9mecHKwCbVm1wdeBXe6X1pbjq98J/dVZyHMdjdL2oaz5
Y1tcRACS86VrdL3sUxTI9NLQWI9+a6fVxRnyJnvKpZu/LsXV6h+0vn5yMI7N+B/s4bhuQThFfZ8Z
f/I+XaxbOTppvkZEh3p5z0tjurShMWxtNG6k0JJxnKbxy1oQ3NmT7Os9ggT1ZtoHDjKuRf+h6TU/
6J6yiJ0iWH6nfGId7xD5QWUMap3tmLed8zAt7dx97ZSXMahYrYngReOMnnl0nbZ7zWknvLfybfre
LpbPUCGz56/IvUXOwlUsf5S2euOx8YZK8rZxpL0TfTdjRHPROqls8lxqZAO971IvC/ZbaOV728nD
9CzItHHsx3ZDwHoWc/2lYyhe3g+WMvXRmbzhTvue2e1kMOXeUXubyg+kiZc0LoclMHbFIKvmdqir
9OR6M/A+Ufpy+rT6cgEh3okuz6N66at9to1jlpDl6ktcbphZk8Js9Fet0qa9dwuL4FnXbhnH0nD2
b1bXk2nsTZN38gQGbrTksVPR2i3zjeLFMcNF3sLvLRu8AG+QXKqktEQ3JRlvwBe2Qq4ZlVqNa+QF
+fJzMniVRIXv6tdQW6Z3N1cOJ3hV2/ajoOYvu2t5ItfbfgBhFXWQjoBvbIs5RM2qnBugdhsjBzOE
jVHgcP7uE6/+pPMNSyhP3IrDHxBWHk8duXk8GI7YB2TY3YNFx0KZ6Brh67iEY7U3hnl2o4w7zQYx
QKHtXjqk747gcrEYLLWesshitPZ7XjP5yzR7r9wRj7TqBzfAYH1hs+1aB7rTpXUrUunIWE5++LRN
3tafxOwXF6yAesLzXjvWpYJc8itYcqKDGxnGHDfh3I/ca4wdPmOb6ufXSS5ZfwNvltgvIc/me7Et
Yfan9dO8+uQRpF3YRvtVhUlRBGlCzM9Pj04mezamU9U+S0yF6UFz5k3jlRTXw+QgVO5cB3GalgYS
Irsy2/wmangGqGxw5TgmWGQ78qRdOLsnjD9E7TJrMq1HHlzD+QxJYg1AmSGAxjUS9q/cr3SdZPPV
R4CC4drRNtVKfV3K1n4G4NMuD6MuSU93tWl9KfJpyuLUCg0/WQNWlm+0WejRirDN+OJsZ5v7m40U
90PYuOYQB9XWfNq2wv/aELWvkivN7aup1VJ9tefaJOLnBssY1RmOklOXFc66J+lWD0Ycup22LO6A
uZwToh+i/YGsOP4Qyt++E2g0f5tFw6h0zichv6uxGrrIHMbwIK5hxKRyUtTg1NIpbACHFT9Z8ARV
kb/N/IOuUNmAjTxzC9TC0XysKzoAIrUo76LNxmK/tEyeTEaym+2NHBaHWmpcc0m4jQ5OjwBAQMxK
PN0vo2y3e2kOW/NijINx7fI0edBKb8Yny/Mw9Bew7em0M2WQerG5+P5ptPGTnYXR+FPkLI3+wSm7
x1trCI4a6OjixprcZdhtxDu8fdr2HjMPC4YnOvSWfhsLJLJY2mTuI0uJ7tvsrr2M50IP31bR89Cm
gE+fnSITL+U0u+5tYLNtRr3xprMxpOkBmcC4BuXGqTnS4gNLKaoZbpz7zYatD5mmpJ+3N3obJhmR
hni2VF8+Wnm7uueuL/ucxqp0OkmP/d2nvjBVb0eMO/D8BFlY3AqXjsUziWD7bGwVsmoLc8HfgTOb
n0RNP1kyjQ0bsXS0tMGK3Dkv+NclkW1Rjs0BpaEMknD1cjPOFxxaxGtGI2WcOli1ie9ubrvPouH1
9uwWtd0+9NMYjOchHKw1ZjTRN/eSdccAYt9nr+noWRvBPmmTmFeN5S6JoxXTW1wuRMixwMjwm8hs
8SyNa8YSHaAJOJSxw01W7jYOqRlJixOR8lAz7nadJbmeNTv4GhO8nfuVPW93R0v4rG8wk5BJjpsr
IauMuqId1QuR1b44QSgYL3UoquqCBLmcGzOvzcdZLC4CsNtaUSFtY0pWX+G12cxZnhwLWSeR8Kea
Uz/Pqox162gB3Tz1Py/ZIL66yHTucejWIH9OO7PUD9k4mC8sIN1P5eTG7VYUTn3OyWEP3xiwCb2D
msBiZPyTRw175o1ffCe15HmCq3iQqJrFzsTJZv0gomxwmLVlxxwgNU/G1FgzwWW6OgeQaWAV0CHB
1WCyCoqtP+DK2Hqe5MWt1GWz1yy421Srh1cqd4PXvO66bh8uvauO5qbU73XM6orzfI+iwUNeGgMd
SsbcJcrd+P+QGVDuODEMPydVwB71w9p9FTgWU2LlS25Bc8Khlix+5lm/+ty32ovYBCWGkUXuoX5O
Jffpyd1sK//DOMB2o2pJ2+el9trwmBXbkMVh3cxHypXc8ERy1Xuq8d9SL9GsprXetNaY3wTeuni7
oR0M57gagXRjjZe6vuEArX/AhIQbV3qGadzk0q+zG3cKwLWKrHCDC5tA81Bg+K/3HY4u86u5mAI8
Ajts0PCd2ewDIujtz4x1IsOeKF103YAgT7y0yvEPRAFo2Lz+nH68jMiWyHfKOHTu4gVRiwe1uWOF
gnVvZhllfLNq51ND0y/gwi4flZ/0lmH2h8wNmyfDKbv0N9t+N903rcMLn9qUcm9l+LgSu2gpZAy2
ZS337BExRmdkrctotuhMvG3XrhCxobNh2llE+6fEV8p7XoRes5ipj99FGPiCcqc7Uf+U8HmtfS1m
ZR9UUQf70M1ntjFhl7JDE1IcFscQmOjWYPwZlHjpidNn5vQn6ILcOnWKwsQjslKmzjOmjxJTwmbZ
KvKbrbylRKn2Tni+iqROr7kIY1ucgYNs669MYILR49jQO7CO/WFtmDpVPgatyQiK72y8a/a6uV7u
K3xvY+yRGpmSog3n8A4vwJjfA7Uop8/rbLSQfcXGlg5fvjgYagzaNgHisFIcI2HhekvUC6jD1Mxk
VvCQqqHqbxl7BvqxLlX51FcYdo6LGIDxsMOwZaKdfv1mdDOTyqj3aUaOZ6TC/miM5hwkQ1F7xo7x
t4w7vN99MrfeMnMcwhEEg61VGLNrmRv6F4AIThEIFY674+aug0NoN+tpm+x2jFlwGv97VbnUq6ey
1BUrFYJPstjB6B8lftubjMRNFuN/Hm8Lxx/9u6CfihSAzSK9/qYreDh3vtEJ6AXsyzioGKVFv3nt
OltkahL2t7039MNMx6shy7hjc9xcMHJ3JfdsbfinYPKm6457NdpPMuf2ZPPoSiNIZFhIVmZm4Gtk
GMP4hXJcr0qsLmwB1gSMEHfO0k73/lYa6y+9GR1yXlPqkzSrwcFvhb0aszYm8TGm6CG1H3qhx0+b
mU0V7a+wNRicjYKxVlSQuzIvW2Pl331Eg+GUTmJl3Urbzn7EKQ2TA/Mve0/B0oXvFHtODpmfoRua
dSdt/1RDrXb2vFGnJglLUTeJIrSaJW2m66OfYpq8zc3Z+2kjFMHPUCLIDwYW12PhCMj35VBVoDSY
gZkXvWnDiXGfAUTkNGw1+6ZgvxZD50+/cGlALEquW8fsa/D1gZtIevscbL4Zp6Nwqvu1Hkk2Ecxt
iFr1lNvZ8zKLO5xBbJfcPG+tp2arTe4Q4tPVOU+HNf+6VNOINml6/dHP6sLckTjngGcBonPjroJy
nnhdZ2rqTwIb52zkSXxyrGRStPEMxKFhK6Iq/TM02JBEtQq9ZZcJURMUsDKvj+BdjOuJ/YhNe2Qo
rYdNonFHvm8EKQ1jjYLU2jpKcCuMrb2DleTFXoWV5bYV0Ih2fMt1eMpNwl+R6jf/C00T7D47Wj0z
AhHNCAlK+d7FmtTi0EbbLAWLFclHXYdb/sWdx3Qv2OVn+MG0GJ6C1J7LMybt4gv+uWDd1au1ugTK
YFl4kd1PZbdbipYe1nmYhvo4EkPzInYZQYjeZcE4AX+VqiUagW3lcbpUyo+bwvde0m2lDzelOj3c
yUmxc/bWFn0pmtWmPA6RRmFROMga0UWF49XVZSkw7d4avo0F0CbheiQjHJK4DP2NfS5mQcXgMl9M
frcG7uc8D+k3P5yWOvKxEiZbzakwYsIVyLjXSxucsxzhdlct8/x9nVy807NjL+OOHUjKt88ww3/K
R+J2YDr0TMmZhJVlOAtcU4uB9uvAClKlEa8RNfxSVVe+yMZ0l6em7qY76LM+ky9dOODfhFxvgxG/
2kEDHvueOxulOGYThiQkjK5Sn8Z0UOfGpb8qyTXwq2OlbBthBcZpAnZaFuemC7KO2qAKeMth3sib
QmRfO15kTjHVuBegZoRfILXOw1lz/voht8z60xe+pMIgdAf34Ez8tgsvsmYnFo9UV0vROhiX3imk
zCNMCEsHcIm8ZWSP/VRBbVlQnBjPmnsEmHo7t8G8qH2wdf2ScKjxdOzWsvu6NnJyySIzUV13jaxY
SU1vc59BC9VkAWZE951VEAdLJJO/eDIxWj13FR9i3wCz9z/btjbGr9IgsQt3pgGclm2AOVGOizCI
3AI7d2xTKbd9T0d/We54CWuVsHI33mnGu8PJ1zOvloXKAKaxQLfBdRrSGH/GJ71UoM1YxbIYV5k/
HSpEhzEqSxfUzQZoERiUbKqmvdMg4TSbRB/gNgcdk8BwRmzndqqG8VNmzGN58PFEwLbi7XTWft0D
hamblYcW95Q8bFZbmPu8ac3+tuLh+TEULBSQUTDy7kuJS6KMlKRrfpc6KOV3wpcqeOJFawVfs8Ji
ux9ltRx+WKk3lg9yEYt1CceBVwA2TLndLlNNHbhe18bc4ccVP1lZeY+1MEb7SDJL4JAmV8OFhSWt
bVdPhiz2NCCZz3BBXTMeJgpfOJJhsY/cVWevflYqk3OcbwCiRvGlpPejMfpbvYupGQN9SvMYwqKI
vO1owLCPIVWa7XkZ5s6Lelsxj7C2wDzwsE+PYVGAyvKurCSkxpvVm5q9ToPuaPZXAlWuq0Ols/xG
m95yKSdLOxFYuI98C29lm9ClxJA8Kq1319zFWwOO7y1V2AbNcE69yjsawsp/d7h7j4W9Grveptuq
mfPn/x6o/8s1iRlTT8VDz5f0ruGlyjudjoY+U+5iHtkfzHFq2i17DU8fLURE1rxg/mBI/G6GSTLe
RkCw0FKxx75F33K4JL0fyunYEmH54gVpUEU5bmkVjSYW5g9mpu9+++vV0Auuw3e4Hm/VsEAJIw+U
OR2ZSbInALxlwr4Zgz5ZrSVnpCtm56Ps37uvlWte3Uwmoo0DVMH+ewrOdFFLCcHiONXCe6Y9m0bw
Psyq9s5dSgW9yhjqL41CGf3AcvNvXy36Fe6OqwGbwsa/L0xRuABwb03HTo1DEmiv2/ZhNRa8lxTw
+Q+u9u6rxXRKduQKXLiaOd8yIwZ2mAXn1eLUuPQQLZVf7kSj7D1o7Z9Djzvgv2/Wf5xK/19KCbne
tdQJRYz7FaTL359uaoSeRLv5x4EALJvjSa7ZNMVuWzSsVKXl6jiYNn+794u1Pw+V0fuXGpBQ/yCb
AZuO3KzsO7qRXSRDYxjgOpVD6KsUqCGJ7ZfeS8j04QexvrWI1nrz2pOvu/JLSwdSteOVLcSxCFv7
k155IUcVPUjdpR2Er4+iqJv8q2Co6uX7VqUrM2RuODf9VUAds37kgyD+g0+xU5uOpTmp+hczp2Bt
GEYz+E0aNmd5UhPAqUlgF6liMtlMv+xU2sWNaVCTvYclE2TPFS6Z6QREv08k6LPsBFFuljFtuhSW
MVq37ItGt95RTQRVYpDO7MfA6+ZOElFyOOB7cP7dc7sykCPNxfbkS1CK6qMms3+5N7DyCQ4gxF+h
Or35rQzLxbpQ1vlp7TJr+2LnpRV1VWO+6mXYprt6hcL/we3xVhqhLQn/JXsRfKPQN95kmnhXos56
dXGqmCHdBVNoUdZmC/O7Uajio7L1tyIbtyIXw67tkLnlf9+4PpuuU9iO1uJkQ9t0sCJh8yPpztwo
hU5qZEO/a8fQxCdhNP1Hz8H7D+paCPzCtdHYWdL+fgy8QlM6VE4eD/mSYpO2zXNm9c4to5D5139/
p9f/1Jsnjgt4IfFnFD37LR2hhhGHt2Lwj6j+mrd7V0IWAVD2v7Zx8nWG1nXJ/EfepTHm749kCWrG
8IQzt8l6w32ezVl75wYVYvpohXy3NJMNZ13kbAZ7gKXE/vtKRWHDqSDQdpwKM70nfKIfzQxBJ2ra
fmOLVpMREHquPzBQv1uYsUGaUFvRoklDc92/L4t3Jfe8fhPHoBGWvw9W8tv72UnH29nATP743z/b
v10NjhoiIc5LvtI3dycm8aYTZWocMUqW6nY1JUZXl2TUHRUy3//Xa3F7QMz2Qy5I3sX5+5NxnpV1
B2CCEKE5/tJLk+6mbdgchoar+UHK4/3n8sHCwR8T2NJYxN5cCzHfCLNA5+cw9YiyzQuAR4fc4JCo
Ppw/2pC9X8J4yPHb8SaFaUWO/+9PdjW1+8RV01NfC/dYi3V8MMtVJtskQuYezfhBt/S/XI8ghgsO
2WNTFLy1z1D47i7btHmnVnpPxfXUbQ7WeOYp1/Hg6fnw3z/c9c//+9kmAsmng5WA14cv9O+PV8Eh
xXtqeqyXBoVCm+9GxlWqdCaOKqlpsPNs1JZkE/UoqXCa/X9f/p23JQT/QZKca8NMoj/4zXrdgJEL
DMWYQJNGfMnhwN5k7WK+mI3bvIQzc0KvE3YFgKgNL0hN67Wc3j03m2t+8Ke8X8z/2a6JUBBvoCH+
etv9vySM5zSUjrlucGrJAiagZtZf/ZrlB3+UzW2P/rtGPfG1Y0V06PW/v4V/uaOvCPNrYg5BnyDQ
35fe2AiPhVf7J4OX8FnBoN0VYI0/B538aC3/t0uxe4JnhsHed8w337ftDKZbicxHEa7FEwdLjGlY
dHDCT63/9b8/1r/dyoLOSC5zvcXevR5FWsF+42P1rUt76VR0TAjbMDJALRz8Ff7qf1/v/arucwdf
dxrEmdmIvbmXseMCB18tHh3GQk6kZTnehB2nGWs0oQ+tNHHG/IIfYVDef8zrsQnZjGWJZM4/Psv/
d+NM7YAFJF3cUwDK+NtsDQ3q4wTgxBnNmPyClfyvH5PtNnIV5lycPZT//X23iK1wfQwgMF1qd4mV
LuxEuLl6TNM2pVM1zeoHY7LH+X/eWXFZvCiMqPmkAF/+vuxVHLquty4L4VwcrEx6pxCze5ShDn/w
nnz/Q2KzvsbDSBCSG3gbnCwZV9PV07inFQTZnzENh2dqFd0ggm2Dzg0Rc7ttGwAUH3yzHAf5EH8v
h39f+c2HbACvdnrEvMaipfGCoGSe+sHnPGrRxSuiBW1ZRG6qBu+u65re/IncPp4kz6w6me28pARu
C7SDZbY1Zw1nZWIa2xtBBXLLNhWeY1s2TKY8NTyiq3c/wt5zX7IycHTimKv5hbfMMsYMYCk8DL1M
W6cCGtz0YDqIk7ttThv5bOOnXC+6MYbwYe4IxeyCXPTUp62yHZIVepb9DdtPMcduyNd43uwuqPfO
PJldMg/9Nj8xDLKdz6z7FmpHQxgfTR3GEopTnX7t3La1D3YLPWTXIYc+tfA7ssRuCkaJDtDl2OID
382Fb/UP9E4HJ6NcmGwWhV9DX5oB24E/9X8EdhN8Vm66AUOnUvmoh8z5Y4NP+Gl682jEJO2Zpxqu
UZTYfbDPR8rpua0n01WMx6dK7vBwFxOV3SPknq2x/bvQb9ggDlaz3geFmT1eeT8vLbsaTm18fVHA
dPVc0kGQowTj3YoxN4fNV8tqqznSlXa/kXkYcmR2a5M7uIXKOYRTu9xMzWIQ7nFre6cN6VnJ5njM
cPn3phtimCGpg2aAyTt3dX9TBKtgYJxXDlz1WUi6D0boFbdh2jMi49BhgJjxc9u/zUvN17oRtv48
yQGXRzNX+e2giQFh0un1ryrzmIC37jxxWMuMXyVM+SIKbad+ya6lOdfCiEGanwzw0fnFq5u6fsAU
5Ro/K0du57HJQvFTC2SU/ZIjFybzjLwaa9kv4kzvjHnBhqnTaFxX2TBvXxbO595qyfsWeCUmQLuv
3b2FDeysBtMCtZcLS9xnfRF6VE/MkqgLfQPVAdTTuMRFCJT2V2/hwLwFH4e8Ll3H9f+McBbz2IOx
A1qxUc62y1Bu/5DfwCUbNLjjgpE4DWN+NVrefephZ7oOy6mBC/D0JRwU0+nJrAdGq7GrHPeiWGrH
KSKvJjW5znUxXhsptk9uOKjtxxR43druQG43P3v41erFXlPjR4/lBDK7N1gzePQUCBW4DrVxnJZF
b7d0IwxTp0C75Gb2WcIzb5PKQEi+CYDTZpg6fHPFPBIUFU6eDbcVsMOqMj7zNM7DY213EG+x1ZP2
zMch+MVk3AAGvc30/yA3qVXAxTTz5wqcfh5V2AryiJvZ+2Vq9jfHWmlcgnCDrgymzP6sfBiReJqm
8aEcJis4+yPo/7gr1vp1kIV0oR730tg5bShn/raxVs8YpLWCSFo0oDZVzoxy9UDmZVdV5dhulthi
fAYaCZKg3HpTk3wdfwcFFsvfs+H2/UNe9Tn8GKLnM9x95XVe7DbTcGqJ1MtDu856jUhOkD82hDax
OSrD6y/k9tz6vtILav7oOOtvIjhiSeqCyAZm9pVpLkPpoN/xzdrjA6QBN0yswrOeh0G3D4Vn+OE+
G0LG+qvdwaWf7KrkwRi36XPrm8snjPSdoFC2H6fsdrxCXJhLKIzYFm5D+5XbPw9vqswMbsOsAyrj
AwEXp3K0s68tyQ+fMEzGPyAcPUZT4GfXHgxulT3pv/o8uLKHgcDE4KYxasp5m1bVTTyOxgAVG0JY
maxKmk+iwZSQaLAsjEAhmCBXBEVzCp3BcRIFhUkCEd9Ik/XjleiC4he6Fykz/3vbLOE9J9VlJr41
TQaTIxxNu2Dme/g56HLJMEHAY48X/H2kRjC6E//0lxTGPxHDbI/miuOqK4dCxxloDzuSuS5fDTKn
f3SdiZ+Lb+Zf/MFBZLsexCjFtcTye55KVh9UnfWmVFn+uPkd8dNZaBaOOs/Fk2HMDuTp3CzlgfHS
dqIoBpnASrv0eWHGX0OtmIrvSxWYt4FsAc0ZWz/d5nYVZnG+rdO8CydjOQkxdt9qg2BypFe7D6JQ
GeoJM5jzZzBsavQ6Nspylza9O8XTEhS/gT20RTR0QSecaCavxJgC/Tg/9DNVJVuPpemwAKqnxnuY
DQuikcmPtI3UYOT5EhYxI931kw3cIo9WJOf6XuTV8qScrP5UFimVHsiWsrt3S2m4nxzXEGsesb9L
xxOmtuyPWq9et8GpZPWpXjbvZlU6AE5prO33PlXLi5lLr9qbzO7sPdGW4ZLjkYKDXyv3blwr34r0
5EvGAcPgZQd0DP8StJZhR8HStV/qMTNe0QcseaJEQDPPkyO/ikt8lhMiAM94UrnfxJAlu5rea1Sb
KEXlX2KdEkM8OjNfLizkgtqgVLo0mThuc4uQ5cN87FGukevFGddg5uHDccvmNKRSjyeHQ5HaYUGY
zN2Aig8hp6QGKa7LUV6cgl4RWoCKnO7prkbf9EZbWJFfKE/fepAu7jUHQpmUZjvSTDA26KcA1IpL
LTKx7MOOJvuLO+EjKYf0WitDJBFBTzcKj0XhjI/4/YL5qvTX5W6BDvk6wZR7UQ5jyB2VQIp6AQ+h
WpDm9aMU0v+npkj7CbHQrOfIMipw89SDGOJQ6Hl6xEUB44fpmnW/dkS2Qf9w+qMuKdju29oNNYLW
jDRgscVuo2VkC8Mbp+3IjkBPMSK3slTAMiSsX4FbtJrcrla3ygiHH0ZmarzKph5frYbBR7R1hIk/
m01dZvymLc45b6THw9LN/Foa1lKdsBha7dG2+jS74Z9wRNwb1MNEow0xOITcW96E+ah/X1U3Gee+
9NST1akKM804mFNMSsOxjj72z4Go74phvXAtTDLFFqpHL4eHzgfkCJNghw5DsGnpkJ7gxPd369T7
/TkfYM1GyncC53VBxy8O4YbhOsHGMu9EN9Jo1JFYfp15n6h9Fy6EJHW2ZO6tV2kfp3wWZN+EO+oh
kr60y4T7eRZ4b8gmRDYDtfy0dM1aHgwzROQeJlPSE0BdlUuA0EnbY13pfIfYDLGxDkbnCQTs1u0U
8BaIDBNi+16Ibf1MamyhFGJhG7mzbXyup559GpNtA9vSsRGiejQQWZ19RtogjHvs4A9Uu2Dba6Vl
3fbC6bLzaElslM5qudVxqrLwNRcthlJiwbO/R+4t8dfleSp5vxL2S6oeZ3CMF7pVZ9C9DTNsZbU5
5lkrHKIunayDibHLTKhTGCjbs+3r51lpqQP57lvNbUqcLD3IHjhiVHRpUZ6qNLN5ELW1aCoQJMmv
di18JGc85t2j73qWPufc9LSDtDKlhCLHsmbjJJ7Ir4nuN+iZ6pGCCbaCXsDb5qxtkmSTvjo1KjjY
N2bt8wvRSQApgd3pRI+DyAxcuxDEt8hrN7Z0tSQrigiaVtAJg4mbPvGLZTavN3WJvwmM7q51w9z8
XCxdYD2IDWZsFOqmkJEplAYA7OXVTbXgOU6Wbazufdo2hhvYpQq9noUDx1mneH7HflvUF09NYkzC
vOcvCLDefW0bKH5fzN5KNRbaVvEA2FOJujsYHa0szohli4PoRHPM0vVquUchd6uTjcFE4D8umpwF
PO/BSc+DpojHNgEUXfUndtmBTRQ2EsiLzx3FKbgXZDhniTXXZbcn5R+IHWYM41Ml6Pb7Hub8l6O+
sIcUJr/0jaRnim88/B9l57HcNtKu4StCFXLYgkkkRUuyZDlsUB7/NnLOuPrztM5GBFREaezZuomO
X3gDKrwKoQE3V7HFL4xh8QBN8wsslpowJU2kr2U+9S925STh2QDBEcP/oDckVQ33t01wOmxiqcny
e3VS1fio650M3sjJWblc6cf2C60my9lEwLD6i16nhDPU3yIJMe2Y0Mvwy8x6RqZC+okeoeb9mvqy
+tLAfW0OUl3K9orZ4UcJMBbJyFdS6RREmutc26AHXLeNrx/9rj5NXdI8q0qpbrxW0vdyOv6rO0k9
3K4qfFDFgOpLHVClSE0LflYYQllikI0sxuYpRN55bPgmeobjpqhS68XzkpUi7geFP/iBFDCoiANs
kOccFgRpCkqPnnE0Cye8U8MpepSm3p62SWWOr2oF5NsarPKshi1CL/iq8ba2XaGf5FCaVupvy9Kf
0NnnRqBZqugLYRWeW9VpMss4InfW3VVFq+6jAfEfuFy4U6ABXP3CRfg/sP+etVJy+GhoCnGi5U8v
gsLc9Uor6PTSK5DNI4wI3kvCwj1XcLV3KMsSAnhZ+8Nims4WoNn97RX/aAmoOqpvNRZFVZxZIUnT
S9tPrRFAn9R4WxXzUMvt2tQraFNL7YZ8M2o3PWmrAvwc+ARKEQMdz4bb6Ast7WRY2fWmaPDMqi/M
Pw53IBEofduz6kuP512J6J52xHnUiu61vBu0bUoOCdI9GOGhqIGdoMsWVKV68mA0dG7Rd+pdbEjY
LKNrBafLJCz+FvuBMPwjirBcKu0h5oVU0l0TKOy9XAVttVX90HzBAkrP7sETKX8oR2Z7dQzGAKO0
mPujGSFp08gjDdjYCvDwr4UVhepZHfp0uK96uL27UU86zmMdRxuwvtmD3Xe8y64E/Gv4FReFbrj5
ZOv/gAV5+lHBPuqbTMNpvM/LwfhuNuCb3Iwo5l/Io6YdHNOTwr0ARicUAOwiPPNMlA2pa2XDPYv7
BnGQPKlQhB5MTNjKluv4FAJsn45jADp/D2d9Oo+QbbO9giqgsgugnXwbHbsNvhWSByKQqgTtQr2N
QVZNY+OtHOsPbhFwAPxBZoQu7JznqGlWgdedReVu6upD0WdOuZUGST6BfCtCikzR0O1ub+MPThBD
omiCSDPlSWV2gmoHImyc93Cc2lTdhm3gH3qDVn4Q6sFJVcbhAF3DIQzX05UG2we3tEO/i/85uzrs
seuzWysDnN+BerPTNPY+8fzoNziszh0RJD+2KCcK9vmUfv7GgPtIUVTcnmKar0fV1NTzRWkJhQAc
qX4niaMF+w6jy02vWj0epb2HA16LzOg+GCdnTYbio+kWvQr+e7MGmH30KA1TY7USHx0P9T5DcONs
D2P/WPaNlW3qoPL++GFe32UEuOnKG7WszoL5cIDVKKoMomAOjsoGqozk/uYxbknCMSLBW3dDDgva
zKn7LAJo16abQSWZMMPOvID6SD5dBecyxhSGToPQ0ZkjGlDX1nAAtY0jeo/qPkU+9JgH1X1swQ66
va+X1zNGxBgHoWSHGhI9frES7/oKtdWjeDHxNLSUO7u9loEy4OTa1JTSALDjfZcmYQzks4KO6JRx
VD5hyNsEe6g49n3fKd1ag2Uhx4VCHVcza8BbRQt93iNDhD9TEMQD1FuUxkGtiG/B10r+wUyc6Yw+
cBWdAvqXj1ZSNsm5lWHfnvXM1MdzOqnpFrQJyXyshNUOhoS3tjiLA8nP4ywiMgQ6SJPnLQq0c/An
g7V7NIMsuJQqteENZCsDFcJRuZdAMW4q2wzvbi/U4s4To1IuFwgXrEEd0XJ7t04UN9M6bTv7iK6E
9YhS66C7atFHv3UdTr6bxrq9MqL4F6/eSTA6RIY64wr7hHlPevBt27MHDE8x4lORooaRdReOsucG
3D/5ymBim10PZhAYCZNl7rplQ5qmUo24mRacJCfTv/a1Nt3HaQibp4fvRk/Yt/6MTV4dIAK83J7Y
5WcacJxtoCvo7ai4c1xPrE+/ANnKPDrBzjrZVur9RVXE2WsKuvErx3q5cxiKuqiQ42WV5pgCB692
TmMbnZKio8htRh3g2bDcKr6l/p30fNdhrFmtDPrBzIq2IYBUAbpEZef6+6Zar2nqxPHJSBUpcCvT
V79UVlyeA99PJlS9Q6WlMDVGwZ2PQ6P52YcESAPbR1Y4zxr4d/Hz3u1bQ4ZZ2Ns6Oka94ETiJ412
II03anaJUt5FDaRUtzG8bif5Zvd8e22X347U01uGg9aTY7/Jd70bnDujVye63kfPr9AEUQslxYWB
BN+v/f4kS21+RBmhh5oLQvvf7bEXMqFEvGAVHdzroEhzT8xOLEaa2lik4LbkMRu/JX5cZQdZaQbS
WVT1j3VPN+1+yErQJXUAzeEVhRnQEUUrTNsaE13ird7kXeZvJhTzkt8KhDf1jJyPLx/itNLuzDYe
ftz+0ctbhjhDF7pdKCPzHswOQ4HNEwVVvSBf8u5NKj8/xiJo9qpR/a8bHH1NjG959hjOYH5MnTuG
1uT15lC6gfZsaRbQZAAx6lSr/zXqFO8bCHORe/vTloePsWjPsRXRUKS3fD2WjFpPNEBsPvp6WH+N
2waFF1l6801X8DfY9XgFvYTh2K3kG8sXlhkFR8TFrQFcAjJwPXALupQ3FY/Uykm74USpWt01WoZ4
OXnXzzKgFlABqMxcC3qQ50a5VP+t8o4qfup4/grwZzHjHAKQYahD0koBSatd/5gCNtXEmdOOSm6O
32v60A+65mvOMXX0bs3AYTHlyJUKhzdZwWyTrGA25QCvMV7Ngf1QMVQxrY2bSrkL2Xj2UYJmhseU
WcWQ0bGeT1YkJhcb2eaWFX56oCF5weYO5mWTl2FG2naczCFRXZWzc9EyGn652j2YhbUihLKcVoYD
sgDfD01NkMPX0+qj0DpQqOyOVWT226IZo0dszaLD0MP4+uQ+5ssEnAkBIVAv3KrXQxl6laLymXVH
NZSjQ6qr3i6KwS6lPvVjhErUL6kC5fHzgwIcgtTLfFLGmN0LQEHAtRt6d3TarLe3QWYmMPcSXJNc
usF6cudPZfk3KtNhzdZycYUjdsTtCcWcApWONtv15xaUwCw7diaYiZP3XZ989YkaOMbsmtfJ9WkM
ITdBBUoldRM6XqjuP/vhb5gxogMoBGzM2Ye3eC9IlCb0I5p4Tuk2soVIho4VWgNhbRfX6V8o1c3K
VbXcTaAcLe4LEE1gjOaFuXCIpQjUpnHMwyI+JYrRaRv0x6xqI1G08+5uf+LiqCDdDTYZjA9iRzzQ
YgXePZIY+dFlUazqXJRFn7p2WNAW9P2Apiy+Kn8plzPDnx5SIZgFDajqCus7S+/CDNUbG7PgM3BA
6NFoXNHQhPBKDwhXbP9U+GWz8pXiBF4FmJjMCclXAWPWCIZmdxGw88xjI7VnGYquAgHSatpj0dCF
/Xv72xb6klx0AKZskNoq30er8no+K/AUZhTJwzkqwYUdQ6k2s01IPTz8n18P5rNt1MPobKahD+MN
Kjj2T5n9m15oUkWPtL778E8OAdh0kX62+pVocLnYlrj7yetJ9SiJzqZBqq1uUP1WPhcpFV9Xhd3g
qoAznux27O/Seny8PRuL44sEKVmS8KOl5kZF4XoykKrDtmrA9DFNhsE61Thef2lK4x/Cv8EB6QGl
fYpKDQWvro8Ot4cW//T1iiPUDnCXKgbCCWhMXg+tBL0BXwG/bGQGO7QxUnh+zcUYEPe5R+EpWJnZ
5QYTnwrQm+o23TVr9qVTo8V2ATH4rNl5pb/i8wdbH90DiLO3v2s5pdRkoMjBGNfRVJ8fHjszaHab
wvWFiCYcdw36QQiWy238PTVGezhKJG7VU2pJafcHkmT+8/b48/oIApm6zk38VhdSrDkSUeZdwxpK
9061rJZ7zxuVLXWMHLkdhM/GurS2HfTuA1RLlIe6JtzdHn6+g8XwKI0h1I3WGQGMmJ5311XkJXWf
aw7yMFqcHfKMJCJWUuiZth1876rAWRlvPt2MZ1Dwo1bMaRElqevxutCXK17+4Dz4UvpTi1UdQUFD
3UUqsiMbD7bi7x4L7oMudYn/ybf+bWxRhuO517F3m10l8VBKtacyNnIcEX6NQXmijUZX2iqmH02f
Zq9DUA3fPz3BpKkQn96eW8eYPXncbZE9JlV4Dj1uOTcEF/dVh2SGIOKApmQERsNfeQ/ekuz3Z5UP
xcgZjVDoH8QZhlj0d4sKwpPOgT9FZ9Q7g11dBB4elHHzqFlhszUHM7lDtK3YtEgWK2hxAXq0WtNZ
me0PVloU3UD9o8jIsz/7ERHYqLKm43nGqlb77tDrfZDyIT3bnQ7I0fCi4eRYiKAZDmjf23P+lgbP
J4C8C+wrsR2A1NntUYMCUybE+84IleXJXQyKACNWn4YoumR+8a1KwATSv63Qf52KaToWY8D5in0J
8EXTd3C/KnXctyMIPegJSDWk6DoXum2d6QVEv7s6+Cy9RZTnYHRyCVEpJs6f7ZNKmWLOuIwfZqIm
3UNE3wNdADuhwQ24sDhUFtJbX1NdQlf+9myJI3c9WWSn8LwMGjQQheYQbFOLajuKsX7UcjnbV2UG
516SAES6Vhg1hzovk+4U6ZW55o2wyOUIk0SeapPKieDMEo/Au33axKBsfNzkz2TztAoRlUokWHWF
Si7j+zLwJCv9zx9i0AwqSH/XrFQTnJJd/0/BkX0l6fjw1xC8USinF8KenW3Y2hoMnDUk/M1s0mZX
SafpRHsK7zKjLYpvJWWz5jzGFcEGMIhfkRWgfkXZAUyZAiTh9qIsTg99JP7CAAK7TTF5lpdIA67h
jtr49yHGca9qMkXHGtc3F8J+AhImLoY7tbFAGeTamqT34kmAX4VnBKBqCyFItJOvVwWuZdnqVA9O
VpynP9S28vYY4ACD0LXuDBJxjUK2+FQ2PiKshMqwX3mKZ/OuIMA4ZdoYn3r8CTdB3xsPRpkrl4nf
yBYQsmt98x3eebC24oudz8iCs6NQx+OC0maP0QAJtq50JznVA701/FvtKnrSjHYcgCOSfk5KLlsb
Yl2n29jBkAXbbkTMY29hXHsY5QqwjDm2o7Or4i5zvkfSIE+HGCK+vuf1TmgGeyBt1q73j341PQZh
T0TtWpmfmmLyrCqTpuQ0IgthIkLRq+ZX4HS2LK4xq/6DX0KKmCaizMVKf+OjoYVPKcZzqkbtZZZp
FNMYe3njJ6QUqfyFtUnDjYYh2zcJoZhoAyL6H/59a6Z3y5PJOlFyFaBkin/GfNjUA0Fe2WOKMJc8
aq7Wx/nBHrPoKyT4DM0Oal4Hs7LCEHiRan+JcQ0BnS7p5h+z4u27fTI//DV4qagEL5TZFpVIQ6Uf
Yk9mcmpqKaAOI4hzHX6xL7rEs+yCelCFJoozvcpxj+0NwN462oAXnKIHHOSblRrUR8dHGJ9rliHi
2HmCZBZ928mpnJ4a7PBCs+52gr/rprkHyrf1Ad5YKmIIcqACjb89FeIZvXo5wLvQvyWcAkBD8jl7
ZhOQBXKFyNBJCozyzgyUfERM3vpPr3P/2+eHop9A7Z3y09IdNimnpgtjSB49+jEvdem/RmPVXjTP
9FaCh48+iio7JTaeAvE6XV9/iD6WaNP7xcmXZHUv/KfRBAygBaeFEFG//VkLaXqq+HQvbAJikhz4
rbPRSuQaHZX9fJKgNRw1LZGMbZbU4dMYxHn+gmdf/nOkN24/t53ZfNOENrQrU208oASf6b1bNIr/
Q0K6XD/rCRwysPERShkh3nl/e7OzvrVaECv7SKk1+fn2j/9g53EFiXYIAByyX+16ppy6RjxRU4oT
MGMNdSUr7YcjZQf/Sy9VCiqonZY+j/gGFiCwU7tf2fgfLBTZIR1N3iloyHPnCQgEE6YScXFqyjR6
aIPUfKynuv+pyL1299kvZSConTYCzWJBZk+UlFedXo9Zd/LpCW3jBoyTlNFPrzQ1uUiSGVzkZvrW
qv5a1j1Pg4VzAhcN8RkJGnnLLEIqs062PETfTtCGwvu0teg5mbqlr0zl4l6nXw2sVPQOENlR50lo
Y4dmCASwPU1WouyGBrx05lfTAS4ppgdVVd8Nfvn99pwuEl+4ozo9NMI+igoAE653j1lbsVWYBnIP
qhyCHWyScpejrPciDwAWkKXJrce8qAxUQD2fWDiukuZ/t3/CB59NzMH3woOmPzMnO9bIpAWg+p2j
b0GIQsENfouiTtM5wq4z3uQ0QNykRQ3k9rDLRTUJdjAM5qN5SOcFSTmLI6MnwD3l4JcDV+mk+Elr
EAm+PczyocIclXYhhU9qdGAhZ6+1FBboPgLdPAUOFbRvkFiAS06oY+av1eQoSGeH2F6Gbo8s4tGv
NandO0GWvdgAtvLmrmiBFX69/ZuWi27TwsDkm2oLlb23n/wu4q+K0YFkJ3WnpDUHVDyMEuyoHg9H
LplMc6GnxH+9yOt3VNWKo9ZQGbj9A5Zzzw8AjkJgCyXKmovKSC2Siq2R9CdM6LT/aaOkIYGf6NOn
D5Rti9CA90M4yMviZ7z7zsTsq7EurO7UCdJCoiWv4GPsnVoOxb3dUBsU2nyrgYm4cK/eYypYREpA
KVDS4F6eHamwaMD4m+pwGtm0j7Qai2LDYsi4ipdCUkyiKvkSWo2GqhRwNOJFRUC1aYyMW8/QfNUd
yErCL0YoBaes0z3MfeEkQl7BOodIL65ra5sqgydvkLRDWqsCjYa8NHg5nSisBuViWVX0LMOlyjdD
2ijnRpAAAJIMdofZ2+QlDylOUsVzbI8OkGD0CKeN1TXti4/tKv8UkXXxjCZkhRxeH4b6i44QbPvA
ebLvEIGPlV9KRSr8d+pQid8MktYjBxl2vXmPbwqkiWowK9PtlBLOU2gGcrpDTK1hk0l5873x/OIV
YoNTnEoj135TQ6lHNMuyEm9VoENKtjVFs29TlLRNKUi3yaEYMHr7Tggq/c0QIXXuRN8ftTOmBVNr
u5G/1106/AvywbmHg9nbFN2VxkYi15qcQye3JDG+oXT3zhCqwvrIq77p0Ri/YKwSDSAEPQdF6a42
OpSBq3g45ADUXsD6g9YIUMfWYdcMLVUc6t7B90kdPPUQtXo0/I0jkP67YZC7BGkyOB5HHLGAs9VG
j0RzZWnSBWXW7jlC8K/8GfZO9+gBWvS2lW4UqttZkz89FDjjwEVSK6t/VIsglqAWaeGzR7oVb3wT
G84dPKzSPkIfpddeRikduTrEzsnNjDCt/jFJKEeWRRZkmzayBbkhtexfXpK0+UpktsAAUBxBYguZ
DcIN6hXz2wOVlMEk1MQfXOvlV2gufgAfo7AdPIJr7YeKBtC4kSL4MRctsQbV2yBOJTZY0coPieH4
KM97TTsAlqC5sU8bvv4YBZMGmRVXbRk9UEcrprV7WNQVZ8eSX0s7iLiVjH4OA4jt0O9GGRsVq0Vv
2QRE1QFQjnI0kNv2mxdaw1dSz5yqfZV+qWnh36HurJwa3Hd/Gak0jZ8N299smnnpeX90LuLZ5QQF
PUPsyawQFgaUE3k6pZVR6o2t4yvjylu3rEXy6dyAlF0ZDiGdWegEhhrxZSurTxxvFornB+JGrtfO
H/CC3WOqoBpc2ZSdrSRPvwZDGey9xDS0lb2zCBbBBcggkzQufsRc5nINDnlj23k1Lc56NA8IeHcX
DCnDXaLlyspQ4ouulluUOykpULkhhyCyv777VWpGRBw9gheVWj4lcYZkdeeP3AxJHpTKpiuC4sft
V20RyKCnTM2GSSYrp1w0e+mTIrPA3ajlSVcC4wnGWH5M5Ui6qHk6/ZUkH+XjuIjX9rX4V68+FENY
+o2E4MQY6PLMljbqMjVzYOydMVRAARwNX/PXBPYIKUMzav4ATocjaYRGXW0UXR//6yHMBttxaqRQ
SNPLK2/uYt7pTxHkUBGB5cMMi9jj3Zs7JXio+r5lnGt/0o6TA3m1SXRpq6ithPwjbdjbky7Wcfb5
gBNoHL+hKxduhVNnWpVeBfq56gxjx3vQ/4kStVL2Ex3mfCfbdfTkB2ERoXsQQ0u7PfpiyaF/iSYK
ipw8fgstKX2scbDCFOHsGRzilv43cLCqP2MHiXYuZeP0UXdyaU1x5YNJtjE8UJFiJOdn9a8n2SgH
ze5aWz0jbO5sUsUOq9eEQPFPEviZ/Boh3/D19ocuQkZoJTKgBYUoFvuheW4yBoB7JMdTzlY4qq9I
L4CTR3n6UI+W9oeWugPkBTYbupy6etBplhUr4JcP1tmx0D00KLYJbcDZ4fL7OqY3pynnKvTzH+nQ
as+oAEooF+XSXZwO8jEx/fICirMpVxZ5cWsROrK+tI4ojQLAmV8lbZNSfXGUczw2Y+0C15he1MpB
x9WnSrmCSll+J3Gq8JYTw4HoEjvu3fnRu7D2pl5W8FTw/O9GDo12A+FMQ9vfG6af1Lj1TZH6aLH4
TuavQVaXD4UIk98NP/tWZJz6vOUlOHNViGK3lO/iUm6wjSbC3mbcqkhrFtnfElHlZ4AGan8c1CFa
WeyPZlwwEkAd8JdewPUkjClAlGxgxofWszYl6swwGlVJvhOKU+HK8n4w4zQaqH4j/kAOPPdq9FMz
lc0SgnsA61UDem0jQJ+n/pFepBmiD643fzwpnsJL4uXtGp5seZThEVG1A3BPqrIkJUTBmIOJMM/S
5GHq4aN0O27HNkSlo7DCbVCoxkr5+MMR0RRiy1I2Iju6nlzbQAUyp3R61rK02CWAMdFqkDPlqXAq
cwc/Tr27fXd8sJqk91SYeJFprc1XU28VT8aY2DqXSuKctanX0l0qxZ6M30VTrgz2wWoC66bliPyN
KA7Pzo8pyQbIW0s9x6bpPAxabD4jIjyd1G4q3VjO0HdojDiEhupZK6nf4jsJrQDHYFLGrQzVQvy0
d0e379AprtIpP0e5r9d7OR5k6kQAdxrX0qZM3t2e1sU6Uvhmx3IkBcIbVsH1cKhRtYQ2csmXCjFL
xQuP4BbjMy5ewTFBLv6zM2vhywM/gLYDuSi40+vxzCqyfEiy1dmA3rkvSk4mBMQGY2LN2il5rHyP
pSD8piSd9nT7S5cTi6aR0HQTTUogA7OYwukkozPUsTo3UaM+yeakPcRSGm8iVMrX1CEXLzpfaYtu
vcg0KT3P+m5Bys3uhHp1pvtmHw2/iU8Vr/nGKLvMnWC8l64alWsV6A/WEjFMgbEREoAs7PXcQqlL
08wfgEKneHBtEHyRXipUDJ471LF3OGu0K5fe8qK32DnA18V3Cu1ZMefvNusUhLYpSUpzljw9+Yqk
t1f9MWU0dEjmzIwqH8oHevTqGUb6s069qDryWHmB49p2mNPY+ewKaxR1qUSRpaD4O6+wYhnC0Qrs
8VwhuAQxUMAU/PEPYdvafbusx1ngEAU3mIdcZEOzbZw3aRtU6GCdfWoI6VGdQOhHneyVB7XPKOxm
A0Xy7aD51q6cTKl6kSfCGTwAcn0cXfAcRfTt9seLEa9CWH4R0gUKEGagrzT/r5eigAupBziunIuh
8W04FEqdIKJCinSeDAzFNgEotHDjB1nYHDIyb/vl9g9Y7nnaH9xa4AjRP6K+fv0DxtQefXpnw1lH
YP11sLU229CBScy7qQxVfR+CeOt/GY2trRYTxCX17tt59IToHNwouv2imTfb+FxYjUG+4D+0jlFO
58RiCaxz3NbgC1wJs60y26R97se/hxZBqZ3vT3n0FaOV2HlWospunW1hGFD0xadZysqNPt8sLAnq
ikTtOnbo/Ma5ZPIghtA7r3/wUSjSa6gNEomjGwZNbd3ZudQ/gOaCU0ZlfvBNZTd51HcTdyqtMj9K
TdC0bsOdMa0d39mWYbbYMgRI3BgEDQudN2/KHAl7OzzWKOSNbk8Fu74Lkhbnocq0+nM3GuPFULDk
2xfdCH/s9oZZzguXlAzZmCxepPHO7JWtaa4qzIt6X9pacUhZBpPHAIbjny6z/IMKFyjZO2MSx6mb
KH1WQBSI5HHrNN6wUbRilcAmqiXv9xETYglKingeKG+Ys32UJbHkBVKEcSZeQncQKsvRDbCJWXse
ZnkQE4+iKY0SG4ygpfPKXx+VpHFGxKQK695KJIyp9NbCDrQzYpSNkgyA2a5Ls9zcZOHUpO44mV64
KYfaSj93X/7/zxCtCyoOb7C265+Bx+9Uarlk38cGYhJuKvGjXYSv6g6lILTvVoZbbje+miYpRAvL
YXJnj6KTILrnDaZ93+oqUjfxqORHXfLw/MuDeFMm4bC1JMVEFQcT7JWX6qOxMW6nvUkxRwPMdv2p
YVumxdAlNnbMVLWPGaUr2lBerx6DuPKlO3hHvuMG4Zg9C2jXGi5mdjeKmQZmAEFRACVpJIgL7N07
qWMY2Y0kpPdSnRon3e+yLTeWsZ8kpd5U4yjd1UG4Fg588M1w6eCJ0ubkaTBmAY/ChW/EcuPck45H
5TYB5ItqVVuMW1MPo7Nf93hZYFL5pFW9oq4c7o++mGwX9BX4N27n2YTjbgmpkGLTPce02KGCk9yN
kadd4G18r7Og21FBt/crF8riXEEYEnwEgghyX5DN19MM0s0fJnR/LnLsa2iKRXpt/6fJnvKSG3qa
kGl3TuqGSteZL5kcj/6PoSpoUNKHCR9TOzGesdtLkq/T1CHtmRj+aFjuOFiZ/x3amVcVgIknpd04
ciGEcIWe5O0vWH4ATAo2CBgQ8FO84tcfMARTgshtYF5abHhhkBRKbaF1h2GrvLEiLS1emlSTG1o2
3kArCKx2g4lR3WoIId7+JfPNI5JIKm90yrkRTSA/178kdwZsn6iCX0Y8lrAkdaQJBh5iLYgDIeHV
H4rS6us7nDvk9JcaFg5uPbd/gSFuwfe3MfUwJEroLZIHyUR0s9WEOpbheVnK9w4uLf62lcPCv5si
sGtu1JaWtPX8KT5HOAD7R6qayjeU7rhE3FGrfeO1z3tkAzaxQ7/rS4XftI2USJZb06aWSwwaXNgd
A/YXaPtnD7jWmAM+Sgz0UvhBYO4SBVgpgv5yoD2lXj8Zh2Hohh9GobTD0fJaWUbZsGq7g2+kebfz
9QDT40aV/YeaADjYwx5GA7NJHORobW1K6srNvE6VS9pXqY0MaJuJhA5KIRZ7LZPnIO/4UpCPNYVL
uy2Ot5JRW7iSdZqBEZHe94nylMj+cKx89C0eFK1Wqx0OuJq+Rdu3tX5G/TS9yAGwLiQ6oD3f3V6P
+YlWkUHmFntLMKhVzsvuWKFZAZ7twb2PK6iyN9SufPBLTfpS4xG1NVIEYTETWa0ZzpIaIMei8C6i
bfzJuM5muwD5tj6tjcK5t9Hb3ORSXB/rLOcbs3Ewn2LcoD7ZX2BEwiHyenE9EQbM/c0zJ9KkWI2c
+zYz7K2H5txTi3zblnisqFc2+SIGYjBguiBe+Dib8yY+/93LEA80j+qqCC6AwiYFKZUQqFdAq1Vz
Jxp/IxUrObe3ZTQ2wvrLwkLUakY53oZGEJzFKU5WTv5ywvlFwIBosoo5mJ985H5pDvu9f8nsyvhv
9JXkGwksjehaYDqRe1srvovE4PqcMyDXHjYttNSMuRsAsdAQgkjyL7mhNWeVYfc0/MKT2Q/Gyqu0
GIoWDtIVQpGfQhn9/OvZboPOIwsx1fsKwN+XVg2HL5DYQuzhkDq9fVyWQ1HOFa1NoZNPfKVeD1Xh
To4WgoKa31jku9GJlGijOZVz4R4bpZXBFre1kAeg1kn6I0Mon+8iWUXeIaO7cfbxYdxBEQYGr+T9
CSL9dCi7wjgoUj9s2s5YK2vPXywSTepxCn0qUKxUb0VI/W7/dvhOt4CazHPihEilNnXp7LrGQ0wJ
PeMmdqUCPYheUlu30oPhp5ON1uPtiX7ruV7tH2otNJKBgGiAkBZxTunHZhn3SkWqAil8U08abuB9
oHnbIvW0xzFHU9UtR6UISLBQdt7AfU+lPRNJmdytw8SUXpTWLKpLqnYKcX/S9lhk6blquHZk0D93
s8Z0Xhty6czVAJu8er6jddZKjDrPPshcAZpAQaNuBKxlXlId+qotyippL3KA2tY2qTUnuffLMR1/
356xxQlnIIebFOkpWo1cLNdrBuqipT7r1xdKJM2prfFlr+JQOXlgj/61yInuPj0eb7hAonOhCqDY
bLyuVirFDOpL2035JtG99DcPsjpiEZk+pkVurrxUi6MHihC0lMAlQZlZKrdIuEITkzYXeyrHUx2a
6NUOZjz9Jv1rX25/2+JVFGPxKoLq4wrjAr/+NsAwTmTXdnORy0q9KNEg7bH78M4ItKv7ujWGf2ow
jCs7ZTGo0OUAbWrA+MJp6g1c8e7QCandHhdN+eJb07RBLhJjJJCnB6UtwNiB87E2XZzHKyYji/0p
RiU4pZxJ85862/Wnouas4tnayJdCmUAVSkY4/gRpGBxvz+hi9bgrCf0EbwHCO7WT62EKGmW6JhnK
xXqTK1YzPT1z85lPKtLPn92ZjEVrX6jc81Vk5Ndj6TJhdIi55GUI9ezEGUB5TrgbGuGbsKuZFa+f
/zhROMTSBMc3GGPXAxZySDEs6tQLemqOTF1fQWsBzd0AOSm/X9sncz19Jo9iMGE0fGILStq8Pjva
WRlboxF/mTwfQeiooka8HZyopecrBCKnstQc14mM6jUvzPgHKCDELaGsm0inObDoJUqO8kb1h+ar
Blyp2KSIYz4gW5r0LsU2S/rVUe5FHc3Li+RPPaRsxbGyku4X8amXZvukLfDY7JI2fUX+3f5aDRqh
MCKKcACwUw2L7wBjpWmNnf5G1716FOjyilKgoGMy2/MoxquCAVCDr1wQipNrh1SpsjH9MsnZRrTR
Axuhyt7RHyi4+ZA+fF9/jLQCG+FIJ8WhUYmm0KlCGlY9xiFy2BslMqzBTdO4Ru6/poa9sUu0LF/z
Pk2DbFfRSu/v06QbMM8d/RLFVtcI1bz9mqORPfwk4FfCrVc3g7Ry2y3eftHPlmmLiXI0t9CsrMJN
UPdxQWAxxkH5rEdmiV4qMn53JbxBFqCU/erOs0QJuOKhnvaf3dE0jghwmGJRyZvXskDd2QhJFt6F
ZzQHY6u26Jh2ArNALg6U5PZoy4/lrSewAqhBG4m77/r8lIolUEa5eikwfUeDOAl2lo4KuyNF4Z1h
x/kR43vcnpN4TXht3usQRVxwanwg/CIqSPOAzmzxUm+DSb2YjR+doRviO5YEWAtHyH65Qdmj7lc0
6qUpZRRoRrtx6WzXaxWCxdtNYUMXf3RyIgG7vp6ADCFxvY06/d4DOvBQt0n05IUGZtRxPm5U4JDK
yowv3hpK10IIlXYdzo3wNa4H7Jwc27qxCS9OGk9/yyr62Qt6Ujw03gYSt76JpuiTAlvcyQAhaKLj
64LDGjol12OGjY1+f+1Flz6XwrPfDuZ/GPD+Ch1njSm4mE5GoiyIwhZPGlM7SwhGzdPhfsnxZcKz
F5K24hXlVsv60eT0+u0vLDqaVQtFfv3V1cSYsKDg0cK3IWSY7eG26GqcKLz4gq5Ddpz8VgLc1OcT
EFTJXwlPFo+pGIsDo1ERoy/ypij3LlLoAjxigsiML4OH9D/6DspvTeqz/7Qs7OKVx/SjsbhuBa4G
d244u9erlgOyTX1diTmbBVcq3PCtZ8vtMVKkaEU66KNlwybKJgpSiZfny4aXON1PL024dAqx7Vv5
EvaoyhgIz+c7pK6bNeLa8hgAOuDGYUxiBbKN649DIcG3ANXEFwyuo1cjjOxXROBqDxRw1HD60T92
/bEgYb994S2vHVaQIwgYkCoyL5mY9XcrOMpJksC3ZQWdLviNn7u+65Iag2Nwws2+GEfrl4lPbbhJ
I336lZXW8KpC7VtZ20WaJ34FgZIuiiPAL8WCvPsVbWIYHVreTHgrD//H2Zn1No4za/gXCdC+3Nqy
ncSdOOlOrzdCbyNR+779+vMw56YtGxbyAYNpYGYwNCmyWKx6l2c03B+tqPqThAhl39fIOmwwKZ8N
NPTBJ1LkWitlX3xvqR5BMZlTg+Qmmiznw8/O6CnIokwns02L/kh1zGx3FdDpyqLcpyIvUKe9Fbj+
yuJffHV6u9QLSLGpFcJBX3z1tsUEpMZW/uQkonLtTV4pySfDqEBRbau67IseqGQEEqV1Ju2jJhGo
xyKwsnRrK3irbafAjf8AoS/aTY9TkGdteEc7w4OTWen0wUGVx4TS53S/Vn63DMpnIYYqClcyyZks
hVNfOl+vwSkpgPdV9yTgRvjFNHU0hCN48si3GzBxMXnYOo0SHCNPUz6JpPAOaIGU7XYACqJuVbOI
XtugDVd20VLAEtdASnnsYx6CbCOQEee/a7ZaLyiUvse8CLLtZszTNNqmrWJLwxtsFQC/1J/JzjC+
36CxVu3b0jYbf2xqN8aaoCzHF8SG5S8UuheftBHfgJWIebHTKSQQmHmtkqeDT1ncCKLozEJt4+RJ
ncbS3UaGTqmgs+KnrIEh5xfx0Jh7JBBceKqoiTQHO8If6r2Xrv2GBaREBUlBrtT5OrlWgXtaWrdP
dkYLsot08cuKKxU/ei/XXicM0/3cdOavt7fN5dQBq0BehEhNiQxy7vmordXVOIHY7VNRN91+rIL+
3p7iEXFC2pMOdu2FlcW+MpXuS2k7a3JwV0YHOgB2AxgSyc2betA/IaYIqPd1qtc9hZ5KybEd1G7P
E3jAvoHXd/izL6L2mcptGW6xBh1Ri6+oib7cXoKLQGMb0GKof4KcpHCwlCsraL8DOffaJ7zog72r
RNWGbTz9cRst2Fa6Un9/93gStwfPx3bQ3F4qa9RYJafo0cWnJijUcDNOtSm2Xp6Uz1qWFn/tYCqT
w+0hlzJMHELAGYh8U4yRqO+LG8WNC/pkXX4KZaN0MxXBFCobkkrFQHa/C+AJYrlZc+xKHB93GHPZ
3Z7Uty6RgAcu98XSQ73/YCByIaCLmFWkjiuBQl5qZ/ELWgjNUjhvNC/B6i4O4VSgxaBXgzjpzZRl
T2MzoYWZ113wJQnGqdrfXpHLnQdohVXmYmH/Uc483/cMH1sjjl0njMmnjYdzRsTfra8hzhCfqtb9
TnEaqnrU2w9TJVR15bC/dU4WswWiQk2OY0dRbvlKr+OsBiEyRKcC9sopQXXd2NrQrsTzaAdV8BiN
5tR9iWDU577TJXH5FPWJiacWwf17UydTcIeou/uFgFaHW9TgvBDwJ8+xfYo6Op53E5ppyABh37cp
xxjCEHYZ+nhwE714Zu45WSgwbG3TqIVhPuXs80fKBvFL5tWKhu+MyF9anFC8QwXsE0vzEYcVv6mS
PN8FhZFm4aY0GvgAaamhq94Eyqe4EHr8grph+8vr7SB6BaGazYinoTj1ATu+mThSJfprqjjBF6nq
azzY8zjh2JQ6Qfo37LqmPCbaVBqf8Ypvp61npLXhW5EZBn4Dewi9nxZPo32SyIePAtO73E+UH8aH
eADLf6zAXXyn1lCKrYXZR3OvwHHC3A6bu/rEFiq0/Yj7FzK6hZfCdVPCxvmYDmoZKe/fXTxXDalP
zNuVi+98d3GZ5DXaNeJkte3wMNXF+KqDTf4QoLnG6TOb6q+SVNZEdUYT+H1EqfPuK02iLQCc8Hzl
3jXM81+gJmrH6SaLofjSfayVNHqNoqz1a0dNg22T5s1WKKr5ZIoy2FNWUVfSqMvzxSmm2w8tmV3E
a+R8/LR2ZhpXevAUWJGo93HhzRh1uwM2aLqbzPW48Wqcb78hH149dnB8U99r3DlZWYY3CNz5OePB
RYzldxD6tGWtNrXsacbNVpxEjovYBsaFUD+5tdF8GIa+ceELZ9kH3gDOtxxiy0OeF+k3UOOh+3Hm
8re/pnFZxq9akBX2dyulEXaM00ax1po5l3cQHOa38jVZJwu2uIYbBKV4X9Bd1cCMPUx6HNTbKONq
2ig4ASqooarF79sR8LINadP1kggVKZ4GN2MxpshAXHlen5/6BnjqTlGH/FW4TV7vij6jCZ1GFpRJ
pMMbEX+eI5yIt3quDI+DFlewChQjTKzvt3/TG2T+7HPJNFEKmSEUYaCstjg41pwjDztk2nNd1Kn3
VAZR1z5PUsT1A3rMzeAj3eTZmzQ3vehlskZLeXSSElOvVi36aKPXcZS+gqYuhq3a9rTf9Eppk11f
T3nyBcDCUB4QJh+817HspnBX0Gh5qrVJHT9O3ZyN+zIwQnXl4fqG4FhMSopZ4fwLPhgz8sVdY1Rd
4na5aTxD/Jzv1Smcf7tdkRufHD0ID0ZbefFXUVWcSy8ahPfgZVaT3ptt1341cFtL/QiI9gfbTE3z
a51G1QdnoFxxAGrbKfhYJn322bMQ6/2YOb2ubOvcyb6mgS7WiO+X71KXl4rBgaI0xDt8mSlFNoL/
TpZ2J7VxGh2chYEfrK0WRfixHxpHbPDy86K7TFjDtin12nxJMADmPxnttnxvgHl7lHOiXRox9CeW
uxf1pi5HQviEm4ej3SmRET7NoioeAoBR2yRPs+9VYGDYxKLgHTm475Teg+8tixHwPng4XKkO9EFc
0J3wxpPZgTDfAJkx/2R2LaztoIXFJ7WNhpUpX1l/ir1UyEBlSEWAZbpsRB65Iviuk5oJ45c69A8T
1gB7CSDZxLzFsd1yk6Daak5QPDe8bh+pl6Qrd9uSxsvE+RWgFmR9kKbN8kE3jnpltLxETok+o4/T
VZXZ+ko+6g/K7KXhtldybbxXewrrhTX1+dEY3Rh96b7KDOw+icja11GZjfjRstve9JWhkbLvXhqj
BQT+Bf+5Cb/S25HlMtpJtWnKGdRykVkltJxfSFoTQB2Gx3tqmhLWQ6r3v7g0snlXdPr8FLTzb7xm
5sRX+9rZKY0yjluY1y8K4pJrngkXwR7ItIYODqm2FIFf8vxNYaKOkMgFLE1nH8XuH7No9VcVWtZT
kjalt5JsXhTQGe+tLwK1FIGBZUVjFo466q07nYjhML6jZn4uG9c8uEIPP0UY32/m0eN8OF1tfbu9
7PIUnoU+5L6JfOiEQO6kOyt/2j8PPOr0NbXr3j7NTd9+6YOkEXRKQs3ZBUJTno0m/U8UXvfl9qhX
FhjBKWD6kFzIf5alQrgIo1c2lnPCDyXrN4qIkn3v2PN3nHDjx64S/90e7+LpghwzaTxQV0f2FZex
qHH6uhlgtp/m2SL8Vfr42rV1h+BnvoaxvMirFkMtFnTGFlBxi9g62XkGRNjFl6nYqlbR+hHmpfvA
c8Qh8bJ0NxpjfIqxW1wrTl5OljuMCgUvZoIQ+ifnnxTNP4yPA089jWbl4uuWlWVzVwf1nNAdrOo7
N8cFaIdsZvY7bwe0jBRe3/N92lbmU0+76JeBY/FLBXiw28IjEfs8iaa1lsnlvqNADOyYEAXZ/EIF
Sum1ciTz1E+lMrS+q46dr9r18IoP6Ng96sivHQIkwov34qiAHFI+kghYHncc8fO1oS4/1jFp+QkC
l7oNXKfEnsd0XgpArHdUF8L72xvvTaLr/HwxOeqHMrJRvVo+mr1GjGZZ9s4JFVZbOyTkEsiwJKmt
bUo1TJ2HqFXbjgWwx3utG+xp34aNp3AjixbAABaiyjYWkL4PCSphJ55O4/DBmDsF9OFkqn9LXbjT
AVPg9q7D7DvYhk5RJZvKHZ0CvVcds+IC32xvN/OCtg5dqwGY1EXSS/VJ003wdcwR58gC1Cr8Rkex
+8XqLPMQQMCIvuWqMnyiCljnPyat0b+YxqwQGWjeuJtelMN91PZT8FDTMv+WDVX+IrqmCz4MvI2L
DWrZQTht8qG1/t5e1Ss7HCIgEURyFIghi7eLhc9QV9Sac2ppkkV+kFmBsssBKko5oS7Q107UZXwG
+QDeFS4VFSGE7M93TRsaOAY3qnXSOkgqW6MwSfkSzdU3NTqXB6dymvmgTaLDVdK2+mJn9ITr+xJz
hLtIOHr7Y8BhtMYsYZY21zR8/Q6Eq4aKGOjiPf4m+Eg6TUaydnuhlkKt7HUp/alLaL/MR5aNwqys
8xFVtfaExJPDD830yNfnxjw5lEmt19CU1P10VPT/sqRLdgk9K/cZKZIclfo8MrSdmOrkUJdUCLaK
2hV9slFTauM/FelL0uhunn5ixcN5rad8GUbpJ1OZpr8LfIx85nzJw0R0dgVCAWveaYYyVWAanjvG
Q1MU5ab2FM/Px+qH16vJnjvk3f1Vlo3NhYoSHAF6HIsQClrNzZOha08TN+eL5gXRD/j4zk4q5hyw
KK6/1E3fv5eLwceSxjcIBlGQB8272GZKmypz7zjFqRmHIvChHwW+U7rGXTk2gT+6ddPeEx6zuyws
AKTe3iqXVzLvBiq8pMySA7ocvDAxIHettD5learfqdVYiK3qYhYQU3v8lodq8vP2gFduAPBZXFKg
YCRAcJHvwYEqbGx3+1NRGU3vY9s7avdZl4W+KKNhG/VlyFMhSz7fHvbKWfY4EfDxEMqifba4n9uk
mmc36oYTNg1G+o0fAAfBcQBr+0PYlM2fWgpsP+YzXiCfnGBqV2LX1fFdGHlMUHY19PONDZIvpwxS
YJ2MQ3gC+gMGWWdMwjpMXo1802TYk7pRpsYVh0Kx1LV2z7Vll7gUvGXoX/Ln+fgGFO0y1RIUkPVE
w7q9jYW7N90+eMFMDTNqm6rbZhwVsVLNuLK/ZJJJ6YBgxNIvxqW75fWokzHvuRru9UHY4SZSC/WX
Hgii6RB4aynGleCH0AI4AgldgN+05BfldmJU7N7hNLqOGB/y0cj/I8YjN504dtIcO7CwfxLZNzxA
Xw9+D7XTK35djX2w1ZXeNo/GoCfKQclx/d1NIWRsimKOnW0QzerCQ2u68ec664W9u71H36DB51mD
lIig+kP5+4pwwaDHelFM2OfFmhhesHvnN5dNGtLANwJsmMIkfo5CatLb2XQz3KltElx/7vu2PjZR
JAo6oFjmbIpRVXDKho9SbSaPRvBWuFXp3ZVlVjQbarKlccy1Qk++lSg9DtsiHZ3/1LnVvs7WyPkT
FJ+9A5KYRYK1GbasKzfr5aYA0Q4YVAL72ZTL5taYOlppOEp7YqvGd1inBJ9DXp+PWawLn1PRr6Rj
l71OLkEOn4oYKCAFBFbOd3+rwSb01LpH8KxK0nnT5WNs0WbJ8j8RubhyIAqaCUBNdzZ/RJ0Yjhwh
RPqtMMdhRM8tGCkWNPyveqF14kWzZ/vX7W9/uSQSIkeuIVkO1E7k+f3nQaYgXBWPjTmfdC/SDARm
zQggnyek0l23T2IVGPTtES8jAiNSjKYHzPEkKT8fsR5Lbx6UYT61Jrq2g5nqD+GovAZuSXwqsBr7
nROIDrcHlf/T8x1OnQS9YaqJ1Dh5ap8POtAlRFp2UE89WsobdNvbH0ZkfcviSf98e6RrC/rvSIt7
pkAYz63bVj3hAD75eZ6Ym2Sso29uqt4No1O/3h7uMnFBL5XLm8IBVQxAPucTS1xz1NK6VE+YqTV7
px8CZ0/pyUp/Ie5HOpzozUgnyzAbaYSb4MaIgQ4ujCvX+ZX1RTmKnU5BAQrHEmPUicxzpiiwTo42
1diqK5UO9i9Udw2w0ZVTdWWFZSJOZAeOB7llEdrNyK2KfCh4nfTpfABGMZkb00rhUtWNfc+TJ9P2
txf52ojcnxC/ZfPmIlmJgtqE4zZqJ61S8o+xk0QHbzRHdPqyLvRnFIVWkpUryykrUyRIlBAkRuz8
q9ZhozVAtPRT3s/jvDMzq3ef1dT0pg04tsBceabKPbk4HVBUyIx4IdNtXSKSwanqXl972qkQBJhM
Mbz4QIm11lcq35fJiEQQ0tEg7eQvd3E2lKicAQol+mloi26rNSbNn9Qa9hm0PiwkFPUedGmMpF5L
7fjdn5ATwnsKiooEcS02TR8axlhRmT0laZU8RL0I7o0AtAmk4M7P0epYUV+6Ul9krqRuUt+Q9/+S
0SQqaotAr3X4cbm5HaMYKUiv6T7kKQbYWhB7Ww+G2UuLLs+jElTeVtTdtENwDLuG21O/EnAtrnWK
NABaNMQHzjcTb+wqN+JBO3Ejp5/mWkv+wH1O70zC7rDJtcycfU3RXWXlnF7bxBSnHclmAaW6PKfd
UE5CrSrtRKcXZ20sBMVGkRHINgLn1+05Xh0LM0lZVKRMu3wyU38yk4J/f7KKqv9RxUqNqIMFCLrX
UEH5H8aS2AmeuuDRliIXhRKHkT4yr9LIxj99AJMb5VK9N38WHY/5lTNz7etJwgzcVzQ97KVDvBab
3lxDHjyhxO3dmZMR7cw4b/Zeo87fafDPm6qexef3TxFUCBgguYWB1pxvmaI0u66rZ+0EE5G0I0zU
h0yv0mwLvICu6f8wmGxigNKnXrq8O9rGLVEPtPRTkaCJclRhlO8MV4GDIJTUWlnOK6Gcwgw1WZtk
h5bF4r4sBrcbhiQmlNtW7PkJzC6Vd7an/6iqQfG7XvRr3lfXviDpJmGP9EN+wvPFnCNkPQolNU6O
4la+cAoj3xSOG/taTCdXqw1nz5bWVgLQlRMh2Y18uzc4yxJQMjl1N3SzSfwRpf6dazvVflJKae64
5Ezz5fYnvLKqEIK4jNHecSUN8XyKKLf23jzZlFdFnd4Pef+3bBAgRa/RUdmfibGmeXplTRkQjRkY
fySuSxE/x83LUVDSOtlGqXa/+6b3hjtKkFZ3YE8HVL91OBcILCDzsiIpd21ocg8HYhKgfnQGzucq
UivubDM2ToqjlM8gtrLk4BhI3xwAqiU/eCAN+XZGO/9/yHtsyV3lMcupJLCeD2yHSZtHxPDTrNiJ
X6MF0u00MQePc+hWJ7VLi9q//Vmv7SGp5oOUH7xkaonnI4ZvNs2NoZ+oGivPwnACx6+KPk72iT1n
ycrCXrkyGYNzIhEaoDPUxQRHrYQGZarZ81zzGHQjL7N9J2upGuCP8kCCJva9luSbAee6B8VwQvEU
lUr4QDlF+3h75pcAOcmLBHIkC4KyCrlIVVwDS+JGi9NnEdp866JvDRM561F8LOp5PHKrtPdNPJWP
3WQPAbLcY+/b5Vj/AStJyTpOUcx2ERFZaVteZlCUmKlrSPE7AHxLqq1WA4BzrLZ+DuB/IIkdlKQV
ALQ+gPqhHIwW+6cEPNVGTHBGV+69K+1mNh+PWdp22BhgWHO+HUCuJZFozJZNX/7VlAnUfWRZH6o8
cg6RlmQf8zrvd60uzI3dhfXDYMX9SqC5PHyuTv7N5pCyeHDFz38ClXH4WLk7PpPQxN12FODeRqoj
L61mx0iK6bhDNxVaJyt31GWAo5NDbRYIEzB0Nuj5uHnZpn3slcPzFBj939n12nt4QI3yGcg+V7Bl
hk747psKVCnFK5JydMwuSDfmlNUhJknuKZOOnHWi65umjYudZWTux2yugne/OeQzEqkWNOu4A5Yu
ttEsBtTfVefE67X42/e9RXnUDr4OECQ/vfd0UYgE1EP+pPKQI7ycL6eZhVy2eVI/WV0233fmmN93
FUrpO2/IggczRSerjzp1F7UJtonVEOqfLaON0Ha3NPEtMqbit0i0ol3Z4RfvIFgW4E2JPHxnIPP6
+c/S66Bq0cmqn7JOr/6OnjrCb6KVsSaOerGbUOejsUNkZTdzkSx2U+uJ3NSCbnqCyeEOBzOPODFm
yxMdsd/8bzjb9v72iq+NuAhnQWy3aBCM01MHO6PZovKU3gVh23wQwGEOQuiH2+Mtbw7OJ0EC93Ku
Znbx8q6q7EaByCSyxzI3k3uuZeOxMIKThjLJWutmGRLfhnIhQKvkjpT2FnsprbIJex8sYoUT0OIy
Mxx13CAtvgGchX/ptvZPrSjyaZtoobFyZpbhSI4Nd4zOLvVtuhmLZe0aa9SHzk0fx5GWlEgrG+pf
5m5Cu9PKHZxR42/eZu7324u7/Jhvo8rwxyZFPH/pRpHklemVSpSiyzOrR71wv2pmE4GzmT8MWZms
HNarc+Tuh0TCa4CKxPmhwPsBn0GrzZBtGuDBhTSL9M0EIjDYlVpYb5syNB9gCxudf3ualwPz4uHl
SEpAzYUzeT5wFQWpSMwxe4yDaHoI4+Jz11VzQws5wCg9GcUJnvZ4d3vQy7V1qOCTM0PvYu8uW3FZ
r5aBlYf5Y+hKdnKRGl6zT4U5Dn5uBQZshKEpVi6XaxOVzENKIuSVF0+8vgoDPVZF/siVq+2NtPHu
VAMYcAgU/BnBiXRLX3xt0MsTilcPsErg/dDCAUyer24Y9RPt9jJ/rNBK2vVi1kw0Ebv5Ma7htL0z
sJKykiyjNQYulZLvUm2iqQROuKHl7UItHwzZ0w3iTZqp43sr/Azk8aiDrgrGgzfeIrJWhhakfdZ4
uyjgNgkm0/wIN7rfSNDxqXXbYkWkfvnp3saTJSV6TKRGS7Eu/OAQVSkdb2eKtNnkSpz6Tc72TNR0
3OHQhj+E065FvOWnextUPj6Q76CjuKyga/S23EjRvV3qltUPobTVrmxtcYjSuFrJyZc34ttQ6Km6
wLUoMiyRUxqqSw3VT/AcWWH5RaijO6a32UqqswzhclsAnyTJAbdCcX7xzrCqAVk4ZLqxqsIZKjQL
e2dGYD50Lc/2tsJ7o/AGTITHfE2W5HJ+jExRDDwupQteH+enQEdGq6u6lu83ZhpqAJq9j2xACreD
ytoo2vkoMDUyPbB7b6fGGoJ/tl7skHpY01Bahq63VURCSjrPAi52F3sf+RujzI3a21GrlhSQwdyG
RTTtXavtdqJFAOH9s6IohUYHhiDohy7qGvyCqjYB8jMXJ96LGZ6UPqRrKg7XZiV50m+SkZeudGqg
lnWbhe6unl37LqEmF21qPXd2c2FMO9uu4N++c15gFNE2kZmpxOAvY4jqzEE3tlqyn3u3eGztqXrE
TTheud0uDjEwYdA6iIAQsOQHO98TYaLZmKKD1q1mvdqqNjfpWOfxzp2qfGWot1j+b31fQpIBW3Kn
QZ6VHYXzsRS7VBRMD5N9E1bx5xTs4sHyOpx0MsjGP0wUgJ65BcTOaFy8kNrCCk6t3dh/w6zpgEtS
HDZXTsRF3OQXkRmCG2aNqRstflE5p+AhAvwXkbzL7jOjyR/GMsp9NGppetuz9jDRhVwJZteW/N9B
5TH9p9eZ4PdQlxCj99Tb632r1YEfoE217WOYxLf30NWh6MmBPiCfAGRzPpSFutKMm2iyN6NCkBlC
x4It3E75Xe/Gefk/jAaM5w2kBnNxiWXugqTD+CwFm9QIRINrnaOyJatq7D2Oj9VaoebiSEqEO0mS
7KXjTWYugmYPJmpqszzZV0gzPKm8ZbbqDIEozqJin8XOsLJZri0mvXNmRmGIq2ixmKEVB72pcwtM
ZqVTQB3GnSGc3K9CcrPb3+3iJqLOJWVDmRsPfeSkz7+bHpl6iD1wsDNRH3Y/IwVmZndWEhX1PXac
jrHFJDVAyIwEEmRiXyEKuRJ9rkzWNkGQME8pDLHEKKhai2B43Ck7PRisP0Ft4zE1Zkb5jDFMUaxE
hitf0kYcliKxVE9jdc+nq4bzwO2nkkkkxWgjeiHABLZOGQEepE7u8Zyq5/K9tz0ZCw818LgcDiBv
i8+JwnJL+btJ9xPWYltk61q/HPRuPyOz/sye7fw2rKPtnJRrForLr8ub9P9PCc9S0B/GIudtAxso
62x0xwz0yXyQsBcERYzmCQn7fvJh4zQe8kBZfYyTiLLO7b21/LLyRSx1eKW/LkoyS8ibdD1wAghM
RzVz3RrnRq/6DezK2PWdtqZfKffpvxH/bSzqhNQw5PN76SIshNckGRrKKPz2erSr+8zE6DSYKvwc
hN76XpXE8UfXDof7Fr0M5wMpgxcebk94GeT5EUCfaScAMJFV1MVyG5GCbLcXIyKuOsVd4OnhixdP
7se4bLyXeVTaPaL0a/5Cyy3NSFIAiUYS8nb8udjSbgJbn67OcBzqeE6+aFigWv4w8VT/atqQSbY8
c4fX2xNdG1Puu38ulpYVmNEFHY9RpY7136ZIvFTde+jHtjsl1ub2Z07oip5vj3q5n+h3Att5k5Wn
D7HIKlWlsHq9SadjrjSzu8sN0fc+4O1E27iiGdYgHlcmCc+LbO8NCQ3d53ySfYkgAfZM0xGQuH3o
rTb8nJjc26jCRzhWTbFYS5Eu9w/QSYx7KO1gUU5Kez6iQle9ciPsDLSZSLGxtBbPlapptXs1VBX7
ruc6eGp121tpnV00IthDJnUHRL559vDGWmQnoDpqKxDTcGxDTfns1kGHlWUmHM2v5/xZdyvnTusB
jT0HTWDHe1Qttc+BYjnpfWyG7Rpn5jJqSc0pqVoOLlmiCc6XwevNtsj7aDxWcRd+B70dPiSF+rdD
GOkTh8o50ZeJP3JdVSsB6zKIyJSRtiyHSeJDFtt6jrusqZRqOAZjPu51YYR+iDDMl9JqtQ95FMUv
Q0/tywzm5oRoe1avjH914gQvWg4SyrksIgZ9r9WWw2egutUDXLC9muJ+j81m2Nf2vMXqIv1SGVX6
156a4svt03Vl88FmQ+qGDB044Ju43D9nOqKg1wUjk0+jWdkBkUsea2/UnU039a0/WG0DU0Gt31lP
YOeBjvMkUQUoONHz/FuP9APoKuG7EBWR2E2mMx0dIBO+riZlvXGNNj8QM9dAyhednbdhUWuizyyv
qCVEJNHUyGqhehzdAFTB5I2qb1WxQOrXjrznLBixIyhG3P8S66TIzE8DK3/4HxZcetbgKce6X3SX
0J2eHbrzRyUK+p8IMP+IIjXCybPOlI9BJKqPrRJ5+9uDypT//J5kvcko5TsEaNcSnq1Oop211h25
8Gv7oEBwKBF6jYI/t4e5tplIK1EipZkKh2RxktAOla0xfFE0HOCJXs6UbFxVUcstIsdOuDWaRDtN
kCDLd6bO8sNSVISay8MP+v1iYHPC0j0RGbvYKcs9LrDB81DVr3mT5Ss799phZRzURMjUJRLgfOfy
RFQ7venHo8R4vTbVNH3Wi8S9U8JUH/aOM3WnUK893l5AUVcC9pWbkLteMif4lKC8FhEymCHhULmd
jjpN4w0HaDjqfVzUD8asaWus5ytR0QHQJSsDlE3J088nijaDO4d46hy1utd5g5SGH5mtfs8Tuzv0
IvuDmrnxnz3Gr6YRl7/fvZFIYT2oGzxkKcst4oPNI37uNWc+4pkyBXtyyi5XNwIPrXA7Tp0Xfch7
0am+M4j5vY4l7CV0REHQITANgHcZETsjbmI3GeejnpXx16QWHaLZkP77gzlP4ui2LgWGOoYeq7YK
CPBY9PmaLsKFfsPbjyBFk09ruFjL1e8wWB7SWuFTey5GyWruWYofGlbfPOa6mPPtoEz4sqLTozv5
NpydUL3PZy0ufaq3to5CWozLsimb5D9UrAIwPRNp4Xf64Kj9yv11JbjAzqSlCMMYdNNywebK9eBl
6+MRecHpm2sG5tZRq3hNS/BKYib9NcgFOXyE70Wa3SNDYSH2Px2pL8QYqM24ZJtG53WbwM7i/DBa
3ZqEwZUz4MIXIDEDFSvLZednoE3CMo71aT4iHaZDH6mR85pjR31CqLc4mWixppsAE6HyHsqW9Vz2
rb0m434l3gDTRm/0zbiULPH8J5gZxkWtFavHYnC0djOBNrYevRb471aNrfI5Dlsz2rqFm/qi52Cs
BNZrOSIBlcAKvIrfsKypge8QaSBy9ega4XCI4qz7hqQDonzo8I07YRfQaqx4aoI7d+g7sR8gW00b
EDQqtNhkWnkLXPsgsJpIksGr8JhfREDuvLHQskg9xuBytk3tmQ9NOUUbrdSz3Whj5j3qCux1HKJP
gVGFK9folfsN0BfFRYroMjIuEuZocNAkDTS8RifD+Z11s/OBDk/0gBiQVmzJkaPCtyeJ57kdDq9t
fZKF/9ejlvz5803gKnoUJnWvHe3SGAKxKfI57Z5q7tpmLz3ekSbVMb8M/rs97LW9hwQN8Z/rHJHq
xd4bDTUXusKpipTE8DX8Nz65k4otMrYtPlSoeFePdAmNdExX8D/XMjVaaFKkBSQzN+3i9rFUOgnI
z83HngKU2HZq0omGlz301NfUS7p4E/ewX763XTZIm47C2WIfqWubzAi0d4Oc5QGkoUfTRtb/gTKc
r7+ZmyGE+nI+RnkNZScB6VwFKGdNajn401Cjf4t+wmEYTO++i+vMDwpT3TSI+61shGvHEVUj+pnS
iADU1uIA0N9HC9Pil+CrVv2cOrv8Cc9B2TZNKO7ENBr4StmFsnG7mjr4LKbiwWsphGgD+pUrcf/K
afAoQLA2BlqdqOufr0rEP4rdQecbZVN7Z1Fb27k6b1hfMfrySU/UAo5XHq1JmF3ZlchcE5BUAEo0
7Be5ATrERU6XfDpOntKoW63G9GCbUJtB18YmDCfbvIE04QZjicK1Rt1vZd5X0jCep6ASpHMpaleL
H2AoVKi7ifd6NKkm0jn4pCJpln9zM0d7f7Yp0VHSKJsqIg+l8yU2CxzfaatxAcEfPE5NPB5dTmS5
GQh4j3oDXWrTTHGSvZQdWp2H2+f/6ikER8oxlPAWYylOrOQ43iOvzRfGP2Lbm5P1pGmokKGuW4qH
USkqH8GU8mRlJo/kker4xqqKYO2BfG3BJXuLFxvw/gtWU6oWlWY1ctObGkj+fBJ+WEKvz3H9XJmy
3LOLhxLFGMohtLnBBy9LIgZoN/yMHfXIc0l/qey02eHcp73cXthrW/jfURYnB3ibAsJDU3ESCZSH
uawrhHTsVPvajmnwLUc4b59Go47At93e3R56eWiBD7E9+T/w/uYmWyKKSeGENbrzdEzqwHt0nbT6
llRj/FWdMoFsVKl7+aZrkMa7Pezy4kZkEkAhlXceBSZjL2pcGR2bGgMn52hE2RxvQ9A23gaZoumQ
ZG3Z+ZMtSsqkZfWpal1MGbGr9NboP8ttJH8DRUTgaLxvce1cXGeeNjTelGjOcXLj3vVlx9P0tToG
qZEmjZOshInLlZbCLzAO6flTh1/WplMPm+8KLQyMaqb0c5bF1TbDJ+Boz97wMsEc2znC1VbytWWm
IOcoK8OsNZ/5gv4dul1cmnnu4giKhZRXupO1advW+VSYwBBneKPN7vaXvTJNAPiS+SnbVjTKzkNU
VTZ8uqh0j1MwJVu1a7uXaFQxPUZMQ/i10hSfNG/I17T4rw4LMhY4Pq0Viqfnwyadhc8dBkfHMNat
e83oYO2K3vReuqjTfdQ3HBSJnXEtFC3jA+srAVOyqUt7h9h8PiwKkLbaC489VNpdssEnzPP8zDYB
491e1iublYEo7iPTCUR7qf5vIgDahmHqHjOH8kmeeN2+Ciz9PoOA8PV/GIoOnNTjhH+zvM+aojKF
N8Tu0Zq76LGpLR1VrarcDvr/cXYmzW3j6hr+RaziPGxJUZIt23HixHGyYaWTDgiOAElw+vX30Vmd
dlztOnfTm05CEQTwTe+AwPj//qgrjYGrFWQ/2OZ/Lt8IEzCqdJlclAn0vWOjagmUKfi6zNF7EPI3
TgJtqOv09opu+CODZLab7BZ8zYuxxPxh2LHmYApTXJZClI+jWpObf3+1t3YGAEkgr1cDP7DF/3y1
1em7qooG51LJenoZp73+WbiYP/77U97a9pC/IGTQPoKX8CpyYHQJSISM7hJHmP5lW4vmfTpEU3Cj
AJMXJy8outPsyfg9cMUbF3gIs5tWzHXwDgbnn68XFeMsXFN7F+VOGLlA0NhufbDU5zGw0AsGROie
2tDe7gzMYysrgrZ870J9HTWvZ49ZG/EDSLHHOfznT0A5MKoSEbqXxWh/THc/6tFC75vj0K6zyeKw
UWQIlcRO2G2YDv3vK38VN3KvQtVIibw6+QvXgfZ94V2icoSHsKrhjOlKn0urHJ42acXpCNPw8O8P
fWtTXW/W60tfBTJfrTrIGYtmVOlcPG9qD5JR319y6vW3f3/KH3keKwum+NoYBhAK+ffVrrK7Pi5x
3nUvHY6Atx0jljycRhDb1uTmTMgjgGmWetACUnkzoSx6GGUSP//7r3hja8O2QK8AiBzXwGuKvht0
sbu3iXNZA3/2RQ4/d/SzoYbnnLXIetVopjN9Emhzzx1n5J3I+cbugoJMV5fRNeJZr9EX0pvRaxtt
/2IWIe5lGzufRT+hU9ebZsq2fW3/9jDbPsRoWr6T5b9xVdFPuLbmuRUJoa++MvGkH7da+xcpvbE/
S9ObIBtrN3nxxjVQZa5RCHffkyx5I8IAI+ebIxPLY6NXKVkhdGIv7uRfVoimeRHs4yc0WmJA5d57
LmXXF/jvrPq6v64UAPoIqH8D+PjnyY32RqhFKfdieVXXH6fBXcLDPAiFCbMNkBXHdoqJ4MPiW518
0jBNb7pFJe9pZ75xmuBb8XFZaj706zduY8SnFS5jcC+TJkkn6Tc5WmX+/s5WeuN7wtLiS1KgY+Hz
OvOLt8WNR196l0km4ndPM2pI90CPuRhjvKTKeXxnMPDG0aEGp1MJkQaBpdc81j3euQfdzrvMi73/
aJaaId64f5Szik8ghJe7vUrad1pxb70k5wVNThpEhIVX28d3ZwPrsPQuzQhhl+afD1oIRKsTGD+n
KH4PyP3m8xjPsoMovnnJf+6hym/IXufBu8jKl4eowLVY2kOXaa9tTiQw5ubfr6M37gMaG8jLXbVW
KT1f3fc1kaAyu8LtES/bvk8nRyTrt7LcYpPDanVWcS7GhFFtoZrSWo8LAuTvQTTfuJhp12O7l9Bd
YUL/WkdyqqNelVMTXmLtx0plTuuU6svSmogUY5AYBgdVNc9uPiVVV30GgrEZtPeQ5MAxuVjr99Lf
PxeFvidGipwd2sHkUP/8CMhLRvXW6/DS0RpvctGP5rbGgjATnl9/rKN6+hiPdfIce93/I/zzbMDZ
MIvphgCifvVss0M0ZHNdlmaf14xYgs6eMH0doaHWq/luiSc5Z7TesJMewav//e8b4s/7ks0OlxoW
CFNrkMD/fP7uTr0jrcK/wJ3u/XTv2uU0t3tYpbhgNe8E/j9vzOvDcFQFS0UZ93rMOFUukdDvgkvU
yS2Pq7I71rqMzt4yPpGAFM9JAF2z88rutJu56t65wd58PNlWfE08gCa8WmtGXioQZrxKNY3bHXgy
K9XIAX5aSmc7QGNHlt8wBDgsUaPwFEexzn0n3XpztcGuXVeB1OQ1sjTBHCKK9ohwjN3yZ6yBPo3u
0t/IdX3voL/1pICHANZjZPmHVuuw95UOy9i/WLo8NyIsfgrp20d/Xst34vxbp4cyC+YhfctrI+Sf
O4hwi+6kNwQATZJRPSIf30Vol5ayXR/b0oilPMB/TF5AY9risq8YCf7vW5gkg3qS6THx4tWdJr26
agIdBpd6X7zL0IzrJ7vUBk+n6D2x3z9j7XVSBx6beQk0y9e473qrPXQNk+CC20Cos56EXuYi9Lqv
//5Kf4YFFDfo6NATJ6r/EdN3y5+Ur3R0oV4uj068fpzHAkn0usBWui/29xpZb+0W+lc0zmgAcBe+
ugWEIhZqw/MKf97WdByvtpbT0nXncO7UOxvmz7jOyyEgc20CEIReP8zSGEpS5kQXxnvhM+6Ny3BJ
9tC0v7Z49Ycf7uI1czoUU+/f/O/LygXjxjAOORWvA088mSWw6yK8DDaz7jQOrDhTfRBkVttUder0
9V//jwfSTsdv6yoP+fpVB0+7cS/i8IK6rprOcYMJBjJ6jfgwD22y5FCe3uuVvbW6wGLYPqTdFNPX
rfVf0KdZz7E3b1ZIxq/0o567+VxGOvwQKNOcdynsMWti2f3vZSxAL2jtgBuANtBo/udjuTdryJLs
oGjwVTaBaaRgHermrpIKsYxg2rZ8Kaz9aTX2e9z2N06Lw43KnYqmBCi7V892e9fyZCnjS1dYJiv3
xsplWzK11XaRgYPv3tlGb5wWyA9cqgmao9dFfvWurt3T5uZ5NHWDG+B18d1s+vb7grXBO+JOb70a
3ccr4ZiVRRv/n4+KVopYX2905hiS5vbc2DlwGT/bG2eGGxS9Rwt683l0HknPrgZWr2UQq7kpwqig
AdlNs75ZFyt52MNW/bXb2/jQ1vN7oO63lpJeMtrT6EsSPNx/vp+MZni/mL8Aj+y6w4gn5acFu8Ev
q7dZ74Hz/xgzkt4Ro4j98Iyv2NRXR6PqWnQRE5FcilkHx6mV1uc2rvZ87PR2xEJ3yHzLq7llo20+
OA09KUb+gfOVpqz3Tm3zZ9Dkp1ynfdy516D5aguFkhzb0/TxhsaSmDxU5dduC5wZ6eWpuQmdzXv2
fS3641DU3Y9/v5T+kMe4rgMn9D8+IVy/0at1cIdYoDUxJpdmd21osl131XdMxh+jLecmXf12vvET
BEosvN5MGmAgyggswa7nsPlz/PVqh3PVw3nvHIMDun7v/6qpXZscmOvyP2cLp9bXcBihlaqRxJjz
3nFB9vRBXXsZ7bFpyspaoA8RtoXdHGZcEz8OAYV+Og3YvKWL6a3xNFvL0B0CKzFfcA8KvNyUYACy
xDPUVV7TB8MhdAb/tqi9IsivJi1etq5+8bW0JrpcsEa2/ZnQZZ8d1VhWtgRF5W1ZReK6TllVJaHx
s9Z3Gwf1isLMwqB02TrVnqFhI4sH07ZgPsvZQ/8BTeS1c+47K1kSOx1ElFhnv8IYe8tKOjBiz2B2
bfIjGp3M4tJ5mlcytWK1fIGpUKF0+cVxplndu0vVUJDtReKJz3Rx3OHvYCmj+FxgPqK2dOTKd+Y0
0XMxntCAKwe4l7tI2luFp6JJowqH5JvQVr7IxjkunMcg1uBTawXEJyulWEM0MGBRqReMwFiRvcYn
1kh7a0zq+Kg63WyDC9Mq2eJBnkax6PZui9XsfygF0mWXDXytPLn+2MRZUrtthDvE1rVnxEPt5qaD
H7p+ofW4tlmH2mGRu8kW+i9jPWz1GRnhoss9UwRbOgnKs6M1jEWcT63ntBnjHqEPQyjc8eNiHHf/
VdBA8u5RJ3fWe6i7zSLTJEBs48FCgR6PRgQDmkcThuX+K7CGWh7jqpLl/YTGoXVccVWePkaiQ3mw
xtCoP0C/v3KfnBaiwQUY2izWG8Cqe5INTbPGL1Mv+vVvdBNXJ7zK3dbTLcPLdvy5F4yR1WGZFtR4
8wWOtJ+hpZ5wkhxv102TxmUnSjS+Pe0ZN8OSwea7yh6G1RfXTAUzHMLh1N8nzaaKgygp86YU/0lh
VWlilX58t4co0OVWv07L2YXiwx/bG9ljiMUEKCzlfbFP0XAvLQhjTabCzWucg9Sds59X5leNw0tw
zh8EDojUz8kEI73MSA6k/grvS7e3zrr71pH2uNFNnjTW7J9wDXMXKMleVa4yc9BRmpbU2fRSLjB6
dyBwByzGa3y3urFQ4W2XYO2Z7wBt+htUwcfk0VHSq8LMMU4jHxBYE+MvUey1zFa7qkYnL8PWjGO2
7CMAHz/RuJaHFvKBbZosC0uMwpxXyiVz+pL53MEEu9PlQXWVUuws/HjS1VhJ9MNqoegBJHT6+2He
qj4tnHpK0is5qH2usfww+aTUqO4T6loa2u2g6md6MCjlibaY1HHXDPPczHPL0H2IGGnuh2IefffO
BKEObrY4onQ6ND1gkZO7Fa3+XrQMBW67Noz3p6WZ9VriWzYaJ62WvRa/kM/Cpot+USET8tdK2zvO
65Ydjico8x0IJyvqrT7d990uuJtiI9S5snVkbiByVehQ2KO7PY7BNuKNpIUokss6iGBP276K/F91
744Ct/lqmatUeol1BY/OkV38KvzW2n542PYOz44oV3U71FNZfxJSaPtKYhHWd2wtPJ8+O2bnqU52
P3ksBtvYtyUSDvulssLRdW9KlMsLlY49w4KDK5DMr49tEIKN0I1qw++lpy3xU5p5CEADMarMS9dU
5lQrZeuja2ZX3PJxB/VTIQ8x3IdrYAGlC/3a5ixgAFUufxnR1fsRIldcNaljgnk+i4VOFWElnpyf
9PNtIdIBAZftk1UM/CEvlkV9HtwtjI413TnxQY3azA9Oqa35xlZjuz6zQaIw85ZVmywc/FGd5tBZ
9bl0Z7s8b5NymlvcANf5r62Pomq/DJNg1BTOjVPdoJmzFBeJmf3MJaUsBkCuGKTzY46gKN9Use6w
05zQ0vnRKQJIFgM8mpo07ONp3nNPDNWKfIfCq/l5T3o/mLJC+/AsbFH69ndInCq47cpt26Zjs7Zi
fnG9AcmGJW4ZGRwJM605JSrE5ySl0ww/uoQegaeD2quqz6piWdSZmKf1Z+mv/fgCKs7e+jw0xai/
rxvbxxzLdewiihqwSuqD68hgu6lj4GYPUVjSy4TGXhRn5rxrl2TlJML+prWNtG54dhQ+7cu2yC+l
4FTfoMQerWdluRJAeBD0m0xRL5V3AEGLiUp0jJsfQWiFy8Uw98BR1J/qLXim418jkt6oJXQPBALU
nZB3RemHIIkc16nWwWYW7H7JSE4GeM/0iZ6y3x/I0Ht6kYMKVKhSIGlUJ4kGFPi40cfu8g77EYQ1
26Dt8Xhbehk9Voqs+V5X7d7m9Rxb3pQCLRby0EKQtrLOisMRHzE0XEBsIgbSn0uU+AkWGpxtxrd1
kc1opR+eBS5ZaDvXoEUvSWf3ZV5bW19+C8I+2W69cB38JV+9FtNfYOpx8s2MsyU/oZnnmjyEYz14
52GICuyaxglH0hQdGYVbks057R4ifym/GBto7x16foV1mvdOyjIH2isjle4mlPuPelxU83sctM0v
7OlsJ4+bGPT+3FelX1eZokLes81vC3LFFRX25cEzI2ZV+5R427EZ0UHFiQWMqvYz4uRaPBW+4x33
1tITUDJEhE8dLEL3Qcit7C/gDqCjHmBoYDqTONcVaUBL/uJW6tZ86tvmgAoBFMrN3YchxWuv0Y+V
tvhU29J06L6yUFjBqCT43ZS1fIqGoZyJ3B5SL8bMI/kY/qSXet2Kn1qOTN0tRdqQbyWqe5nLvO5b
UMWxfFCqi+tTM8ZDdzJdTcJto1gBK1m4+ggNM2iPRhX4SRRalYiuElS6h2UogoinDXZ82voR3SAg
yvMvGRsTpHEs5HeEz8Xz4G02EEYRzc5RtqbB9lmgcbw2+1LlgD4MSjg1TnPJCWqKXx/NFmlzt9Yo
d50dy4DS1JIwets23fK0el6xPmodW8m3oqsdmcLwDT/5NIytTxaKb8tP3bbhk9M7M96fQVE8bnvA
51y9GVVR227Nrxq6Wp01vvKfxqn3Hgdn3/006dxEXzZU0w/blbZzY6NKWKUqWqfq0DpTSOar/YDU
zkXEHb+lzelP3LYiOCt3XP0UDsP4pOj6S4ICy/T30Pt6yNBy3rdDHBaIHPe+Kp+KmQ2ZOZHVPsle
q191HE/FyU1Mv33f28hrfm07BmPZFtUhu7lUjo3ZG67FRV4uTCq/k2Ca5CNWl/3yPLljMIHSFThM
7EjddJndWlV7R56k6FyPNcnMQDDX5OeFjj4S3qR9uzCM9A9JvPkmHYY1to+S7brjmSmq6HcBVoti
LKEcPAmwKuqEhTLp8oLBbQ0GYPbNozswMrxDn2lZXnyLMVWqerN0eShikZxrZCN7kqhdiFNlQuEF
B1xMQrZP4K1RDqY8uvXXLSRbdrgG7+bZ2PLk+MIKJeldEuKPOwf2p6Zu1r8rG0e6Q8Av+Vx7VjLl
hDDfTcN4nrcPe7E5CVWTT5qApuG+JfKAExKtj6DRuj7U2zyXt4yT2/JQaUwXUe0SkTr3sMGTb4TP
NsgropR1Yni27kW62/ZgHZYe+haz6bjtTrWHO/0D2nGe+FpHQ9Tli7JH71Qtvt1nWxkEwxGNGbnc
j9tgmCCpbux/0CUxTW5FNSFOeFxn33S19+7NFe8nYRMsa3IWGDv0Xz1/Dk+6UANQn9bbECBs67Uu
UXEL5fJIZREtB2+qY2TelcbzyVXQPKkO8f2qi4vdx5XgWHtVdMsNcjX5CYZ4CLOq1pgNV1uCpOKS
tIoVdSdm3e6KQ4nfNEuUQYwr9WmHVjWlfizq9ms/2N6MkrSn9kNkVrMd6rgv5nRLELG/WXeq+dxF
Kb05VAr1ysyrA7HhA4gB6otRDQayXY+IuM0RIsUS5z6ZtnX6vNM1BTgBGjtZgPGOztSa1KpC0chL
UKyRox/jAtA72Wbol5V/43ar/dD7kr262k2fHLxw485MxwIWWOb7axLcrYD+wlTiDVJmphhmvHPn
upvTa/az3EvYCsXDACJA/BwctM4PYAPBsxpTRtMHqkEKv9WbEihkiRCf6ygEtMcrRdahBuP1IwYR
z+EbLO9l8z2J0ZMuGqYzbrl4N44w03CrcDMOszLeUNOU9pg8hZEMvtT81O8ByaydrpjhTBhB4/MN
i8TZmpxjjBRfzcvEP5ousqvMMgxZIJDia4BJXe3deHvjf2wpuOiMjE6ib7bO0v1JO1iQpOh8bPFB
Df04pXK1RHIoYjy/Dta6rbjRq37+YGoHXJBTrkAZmqpwp0vd+xsXAoyutKIhWR02xxvKFA8+Oziv
shYelbDyX2hxJPLYy3jy0GRXnc6QvB5UXu0K0JYXl5GfrqhXdmkXt+F2cq2WOIc70nocx84OUx8/
vN/JPIpvXeni7oxRXfjbHhLxF+u6t9lSoR/lJYPCx8ovtvvAukIR7CaYI5KOpLJylfiiSXEmD16W
2QS/y3VuZ6zjjd6yMJnb73XUQEhRknvgAEK8p/xRVVfc7JVtNEQV4MKu18gAiCctlMPkS9L9KBG+
k3pII/wVoNatU/wAwzXVCFJ8Dgeqk1S6a1jla91EFpC4qKmzBU4gFNnFYGtoWdNocZlG5mO3tEOS
FbQt7qx5pSkzt8YZc+1vAu9nskwr9cbN4IPsb4XJepTIrwaepnMySXVSZks/JFHaWGv5gT2Ov1So
zbqfZoqQD2FdXvHlBTKoRxj4BiWXQk53TlRBll19s7/A26XwWwq90x7Q64C8M6oen41b4ey0RH79
k/qsh9RrDdtwXq+H727WQ+VkjpZyTos5gfibbKPzGHt7jZqBncyPlu/X5iC3LTRZBz7qbkE85h6O
REO1yg25cPuO6rc7VqGdF4NpUOWbrP40tVzSB+BR1ZhFdWMTLdeiFGkjqItTa00Yle5Jh6fAiAz+
b0t2uN06I6onGbusGbK57qdPPr/MyQF3iTKf7G3dD6Xc0MGr6VpEKZ5S7WfVuSt6hKsiPJQjGf1B
hNL52Xo2grGmd5zqUNFp5LeICrMPpAz7R4NVn8y60Cp/9O7U1bBwa9tKqWiBtgemWbBro/Y47lQn
92CraHvGSxVQ0a3QG3JhdDhzZ9TwQ+JoCr8uPVX2FMOQovANp2cG412QesHuuVzPu7cicGcDqFwq
sIDFOqIslowTH7gaYzKceC8pChyvMgVrfE3h3BWbkEM/hb8wU4FR2rqbzNw60n+rZePc2M5zXY7x
tbQN/lKycr6vdbwckgGWVmYXXfVgZrot3CZF/FmLbZDHwQuJuCUQH53i0xrSBOl372Xi1mzgTQSY
YLY0D84cs86DCK2dNh2XcfXSytN+dOjcfRP820ubo6WkIOV7yMulIJWwXXXwkmlYHeJEOq6OU8BY
a5HPjbstJAnFAyu4oufDJS10PUMbFc6s00hVrkD1r2/bg9PF9kMox8kmOtsudmWbTtwMbeDkl+/1
2MqWXHwvEkFcmYYFBnlpNMz9RxKgCa81r8U4eQt7OJku6cDyEbRiASJg42dpTq7OvMlrukM7bRZZ
j1J6ySLZrP6HsADCy4o47hEyPi0up7WD4hDITv5FyuBCs9HG+rX0Yx3kazOETx1Ruc16UyoKbDsu
f9vV1E85/afte+viZHdoDWVbOpXQ0LIdf9/xCaSyaD8QXtbxobc9fRvNoXySFa58aV86eGQSpbvj
HoPrvcW5kR/ZmcjpGSeYQuUC78nfe7RMVVatqgnI7j1GjYjIz+eabmKU1Q1eqnhXJ2GRsrdwtWvp
SJRH8GtNf/RpPG1HGohULX3Y2KnS405g7+eiJGRa9ZSJAMptTnYxVJADWiNzmxFK8tme9wLV8XBp
qBTb6mVbLBnnGpFKin41tXXuGrv6GErLt29cTsySwWPtzM/GsoFC983gmztH09O/KQwsg3Mh96q5
SUgG1KEgLXpS3l7Rd0FUCVRF52rawJTJU6a3MaJIV65/vyHg66RrhyQD4GqM5k5iHcPtsM2m5I9M
kS9uSEZWO4tba19T20PQImNCynDJ6baqxHKNRnYWywBSzlT6/N/GLLM6Nt6ytfeWtXfTYSZ5EOQI
bWWf7QrUnxxUWJ8wl68q5h6AjLIr6zDJKMmxWmCiXo6nVpuO+isZluAlCqpoPkYjDaEMr+iqTemH
TtNPTB4DJggWxWdWiThqDx3WbLgH73h3xmwAu3eu/eD/ZE1m/7xT1NQf491dnl0yPZUpFfKobprK
8b6saKefOmGsp4kWr5vqoR0kI6e5j/ps3i0H5lVfhL99VxHgOoRT2lTLhBq4M4i2pw5YHitfKIvW
bHdH90Ylk9anDpzFswBk2WazgH2tMXTbj0VghuehTmoYoOy06tBQ8LVIhTDByYn09Ay9fiyj3I/a
6ENrRTRsgnKZbBTMG247rnuVR4m06gzuy/YJe/D4xRZWXN3GYjfOo6t1S37j9qXI4RGPQ0pU0d79
tW2rD67c9v0mAoH1SULSGA/LiDtNXrccyqOzz0WYcaTNgpE3xe8NcIDiUduT0LlRgfOJmJsI/CTt
7mVcTKDT/aqycpG2Cfyc9iq1T7J43qeGdqlMldNZf9VRp7sUMG5QQHU2in6ExL2QEq50vQxhen3j
VxDiM+G35jff3vrbmKRTaU0+8LtXEdVN11d7k9qDvzJ80EJeZZ6YzByTqhFVPtVzIvIKh504a6Kx
+dl7uxpzhUAJ8Xff5od+Cry//Gvlk4479cOJaqAVTIab/raLKbYPW1y6xWFRs/km2z78ETIA/F04
sv8hEgsBv6KwBie1sSdYc4ILWVU1tnTDxhb9lLs6aLe8VfPYH2oaArwzZV2qgnr70Mzj0GZTtQUf
+bbRxmH2u2dfR32NQEl5laMt5+C5pdpxsljtxid9DSOT8dva/ijIsmkcYnaMjSeaGhgx+Hu55oYb
+v56Kr8gs1MMWQy1rM0LZhn7EQtv90mv0VXUIFi+DPEq14OsUeA+b+5qngCudOXBH6b9UY9EuDzu
erNfIH6XW06dxeeS6C0kWTtbzH4wQ+0Eyz77VRYiXDBkU6G9JVP0SLp8wLJiShMDdCwN1qakVovr
nXUuu1Bm++TvV21q8F0tuS/m2UuVaHoFo4wO0aDjQ9XMaOSE6CUeaSa44ujb4/rTIaaHudhacTMv
S1JjZsl0hEnciITNUpS0Pyq/L4/G71jBDrHZPu21LJ9MH9JUZ+92L72zruRKS7jUWYsmo0onPOsf
dy21PmjXqr4wW7dlxlh7/7uYqYwOommGIFO1jJ/WXuvopFEt/57ghXG7WMNk7gQl040MyjEkvXeW
L1WwTG5WAaVYmS1N3XYAlVQtp0mW1U296yg5xgVG2VnA6MiitJvKW5oty5TippTcah9QeOoO+7Bk
sz2WF0jz9ZA1oVuoQ02guaUc1mgDRIM3HdpRtTobNhAmmR5UeW27JT1ztojGJj3UuWd2WwsDgVbv
4suIrpLOAwZP5GNkYtWhFtb0RD7dz+nszZjgLWWNpaHxzP7bK2L4wLXb7/e8+F7eB4FVLrdym6n1
3TYQP2Jkk6x0mOlCZz5b6j7uAaNmJnH7b2qLaaHHci3itNKNedmHzSpSPCZ0kRmaE9tRDNHybK8Q
Om3Gct+KMrS++MIufmBGNCJA3dc0q7edInGh/4oVc7v09u3giX7JXKcMLh456ZwxZuy+7IMofq/c
wFtKFV1/8CGNeimN/96kawXoMRO2Y32rVqvu8jqhBMzATe9VbiVex4DP69erpW8XN1lrrCsir3bp
P9UqQZJoDtmIh2WGMpj70y5J9TYVhGloFGI6fSIirPf2yIwHjEWYJuod9gCPHRZGI1bQ4X6YMJg8
LENALWAP5ebdBkZbTjabkRaR8ufuMfKWK712nXScosDV4sKQdICQinZ9iWa1iOMWJNZ8oGE0FzeW
GDr3wQIt2hxFSLeXcC2jO9SsF5ceTitfHIPkIImv27e0C64uuv2qt/no+HhZZqhVESnV7HA2Ir1p
8s5tlV89xfY7RmWJY0W/d+XfsY73nZHXJPlnRVRibc+8lL/fukt8llQ08dEEJS201ZE4JPllU56s
hunCaVCdmh8mqKNR6nYLXUAGHzN18kAmm0MV0nFGNltJ6jfu6CNAr2I5F85kNHmI63yu1qjcTzSv
SWTHtlzqQ4TUzPpBwv7l5DRXs/DrRv8EtWno8rlZBocgIcqm4cDr0qIViE/fgpR5uKiTnEY3x8dG
T8deGV9nm4lVndJBSOxz6DfBV+5UNmdMI4Dd1yxYz3mhCSwCPEkJHPRhu6h6mGhRLta0pRYtK5lO
jPlo1ItqrRD9m+IkW+xQ6sytSvLHhGIZHYkuQSOvpzX91eW04kw7uOH1g5ikStl6/FcLp75tqzF5
2rEODDMwbrQfZ0xVYWz5a/VjY4ZDVtOBU8hLsbnOuXKGbSerC4ofXpugIeutjdkPdmSVtxFiOV+n
sgS27MQDdQJwkqTJq3CZFGk9GAuAbTaq2fU8S/yyYzITmLjVnKFVUO8HY1z/pdNiRYtGe/E9eook
7razDHcMMHpxYmrotLdxFBT1vYVvn/gMrUxbZ9AlhHxn9+cxVcrZviXSaIZiLfoKl0DLavrKjhjx
gQ6mpnmoyBxozheM97MuDmcmfl7rVbksVcR1H8k5PoqlYMplBd4n7F5LN19XRKqhzYXSRslZ9CTo
NvTT+yuibntYaMC0zxzDsq3TIlnc7b7pnKp9Woj5z4Vw2+0JtT+WHAWruM0Z8fZ/+YM3tkd+1lrC
wkMk/cM4QeH7Vq/OpO8LcNzmtLjlmMcz2f2571pCotrxkk/9wQ+/r703ofpMi6s698ike2d7UZ39
5C8xX2TbWn/MxzgcuJRReNm4Bqf94/9xdCbLceNKFP0iRHAetizWpFmyJVveMGy3zBmcABDk179T
b9PREd2WpRIJZOY996ZT9/12Af5BOMp2d67Cs2Rw5WaTRNF52EYmD1lAyapeh97yz5bR905TTkpT
ePWQ1OOfXQyBgkUpNfZltIpfqJ0STzEwbcLhW7NUoj/shqWu96ahozmNvojTl91ERpxUNJjxSOZ5
P9xXibPPmc9ePrJCd+kYtGa/VodBBuvwUNUdNtfbh7Tey3QPo+8r+fL2yeUJK6llUPPCb3u4rG54
hHWcp4YwcRpjismdrQatHbe/cuu5twzXzmVOvOJjZe6E18hYxDC/00mcTXqeTV605fxHG3S/I+JY
+2uHCKqOLM7p0txEm8RgrKruyYTR1l9LofWBcZA5TE71SkM9c6a1z9w3H0WUFIc0muc/3apn1q5P
4c/6tnQ+L8a1/rVjshNP7hrQ7C4g/7wxye+WXNuPeMWzOJa4gRYWlJQmqVkNS0vvsyhx6HKWtMlz
PZfdh6tsEJ2csVOMCir7K2YwmnJXdYX+r/Pd9ilyZoZ5LRWIzoJp2sVd16jFHhLtR2/NPJcyUyZM
v3atkCrKaa4v5RSmT9AWzK2Kooz/Tn5QBicu/zR4G+Jt9E4VxZrN+6ZsCUp02igL2abrXcrQ28+I
5v494y7GesHQv3mgpyfGG4nMRF2Zv4FHFvkCGsFxEzTqOCdjY06rHJQ9+ewPY3luT8BPFRIHckTx
l0cnrAhQwy4W5glNCUJO3IS/G1kxBWDbPadLWW7FH2Ts8XfSbM+A5anMW/aFMPGeU3aiGw87Xbaw
KaXK8EXHx7lUzEaXutg0ayeVOS/wQPMhUk6vzl7HFZVVOq6dnCcnZStv1M4ddSSdhbK7IZAmCegV
WBKhX02xLtelxtFLz5S2v6gP+ifIVocOLJrDy8wj6dOMaR8WcyxbnPddXf0jWyu6bcse4s/bulWX
7izZ/g4lZOdhLcb6K674pYThXqlX/KVxBi7XVohvWj41oY27kzHD7P+ctkR+raNtmTU7isF0rKrt
Bzm3Jd3Bfpv/hK4jHto+ndOfGwSQ/9T40vys9llLBo29FRcShroGMGdm99cgoVeyPRRrnPeT4OVP
lIdeOGONOPvFHhenyYnr+XES3Roxb6/CryoZnP9AYMslY8LuOG8bRRF2Hb9em29b52CV7BOTfIm9
4MUpbNMepbRLdQ7XGOV1pgZ7qAfZ3u1O6pJtUkJzBPyuBDqGXY4qbIfxjUeQ/m/sbeueHOUs66GO
mmk+rtS+U44JaVBfaqy0gcXxuGsEx797cfEtMdGcmLHlPmqJedhmO7n8dVMKLs79XJ7rJvErZsOr
qijRZbicKtZSsVUZZTiVhw4EpM2L2GUPQpdaKvh5j/iuooLmr4sdUvx0ugW02rQc481EvbDTuWpH
cXAbd/zB4mq+/FoHmiyRaW+SzOiyAG5IfYajPqEWKbVNwF2QiCpeshm2Hxhsjdr6rpxdVszacQy/
hDJyedqEobYLdjIdQVGcNGMnZfTXF1oNhyWYrcrFXoLPrAmQar5JdtNnxdaM+q7b98073RoDZl8O
T1G0MnDPuHSD4qg2Lq8stXHNbGbcpyOqA+RHqpoU5CjQNXWjYI5ykDqCeGmgi+ijtwklY+yWar6L
hmqPLjEeP5WrcC63K3u/gupY88OEJ2ODxCD6hLKCxWvCx8o23etY2fkH/UxBvy0c+VYWbnjlqlFO
nu56ohHd5W1Srztxnfu97DOc1UNzLOpZvm3IuH8au6VPweiPK2XMXP9TVJTMm1Fgh0OpEfSZc+/G
u8SbT+kF3vbcOJv5ckTdmswCz/lZP6X9fTM06joxZyRtBa3rVpi6c+b0nfdFz94DGvpe/32I+7bJ
58lFemuXsnOzNiqd+OAmyn52VW+vXPf7fcyAHm0zqMou53R6LXeHf0M5WbFQCzfJu6TbCE1eKz74
uHDA2Vgsv4YZ6seWHlUSzHde060fAZnu4WEoioEcrHXr0MF8M9yRD9oF5GcLHWJinJoXr1xbc280
7VItwSYzXPgkyXpR7/vZFrjzx+YN0WnB1QNN4JGDeZIU1LdQq7qhMxHTEjMxaYsuU3tKLe7ZenwP
k6b/4jwEAGnLrnpxEqc63m76PefqSIqvBCTwlCQFQivbGDpokamYPwpSLxBjqYuTc5gWYZe3veQs
4CInUtCrAIh4abqA+8xu3BE2mFfNkgXcsMAY5XoyMPoP6W65XxhWd8sB89BeH0E8kI0F++O6N9ZO
ys+gZ0BxWAO3969sCVHdQzyUPaKWp8dxy+vKq9DQ4CuPSD+qOy/8nCCmKgz7jGGTlOj3PMbHcK7q
Me+iKUBe8Bt6BruTWX2e6CLkk0q1s14JeVbnyFMz+8M2/3WxidMeVVU23beuaPEvNXy7lA49PyIL
hdA/yhL71UXVhWr5RZBNecf+GPZshXsbMF4UUAoPS0mnlHP/sZdsJx+OZjtcBchCLz3GfZFg03WL
CYbWfyOd5qA8onEy1XRS512s1H+2bcuCbzrpuiNTfvBcTe/zJ4qHysuRiMPqAEnoO4fOKeLfYWgJ
X7AI17ktJ8z1Q5tWp7iP4ocuWOe/fKriyxm3cTxO9KDOxZcx64NjEErEKZZcTY9x480awrAZlj8g
1TTsAOPe4xDv+/eF12k41IUw9xuluD26snH+kEK+Pmxka1XnVTjJ24q5JMi8rtPzJdI7xWzYq9Y7
8KI0HSZdYgUPfm8IwVJQpAyypmKgUBiIZKI/KOKPPdyY2ijP+CxxHYuxeFm6oKyvG0BHdIgDs/Yk
VMW+Poi2Dr1TLUaHC0C7WufTTgouqnmXOuctipD4ZrdbnnaigSa2WhXLwBMKjR9mhROvqAVzmhLK
WFhbXFZvhngiWIcGYkwoSNomafwrPRDWNc3bHh44K9l8utRM/0571/hPpHwCiLjeWLu5s+zMVpnF
6jgrQ+uMlOLSVj+quk7Er53+qTwPzMS6A0/oYNwM8UWuVy7I0OQwqozzLOhRnK8gy+oQkEMVn3TM
yPOwrmG0XlZ3hgKPWm/nyoaSK3mmR66TIeqd3ylQ61cTKq/jWyiW8OzSg8S3P8nd3Gy8jt+QUlkE
OIsi4U9OJSc1oI3zxtrGFUAZy1OTBQJpxcZL/7MpYMseCbktq5O/SvujbdVcH9a6ifxTQGuGSiPl
pM9az5YjII1b97oI7utzW5OP+xAw+hIn2q9YZR5qVnymxmKI2TDDcy54VoTIp9XM977SrGCQBedA
krR8vEJM/5kuivQ5qVURUIHU7c6BI4L5IbL88g79VJtX1UNzMhYKZz9L5xtWL1B15Sks9qZ83jt0
/zzSfqBPEXdE/M+Lx/gDC2xhTxYJM75r0mT54/NeM/7oPQZyY8RCq8xhXksmXl9Cq+yz7A8UT/Oj
OzrNfeMuwakVZn1Mx8olTIAr4Wlg78A7iOQSHfcOCwNQYLL4jxr0YaVt9v3XkVXA5WGeSBq9K6Y1
+B7OU/rcB9PW5kj9/Xp0TSi/Yfrz+/sS/IPVkG3lII8lhbjodGKqEtnBc44xiiMtTdB8bLpU+3vf
DFF72fmJn7CAtoS2RQAxZ9Zljw/4f0BdJoMj4saJNBPXNm40LvWojHIoz7XMglUF1Lp7SF8c+wv2
csG6PeKiSadESEoLxRCNzNLD1BTlP7236XaO8RhtecOu5b9QsbDAFaNthbIR7KcV7zWbVqvijvBa
NR6Nb+v3bYl41m5i5tu2lbTtaKo3fLyslHNQpq4/rWDqm0Xcw4Cuxa+uX+IHdGr7Coqy/YcHKsZX
wJSbAQ2QK2klVdsPD6YO4F7kaoKjrsPmQ48uU5iVmzB3gG63bETYeYOT0X+tgZykMWjiFz+qTJHJ
ijiy20h/vNelTe6Waki/DyjGT+xx6b6WVNNMLVWg7pqpDV9qz5jnYXb1T2f0U4qO1KzPE98cc/4x
7H40E0X9rkJtMzXOwVe/86aCbZHr1pZhf99Pu0Pdhe0uD1LHPk69g5LIXdKHsbRkpffR/tfVzN1H
c4PzVdj/VAndz9Z01DUdipdXRs5hSgJ7vM2Nj7WOplNr5Xje3Vh+jbbzr6oIo+uiHfm+uIt7XwaL
QEUNaIlCOVZ5OqD0hYv3CECpj7TR6yvo6X+VhKohozzNZEMSkehcKguSmABZ+mK/dFX6G78dkR7N
TX4ap7MTj+oZDi56v73Q59ZD0ROWb3vdg/oi/VKdE5k8lCPzby/YgozgXfTlcOo+AXnTJ6TfU5p2
r7JLPNRN7trDkAanxmzLfUm2g3Q0u4GTr16vkAhyux9AFDP+q2WKFdmHZVyG78VMSOahHgFx1vd6
FLRXJHvqg0pGM+SQctF7ctsldQzjxT9Ies3HsIpiGPFRzf9F0e5Fp9bt4sd96abrukRLyeR3niDh
kwF2pDZP+NR5uhkZQHsnUi+nfTCDPlZNuxFeM7rxIUra8KfydvG6Y/j8mBNMIdVQzs+DkOV/K7w4
pRWpDb+jPnB+aBqKX2IWwXcpevcZMXt4cZauv5tKsS65U7X+qeSueHAH0x9T5tD3iPpUyXrz+n8s
hSzhbAZbZUkwRkcNOIT87qVPmwpvoJFRR8as3S+39bYt61K3ueuQi88JjDR6GdnoH5Hckt+KW//O
Qy39l/YAR/GTi0wywfJrRtbUOdMJUMI+klAp30tXUcUn03TPpAybel/u4zevUM7vEOfJkTIA7dZM
jOvS3fsUcwAqurfeUS9z8J7wrlza1dSoGQS6UpJ/K7m3X0iI5UuJOfb+1OnNdGHDEt4v3O44czvE
Q08uoO5p7Z7Q1uIPKK7+gRJ54I2GSn9x26D7weUco9wV3p0jCPiEgdiK4YA10TnbNenuHQmZDTck
JOqK29s/fiCqVxvhy+nqRjzFsrVvezN7NvOXyTsZjEG/hCn8z3qdJ4vhYt6uFGvCYB0Jim9kBfSf
lvgeoGE3qL/mqvD5+mVRMxqZjPeLgYB6i4A/gVW2iGfODh1fp0Eff4EAJ/KfGrtMr24fCEaRqTfd
jhFCarakxDZgVt63csAfM8q+Pq7D5D8CU473Cjzy3oPfyFQs92dLTlh1AM9zRR6uEhAyqTjqOvrI
I5PC4SUd2w1BnwHie1Eu9WuL5g1a6gjLtLkcyl96K6TGXwVBpHYx/FfppcyXCK93FqkwpWkIWXWa
uU21sU+aGPHHlDLyacdxoZjymv1rcpmboK2AIfpBsr+zuWTQuTt5s6nzqCNq4A42dDG/nd0ihmd6
96rpQjniBq++cmrvjj6MGdGeCqG/hn5anYzhmvPhV9MSAYzD830WBgz+0k7l2v+dq1E2zzED9/m+
b1zPo9VLivlIx7KHzLlE+x0GMuygUlrp9kcAk7XJp6Ubd9ooGblkDu3jXFYHu8s2HPix1ta7w+jR
ble6DAXBd9uhidvHDsnKnRAMwPT0mYINwvO0depdRBWg3QHpvt5PdTwV8YtKisR7LHuw6GMYlskV
N8z+HwnWdX+otl5Xl4ouYHiRPeXCCSDIWudUzW6f7E+DiKZ4PC10GE15XmKmdHWWTGY02O5SvGrf
pgki13DjqT35lGgOEc0R+juuBn/cNpwKIazycvZnQI4ap9zOxs9hQ244AscmkAtqLyacwQJ6wnno
BsBFdsOhwtDRDk7jLSNcN3rSdLDQdbbM/TWq3CeJuJRcvH5RBZ8k+s30l4PNY3667pNr1NUrWKrx
o192I87QZ7XSWWLgd32K9kKz2MpJlmRbWBZGn+yc4qRey++aHfD+W6KJlnyChJk1c4zFd1qWeGIb
eI/cTsurwV0Xo4NQa98FUAIpbaxd10NQegXh5B0s5rEG9GsfqiBWRc7PXS8OwpmX2J/8LirQ+2i1
vzWmWuf7NnM6/lpip7f0BFvDuC8rl7J3Pomv8kiX2alW29dIK3d+GhFxvSt26cE7k5IxQ8cHM3oM
z0A7YoayXV8/RSMyHhzk4vjHALUmPndDIdW/KJLtgjgDdfwNJ0Mhfwy+dpGeV89jKuLbiRrV1KNb
P9kepyuzcrbAeIca81Fx3m1kEdZozLgufEcoit0e4DQvEyKN7h1gjWLH45H49Ul4fu3/rFQdi0dE
zo1f77yIZXsqULWS77hZMBU4shrIs92HtHnpwIVZck6yT3FpdicuMqLft/3ab5jynpe0XgoE/tin
p9gFf2mV8Wkl5UUkerNAT86ilJcbf4REZtw4hM0zCzc4hffEAaOQ0Rgy+GHJ2Dw/i8ow/8hKMbVl
SuC9asLwzE+YxhfXiVvwZOzHurviV9coxvGMfJ5F61CWpDfRNoc/nS7R7u+gYR/xsV0VRpUj9uGx
QObEAXXLByrmVJ+HksrnOPItem7eKRatn/2NNZj+lQM9obTW9cyASHqj7/8aHcEzEi+t8MThhslT
8QoMW5MhIKugaMVcE9qHwjCuzbCziiEv+H3GGuLvNgE5+EKOMBiM4Qv3o3EGf3oJoYSa58JN0MIn
JhPzPx2Hobyj2IxnLEoVvDZMUNCUd65KXXNGoFDiN6BJMf+bpyFcrtJjSnuE7K0KHtpym8461mv/
QJyCSBmxs0P9oiYrzb2QRVHkbgwEekjXwA9+YTUNmiMh9+v60sAwidPCGLB+5P+ewmyLE+ZiWI5R
rStJJ84IsJz2oyi9MeIp9YjWyZ22Wr3cbToe/lPCmLv8QaGoJonmLazv3IXpVOv1xJ3ioRrMdVyL
ezbSmoRjgG0NiNktMercGZEEaqfSsWtHQyf1fB8EJh0RWhfVBPkUB2JTjEjU5n4TFs0BZYlO/Fu0
Yw4BuHV988gDq6oL90G0vq+2Z6kabgb++00ShiWwM2av+xU0yNxQ5K058LJL+Q8PoGpO5eD6Iccc
VtaB+Lmwic7bRMZ7XhbjGIeXIiSs9tswDf/XFGw13qG3Bv6e+aXD2P+YMAqenlXcNM2v0W1K3lW3
kA7O59jxZhsQx2h34ZyJXjEb2ijeon4+d3wk2/gRKYb0nw6GFW9jMst7/zIk4dJF717hY2LOKlYn
RLlb66SmjSqnLrmTYyn/GY6S9CA606SnsFRGQV+Pu7OfC+u36wMZ5Phfd9oo8xJvA5d3TfjMa7wa
ly7Ib3t7WDuye3gzFt9b/gxEq7tYFEOUhehUD6z5eNbpMLf9gTGoaB7isBXBZ7wPrOtkD5GWJzmG
rFvIRj7EysGTju/uOkVBWjz0ceQyiOjYehfciWQ23dHnwOSkhWVM7zem/sMVXEEjWk+eHB4nb2zb
u5grFgVnReEYMtCBNeVh2lf3FEnGsZfOtyxDxBTjz+UPX7Qsi2cwmQrvYtxt9N332XDg/q1if6h+
yJa4Lh8GtbGRytAa9wWCifVSMjNLG0EENQouyLrMMY6hYajg0Tuui7pb/JTp1HFl4dL4IJWLy4Yg
pDZeDgtBqPWrTBCnZdYldgA0Rgbssk3Mdfp7JhlwKZnIi6quSAgkFPsUzE2wekcS+SPfPCehlvsV
W/Uo/2CKQOXgp/DF6zgy6nxwEwDqKh9FSZPWr1YXb7i1FRsFVkYVRYZBGKh58Fhifd9h5m7RifYy
LHGIFsKeZ8rW/8I9mtRdoAoSJ4SJNDJJPKXjt92p0vlnJUAJAs61Nh3vUIGUYA6JKjbMWD6Cguam
5XOq8ipZkTipdaboYMukbc906GME8xT23d+OtLDqJSLZov8HKTlV//z1tnYzWxT541DtAGwbJVrt
TLi1phDjJsZBPxde2YfMYGtTfuBr6JqrBk0dniMYhOq1czFbnfYmiOV13RpFDbQT89Rd/ZpaymYx
VkJ8nckeOsjG4HW/jVRcSuTpKWoesy5jb07dqESDYVylmzlXoeOWQ94YBIIL3k2E+OK2WO3e0W0k
j1M/u1+b7Lr2FTQ/XAxcKu/eXQ/Dddd4TEepz/EA/xx0mhR/IdP1KrJOQ1HnEyRYnORRMcbjH8e2
xb5dtrKM9UcoCa2QWeWR3pSVRJMQ5IKQw/Q+MWUbktcbJjRZ1rNRnE99acxpTOtk+uxnJuxYIh3X
/gCzMBKDBfeP+90Hq+FmEkE9zLkMQM6eRm9LkLo21ynPDglgEDDBuAoGSG5bnLj9OVgNE3MkqmQS
6IpGIXmeOq+5wWLooj4iukO8t+vZuTkXFEz6MsTU+A0lYNOKz535BjQr5pr0R6AHUhoOzCQLZTMd
B033H3V9CaxLxiytSogIWzxsvoonojiYsL6h+2j/0MBrU3EhnMqXEuhq+yjhvgimEFzX+ZCIKPjL
/TJxNmIsI0+1qJlim4oUgDrzp7CYTnVae9MTXktRHxO1jcF/RezEZjkETh+sp4aIroaaBGbZ8g2W
0fybiRV7fQPirZqDKwLGQBl2Owy4W9h5sN1lLQgR0AkyhnCMIj1ukWZkG3Uhl/BWLpfju4iNBbQP
dd30ZEWquPqnCo4zKNHSdut3PNfJdi49kggA1JUtSRWnQHRvxjHcjACCtCSeO/ryz7bLYnXysTPU
Eno2vCAR90D8nWD7tXkAsMHK3ZgbEzDHuu4v9aAduBOWaRDRoJbW374HitV0N30iGu/xEhPvIOJm
ayxFJOatXwSIzPN5CjGfXVRqu0HxJI/CfiNXAtnuNG4L05gtNDiLzpKqp8pZfOq520msUMXnNinp
cvlVr+G5D3UEQQm85PmYyRZbAMUPW4m7bi28Lnzgc9+3J20rfzwFypj0D0ZUTqzcSZRi+UlZe9v3
kQW1nxBgwecYuJZbbAQoqh8aHTIBPIKWEscQetqt7l1PClxfPOfNDDOiGDzlrBXq9gdVzd7yg/Jz
mX54Kx5s1vpyVa0PnSNwfVKIxXO+aRzj3ZXnXS5JvlFVYaU1MReooIUyKvnutPgrkvMkWl1CjBbN
zu6oThIMnoypXU5Tu2zqm+f3al0BStdKBigOI8TmFY+X9pbLgtmvUWQT7Xp4dmPebMlsf9l5hMeZ
5IVvcPeietnpmbdfLVSK+B2yXc7+aUt2Kl4HDtZ6hy513PQ3H+uwnbc5goHCMWmbMnf6UVkQuymh
j3ZMsO1/CSnD3kSxZgKPNzVO4cJRwKpa+FmoFF0/z+FkxJQRfBGIFMkRMpvbmws3mh52coqX+ciM
MR4kUMNiIj8PQotcfQkoxZt3licM0OQgDqH9L93LefvLHMBRf1HrIu9NY1uN/1W6Xb0vx06LaTOU
0KDzHjvo6XU5Fo408jw59cL7vaypiRMuqXJVYe7agRiJQwzoiaOlc1TdnTuG/GQxeBjZL4Mw7JSK
x27zfgylcc09OaaTemvlmIRP8yQK+TajqzY/pwGc61Stezo+OUhwUeaLoGHJDq19/Ttk4l9cQ5Bp
7hFuUTc37LmuD04VsD3RRfcJ3neG/tGbs1GzEnniy9tXQNh+sGZL/PmGTW6s05q5QlA5B98E/X1R
Onv3Iwy7MH3Dx4Zpnz659WTujpzIl7RoIvcyMdYKjvHACXSveC6mMwlPPnTP6JAUnFQsoMg3i9H8
jvgOZ70lC+z0IGGtjeVQ2qbAf4HF2YNL5EYpQ08ybrRW5zlJgWXQutcd9064xfWd4QGLohzjQNxf
0aImbydsOmCco8u9FscexSZU3LkQZFPOeo4K5GsIEzH/ISSm7/RhLZGGqeonQSk6rq60It8Rr/7f
qlk8yDC+DebLjEWPrFHKIDR98bX6lCMj6x+jwp5BJ9f6KZyw27CJeverU9ktZXhRwc2sTPYEvcXd
YneMXZjTB31DUiPc14/81pyNrtjtRziAtZy8K/ZrGZzkLnpF8dHvOP8HXGvJIzWYdF8MTrltPuLB
d/AIcLLqR9VMkTxVk9XhCD6SOtFvSvWK8DCsv7RkSx/JA7o2uy3pQbUWnzQQoeWJhliyhyAAZ19y
cMuSiO4a84ZpHlJb1RKrqC/V9m8u6rp9nFoOrGtl0TXuJfwvxkDuLEM8Seu6+SKjpGKA2JSyudPI
ow3BRDuHGXvSJgbbZMRM1WnnD6avpoq2+byQa7V8n6FGbufb4MfRR7/Rvn+RlpCM7zqSHQauwrMx
ljuJbvqBicYhviSCn/0wQ+rPp6mW6fAJJ7DRPVPcO/XfdXTM+ArsKCjksCXyGoNceOZVbMQVI565
1Z6DWHb9a9LrG7fiTi7l/5xoXJIm6lYRZ+kwFVP0UA0dQP1cwnKcdtUYfd7IdqmPAUkXIcEMM9DF
Q1vGDO7SwNr+2xAEY/o8tjuS46o0P+uaUL25OSvX9Ppzrfh4R2qfkLP33DfMme46BuLtMeSzT9ND
a8s0OJdxMn8utwQAfJ3pBj9ifHf9nWhFZOMdYz5UppB5k3OmnmbP30M84v77VSRBzUAe1m+k5vcQ
G5qPnUiClYoNYLalsI+gOIHVCsyDABKj+OwIMFXf0aOUfEcoRhTNBr1U6yP4wbrf/mLmpsOa4jbx
pGKMXbup3OZnt5rLNj5u6eAyeS6Uzz4QEFZ8LEY6Pkb2yVPbE/fmgBIlFJ4OEMuhXQw247QK6Ama
Nlx6mGEfdqBhsFU/FWkwiQMmUDX/ttuyjxdY7aE+lHVE6kFCuQNeVJcrqZ8sl9FhmGSWgTzqypQm
dn4MKr9L3+04pJC8wZg4QcbxVU30Hx4BPRmzMRvif0kmvuUEZ2le43tL3neJvR57ZV1wrB1rt2FV
0hwOCg/5MMUCU1lYunLPB6fokuCpdD0qj2sbTCx1jqbB28YXwBtdhW80Vj7rpVmcGgffm9Tx16ud
O1KmVz7fBT/wlsYMmpraP5GE53ivXS9r9RpujL3fFYEJ7k8nQfk8FaSTdPf4hwltNY4ZkiKLqrCI
yFOIx+Rp1art79p6GbCFlnWQLPW52oKVVYezT7x+A5a7VdC1w22pKIK41/S09qEEXPw1pHrkw6hc
925NUlE/44IbaQXngVImlxhB5FmYEVU4g0jE2JdHZYX6j1xXEU7Qg15UGDvaOaZtxUpQzPsR2Zfx
aQK3Tx8m6iiYjwQ5mfSZoW5fXzhtkKEY+Akv+RxGqt6f2zx5jA359GD9MR8yEsP56wbvWmyUy5mN
UNMzMheZK6MDxQ7fMq1XczUYToO84Z6amkNdSgaaMVuWvLeuAE9Sh1g25f6pyL8g/Y0lUAOQAqB3
waPlB1KbYzrBlUIDVgy6jyQEgcr1jkmWlx0piqE/rqYU7kxowi3jrQQwJ46iqy9erVRfPd6ybuZj
N+8b+NJCGyafW4YCTn3Vt7qsppDACChzbdQAmASwGemkvItWQ+/3NK4pFgUo+1Dpf3TCOCQPSD03
3EpGTWe/zatLDtiJpemuvKfr35yvfZnSyc90OleeOHmBbTVbgfTAJ7rvCA85Ht1ie+3GyunfSHVJ
ovUa734wdnc4TVTzhCmnOQ003+0XA3QmTGhVkHcK6ykJIp6rv7trpGlfR7X+tZjCuC/LfX1jLpHE
Z2cY6v+qEgg1222o/Zixq7OIPts5vvyT0On+I+Cl+K8w5DSxJohMsYyW0r9vAzuv/yjv3ZcykDUq
pq5SNw81FiVMT5P3bBdmVKdOFFV7FYycTn23VT7uTLu8GvfGcgArm/iXy0x1IF5kJUcGXAiacsWk
3HybiRWUTxW3cPvH4OV0XLrytDIMnbzFX985Z+PEz5xoiLaP2WxUGBmtktudBkZzNxbV0/vTMuJJ
xKW4z+bgzu5C4xOYW0eASsGCZTxAILTVBLHkWXzlsNag8v/j6MyWHNWxKPpFRIAYBK+e7XSOlWO9
EJlVdRkFYhAgvr6X+62jI+7tThujo7P3XvswcMTDw5DZIJ85eNyfus5xfRP08S9zKPP2iMOZi/kE
D0zwjLbcaLemEqTec3JfKcueAj3dV3YVO4S65t8kGkD3Em/UK24dH3cDrFPxOaiYLo26xWx2Co3u
qksZN74H4jxRYt8MQ2muBfbF7jmk88z/wHU7Bh+ZCox4TGOWGXcODaT9XYHTADRMHSnRf7DCDMIz
UKz6ooduYd8eNUmC4QaW6zFJc2i5/LFOdS7rNB1xomZt5P9gz2t6d9uX0ODOGHFkecj9lbxW5LmJ
8zAU9cS2W1luPBt03nh9z6tQzfe4hwBBzP9HwkOSzp8C/KHdJq7HZL0kyonGL4fTMh4ZF1lqslVp
cv43KLnxDD43IFsTvhP0OTSFqct4AvmtPFcuu1bWjO1YFA1L2ETJZc8XtySKWARWCTS9tlZJtQ2D
tcLzBYONDSne3LSZPnwWpgGWs5j9vVcNTnDHGBW5dxkGPHPnEIEKMIdWbWU+gjDsnIub4Mxn/R4u
AutbMkz9SbDED7+dpIMBR0tCOJ/HqiJpqpO2esRpujRMXL6s9l7YMzAw18y8VWI8XIBdIMdU+Nyj
hPdU4fFv5laDK7lUS6D3cd0s0aFmSx38EpAPCQ6WhFr1DnPI+M2leZl3MbdwQqTlbH8tTlmOByNm
H8JShj/yQXTz2t6CGdETbeHTtK9Vls2YG8q8fJrTOfF3Lid6/mBrewsgzOXvgozOQ4YfkRSeh+d5
H9WhfelKjNVX34HCdbfwikTUqnpxqckvMSIzdLAqXyUxqWeWdCQ4wTS5/rETpKVxm7Mxf+r9Kj3X
vPKIIxms8Y+cPcWwiXmRxaeb5yXYgJjQHk9CTFgsMFFEqAmQyfiIY7by/8wwJTLSogGNfw52VtsT
5Jq6AacxfLS8g0Yc1DhKeriAYxOyE9NMvbSQDGVv5z3durQQZC7Xfd6McwB5dlv27jhBr3CchPm6
9f7jfVrjSOoIzqnmkhU4WIMj4bEc5ZVt2LofFpsFrDWF+okXK/SwXeKu/QLcSXi4kEbFtzLD0Ul4
SNlgkBAj3KpxM+p8utCyWPOlp2JIwMGHjYzAtbe5055W2Cz2GXAHCSru1oN9szm+YnA0TRnYx7at
/P8632//kQN1w2MSxtkDmM1q3ZeFYapyG+4oXJW5EuIJH+g/JglWjJ8h3tXpkDFsnWVWgIkeU6cG
OrEWPv/fICncdtYqGqtDinHlBS98SWCL5PAVbmBLYhyjtnfg7/BfiHc1354nquJU8uWoQ933ITsF
sIz0yDKkOBf+5cuhdORa/NLh8v8YF+PYJXVpfN2BOUDy5dLKD5e9UoRYMed//DqaXiVvuD+OCGJ7
LbpR9g9j63Zv/EVD8JWpajA/Yc4KiKX2WDUnr5j69pzXPcpo1+os3aMfw0TJkoEwgmcJwKOKtNVe
Q5jAd54XyjwLfOz25LCaBl/i1VV25dFqfigrrqPD2hfpi2EV6O90wHS9B9WJY7HDF2pYF4R5vIOL
jp86o+4CC0s/uG7zbasxzLY83ExFBVfDbi/oXKh+qqaGJMViKx1qQtFNKEqxc1GVcaYnmClJmXX1
FJ3gD2dAN+KSsZAIgeaHZPfUibV6ixLTqd0ysSP/7RSBXs6iAxPy5LpZam9oKBpU8W/rWgJq6DwG
zLXDxbop3QEFbpOQtSv3piocbGew4MKHDIXxH/s6J/xrwJl+9oNXlL/QgbF/SOTmB/RB6LDxOlNm
mKec8lnnWufEljP+y+qpviQOmC6iGEGuCa9L+ZxxFy8P0TADZCHz6QFYhgGsgAZQ9byte9h1wFkI
UGOeJaTx6JNsZQ2YdgXAgWpFYedc1WI7ofJ3b+RF+2PK0tsyYlUgNSATavchhZVTntskxFWc+tka
XrqEnz86vBc/Zu7UtNtxQV+5sDGcaiYqDZtvaj28jZqDZke0c9QACOz8ILBkTtsW7peHVyqWv2au
Y/rQ88D850BQvdEHWiC3KYZU95BUqUqP+RC7Z6XrLriysiRTOVQ31AtXq/y1YuUD6I/bgthCXo2P
FoGR9X5Ye6S+HXoK77tGdo8uDcj1ls6v5u/Mg4MmO1HxHbHFox0Cgd2hmUQh3G68ovEiNiKjHndV
IyuKiqdkkCcmAYTRaa5cfGbIRxRYzWv/wtsAB+9a5MOyg1+0YrBEefaTox279aGRdE6P6RzUx+im
iEeINvIYLXoA05oQCCjuWnq5Av/Q8EVVJ2SQjEsydy1v3zlDKPtLrFm7eO+edsKx2xMozPECEC9R
v2cTeeW1GojsHpna1EjDapT+tShsd6nxYn0c5xLEnU/a4DPHDI5Qyp35PYLlwdWP8YkijIhzwjkt
oh/H76kmP3Nk0lybXVaGvApZyxMDz6pI8BNjdg7uMuCF7n5l0WW/wZ8g6v8gQDbEp91U5TWUQZ26
9J4SxY0zTBJdfOfyT0r1ivKmOWlkxysDawhv8OLZM1YhZ3p54WUYiNo8XazFvJxl6r0ekvXUDp7J
Pmt3TWEpCqBI06HobdMTr8CeuzNzBIRiEJ7nb4Q/JQ9gdQ1qUodN5ID3Fs3IcRxQQrHH7w3rdU9l
EinTioA0x9eKp34ZzWexePUCGahdqp0PJSzZo/uD6u1nATKHJ+TiEsHsTxMFlQ+xLeSyk8pOtMbk
kym8F/pGpurv0nUdCkIaa8A9AGY8/wPnFD0He8HVqD2LXoKXGps2+epQXpI9Kzm24EWthTlpNRIN
j9PMXEifhfGf2IJ6+OQdb/MroIl+ByLMxqgpZjkXfJQsRlTcVB/4M4q/oopoluYUDS36Qzc/codf
mtca0Nx/gyHzRxZZ1yAHBKWFm2JohkrtumLGSEwsyGbXAP8n65xyBvMhFP6cs4AcD+ukULY+zlWy
hAfb9rX9VQhaQRFSk1hfOmCmOQYhkXbHuFch6VrNWndTrvho2QUDfa1YSaJonPScL5iwYoASGf75
8oBhh9umnJf6OXIqq3fFKCp9WHJhgKDUFWdnFiezuV90qS+aZ52AmVydo9K3xjzTdO5z2pVOvC/9
0FzXbvUwf6/8su9q7KSkpNvOnEuf+P0uE6bC9W8LvKBp6iGBbmhx0bgLRzlcF4Ln3KBWp782WUdw
rpkY2F57BPr8KCYuMhtpwzL8rUZiVpuKhf9fjtjsKR5I3R/Ji5XPzuwEsA9uYhF7537pMTOhwTsb
2B1oU7O3hL9ldIup8KxwcydaCGGlI126s16XP/VACfjnpyn7GGiMm3eEKbz6N3t2429wA64PkIzG
bMv2SGIyZXMHi6sO8Y0nUgQ4eUdyRQePELbexnZyfkeDMy5YKzyucKYE40bUfvxZ7ERK64ZowJEU
UdRGTRyBclVwV/aoAnxbWjkC/vB8vFagi+ffEZvV4rEu3cwQU4Yhzsw3qn58avteEHQnbFQeczdi
jjXORAaB9q4GHWGlT6RfBrIDSwI9moydKo5962tz3zHpmlNXzdnPVPISZrPqLq+ZnWZ/b+wKwqlA
vesIizIOb0Bou922pvblBC18Ylufl+Y1yYowOih/ns1hLufuT54waN8uxeNLUzqh3vrGIWHH/cGH
poN3diY/vAYfNc7+el9V1q82S17yEAc1B/+Gm/z8mWRaNru6afxyB+hhQuvSIj42a1uQAtTFVWW2
fhvBTOCMbJrqN+7CrL7TAHDfPQE75w5kkf+Mzl+/g9VZUfNENlzieDKkyjHi4Htb7UyCMl1Wv37A
nxb/Q1HN5DkA9TZf8Ne13UMShc3ZDBojKZCI5I2wNST1qSZKjfOq1PYhUBmx+qJCgsunqfT3iApm
j6XQEgrrTM1Kh6YnfUN1pTh6gRcl/6JpUnY+BNznp0OpQ5SHVADhPmhaCdIt4InkUqUYWXaEE6v5
VE1+dIaKOB6behpJHMx5gl17Zjh5IFCp3H3RWockt6awggQcTnSBx/ZYEBxnzYXXjpvfaivePZV0
owMwsvXNS0vh3OctYtWNe94TRIQOwA84hZE9j8UX+qvLI2v1lMiHOipT5wVpCvUoXsJ+vLhR5w/n
pcvq/lDg/nY2pZMkv5cuBT9RM/FB3F0EGaxoWDL3RCSS22/SIIi8dlUcIro7iww/CZiXMafHgGHC
rUA17wYjvbTFN27xMUW+leiGq2watdMpOG1I49lovjyRcN3YpEM+vk0Uf7H79cZ+Z0ZHFi/1zSG8
GZvE6R6rnqKo41jTSHheuY7b41i6EjTY1GHcWbuK++wwsLvYrhjtuDhSnttfzRQ3zZ8BysHjPHLr
vqY9nNi24eLA5jYPYINvxqGMmisbfmBisO2mDteEy8t/tsQed+26ls9VIOs/KX/jr6HkskOunw+S
peU0vcIEHXsWjvWK/istpH1A58gDOsQE7utGsgrPdNXsCrnG+hRZPFu81qrEu/QykZdlsP57GBfq
gY5iYDoelrb33BVQuAIpwJOyxFx+WcYnmC+Eyod7XJNo5tmCg5MguvHanZc7jfxeZyoxLlQMxvmx
GLiTc8tkN7zTMOtIDjuQEEGh8LopR/IYWxEAdN1IEDhvaLd8waVtUt4L+bSMh7hxcfNjBIxcPJaq
+Jgg7OZ73oDh/UzOvtp2c42APRdoEEe8qAyeQAwDptpNHrLGPi4Nm+d9wtxv78HEkn8L+EDNZZSO
l71EKFHivEgklhMJgvKrpignfPdYr50Nu/iUpg8q7e95tPz1ztFm+ik6FMeNypnxtquvivwCfLpX
+B3m6keHTvWkBrfChBcJiHF8d9x3KmkX/ypCl5AQtxa2I+TCZvsFN3n8rxSWN6PsMhN9m5Jl2RY/
49TtyxLW4dZRVVPtKNsc5x0wdxXuDauYV0V2KTwVs64GZOMiq59ZV8/yo5NsHd9rNxfx8zzys9lV
3BTHiy5752twRB0dJdOFf/FW9shbZKM439J4kJKZKIL1ZZq5S25hJhKZbWYsZ5su7paJvZ0dsEtr
0O1yg/m5th84jzxxxXsrljP8EvdfWxVJcBFhLNxP8qvmpR3rdL4MhZokEQjPG+C74st94lpSp6+a
PEK6nfCpL/seHOzLghOwRW0wwzkpWbf/agHy0qXhm/BYNQP8b0Z7AEvEEUpMEV841KLwPoa0W2ym
GK8nrWGULJyqBNMlSbsyqQ6DG+MHS1BmtgFc6D2QcSo3TRE4/lM/0yJ4Ta3AGwoI0CxbBDA2impO
lufcZpR2MbWP09b6RQjeovfabNtmnpo3SqcKV3YI5g57SpeT7GEegIDYp/6/oGVbcO9iuvoAsFe6
xxRNQvKVi/ElnDmfdlHeipXyEF2Of0NYaKh8CUsZWLR82HsF5BlfzVB4bFXWoQ13RYnCfM07dnoi
VCb4lGNn/J+YwfM8UIjABpAWmuoPeB9/2DLjtMQKZABjeUnH5MKWweNGvyp9LUZKonfE4FKwqi0X
qm1OsQOKZjn0X03g5Uj1bR+GJIdl95NUDUyIfg36AjFqxOwPvnf966Q+lwcw0MHfVZHOuM9mY9G3
4ipl/d9ym+kGI7ilcQtuNzR4MKlB3sUwMPW1w4W1mYDRQd2UXNbroB4e6VJhV4Nmm8ltWM0WcOlA
j2OP5bwHjFTRK8INq70xBvFBnXBCpOzDDGYJrwC3h+qko2FLN23TsbzxxBvDegR5328AiVUVIBY/
D81GcCL951kM5cBw+/YPBQEZJRXcJngLp6zoNu6Ujk+kPA0HN2djDicynl9nHCZ/QLxDZ0iKabbc
GlxwYK4/4XIObbicPObiBcclrOFtB6bpecC5ik2wBpmy6TAL+TsQkOYrr1YQohVLK6pVAhWV98Uq
IWVI7YACdMKp/VwHtPabs0jCkprVS71ac+SJgb8D48B57rDLpMxqZXfxk8QlRhk6omG7aoL//MRl
o+H4fn0obOX8YK3H4BX2SfloFo0on0Lu0ix+6/4dkwU8WFnSNcYaVAzbSt/WxR4Rh1s8BFzoLvEX
8a5F7v4a1NQ2e7RovNeVUYJvYpqWv+xI1FtI8C+EwIVKsxHKNzTssDSBQQVoT0F9i0JiqWr9aquu
/lkjkQMPRZ+hDE8FpNjScUxZ2lVRxPKcterG82P1ks/4Vjf1jNeWP22K/lgQqie+tIg2HKgdHbm3
onAObh5p+r/tzWerqlw/dUqLjEBnwa4Bl9tIf4lN4O7SCLvWW4+b2atpou6JU7OGRxhm8NGUbSiu
jzBcvysXojYDZLt+GBXh/+OXqfKtnKL4sfAmZgQu2YYgpHBsvTGewB8KWLMFr5MSqjukJF3iLZ3N
yuNyULL8xvev36dBrN8wA0pJQBPjdIZWCEw+nPL/bldjEPWru/ySsgqht+GzYoLj82Zcy1h72oZa
j6A1Drk2Sy7ZpUHjsRNyAa0Lnjfe3JyWR2pmmoRMbU+YvWQRUmxLfs9ncHZxd+GoDIdNDseCfGwe
Y22dibh8zaKa8b9DfH2eKoGkVDdp/KcmPAuzJCLoe5A6it89q9iZ14yvL6w3+Y+YWG+FNcXAD9MZ
jZb7tZWwPQYge+texGn9XGRe/q3NDTQYVUhqTefDQ+71wNMF/CZ9iDxFfpjBgROFD4JT2qYJc7TM
kqXdLsXtFqKahgGpFlGb7dvJH9j3lUWHj4JusDeMpQjtxF9u0Wub9OfJwxWyG/EY/HNWJ/tH808v
EPFjcU4jtX5MvAfNNhlq+bksTp+jNxXFG2Hg+bNWoYiJfQXmMYaN5G5bfwa1N7mcWpuCW+yvZPBS
dreRARWEes193y9xq7ODwIFIjqoKL6Uc2o/EstC6pHx4f3AQwg2BHcftfq1yeZE4WItD3UJDQP8f
zb4xqXyMQuuY/RCq/CrUwivZX9Iyh80R6seJ+eOPLfi5HAhjJM6GziSh9rAi0RYnFApW0Ai/1A9E
XEFXvaA3mXCZ/V0Y9jBV0aG8v14uPcx8wRIOp8IM6XOlfDAYk4/lcreAKm63bTvOQKj6wg3qzewL
wcPizsGFhJnznbB5Shi/l+qBzxLJeqDy8YzqxV9A9iczh4b2Jq5Xw6LvWmaJdhcnPi7zW6X1Lz9F
R+s2qDse4yJgfsLtBKfJprD7Ud7Vz50UcIIGsfVRYoySh3gAzk8MiHVJ/1T3uGI3NCjx623WDsgE
AnMW32VhEf9gbcfv7bd99988YTqgEqSdR4o9Rzief1YPEkqwUZ7u44cbDQAjGo9Vi9+N7bSPiR8z
RyOOMyhv81lj/+8JH9OosAAiwrREn0xanLBVa9YI+BemkaZXlyn3U4aW9fzBcoEMT9BRUTMR08AN
I2Jz5HR5vJyQmolatVNvTyVFCCV0zSp/DYjOlndh7nffRR/18T7OvRqmchflP5oX0zezKBVd7dgm
OZdrxszd0owkVHtWk3+TREdrulV5J8f2wgjnx2d2wJp8bYKjlo+/D3sTXCcOIvWPOh7LhXYcRHOr
gOpvtxiobYrbhE5M8lt6eMV27GOzkGgZasxR6Ca/+grH8fY2zEHorxdCaBb/PwnOuh/K7VqwbjB1
7pHx99P5Gzk6YKj2dLNcLTzzBFK8oDueD7dVM44hEK1T9xISsOgiUj2Sbo8CrwXB5Yz1zNmsff9W
uSX/HPUTVj8WC7uQjayd+DtJgVgxlREv2DTYraunOasGGliqtPqRbFuTk5Fj/Ob08WyxGkYkaXzV
mv86G5APU8Ai+WIcSLy0QHOh34Pli/tjMnTtK47FPtwYMydgKhqp6MbJ+kW+jTQYvs6guvER+Mlg
T97ig7HOKNGxx4Qgtd6HbeOq3ShH/wG5x4y8Cli50sGGXae7m72+GH8yFFb3n4NVXXBKDDV8HYLe
x9lfoqdsZtn6oYsZxbn0XT2f2ypWBMAhpbX1lj1WUX8bpM5x2DU5+WJmCpsRv914ZP2cK20y/Lgw
SMu/kxkh/vGnOPW1aFY/AcQyhCjJadmFd0OM+5ISpSItN2MQaqqkoDgN4pFue8ZADe9/hb+ZR5jg
/KoqcX/Ms92iuOWwuHCFqGWv3TrtgXSLyp8febXk6l+Ixt2fAna2FH0YFvobqEFZ84s8e2tfvDKy
Lxb3KluqZYr5gbcRsEKe1WIGAr+W4tfK4j3nGE+m/A2Uc7J85EM5tVfXG4W4z6n65nXH/Qd4AlGB
9M5g46POSBGF28uIZBJp4+r/2lPZP7JEKCEc6bLqdzr2I0bVEHFlw5o9HR5j01t76uq2v+N456gh
azdPf9mGUWcUYj3Cb2BTvGWmEf1bZstG3s8VjaE71/D/+KM2ZRt8kiL15LME5cqnjRuZjStkLHxD
NGGZR17iLaM18U58oVRduIfZmOzINF7IbT0LNHYeP9NuFCbe4Rs7ODtQuEbYHVM7s7cD0gMzMquX
qXsjKAX4Iov71DygBrThvjWs17/Mym+k5jsD23vAzlAXz/DFEEeCyNTv+CW7aDN2dn7MhxmiUbNO
K+5Q8K3y5NehXu7Qczvx3g56nXZO2Ec0kyB5k+GeU9cr/0MnWPxzT9xifBoovNPvrR/xmLBGYeMR
Ysbmof87I+liJZIKJ8bqDRJ4qMFmTw3mjFOHSwmRow3s+YDUDMqRvht6n2uXwuQTPFNG0cdvPnAu
8q64MNKvWES5+wLKcAL35afuBQhNLx8M5pPhWqPUHll7NA0GfHwLZ1IlQHtWj4XkD+zNECEHz7Nw
zsXkROUrAyMeeTj8de9OW1WSYXmNZd8Er+S/fOiBrOBI7+GBdLYDwArCgkSQXdDmMANeC2wQ0ZFx
3z3hiqjjV3Q/Org8LJXFTkdWPM1c9u0pBHZwnefMe02TSj4ODkGBfWWa4hI2Lms35IoMnEqhGJaS
kUef8o6pvi7dLUwSGWSzZ+Ugo19GojdkeUmKEDOYLDQeHIWjc16xQ+YkGF1QhI/+kPXTt78Os31A
QcKlSYN34f+uPATbL35TZbjH44nbg5tKyBFuauybv2mGx3Mp2TTQ3VbLflKU0lsCoQy5kkDERgac
zRfBfqu7b1qE+1brdLzvEifBDOgG+SQJoyVEU3uUe8IHUKTzBCl4xCd17/tJ94q/qfnmDivT74Q/
89vIgWVmJUSFiFKszX9E3PC8Q64UyEfLsuT5eWmz/BkD9prtRnAHw9ZAdYVWgnJwz6K3R5PjWyrq
bSfK2+soJMi17RwldmEZdOoltXrwDsGquKeOC7ZVcCnzaun7cuVjGKswPlRJw6IgjHNEiGZawHek
qkt2AXoST11RzO1u4jx23kO2udHnODpvGWEbchStcwwkR0XQ8Alv6IEQ8X3NxW5io+O3HOs92SLB
yJpop6TzZVkJGI9VgTLZd4hpsZXLdRTUUDOmQS6ncyNRRq8kF+L2vq3d/s12vb7h21bPfSpZFDv3
PUT04AlQfhUcDb/2/hhbfnHvrWC82owefDkgc8lUHcsxTL7yPJb/YtzDDARrMv2tVKTodhiMFjcz
YPOrHyNF2SZdOw1OnGZ5516LncMWk3cNGlxSNHrNOcNIR0rrlLK8JHVNO0l+9nQITAhzBAnStaBs
4ViQvviWeBbsrxvTwD4m+E0hm3bouXtli6zYRpgKy2PtdgXVnqr7Uye123LPdjSeSYpM/VPGsNbu
Q/z91y5B0d+xVHdn9olazBBVSXpjca7qx8l2IeIRZBT3HQIOFDrg1FwBJ6nEel3WEjav5yfanFQ0
6O5gXfbt+HI6UW9pdfWcU0Vumwu6X8LkgjowRluqGN3+4EoCTrsUBew5ZI4EIArqeBjwrZqC59A6
jf0I/l8uU3ZLQcpWUPN2j7t+OTMJBfm9EK3+5GaqhqPwohAIwmDgsWciH3YktDSBHIhpBz9q5oMj
6QTZ0JVrl4Makr44q4IlI+QTL2HZyY+m3YzRLJdjirSkHjwmhPUuDKMp3I+pFLdaj2Iq25MI8+Ap
NVOgv8KCmmi6Quxgjgi58j2lNAz6Wo3USSI7BsIGR552gkI448x1SYi3tpFMVEHURYzbSZ5F+jmw
Xn0OorpwoNr6w3rwWI7pp2hah38JllfUC2tjT90NbWZ3RtzQ12yX1t3ksKe/Y1GLsuG0ZBueJmj8
9NyQtXiqRayLg8fAcSsuacvgs8MvT/B8KZxvz3eJtiHyBGqPEc/4xXYCNlGfUB7Wl1VkXbIcBUmk
gAGbeL7g65h9RHl/dZw73ExYQ5RKGTWzyEGChaFH4rOvygOvE+cJ86L2tu1Iyjqhza+K1D6OAjlt
mxw1AWN173MzNY35bYe4ugsXPFrbhLV7coyMH3XQkmD5RIySkgl3a1XUc4KTBJBnLtPegq0/4iCY
G+jEqCEryIEVKTPKE2yvTbRUzkeO/fCuN7VcthF8HHuI2RPNDB9YBpgomYQBGa3jx0oeSB1w4UFE
Hg1IIqzD7TMvOPcXjSDp+tx3kgEPWbNtmJUW4ma1viGXw1A5QBDq8ZOiOvwcHhYizLBN+pZigvuN
jihKvsOFBQa+KOGfWhWrR68L2u+2udFC1g5Ecpck1r+WzsDhP65igaNUtu6d0p41P8otEv3skl08
MDBr7vQ2jJpXT6swu0g07vrisig7BoXf46ZYGuE+a5RD7B5eJL4D7/akFLGY6flrwxbuiR+T8LTA
Dud9RBNJymRiPHbinpfp3aozoN4UQ9IVhHzg57/sMqXBTuGEkLuFb6Ha39ipAa94qjsP3KBsw0k/
9uVLb93JPQaGws0N9AuWLEhq4DMm4ZLRoXzbOOkRHTlCMxyyVIbHdGJpjQ4y+OtLkPfLX4oton8d
I9EVCmSON0HQTn0cejmtb/jImTZCb0n/9kZn433vOekTLxyIWHiWRzBiPqjWjT8y5Z//Xwny6c6W
AxL7e5+KP9Q00+3sdmRJ9oDJeXMqnTfOtzMQ6hWir+LHKi/Cd3IerfuFrtrEL3PDexIXJUehS3Hy
qsOtF7rr+OUvk+sgGN1cD7s87+IUIwip5c3MDQBzvMp1fy7g8MpX7DkBKCz0UNb8a0DcG3ZUDzCw
9EhKJZUBOm5CH1y6y38BPjUkpwO1qrnMnszmHSH/+orLb8ju+YrqL9KcFR0bg5YT7Q7tcG8GEJ4w
bfU03Y1eToncJvdVxg+ar7z5ztgLRZ+BHgbBxaGpaORi5YpNnTsRX4vh+2XCA6EV8O5R9GzHoASu
5P7AxIxkWH6DOUhi3gFuOp37Pl6aUy2x6h4CwJz9JWfCC0+uH6b3NTfJ9SnQK36PQa5LRj9ILrIz
t2CM2BsXjTK9dLeu7SfsBOt6dItQu4/GhzmugKOha9CpUxFk7gxTasNfS/SxSkT43PhVf7nlY9d9
exMIAGX4TxHgqn/CskvbTRikMArTG74j/OddSARH6G9tnGXDazXNw/RndNTQjHi+emlf2jivnX0/
L7cHXYiIqwOT1GsmKpqgNzMP0jdinCO+buYGfw/9MPWfvLkwyTnRXNbuKQePLitNFuEVYyVbwZif
+PjBEtPUx6T2nWWbD8kIA8b2ww5sSj3uB5YWnKbxLQG7raMgWr5tmg7wiHl8l3HdJnKd3xy43f5j
CMYL5Zk+adb9O20d8u+3O9s9hva+e2CXGA2HlksFBoy85uKOl7FavkfbGBaLvZ7/lLNO7VNIEzm5
7XFK6MnhfUuqLZzD6ZlNiudhvbtZqzhy8geYl1KxgWOhho5Ph9ZWhHZuninoHOpjPqElbmcqQy6u
GiPqLeaRt2hVlLrF8d/Kx1sal+sSfYzBJlo85Tw1VJDZTegPNKuMnZj8gzuTBIf4ReH7bg6d7BeV
H8K7YO6V/Bkmm9ShhyDwunTw9LcA0yV1KcuUo8otk8zkQRWec6E4CbuKKGHx7FFBmab0GHvdtqTK
kwBOiauJPo6y9JSFGpy5/W4FnhMdfLZuP25S2hQ5IhkeWAfdfJnQZ3cZQeyVT2OBz0fmgwlkzg04
MBYWqjmwgEFdByp+I50JeiO3cgQt7nd66Sme8fW8Y6nbPmUlUextlw7cFDC399Qg3BqBrQdgbhuP
zuRePOjtf6RWpn0bCX2LR9ReV2y7KPNwfQIovMdyWN310BXX7VqSKaMUTZXzhV698p8HECg7ZKDO
7nzZFxnIA79b3pqyc3A2j4lzV1KiFF0L11+TS1GEbQ0gK1j+JUKb4oNX2fSskkK2F/p3iMluJALZ
c5l4y41M7M5sEuMJ+6hPiSXF5YvmcjHjPWMR5THmeGYkPIvUOe7TNm8/yR+u9SPfZtNciM/Ry2YL
8GdnNETyBDzmvv1bMvJwZphoUAim5Jy2sWCFveOgQZp3dDpTy93QQMRAndYhZSMVlnZN9D7eeIZY
VQwo18VfW7SXGng0+B62YSfZ0TgBO5Bl1s5gg6r2qwcqfMUUKE+ohNHyVo+S/MkAtOHUB32VbXGx
3zon6b1pX8YM606UzMr5FS+kKnm9IfY9sT4Inp2WvcBTxidEPXqesuIJyK4epVPiT9UoXt+tomJ4
o+feYCuQwXJ0rCru0ZNFcCx5g1xmd5lzXCHANx+SIDQUpfACLn1ir+H/ODqvJUlxLYp+EREChHtN
78vbF6KquwfvBELA19+V921iYnq6KhOkY/ZeO6wf8MyKvU+IDYjKplb9bk7R8r+wrkxeCU6t20Nd
hNbeVAPhI6IL1akImTc+Taw78x8c8hquXegv2V+VWwSgwgHlwWdB6nYfI2qNU2B1gozMCcP62FlJ
dTELhtzVpAoXrnGAp34dYnhuT7OGhs0WLPLKXaCtCcjOTFoD/8YA1bH5PTcWkQ5MJUa2acSoeMnD
CPJuOkHxAcCeQvf8D9ihRsbEXu+Z7z/l9wuDLNgWLhQCpARDqT/KMm6wUgfsDB0yiZlAsm+pt1yH
Su4Hbh1MOYNBZqvmEvAoLgt9qWp2VY9CYYBidoF1mATUrNmaLoczyAJkofwF20uIpenjZRsbAyrX
YyQTXCT00sd0JLJu3aZp8TFUYe7uQmLmM9LUF+9hrm0UBFiUOg+j4h26vbDKeUI/w4KDma6LEiK3
o2/8R7BuYIgM3a1hKB6skNS03zDoUiZP8Z1smFPKsRgbMc9YfpmTz5fT4q28GULCU2QEMkJH5O1T
Q1UmDjQKzofXa5v1cB6aQ4aue3mcBMIs5GfIsDFSL+KM4IicsUm1YfScIgtQ28XJFWPhwfmPiaih
vePJ+0tJbU5oRBEfC85iqCijEv/ddc8ETpKi6J46v9VPISgjb21ZBuUPwrSo+ZrJ+brTsDsiiXRR
/rX7DPH6msou3EFrkfGrDvv0ZIO0LP9hXXLhzeF8dRDxEQENgNAwmSeg253EuNegJ6Z3STMr/sa2
22WHEKkTQ0G8yyDy7fp1jD2kM4vMEqy/SUf054Z12TicYWGEkORxEm0X6Pu4FGo5v/QwQKi0onSO
voj+C4DrOIAAgZrU6Y1MhZlXenbRHaVW4GRgKqeM4MUMGek5DrP8vz7wkZf5QM8gypFbZONPuEdr
4lunKApGlbxMahkvZmZZvG5IbI3XYqhmEhLxmD043DX9q1eHcbPqu6HO9vVoSWgQ0ZTcWKnxiztK
k6VX241zjgYYgCsVL9gFDOJVzqkxVb9U2DrhL5bM3VdKE3l4CEpAHwfdW92+kRj098QS3CtDi0X7
sau64jApxP3ruQwW/HyJrc6AZKdfhD1VSV4EldZtzrSMN2nfhLCKNdL3DfBDDyeqD+cAfT2JDQeh
wjkhfkDGRPHZVRH/x7iIIwNMiI42dMzWD5Jouse0EaAbYyl19V7M8cKaycO1/kJfDyrVCmgZ1ygk
kI0BBnEOJObpeecvjd+eTJl6zYVSb+I/dCzvP8h6A7Cq3gn2cRSGoL38CultgpO+OxIfiGFuhjMW
M0rnA3sPh8x9BbMesiH2sVSBpEkcUBs5GsEFA4Y6MN1oh88kbIPAP7uUyfNXvUzKOk4kb157v8KF
xKRRvvuIWPx11kuStcAXLMADjdX0qP/8tEUPSPQlDAARKQQ2RH3IvYkKiH05PPvXXpFGdgB5nsKi
U7l27lEGEgKs6BnosaijaXfGgtbQjnRh4XOY9N0xJMKtVN38AEXIkQhjo/7ed+Gk3jq5G4878AbE
wiC+h8PdjCJUK7JkYZBy4eoL6ZV3lhXCXHqTebLgM7n5smGNoNUmMrP6GA0RTtQwaNG2TLAwHoSB
o99g56I1mmkDvrRqWCa36Ig51lElCTT8pFStYtqZiEjlfniGZkUWBT2phWNNOO1J9cZXF0EzfAcr
DoHZ26Lubrym6XKei1F+51ZB104qR79cinwWPz05RO06XtrgrTdFTVeOjZ8gUk7SdI11uppZ8NMO
bME1+m80xwm5CblrdQSKiOg2FWIIr31puKAhZthvqemiG5PqIuPOS0vm5LUxl9ppyIICmTLu1AIV
7VqYLHuYbBMm665RROtZua7TExdP8VDRtpL8aAdReJ0Ys+LSdgf3vxzwxt4O5gKpftTTKSKU9E8Q
MCcOCydOH7nMhFmxyPbtrVky5JdpA2fOQQnD49R11idOfudPWHakaWJS7vak/5T/WsdqfuuBrDRE
SPBtXDrZPK+hzCb2o0dcJXAh6VioMGHr0Qw7M1OKdW8PSNBju2etG7sDQa0N09vLSHabs+alBgA1
tAtKvlXAwztvkmX29LqVAHs2trGKXcMgz11XbebKJ7bohd5OoiB8KkhGFW+XBbQ3QlWraq8UDYT8
YbOMkhcemJqgQ6aXdFFuPLz7RUMpJnJSpHB7RwhG7ZGXYluH6NE3gA8wifcYfP9JZwzfCspawphB
mP3ClEQt4kxm1tfWNE734bLx2waq1B4jQ4vFCcz24YMID9hMPjLGB9GmCNaJZkaxA1XroyL6KVrj
ugAakXHae2yqxuHkVeEkNgUJy/d+1BsfZ8mw+9CjrxuOps/CZ2gGzA0kU4uIH10TMJzxmROvBEln
RSAFXX4dxUQmYgZNw0PYeQFSHgfD5ZFocHTI8Mcckv1IjHx36SGsX+TFMUguo9R18kySPLljgJya
ud0nQh8EP56Ho3LL5CllyZ6Usu4/vCaOliPdmh6hijYRKPUwXsQB8xX1oib8T9yBSV75TPLG/DDr
gDYlxWt2xN6WVLuWgMzmxqorPEPe9XjofPw60BYaONMLOTXluYLKZu9j9X8e+xSGQEmb8TwPRGJt
oyWWap9JiB7fCPSdBzNRFG5sIjD02lFAu6i+ZjgbawQgKeEkk2mDUq3aYZDFHovgiAfSs2yHy0va
5b7r3OVpdNyA6W9h+qcKdBsT48HDvvXuCXIAfiroFP45gisLRywKEm23j2EqkVNv+Nvq2eK6LmxG
F8w8XZahXIgG/FFYknS8gBjgwc5GZvs24poXaAqm2RlguU8UlrLZDstUn9u+FOPGsyW29WahIPmk
LUqTPVuDkVF44fSnyAWYt6HYcKNtOfj9Wz1r2oM2FQbg0Jx5hyZg5rx1lOP/xR+sORw118eqrWvn
Ix+d8NxHWf4ZNoRarIhk0cTjKb/7aZSgo+4a4hVIvkUxs/JYkNHh2IP3OOIhJxwvaPpwO6i+bvA7
NsXRRWSjD3PTTHLPeIakIEpIFrdTgch6T0JD87UQ2Wl9CjETrW4BxCvpZ+LxQFjp9Bjh70VgYXVF
82NZKHTXEcQDali/QUpI5p7F6CNVlfsNwXYpjgMBAtcetsq0cuJ5+A+gRe5vFunilF18zNwHcieM
v2V61lSn0Sx31wLsJdSshL5FrPfwsKN18/o/gZ14v2nb4fIOraFccNaR9pyONTYJDKplekxr23rC
2K7wo4VILi7kMcTiTH0eo4Kenc54+4bMrORIJm+5gS2JXGMN9CiuDlEEi+Rs3BkCDSgChGySgfaa
jqZKz2xu56c44yE94OScuZv9lIBP5XGFIukDobOjskcetwSm815wxJHSWSU6dbc4j3AQIFQ1ZgOA
j+QloGp0LlnP/BwCuqvTbBsM5V0tDKJonu4tBNYSCCVq+YxGbbyjJco++1MUBe5Eq1IOYSvg99Hy
ragf0QWv+HMg9nZsWAtlb3K8HO6WWCji9vxG0tBWtHMLDAicgSRF8T/e4KlCrQ8bYthS7Uf/NDLS
4XAXBQzs4GgXVh5tP3McVSYfiVsz0nzwWcPEL8TDYbGEzxjh2eQlQQhznsu+df9RhSz5buSC+teQ
ffPVDmRmH6OwA2RlWNAsCBsctiY8gXV0wlmhTqQQJPGp7Xr7ZYj8iteSbYW9K7FSmRNZEdN/hDCL
PzBr6vL+wpThFt+NzxJ0CNtlowREbrSEVn+D1GasN2fEBRXPGVMG5o2FS6OcZEi2mI4V+rWCLSOu
ccIs+29bEA+wn5Ek8plCsJKfPID4LtY9kuv4kPLlO7/KH4R9nDPUfMy32skqD0HgigLfqiP/o4nu
0O5PfEWnePIJjt1YthzQR0qmcH8tL6cAD3n3CEeIeyWOwK/wEltIeeODPfNQnmKMrrg5HMSjnEgO
9PnYE7INCG4l6mPtx4xy9caZAMVCTQFxwibOtTyuMe1yCYk4tfxrC47ZOnPnpcs2iYCtbyFu+P6z
bXfsnXG6jNlOjPzEN9TRiLNM76mjb1m+e1wCr2QmJ31cWiOQLpdexvK6XdIF5Y3nNCbRbGRKD/C4
gD0TDJW/zQBjST5SlsnTSaSI8JgRe2HwVmFvgBFXqsBlQdzoT5G1zk+HdiZ67TEmAsJnQXiKTK8J
1/Xz4Jlz3iLRbDaMWsES1JexleRudkuFTB94TXToWVIRY28P7lmDDJ72lJg0260VhkwXsbRUGy+c
pLdDYhCUH27O6uOYGkry1yhFdb7SQ5L6V6IlEEFDk/Yz1AV55acvjGQ9mveCQYG/Hzqo3Yx2qzuT
IvJAs4JKD9jdbJbEomdFMk+I6QsCK1ndFhBV2Y5JWvxbN/BJsSsiR9tVA5GY68o2LKRokYjtm4J2
+rSWcfpMA+Nbh9ZrA3llpoaNDyllsVHwSf7WupXIGf3clW+mt21rVWHrNmgLfQZNC1qFYjWPArt8
rvVkthVBNxE5VrKtD7JZonALnpOAFrBcLabwkSykU6KL8JW02vbGQI2FSXQX6W8gqPclYUAorbl3
WvcryEltX1FEz0BCYw8BI4lf9H7A9wndCUXsfVNScM70NfXZ3pkZY6xiZA4IbktCjfZVJMmax/EJ
+9QZPPOIIjss3wKGefccYe2c+bVml/MSEcmmiCOQm64LtDcq27n8inCuzyAH2my0nv2+RvySaagr
2H5RcbxD8PVhC2LlQYdvEA34W6XzPjvHBDsjzbVkWpzn1sj6a/FdLX/4oVT803pOF9g/dc9G9YA9
PYl2jdu7tyGkq8EDnibWeiygXJy4hRZwlBSG/J22X1vPOfAqhjZL2y3Di2lEU6AJ1yAIThpgmb/T
HoOxE/sKPf+kTjF+3tGmsGfMMjKNjGOxgduQSgY5dpWkR2zVgQUSuA3Qhg7JKM6WEn64noggbC9+
OWIhiRjMMVbOZFIbItA4UeFagKJL13ahwtt9F4OWKc8qUJMawtcKuW9wzp04IUgcxA1ieCLE6ZSR
SEF8vfc0zbgE+X4Kq1xuycDhlfJ7qC+gFBt/fGH6HAIbmiNOfHgmlllPCUo2FLCR5G5rhiT+kzjl
GD21ivv4UkyLz+fj82ejh9zXc/9KIp7Kn3xUO3fNjrZjagnScrAzs+I81oCwYPOB6sNsn8+ZD+IK
l/IumCKHJgJqcYvYL4vjfeOnIPtX9sTndBcPLoP2NpyDC49MMA7yi/Z3ehK+W9uQaTPcCYzN/JNg
vWTR2lsSuXxQOC9EcC8kdpkSkscWL2PFw85huyJaq2322u+64E1GGb0mK8plhy8b70MHBGhADM7+
hp2UYbefBU7wxqGLRhwrsc9bpgJNKCLore9+DJy/KXw51EYcoIBJI4ZIiC+E+EgZx6qdh46QfHLR
et9TVhBdTYFCPDy9J2mTcUscD7ATLtFHtEHkebl27T50s++RqwbOmSqy6QNOt1UXL2OID10BgHCK
KBPbGbHTPfrE98R+gdj6yvqZ7UqN0rrY+ww6EIcl/89FhuKHV0QrR5zk5EQ5PHqfiGZVUd+wNhyI
KR3UJL/RpoAvYY+G6XAOmdaDXu288hxVytu5jC4Id+lKf9pQUDqctyTSoTf384lVnNbIvziVWkjt
eCYYSXNpx2swG8m/bBAdsYvN2H2R8ev+1RlZfEkZZ790RnAuUCb+TWZFwoONafyIpwmfPSnkufXL
6YzAP+55CLeUjuR/lpYdIDQrwRFemkYCqJOu7upDNqGVRRoHufyW0oR/V0yw8k2ggvxVtPJh0lNU
Pqh8ci5BoItpPSvPJSlmDuA6RrMl3EPnTxL2B0tCJuVwIDKOCBScL3Tvg79j47pkENY1xU9Zzjn1
adVTdYH9W0yNH7OiqwRbhCwQpn1dPAWtM2ZX7SzFH3tppL2tKgwPmt/Mohla09Uvv8WMsnBfLW47
rdGskr+daDrFk81AsF/XgZ23K6vwG4QQdSU+1FiYj87ugm5XhcaOtiq3LffcJFH8yTMxdnvApl7y
MZYu7Xlg9YzNg2D2r9VMp7EJUQGSFT21CWFPXezM3Lux8xqFhoi6NhqW8V3hZyM+N/LEpSHnpNpA
LiEflHGYO20aW6bv9SzwY7kF3AwMSGwdo80U3Z1iYur76orjpKHOrWu0PLM9i7OYPRKrW6yo0DLC
RAs0cHlFRfgqsAKK5xFjVnYmJq2tvxmmD4CiVYqBauZJnOLymX44+YTHx8gNgxaTLh3EiVx7ibAw
JyYVGuBq0xM8gPSu8QHLrVXaWMNlqQPdrme6oexl9DrFITYFXrSJEJ7hLBwZ/sE5w6kyIT5WXVxK
DnUtMNL1luZnvCtPsKowdoUNxQM+2n2yr5seO2xbkqoARB1YU8tyo0tyJmp5i6unaw0jyzrzNfJf
Y4U2ovGWFV9+KXvXbsQ+JdbELFdsyClr2s7Cf68enTbr7B39WNu8z7VYyO9y3XaIdkUW9xjL/RTT
cu9jen6uWqn5YEHNQaFAeqyxX7LijuaTWhA37iZCc6prF9a+f8mzgfPxbCeyIV8F/TaxI5uGc04C
Qmg9vWdZr/Uv26nJ+4zZm+bvKq1QOBOEAjxhbfdE225y1S71RTDCR2NWMdeFGxbGA/yoLsAuPzJY
L/d2zR9/SUtcUDDXWGAg3221Z51yzfR6v4gqzR67EgXnijFAx39UGZNCtUsIEEAJP6rLYE/l9JUn
jUMMmzVLghtEWa+jVvZnEmnk8iIAz7mndiyhRVn2PAZYJBUSvIzClBBREiqYPNT+TBEsO7hMe8NS
4Q9dkcExUAQ20jNKS/RVXNI1WKAEjhD9FTjRk2LRqtexdp2FrhnG9sYG+QkawRem3gwNyuJN5BC7
8CzyuW3VqvOJ0L2qmYsLEdgAwenKUsLXz7nj9vUVwcHcv3uGnpiJZ5EkG8+a8BK6yHOBmfjN8CeG
Wpzc+jQeLrWt1Svib1Ed3M4xOIGwiAjGCA2hNrNLfVjWDhOixq4F+6GsGy75pAEjlyaeUKB04x0R
1kCO+qpzNLOYg4rwt+D9MltIo35JPAuF6GpIIYshUBURSHS+GBns3S5C653B5vUPc7T0LOGoFcs1
Oi4iUWE341GKsojQRe5Bija2Mqa9To1D81530KUJ3J1QFBYEsETHYpA6/LQZ5n406IFRwiDNuaZl
ni03axxF9Q1zRGWPRCBwErD3NwsicVVGwYume+s2wBfMT9NbFPKNR2VyQCUff6IYbo/gy9Dio5YT
vPQ0WZex6tA2DvdCjXBH5lCvrCG64AxhF7eBQJJpr0032dNBozZwtl1lD/5jysOLTawE+XGzNCEP
m4lr7zdUiOyhjno6xRfJyHGl7NDPN3bdltGJJ7p79ED+3QMbTPvFvqRUG8+nQwAt0s+nie9brI3H
uPnSoTZAywGMdjirtk0WffD0Yld/Fy+crRN/Q1C9ZHY3PZL/OomL5Qjvg8pQViUZzlMOfxNcA4qT
dZv3of0xVXKaiz3fRZGwnsZU6DFvJOj0u01dHRNkE+TvGQtWwtYKXj7MfHei+gtrzChlKR7Vw1uc
J4nCc+8orJWw8Up751GhlVeW0nH8zcu7uNBxWfOjaOjSRGzoO+9G/qEyhCbjelJBBRfAyfOfoYDg
eT8r6Ytyz3Hu8JPCC5yNE5aM+3QZ9ygrdZbJ7sXwj+Wx8DiFOUOZR8vXZhmmUxrlMBk67hbybvJG
wTMjhRHCROrdH7Ui939ozmT/UWE3PfGEGbT1Y4hfi/QN2kNi1SXY3wQq8S/uLE8egjAnqD4Fdd9+
lOxTWnKn+NZx98828rMO5uDOQTv+4ZEZf0PgQGAg8Kve7MgbcwakF3E7MSAJqoHBVSjfYUb6BLeV
o+W+odyXzd4gR7KPxR0JRDlFntGz7+Hy0WYYy0MJDT3d5p7d4gZFMnc2aZtExCrhvdi6Nn5AShcr
Pop2wnnUL3nxy0uuvg2+d/CyvnA/2SqRTjeDSYz2qe8Q3cxurf2sg9gmyHbsk/elq/Qj3Cnm2Q0e
CERvxEvj+2jkWP9SlUXmX2G53C+tRzjmJtEqm05YTqrnOtLhfyk8EkMwu2NCJLIhqKw8HepijWB8
Wt6DSTrHnpQ0d225dH7rgTlty2KHq2jPmjVGIFxrsClZ7cmXJlRzgQcLRJWyy3vF1NqVyzrjnquO
Ej2fGCISNnoMhxGxTdWOVbXLhslXGwLbkaLHINrJFUZ+TOrv1LJMTqOkQTijMiaa8CqROFKb2YrI
Eu3sNGHl1rbwPO/qFJZGCbK4+QPXC/v5MXIc4PIq8FjnN5PfBevM4nTaEasyhft4Cu6w8Al//fAR
F3f8UKnCRKHmEdgz+8T0P4WdwWELIQphAyYeYcSV0DNNddzqtUauw3tOISdXBvsKGFlM007/bHSE
SGCFAn9xriMG4/+WDHb4WhlpFetqZsIDIoFwnArMW/Jig29HlSei+Z19HxU0UEALQiSgdoClmd0g
7A2M9a/Pu+wsqyYqTs2StOnB8pP6WhfEZ2MF7MbRWU3Z4pLgLZn1bEZsZl8TvrnklPkg+t6pHPKz
FqrO78baqLkaoiTEn9lzyKLCvRvD4LEc9cljA6g7wbrQrZkqe/CO/Dx5d20sN/uugtxfHSF9V9PX
iGMAUevkReVeM097BhkYEi+a06Y0Y2XLLxMPerqS+0OgJ6pZCM7A+RsCwQas+aswdVr2j3b9B+9F
eCUwF1mDi/fjJTAOKcQoKaR4CC1GYd3RXsTC1hMii77Vtje4YM9UZT96y5S5e4/bKEIgbslCtTs9
FqXpkKYTo6ChiSErpIKvvVDMZ2KhWYivSjuQ4wo8Q2HRrLDYZ4nYifAvXqlQ8kOQAn1ApTMGhB4j
2F1VWc/4AZejgY8j+hkTdWb3kO3r2QcrJemW8OFVeGCoPKdL1JLPvZNGhCdQE/HvGMDY3OjSdttP
6sgxJ9mes+LHgZrxDtdEkxOS1P8CNZp9LSf3HaNG8C/lRib7wqYjwDlOVhdx57cIxQHQhQ44HnaV
qfmP/nqcD5PI4fe1JIK8o9Tm0Mdmx23cxYL9SNA5TGlS43vxGW7w8o1WZfnBrOl+wznml3FClj3M
9TDa7QKERfdsHax4Gekuy2HRlAxrXCYYmiJKwU+Cou2FTz6KpgPRHPruH6Q5f2CanPuPaKpqgfiF
iqu7epnjLxfwhda8wUMY4DInUwUYoH0HcamaLol3O4AUqFBbVb9d65v+2EJsgngQuHl5jgFcWRCa
yUl59gR/Kl/FaDUZEaPA5/hskdteIboWmA1HFTwv7UDsBuL9jBxrjduNt4Fc5Iwr9M1thfUXe7zt
HgKAZeJpSoeY2xuNASkquNWajXKrKr/dNe9vvCUEzPR5Oa/h4uQOC9q5ODh2V8CwLmLyuv7gcEES
OsSOPGhyUlib5nK6+FHey2NONCeQNmp+8PYYkYhbySKW+c27VeYVjVhG10yiLTb5rTtWpO9IPToD
ILbUtN+TclSwcTt7WPasc4v5FDLXYiMPgrn+i7o44oPIeb+br8qHLLjHbeCa3T0taH73Cmsc1nlx
h4GCvCBehGVXF0fPbs57TuUqfZxkmP6hLhGstlZFS2btKkfBshKN1UUPSUI5dfKjqu8g86JEj3f3
6xw6TEm0liOHu+bVtZ3XmiVaym507uu1S9y6s16I6RxfSir5dAdYSzw3CSzOlbh/y4w7qyHbY/op
IkYcDSdqmQwGfZGpxEWIsDoQPkl4BS3S0h0g+SAfyCntv/I5wOIQcdIeRrSv/L6I0h4h1PjxLzCy
DEdN4neUPLEiG5Cl03xlq0GURZx6FjDM0QPdFXLkvhlnRoqnpc0WdfJdBbpxsOatcNzOfUznceG2
wd+PRAhV9euQOjP+xCXrrqPgeo6c1kS7VNpMpljT1gv631KSeosSRD3TTyisvbiL/oVV53ZnQgcM
4QVTpi+891WAWle0r8g1iP9G5UH/oqzCxBAKZ51udeN5DznbwwWgJjbSTHXLb8P7ntBdaUDHDOs9
Gy8n6z87gmm+imEp4IcluyA44MRhM167IxC+jvYPIZYbOfne5dSpjz1d2LhVoJdrvWOlkjlbvlcb
C3xqQjZOpXaXbcd8J+o3qmH/4u/RegycjyKDUWk/O0VOl9cpz7L2Q+POau85PZ+Ck7Fh4FFMUI3k
1izetPRMSbNloU9oBTOnjciyOPg3LWUbEwtFjAfysw6SXg0YG+WVmXpeMSar5TNyxnm+5S2mK55l
uLaNHlsuU6ITrqxINQNRzem2B5vg/bD6YCg90VcP+66GQX9ESInuKivgLKw9/Buvd3tYyv1sdZgn
6rG/5hYF7qtm1HxQ1uQMzIaTgapxKB0kgKulTvAPoXIYTsbiwthgjeHoJICtTk4+KbjQ6/sweWDW
DhTI4N4x2yCUy/Q25gMhKpQNKby6hITKz7AQ5TVKoBuQy4yfBhs3AvHBlWuGpRznsdWFvxKZCYi8
DmXvpmdezoihTvXTkvREnjB5CE9EcZDH2BZxcrYLK4zeO6H1oSQUpFj54YhggmiwGY1ZRG4U/aBR
ixT1HoinYy7sZNPgGRoSSF+m9OGtsgXJVQ2OtX9LRte9QVZp5FrczQsHv0onIEdeRBduIWg1qK1c
eWjTGayr9ogfoACqw3BH/aLNQ0tM0rakQQ+2CXgO99KHkeq2imQTuRo1kIJdkTtUXGNmB/lxgpP2
r0smdHeYFCFvEhT4n1oSTLSpH8D5huNCxMqBlVS2HLvRQCjMcgp23mRJvDrcLJXsB/Y5LHqDjiv6
1qIyCVy+jb4dD0XR9999Pg0eOidSn+9Z30AeuLeV7rP2gqO2C8eDTzxffyqEU9qoe7hOP+2uxZNQ
GQBFCLW6iq/GOBP7zg4n4xr5O0RHRRvzA8qpGNEhzN08ItcE+vIVi7LZwxerxLtEIl48Q/WI1W2C
jEU8K9x+kINAGP17aGoWY75zWEgzW1zgL6Biw0m86hi05S9+FaBJCEjXDlnnp1TEObU77qUi6f0b
TgqCgdgA3MktC2lD87pxerYMRTH2dzdLVRBylxUMFLvFgazRx7V17DJeVmZBJbNzou0Gsm/Q7nL8
sy8vZxa28VaWYU0bxVMp43znpMReQm3R8Iefi0rY0R3LYvXTc4RwH/FF57XVsCoItZyTHQ1GKbvN
MjfRt2eVRbrpbGvp31qi3IpNiU75hhFtesmsODcrXLAMeia6+HDdgzK+1gwknytFoczGsjcnN3TR
bnrY+Z8TK8noZgxR7TtiNPNjgJR63rega+WXRbeeE9qCJihfj1aewPtbshJQZT/2y9ciDfLcNS93
CVlXOAbRhnT96HvJKq3/LMXkTsfZJrnnJQxBVYOCMHCKANYUZcwmFbXpPKyquEXqIoIMSptMmRPf
dIDy5BzClmNZWMVIJzdceJ7cEddthWRckFTe3DgFY4neM/FYTeKxFwg7wY5quZdM2kLvALMKRuiG
Jq7RzsphFwnPHYlbVv4JXQRqHJkczkj0SeACq1YQ6IhakWIgtS5WNznzVdeJ1/5lIjgxwolt4eNr
b5zM3teQkRDwlXjd8c7Dg17CYYsyv0h+GjuMnK2c0ik5O1BYNHmX9pTGy+fEnfU3RSg3UUv1onyy
ogKrwqZFPDJR8falfcuz6G6rogN+VxUWvmdWkq78bN3Bgu/hyNHOLo1YlLedJkgvW5TEhf4naSRk
zL41BZuhRm5g78ZK16uQOTYxdNuMPi+8IVbwBWKnLFf48Mp5VDeMnmOx5TAs6wfYURKZIeC75JJ5
qDoelU2X/RtPPUiord3LKWavjOIzxUbPpsb/41FTOHdVcFx+ulxv2D80o6xTJCAxf8649lDHV30r
MpZvDQsjY9jvtRsHP3e0pdIHi8P/EVzbTzTpxU9eJc4HNovsWbJg37B1Hn97GdoK027aWjvTKN/e
h91A4bwAC0yBFAUkb2x6xGIRkVhhbMCzuRV11tqxSFZhBZ4GzQWBeJQQuZYtkq0LgpcxOfa28gRI
r843829DmnCwH6XPnhROL6blryKneEaT6aTJZpRNO5Mi18/FVy/ZAm8MAFizdguefuS1Ckje3jCQ
GhBFcBXED8qPR3VC8OyG5OJ2pO3ai5VFOzwJwFU5HMbR3be5n4VPKeh9enFMo/7OR/bpPs3Ca5ND
vAzUJrHnJM6mEF6FtWwUqW292rUpwp1DMOXMkYvA/DqwUwFvEgSi7fdzm0oqhT4Hhbe3q8yjclEg
KK2AGPGJFg2nxeJkAAZRCiHYjyhzoOQCa9gBx+vq4lBBgJAN7gzORFLVxsDmvSVSKBermcV5+1UM
w+C/+h0qWnKYlE9ckQlIw1w3uUndHp85jS1rZAZiUbsJcnwn/EuWFr+1not6jRWvN6spiYX8KsJU
5emZNydw8UwXiPYxENQcrH942ioa7YUEmmsiVAzRzGezvgrzzoerpyQxDizFJuBPsIzwHdA3t/wu
iuv7c2IC4l7YWhTin1+juqf1KEqna1Yk2PruhP0Y1SwiZhzpAkk9NMdAHtw20S7yw5nFwqnymbce
jAyzuxNSuJztJIgQhYWxBn3ewOR/7SHz+C6p5sa/aB8Y/pFs5ISakJQOgoqE3tJz8RljPQ9kY9Bb
ScNTL+3O98FUu8iWmVcPwn8MXeg65FDHKlZngTPEb29Ms6H+zWu8oBlQnhoTcJndAjhCJr9B725M
uGtAr3XdFjewU8FcrEUgwjUcfdzTM2EIBk17mC/jrqjzoPxi8B2N53DJl2FvakVYRZVEmdnRrgYk
JQHCTHetsInks3oJxIixBfZXY88zcUt37OiRcf8wIg5OUXeqvnKAhpkwHPADwwDbVtqfjiW9FRpR
Pp5q8z/OzmQ5biTtsq9SVusf1nDA3QG09d+LQIykOFMiqQ2MpCTM8+AAnr4PapXKbMu07lrkoqrS
GAPC/RvuPbdExQahD7UCA7OsSB/Rz7bM+dWUE3XU0jaASRwoDKqKmn9vmWCgNGJ+QbeWVMTVoad2
dr27kK7LwEYtZ4/Nn71npWUjqMiS4GyTsvzBAc+Qscy0/FK7A6m2iC1e2sJ2xoMNRdFgFu/xdEks
JMyUVISKAA8Cc9FmTqYLmVHRz752yVduVOT3PxGNKPVOayMaLLvo4kKNuIUkXrm25gFNHTk44+zC
XKizvvSOzPWAIudtb4U1WWus+9zJmljmcRj1+wann8F+Qp7yR+6b+hrFSAZmL1/pogRVOwVRoWas
H7GDxc2HUYqNvM3T677v6uAaFMNU43EuULfFRNk7B1ZTlGpeHJNh4mUpj5Rn1RmaznpWK+ehCQhg
sfzk1RrqdD2XgBx7nmpRRdf8/BFPDZM/fCZsHZ/twp5Z+eJDQz8vaurhSiL/YDZFncBQnIZt5+d+
rXYzJjpQE4vm6bdgoJK3FHDhC9AB6n5xKUQOVDcaAQoNSnJF3Iw33SEgz9JLH6jBvvbmYlEHoiKS
r/0kfR9NMD3gDUDz9lvmI7l811XMVK5SQLb26F/c+Njkwvoe+6r4OeAzr/g2RP91tNYFoxUhgGVo
0H99gJDB+E8wLyuEJtoCOSdtt48YlUvnshLl9lnEuqkBPIEcR+XXrCkRgrFxWPNl5pqD3f45TCjD
wJMGwfpAkFZyV8OBWk5RWao2ZMO7pdnUtlcfPOKdSZ3pvOqM9jiRe9HUQcsMFOnjw+CwazoOHTlV
d+vAZP+JbRWxHHw+SR0yGoYdicaF8HZVp9kZaTWkewxc6bNsx7i9yrQLAoOoHdDo2rfs2yWecACT
Llo+Trac6mOpF+ETshRI0vRGg9ZX6rR/aqs5ZxzNwXPMEDlXJz+t4ztfssw+Ty7zLZJ3igB76kRa
5MHqWw1ESiaRvXM9Rs53SVUaDW18lJgc+sFnBBNnVqhFihXBZqzqXZiqzBfPEgiYRuNJGoMqxuRD
DHR7C5qXxB1LezhPBXIhcmqxyJBEEWjrVHURwRg52oCcebNE14S5kM0z2aLWfe3PwAnh22TuDnFa
jDoTx9N2MmNuO7aaH+57FGNo23uRpR5RGsGtHysTP7Slnf2QVmZ/qRiMM3r7D6zLChTy/XxdtyMQ
Dz7ixHIZwLAPGcMziLzVFwWuAp3Y0NtsLTF8B8QggTXLN3jhcA1zwEN21q/cLDovzacQVL0eYQbQ
Nrw6vUykEWyTJVyASAInSTyXtZbD3tZNu1yjcY+bL4jUsEbMWfJGibdocrya+HnE86GujEoIvcLh
kL9U1tB8ZOTH/8igbYqrLcz52eqQXobsFaurlreU7hMs5QxoBJEbz7Xog28xJ+ejmvOmQPHFcWuj
xe/s5xKqbnMhkGc6sunjU/YjjyxCt1Em9BCh91Qyi3ec4T9HHwyqXAQc0MqKk60y1znbrZ9+rra9
/vBZJxG6OK7ZKQBwizvPKmz/TF23sJgMePeEVNsxllV+LAFtrW28fYncg3SvWPVfBoCCkn04TwqT
klpB8JQ5UzJCmNYrM04eHC4E9zeIq4b4wjfowm0WaKD3la1yVhtNQA83W3kEpxuSrbge8DKmu9Gd
8Vdxy1a3S5eaCZuCEdCJHFHt3RXKzpd17dpvo5+Pr/gdweoElp/nBy+maAzHQWw9YRo331vGP7BP
UsZqb5U19T+61caAHwyGPCTkIZn2rwun0tMHDjwGsktt6Y/YLPwoR0e27FdQZJ4YBACt1UD5jiwT
IyhiRNHwEK8REs2drqL4UyDgyWHXrb179lOCv3c1EB7OUhTyztEZG7+6GVtfVceeps4NXa9V3ZMs
I9bguidZ3e2SkcgPkl23H3A3PJsYMsuBJeqGF0RCQV4SBTuBajBh6HUr8itOa4foJTSDxEQRJ4nz
plkGqy894WDzc4WjGtCNm5Sk+CJZwgBtTaB+3MgSF38MCtJd8o56WA+Rqq4RlREZCoSi/syslVl0
SkX/5Ncyf8VdFn9EsPHMoVq4udFyBPSlw+Thdk9ldxc1FIdhnExA1Ouhi98oMLAkgXLSLObqqGUU
FLPC23lM1SJ0Nuu4V55LNBa5VUUZ5hLnfy3RotG7Sks+Iv1h3ahTcpln0rr9+1Jo9wcQgQnuuezc
9yJBTXKelaEfdmukPghEeu+QJsCt7lysJDm3d2rnt8LGvHdr0k5tZFSYCBirfBzn+0L56wUI+wy2
sJzBKNpl0Lj7dBZ4YBqT93Lv9O0ILhN14XBup3oGdgZhQ5xEgD6QV1WSZTSAJ9knWI3tHY4Pf3ww
Hb3Ozu+wr17VvcrO1ViL4XppkxZeeEf/v1vpfNQhscbMO3KOLxdaCYlAeHInbd0aiTXDO9sR3c4B
06k7vTAUTey7smGL8AurDd7tw+g1AEiPEwLrNL4pYjQS6pROa9EPh8zDZ0qtoYZl4yE460vEq0Jz
MgfRSE7CqNyvVj2hYE3HrAuoz1KcDBMhwT2QcO0OIgSazTHpOtIt39uk0NfjgJsAtwkagpI4KCTH
+3yRY3uDAm/pj6NZapSEaGEspvTCInLLhgOedLjYmdk9stzFIKFA57a7fKEABdngOd2LzhFqnDDl
NvXtglHUwkUZgX8OIXJVyT0ZYKnDyHtlWoPcZkFLzMaUN5XyoshC8GNdhLklV3NtOB/T88o5jcCL
AMEYSzLqogvCkYEGUnrTFjmgA84OHHBFuCp7/pqsQScx//Zld0RPJMqDQIr4qGI8Z3uvhCh+5fpW
8TUjK8C5iRpN1coQAp0pI/1OfmUcN/4M+O1SJPtqIhxw1tzOWIG0zRqQCNuQB2a7Bby6LU+6UZN3
bgQzZdZZEG3ObHWc+AdBX6ggoRdKfaybBN23h983OZOls9DCKNnZ1bVKxmH8wT3vpDcwIvi8Mvx7
G1Onlk/OVqg/IoGIoyegU9sqcQGRTvDZwhN9zDCQJ0ezQv7iqot95yxVjNqS8nV88ZZkSU9xjGR5
1/YzHjO6cBTs9O82w5RE0K9oakVANbrwyzDzKXbDCmmSeFQ08iwVSkLVs7vEx6/KRQBRKl8BPVMN
AYGE5eD7yg+lbpZ7ih+Ho9MHEnUD61H97OF1LF8mx/X750nYxL8xDG9RDnmWdylzmEkPJqXmfW0w
UOizGzMQQjtVGZzoyTrtllhZ40uSKL++qg1K2pCRamMzJmq74M6t594+MKG0uSIIqqx/OYJd4BHd
mgJ5mlQJs08XrOcTcvepuEyJYVbGDCZA8xSj6ZQPLsrTtxF7mHvTkV88HEVEnQFSweE3s+R8XceJ
DPcNHtHNpg3x+iVkaXcdapNPNu9tHW43+g07cWqzQbMgRI9qRU3y3JT+8k55sUwPbUCUc9hMDt5S
De4MB5HVSL/cIT2vmpuYTjm7JrfBy26bmq3PPoBnyK4a60fFQAdluYt/E1cgKH7HBbbK5NsHy4QQ
q2kDQgMwr/VfaiQvQ/cAj2Gl/GDvj3ZRGRteyoKmquSGCSLrPtXC67pnWgxDCGks4pLVk7UORFK0
Mhr0S4NfZYZpMWJh53/x3eBl8IOl/5EFdM5nfFGjOjOdE+kLt52w7hmVm+hRxlnbn6lmyBg0s+di
IXcFt0mpelndz4iyk8O27BFnW2GBO5Cx2z3TRrPHZslkk0YSSdznUamoUal2egJnAV9YHWojeWQo
bSi0HWKN/Ksmxn9z0Crty0/4BGAu5sRLX1v4OZfOaizGIlo4DrEe0fS12DR1vM9+mC+wryGly9jo
z4jk9T7smEiTQ5Rb3J9eMDm3GsNhRCw7z+p+u7z0Nm7VL4EDaYhJN9goNn81lBr0QbA4q15053Wy
xw1e1eKvsgN0nuxqlryBMeBDJu0qf72KPJxNzLlmEJLt5NstvEBDMk+PyiMO8wFlSrkkQbdnKEfG
KRsRhUwT/TUQZ56Xl7nhWsQd2cVf7QT8CyN5Y91Y+B0wLfX8mEJUeBT0KNXktAXxpt8QWQ+/iBdA
gmShu2eN3KSKfwVYBlN0K4VeTg34Aw82bmSFhDhicYztb6+iEVckmm/0yNQh/kuu86zet2jsXxHz
s9FL9WxIm8Vy+IaQxiE2iESVi1YEDxwmpuHfhnVb7PROudx2PKA34A0ZZBZ57Y8vEEaL93V1+o2u
ZiIrTLzRfYAaZB6NEw1vJFdWv5xe5h/R4kVXjmNGeI4NavzdzB2O4w090bvjJsituqXtmgOhU4F1
CMoiew3GChqeQPT8lmJZe7IQxCdomtGc7A3uxdsyITZrF3Q1oit4bt1nn1OksFx38gdcte63wHad
X3ma/iezaRy9cPXLDkn2qFsbCKbICQhEcszKLq7EnseMM3FGb5rvWR2X1z5yTCBIhB23O2SL4JUN
5NKKA6/FyrjIlgwjnJJsL7KIM41sFLZFpa/xCzky46xdswXvRJugWNv5vU1TQMNnFZj7ZP2rk02v
QzI1u5+UV3V6cEzlpdQtFQDPrHK86wGloY2pSrL+9uuG99oScZPSWXhBcaXdYsBjBHVxJDIKtapv
I0xBpJhF04mDoPxpplZ+WIazdmODl9bV2Oj202OvFyDcKyvyXwMG8IfYAoJ1GFfZ3g6u8J+4b2J9
Jo+PJIcFsSxcjIrPaTdyptLAWanXXbphc1+ZKS6eurYnmtLhribXt2ZTexDsWX7JfrSeDTLg89o2
zh145Q20A6GpZ1GWJ6hMuNZDE2ROeUqjGD/akhT+dVeswdcKIMYYjiAdkDTWNV6R1IHagPQDp2/A
GvDeQinTXkzpO4/TNCQPbSS4B1ENLlATlni+Zc9RwehAP+7uEjhl1/j71g97oigPE5fE652eacRZ
qwrMtXKa52/GXkBm0o+y7GRR3SHJdisZskotLwqF0xSOnRoe2KW1z1m81DdZRUjWDqEM0zLVe/1D
AQCS2Uzszb9EniEYYf2lT24+FPVxsEkpP1oWOfQhYnNiLP12Xr/jpGqf/G6KUY7Ym014mERVHqmZ
yDXnd19PoW1RSh0qla4mNKkP6QoFnb1jsJffZ7mdfOCA8hgMmVqle+yM2WNAb+uF/OTK99G1vM8g
G6Zsz5NAUlZDV/YYAP7hZQjMOweWBu11sHkTwjUuLcZra5N/7YIFcUppGfUlbkTlHAOqpnbn9RmH
Z9wxPSI8iDN1F8Ape+3m2cOHrPn+qRgiHg0uM1RBnA1g2scmFfckInJOweYS7zE7ax6qmuVQvwzF
qxqd4hWGS/U2DC5qSmEv8gsLhuw5qjRY6KFqVHmZyqw8FTPgv/3MMvsN7Q2NUURUi7szK8on6oaM
ktdzaiCcDhLz5AzwgY14j9N1usiKDtqPUHlDelrYa3X8GCE1NQ2lAPE2KKsE8/rzNE1U/lzX3ieJ
7p0Jp1h1ryUN55OrLaKXcX34eIBa9gJYhOaDhf3qe5Ek053x8etRWjuKgm0q5bqprxh9QZcrvlo2
8q4dLlIbIWQcB2bPwKfPDjbKH9SbPcPfXT8GG4md7QoDndoT33x+v2zRdZVDITf0u7u4i8chZD40
NSzDWf8fUEuAfibdOH9RxH/ZuzU3hJvnXe9DmJsSQiLaPqLziiGIyWPJUXnre2t8jRqmmfeg8LP4
LesT91eKvknvEG71TNOLAedFmdTvtBzFtZ2aLQfACEDFdByxT8bKUr2AABbLHRPaDhAIMq2bZJ6d
8iKyGagJ/I6SC9BpgXxm69LU56rLNrUlOAoQUG1nxwcLCvN0DbWS5aHskHUyrxDqdmpL6+eIAvuk
tpcOujU2+OXINf3USymQvOPRw3gxqU3nmnfgCYOsaZ/yufQ+gq433KKcgVhWwYIcFtuRAJaYf36R
o4S4SV8GtceHn1awWGedsRdkuhKU7TjlTAoCLLkdSARjQ5B2PGKHUcLSU61os8ORdRqgJUPpTleW
lPUOosLQswelDT4IGiHy3pzeIZaosOOrioOIUTHBMb+siUsvtEC9sN7Q8IBwv1SLRNuUkTPn5GBD
dzbdoRVC0W2+DiAGoY+xMP/CKljQ99oTnZ0tTPVSEJKbgdqvo2/o8/F4RrFhfzWwquTrwVwuyCfc
sjNnfzNbV3RuTlO+dUVZJdeUEPKOJ6BFDN5kyQd+5PornEqmzk0k4/IqBrfBPN6yGQ2krI76Yzf5
9VNEXA7Fcx6rG4m5CRbPrM1bHA/c06w2ZLdPhBN7h0mTZ7+znbJBzsOgem/YbPm0rRgj0ef33Z2r
nQmjvrLaD37rhGNoHdW/Zsw+5MqirECfKsfs3Q+wU7sjfeSxshOgUBjyhoeA7CHmjVldXdCtNxND
KI/4sa3kZMrhzc5LAXGeNQjbYZBmceChU+5ztIEjNmESC1izcgm1Ccpa1515OPkWq9sZ5PZnDKmI
uJu1TdswGfL4W490dOb3Wg23fl3OFgsLfqM7Jx9xqhRuN5BxEEQ/ea4Z3sAarhikZ/YTB2L5FK9V
V+3V0C/fBTaLB5YLgwoZpbfAviFi3bJR3GQKBNa9eN5iLsTUSjtc+8DeiFQR+AwRT3kMmmReXwWy
5ptyxum5t0dQGnxmNgM3T00NmnySpk3YBgmURz4BGvxlFtC7bPan1Cq5pep9EVjujeARJK0lLf1r
or+xJfEdOvXe7Vz2g+RiUYMNpEvaoWU6h+xYihJsP2INzKHLLd0dEGTzkXP6eN8KmTKtTRDyMOVo
G/fcW9tba0rRvmjHp2Mr5ynrCa0t6geaKWxR1LT+vgKwn21jHSywLZUsHqFC0omNGATOHQ4bIlvS
afpKomH1RK89fcxJlmMh6gnKsZguNGHFtLLcJeSJ22G8luIErYuYr96J3YYCqcq/IU/vvvWw9zLu
xM21kFrMWCivkgQiQ0Yf4U6p94uzxPf2+EwyXMLFYN4TuFgva8OSdadd5rcHsuJSfW59TGSnmFL1
rvdHui2U4Bk6L1Ok31yJUwEYJ6n0V0lvVY9oCBN0OQmYaxj71fyWNJRYYVI1KLOhNYoLBxY9fI/g
pNhbqALMGdtAfMt4hw2Wy7ADLmPKbRMueamyEF+hDnDhpzFHPwttMOlxbT7Kgu3OERdUfxCEB7AR
bBHWMNzsOmvPsn5KHpksx1RZTW3tZ1yP9u0w0+Tug6pAU7b4LGMvA/Giz3h3+zPIQJtV4Iq0EboV
i1T21E42HrJxjYAv8Ei4e1g87ttoDZAjO+Inh0viY2c/bo+L4uPlV3RgZQ11g54TXiUawY5ULsvT
7dHC4kzPRBb4Ak2QyPG5bqmqCl9Ch/Al8QYIkgh9ZYva20AQg9qcfGFactcwxyV7LMnto0daWXxs
hZ6/9+m8MV86B3Mw61WJUAFVB8Fdw1i/M1mVgAscLCc7C2nx1wykDZwYQYDerq0QWu5lnkPjse0U
DUgHUxtQXVqL96EBMx3ix3fuVohDqGGUIT1qQp9FCusgObH9YAPL9klu1ouYs7Q/VqUuXvxlSdSu
gbOFzoIyoTgPfRMQIY1rLzqR1kX3wawQWGlHR/MrGzP8js6AcutSWl4Pr5AKhkmjNDI6x0xHMLfP
hF9DHCpu1mWSFv62eKqetUcAyh6LRBTcZhzK38fEJGyJ6tYX+7aKDB0rYb4fzAKgjYxz3zBHYm/n
PkCHabo93srsPs0714T09A2J3SRM8bvANkLgtk9ts3eVlbyuskThHadufF9MlTscyHeSp8mzSVWa
VT7eUObN6cmhk0x3ktvH5tc/wtPpmVl8gnjK3gV5pVvSkFV1z5Da/YfSHtkimhX/yUmNqEDRKHf0
dGwPUgjeMKgY6zht9o7FtPqJkVzUYWFH+DMI0BPrwZI6sXBv4eTA4ZNajFFoT2DtUdMlRF5Oe27J
jgIGttfrlPug+hBl6HepV7/DB+MKRJdxskVT63E6R6OSiB4JsauOPoXuT4LF7GzvUhBAMs399jn2
hvKlrzRnN8hP65PVedtS2bF2QIA1J/oyVFn91gG+9hEjRuiAxqRmBkd8PJ0b+R3PjV9v2zB7CNor
sqNqQJdkf+qdcVJn3M8qJiA8ZnDFLLDc5BErt/B5yIV9Kooah6+vQVZRxfWz9Z4xaM7IoI08lzW+
BufMVLD7SVjSJPYMPM19jqLzJ0ziYd25ys0EUrbJe7Zax/9uWid619mUmXVnc6z/GqaFhyXo5uEt
iaIp3ftM1w7GH1zUzSpxX12rWh9ykSGWE26fkyJcifhSrQ4h9EZrnnegLRNTvHJKiuOMYPHWyRof
XgJLVdMAdie7efxBXcVolB9ekxUPqF8SjebUryeHKQNH8F4ky8hBYTtqCp4CvGXVcUgm7e0csZic
9U5nexEzsMjupxEjK8CZB4mMoNvXjTu5b9D+K76OnJ0xc+s+td1LDI1/ZBlTLy0iIqbF7M153Qyy
QmGV7HdTnsEtLGNw09NAKODMO1psfg2tiINccrOhbb1sMA6XWPcWSMiQB+5875CIijdCcUq195Hj
OaxjYAVoUtYyXYzxN0fjv/TDsa9nHJ1tpsD7Q8ICVvmUkfoMCt803nhNQF0gj0RPZ+qkiS2sPvGo
OqTcu07TG0iLTa0PgBpAIRIuB3+V0j4WI2j5pBAaVy6zzHm4SfzR66uzH5CspK/x37NSYL/ip3wg
s9vA1Tn0+TbMPAAcnIGlJKTT7WzG9vbWGNC849GbqcECa70voPGXJyTcLOYAdXIQlnLgUucWYuWQ
kRJohbOoarIlUC2RqIpxaiN+GXDsGfHiK1gcon/DJMGCDkLB4YjBzZO8ZAQrjrusQ2dK9ZBWAk+s
Vi6tN0XcXpJJequQyhPG2SH9YDnS0sKwaP/eVWnxS0vZfUN32/VhBjqAoqkkjiUc0ki9sLImp2es
HSE4qkk136c1hpi9HfuFG06T7n5tEmBI/0ZmG9ykU/jqkaYTZo7gh7SatJJ0WvPyy9cYp0m6Lmd2
PMj0qW6wKOQHfFX2GXWgo5guNN1Ng4ly2a1LF3x4hVmO8NwZuhOcMWjWiQMDMk+6CNzMOKRvM5L7
7zFxeOlhrtyKkRJ9GLlibLrUmdfBZt23pL2eMUBRvoMBpvBq5pZfdryqUfJPy7+RJSYXhoLKQ9Sz
DjgIZ01FGtK2RN0BrhEJ8LUiOySdquCVgTlyFKytpb7SLOhRR/Y5WsZgKK1HW0tGL5wM7a/EqQge
LVelxms/65wn6jo0WHFA8btbbfJBD0aiYdkpBT5J2rabXUg4wR/SVOxJQsyMqIlSxyek3ZWW114N
2yOyz7DBWCfbzGsKsahFJgNfBSKFr4j9AqK5+l81zSrrUVQSDgl5k4OxCxkniSFtTly64Vg6z2PJ
6sN1mOc0DYZujgdSzuhvEWxDF6iIBxmTztfnvquGqyzqY71PJ8dMoa8i5gzgVPh/Q8/hkKrq6ANl
UP8SIPCkEMU08VOJ1v0BBmziMdELT3bjDCDhZ+i0u3QAUbrHqiZfApuh7rHSRfeAAIzREe8tP49o
5h8AKc0fqnKbG0cvWEZSVjPRgUAaGRxQzLncisRWIYHscPzupYOROFQolQUpDLorQrIzGJghLQvs
nZISBoE/RQvrzyz7URUVy+yqr6xb0E0FhDfP7q6qvIKi7Gm/PZUpMY2XQJv12h66/NVLegJmghFc
4B5+AWJC1MrokcSgpbeL0AG/oOAQ+PZAbn0kab6g6PNWWme0JP1OLXGa7pj50t/EESuYHR8Ht3vP
uPOrThzz5qxDfR8pvihGhxUzhsqCTk9QmAsUdzH2e1aq6ietW/qYi214mpbuMoFS93neJMly2Olm
BjK0cZgCKFAR+Huxyd7tGjSryNMJD4IFmAEf05q+BIvw9D5BFRgcG1bOzY5LH5oG6GSF6U6wpQFj
bhLAD8Ro4eTFDkc+m2c+afAWcpDbebjme6TdzkSUbp0Vg7bdyFEEshIikL8xErw3FcjNZryW0GXo
ryrkbbUc72ij5nqPP0CNZ4aOXRuOWqh7sDzzO37Ejps4yz+DEmoeTd06vxZ4hR9Zaw6vwLm7pxkS
ebNjpgIuR7iadwzqkQ/iv3CyoXmnmj+0UEibc2t7CaCMLoANeBwb9jtXKTp9Qqg0vgDn8O9//Y//
/b8+5/8Z/6zv62KJ6+pf1Vje12k19P/9b/Xvf7Ew2P7by4///rfnKtuWSgboIz1mmYGt+d8/3x/T
Kub/LP4riRLckn0hD8SJfnRJW19GtgeUS/F8/H/+S1ABbdtWEh+DFv7vf8kobhhF8tLB8lM5hoRb
rHBZbENy2sjiZPf/8dck/jUFsMl1bOf3v8bzgIPQ95Cz2RSOB4xU8N0XJxivXNYJv/7+j8m/fIhC
sT3wPR0guPNs7/c/lsO8Z0VOpheKsg7zEZmdHFSW+/r3f+av35UiX9WxJaIC6fnC/v3PNAinIDwF
EqQYVrEbqBs6eTGo6/V5kX4UPf39nxPby/7DsyGDwPPI7nIVTizlANj5/e8tTAtHwvP0QwXCHDMB
8Kw+v3XikQHfblZ9a06sXRFrl2KaWsIbHCCf+2CMig+L7ZNz8GaV5OzPYjlNrFjWfgXyU8WAPybZ
cDrrLGvBJGDf4bo+/cOr317d76/el4HmN4h7wSMt4U9P9kJqKTqxVT9AeizJInCh+yxEPJbM5pKb
tdbld7CDW9Jlxp3BBVZAEGnMayOdrL/6+xfz10+SRy3gG6N51Qp51u+f5LjYqmLgnzxWsdcTRyVj
TdU2i++mSzwAU3iHbNY413//V7d3+PsnEChf8h+lBdGV8k+/gSoDrTmaaXogJj36QQJT+cx5yuJj
M4AzAZqIW//y939S/PVT52/6jiOFixGKf/z+Tqtyy5Idbfth4bsJLsh3F6CfxG6zE68iAonMAc2t
PnE7l8xig1kXzZtFa7Tul8DEHbi2ATDXP5wGwV8/CS1IXHYDV6Oe+PMn0axoieepnx+2CNzBK8B2
8XBcjJNJFbKCrQASykHtwPJW7jlZuI3Df/hg3N9fAuesTZIr6l20KjJQYnuJfzhoc28AE7NE4qGi
n6CnbaZUn2iEV+vVJeXvfh0qUzG9n8DI98nSJ2QI2aa8Yn8Z2PmVm+RYBXvopyX0F44juf/7F6j+
9IzyAjkoYClwxwWB8O0/vcCu7iIvxyf9EJtWrNmVHjWgJyYXCa2vwbVkfZHdMs2XNfFx33Jqr54I
s04H+sH2TQC6uaNDhjIIlQObRkUS4xMFZdxfYwYHvs5cy/zq4DWTe9pa7OrDfjElIMAMChBd+ZhB
Sl2ImormUMhueCJrNBlabA8NLSGJS5Y/7J3YEmeCPZQ5zoLa5I5c4iY/wj4mWQ653rQ8+ACNDGyo
IRkOWMkTc8gK1CZXdZSiskA1aZ7VBH38QIgnG/EwKZdsuB05eeVDk/9nhVtYmdH3ZObCqKxoGNcQ
zhDxZg7atJO15rb1yKsqXgUToW3EHtPjqMKk09lg9Syvxna+XS24avdI1zDm/sPj/Odf2fZdCWkH
0vbsQPGdbTfFHx4m8mfsCnSmeDAgK7/AQmZPscVwkMcKaiKsJKkb+xziuGGQMEYQMU3LsijxjiqF
sfD894/Odnr94Zzh1Tg8NYzK3IC7nRf2+6sZaiPjETvd47BGd6afk3OAiTw0RS9nfvT5L19WEDyn
qP6H0+b/+oeVcgTm0iDQ8k8fg2VkA66o6R6hbCVnOyO53qt6JmyNU95nEGVemQjxX3bIhM9//57/
c9n+6U1zuHr8moXyth/1728asRfPwrwkjw0SrWBPWUwQ7txgyEPJjGADdWbhPqeTQGhAPtmjQcb9
UgRZ+Q8Hy18/A1c6fAOOUErZ3Ni/vw4IOchha2t8HD2edBkJZyeKcvlSwic9QfdP3zNbJyEgZevb
P3wE/p8uGL747ev2BHMYX+G5/tPnb6fF3CMpLR7pCj1ShiYXu89xBoMmmBpBIQSR4hfcuOhSiRlK
AlmtT/Osxm43LJh0kj2ywwxJmDU5+oxzzkQPDofO/GvuCAnKfi4lhOmbZYpa52Sy0iSnIXaQ0czA
2cjtbMaEBXuCu3WnG1LnwOh0wnnokFVdsx8llbDo+S2ww0jtGxJAHJpb/OIbEGtFuoFbkMgzxqZT
h40pwW2DQ6SGbxl3wBJwledj/0x5VN9jdly/R5xD0YOq21af5lkwG50wOgTHVtpZf+oxZbI6HjSt
coIm0ftcsZOW7CMYzl3x6QFXgPhh+HfdJNP3LB3LL1VmRuu0gN1BPwd4BNnqygc2XHWAwEh9gpI3
7r3J9QlM7h3NlImQjfYpsRjN3hMHP5TXAMqIlWHa4efxrlZTRKAhXoE0/dLP5ZwfvW72H2EwQCX1
kqh7wWg0ZxgGodG+KV2q7xDQgAKw/OnJ8/YqfRpTlusoSQGeQcuA3XIcHNuc/RKJ0Dcjl+6M+jZD
ranpY3ENUmjtsDItyUFnIscWSiZf3zlYK3uZ/ejYoxDPBT44qE7x0sr2u29iT993Dgabey/rkTW7
daJIHV5gjh966hJgqkh2YB+0prJvWIN5WXtczYrosyOSxg9x4PDDmpn2DW+dFqb+4iEAuBZEmOuf
Zil9OFql+ebUy8yGWTEF2ccEexF+UTbmgKfUQXiDL+ycz54DxRgRcdKHLMwWK7SL1b9K8CkvJ2X8
+jvgfpQuBlfWi7ZVAeXS0iAwNQwIMnfW2OmWkzaOnb2CTc2CE/jSZsGS26ID7mqfNIbMVwnom8UY
1ieoQoPisrhzYV8YMU8fbVHGzKcgeuNilKCcvvZGr+6XEf+8d0wcxLWQtIbJK8lKzpwtOVJO18Ir
Pfk0LALc7YYeF+leloFe7ngQivK9xykc3UazU5uLhSAS1jkm6ObksazBNylMXl5XeTqoZyXjePqy
trbqd9OcOJ8rgA9+XIYpxLVxShzBIWiJFsNggoF/y2BsTqWH3Jkh8mqt8VGnSX9BoorUgdmX8Klr
Ss/+OluNn4B41s0WoxKp+pj5vTOXt7BTTWMdFINqF0Fm3j/g4MyKe4d0EWK/89KK7v7+qPprbcNn
QgsQcEsEriu2Bu4P9yV4lBUMcm094COes//D2XntSM10a/iKLNmuKofTzhOYoXsYGDixiM45++r3
Y/4T2j3q1rclQAgQZZcrrPCGHaYDwfhI6S+SGynNcWNYAG1WOTyhW3Hf5REJ/oZ+CSk9ChOQtxcj
G6Dr8rGITl1b+h+LEHnfFSgOaoJDiEYPcY5+40Iw5xD7/GZSQnIt0VQFoGWbi7QNiw/OEWoWxzik
QExVBtnZdWA5NCGxt4sNYDaYPU24loldU2I8y5f1AhcfTMSUi8fCKeed2vh5eU/zRkSzsDXbFVWT
CYnfFCgDVSNMCBG7H4X7C8NppKZBhw9hjkUDyGe6fWHFKX8jQr286ZTifUhlAINRR1+8V+ro+EQC
DjyyP3lUWopDC/iVQrug3R9ach8AMemeBC3QPNjUkASC/37rKwaW6AryNQE5LUIdq06RpB3C8ES1
kZgL8YD4uXbxcpJpCTgBBthBoYl/QG7WPg6uVm81oPX766t5UQfg2uWcoViDWrDLpe8srt0hqobE
NXA7S1SKMAKamrR172nzjt4rdTDLvrGiLtewRdYqCLKoO1jmMjPAtRpeMo7zJ1vXg2MOeuF346H5
YoEtfYaXY4j/Ht9auk0Kwr7hZoSIeL5ruqLB61xk+anGtik7aHDnBqgTqOpVZZ7bCDsHjvM0lv1n
CInRvgPKC1eUhBOsNxa416f7ct1ZumNZjiFZdvPKO38YKEOTWxhGceqrPPlWo4X8iGasQvhvKh7A
YkwDZFqOuH7Q2huR9eW5BYDWIrClUiHghy+CzMQm5EiGMj+Jto6eulbom6FX7ffBdpAkTBTpMpyy
0/X3fWdQwwJwQN0AywDDXS4vwGxZbYXNyaPpvanb3NlGRaA/jnoevCLyEd/TqJI33vRikolQyM6R
4uHMcmy52NyxPWIZWOjeKU6sdocXQ/jJiZz8JypyGMnmBD/GA2Qy7zlrXAra19/4ncFNadosbck0
q2X9Di3gHEZZF72A00+mDaCr8oCmg9obBY5tthvm9cqmOKRv9AyfveuDz9/w7Lg252oexwpRjA3c
YHGk0FWEhTwUyYtUQQ8sX+fLEp096kOC9hyyxkDVYvEsQJzca2FkvFwf3ri4LkyKsYr8gVVussUX
y5sSMWI4XEOnv0LIay1KIJvkTqd+Dy4GdlSsJCgN3a73UWlln1BJhZ7gsH9fRy9LsRJJ1Y3E4mIB
mhzzLCHqEBbL0Fyu+hiivpbggBbFYXISqa0d0F3AOcwspTpEcec9dhMuNNcn4uKUo9eLgAqSEehb
sBgWo06uQCbOl/JUeprnPIyQch+9Ms23Zl66MUYmWvvz+ogX57hpOtY8vUDPOc3deVn+E5VAJAM2
Dx35BBIt/VSX2FLaYJH3iMKKG4vsckqJeggLDM5vm0q1PB/KB07QwYf1X2ApVV/y3vwKdthCD1YA
6G69Np65kdF/Tc+JnCW3pakrh6vKXcxoha8OVqFQYcNa+A/kic5ax/2I0NJTTyhR2g9lRqi5Imbo
bpQ+L6eWkcGP24ReNDgMcf6+kznkQ5y0wUtOVQaHEx+tXqOr/GcUVyrzxnUl9HeGg4k2l1glu4hy
wPlwOYuZvC20T8QHZXWEXNGXHFoT7OQt6uey/g3c1+s+TcLRQS75RkrBkbCfznXeDp2O2oELor9u
GiPbWWah/UI0Aou0OgzTjz3ujt5OtLhYQ0CKwpTSWzkE96UT1wIfBt3Gd69ukTjGEGiWw25AAYYz
GyGt7voehZ2PZABG+xNkhZs8xcopdTI7VJKGZ0h2+Mw1mijQ7utrXKQFmfznIg3TV5wfA2xCwxAZ
nQmeLW4pKJT/NDgQ4k1uRZUP/agWHXoiWfxUV63jbQjmdYy6gqz67dRyRLKgrYvmA6hH7WukZNc+
GfFQfw6qXHtzsrb+mSBDGG39oZ4+Wir18AvsQC8+6qJVJzmk08+e+ttLkFbYbMQdRWXwgwNd+tA0
0Syk0RV86IUZeqteR3j+vkmj/NR6RtvcZVk9qU1OT2JdoNDg3APSx0iIfjxABYmwewrYepj8A903
AI4OjNLPSCKDwWr9uvgDBBBmMuSZqt4njt4HLyBdCu03+LIy/zi2cbQh7suHnXJnt3aPAssjKkPw
fSnpNn/4Kc0jUWD/07WAIG1lg7Y/CDS9e9V62INfctQ/ceTjXrjHHFNA6uy9NtqMgdF+FWQL+TaC
FFuvKN3VQCwpxopVARyKyJY/tzYm/AMkzs04zy0cCX36mnhQme5Hhwxt2Dl6PlaPknpJ+KrqCDcM
jwxzgBvki+QwDIRUqwDTLXutZK4OVZ4heEqtMUeBBQKJ3KswTdsP5Ui9Bjko9D8/26qMvXvcNOFB
YkfqhajskuO5xbfUnBG8CubM59YevXgDLq3dd9jSiRdUkGpJ2z6poh0240DiCSNHeBimS1Ksmd40
ANHInTeL8pb1E+QjEIAGFffXkr451GasJ6MHZVhZPqtLQAZInTbN77LAC7/jza3BvfRDjfJBN4OD
N13RRz99ril8mNryW5pkaYV1Z5HtejdA3zgKfedDU024z5YeDtNvFL7zYkPRbrRnayFELGzWPyqN
ozuGXzogYb84/Jv62EJbfgKjhndCEaS0C1oOtxbWaEM/DF134w3lz0b/iJKIRdveDi3r5HiU+x8T
tKIf+6pz9QMxFacIdYgYIARoqaAcAeRA5X2GCDYMO3fGsr3m3fBXC8mWQb/iUUdAaFZK8wjai5aJ
3dD1gCc9dK27AxwIDRZGFwOZtO2aJ6qRwFUfoqBq3irMBn5OKGj+SgwWNxiUCG3OunPrbxBQh/AR
q7IovxvGDNbKNKJ6I8NoQEuiRl76Th88rSPPy8I31WIQ88urnEZShmgRJTLbyPxZymbwDnHRutjr
pQTImx7fiBAEFx3BWewuASeH/aM8Bi6yputYVD0C7zUImfuuKf3pJWoV1EHo1A3JuLK0eF+C24ez
0RTq88B6VKBauC0O8agNNBZxWAMREnTxLirCsFjrhT+A2CeARmJuAMu30TvHk3ewGSOEgWxIhswg
cmYIE6WmR9UwCY1N41XyCbyeDQw4gioT7kiELYqTMinepGuE/apVXp8DjbIxzvs68f9jFAV7dJcR
QKjXRnht+6HzKOGtU8PJqv2QWpAApW9an2EAwm/yZFV9aJlVTFrK2Wj5QRRwKnZmR2FkJTUjSneD
QsUFeW4aCLHMQI07FRnmybVQHUBoFm8caz0AZi420HM0RIby0d3yH5jl3sqb/Hc8hv1vcO/ZqzCM
uj3ADm8kCBHwawe/1Kd6pYN/ogxvq/p70QlTPekixK/TxKoM1zhRiOB+bHRog5QnETHclEORm3tM
BGbxq2Ko/uTQsnAKT3Ltt1ZJv3toW1eV2xJnxeA/hymS1uHc3qBZR6q1CFOk6CV2c6M40dn10UNQ
UbHRpQPLVI31CQ9ZVIn8vO1vXOCXoR/D2uTT5CDI2i8DlalCKAnNSnGaaaDA6tBs5ZBAlC2Z0ifL
yl+ux32XwRg7XKL4JByy94tCBjzrMRNmLU4aSM5vcJBng05gIxgQUThsVVYfylJP/msaSz/WUpS/
bEpa5NWLDCsvUI6MQGW+oLKPaq7vloj25Wn3jOMmREltRGC4oVOyUm7t5Dc+7GWS4xiGKQjFIHM4
rlgkOWGqZxQrOufU9gVYOUtSmx9MNwSyoyDht7EMDwi6tGJdGJP3BSFuGADXZ/2dRxBUACjGUT9y
LXOZ1lKTHnDkyF6aIcZpso9RtO3xFALRjJcm7U6kN32EUt7gnOJgksSqe7r+BJfLDNVeHUdjkjxH
J5A6jxJJcXVktez6hcBVzPId/Ww0Zch7GNbZqTar7PX6gH+byue5JSNazpxPAYKhR7cYsSgaVOw6
OIXIjKAM2WfOXVCC0tnEEx3pZKWK2vqDZlX4TL1a0+59weWGcnVFHxdUI2TuOIoxswk5mLeqlOnv
mWNOK6f3IDYpF4mefRRW/aM9IpN9Y9Fc7hPHoWVOFoikGb8R50/vW3aNpXJQvcwqIgXhX+tuh8Rw
kDHSOw0cfdBtOC7Qob4+bZcrhfzPdG1KxjT2dLEY1610jYlrihcB+4NIGVJxum9ajIFXE4YeBDAN
VjxAK8f+rY/bsp8Zh/5w4ykuVwuZqKnmnJQUkXrM+duX9FKSPjfylwmTux8l42K+HEBlA06urc1h
0u+uv/bFgK4OTsrmiJBcYMayEFHqNQQEXKJeDFhxH8peHzd9KNU93aTyXkROdyPhvmyhUt9zlVCU
dP/WNOfv8E/+a+cWRLxY4ZGZY4tC1+qvvS8ad9gQapqPeSx841eI6vYnabXI0gIfzp/hJ0t1I128
LILMj8J7k4hzCyCItHgUVcA1jTrvRWZtvxP4Hz0B1S/WIedWTUM1C3eIGGmb3te9r4mJQmpoVOIb
MHXjVKDX6N74+O88kLIoDLFv+RYOQN7zB8LcHtk+bsNPqP0qLIbK4GubuAGyzmrMgjUmaeGmBMNE
4d2cxnvfh2K8ifEM/qLMQv/RdGhPXV8eF7vCVbYyDIv6mE7BaFkWBD3rlpURIEBRQoJboU3gfAd4
3H+TwaQeuVreRoWKUt7q+l0c4sJ8Y0qWy9MgMjCJT5z/DS8Wp6eLXrlKWlC3WhkWwX3shVXy0S4w
sj7Ax0YE3y5UYN04spdHEIOyK5B0F8qiPLkMSDI/C9MocZyPMTr7v5qGrHlf86fm3tSJGLbWgNjM
DofGsnq5Pt3LmiS3JZV26u6maVJIX0I8QJgCVoNMfATA4v7AVArj0nwy5DYy3d7dqinSvkI91rAa
t4C33jgLLhAmhqk4cJHx5fQx2aSLvQlWD9aYUv4xz8rh+2Bq1hb727RYC9TsvyawYPYYh2hHHGIj
6Jlxi95xN60cAvBbtauLc4JnoQZO8wGpU3BlS0yZVnqyBuWQHJFLHe8dtLKgqZvRAX2q6QGZHkDA
rev6GPQSyO09Z4o/d9XkicP1L/LOc3AgkYOCKWVaKLGf70kIDaLtKRYfsRfN7qpxTJ9kNdjkgYCT
flaxY3y35VC/gOrXflOg9Ldwz29c6ZfLwqKupbMRpaI4t2xAuTFqp1HSqWPb0VZdWxnM1w1Zgv5a
6ZDRNoHEiAbxWHwEV5Bc2lt44csNQU3WlhQuQfvo0l5E6G0yNejF6sOxESKFCTSku8mePR49WMWJ
6LU7puhWIDBP7L9hjIHmsGETlhi64npaFkqRFRRdgT/0sW4mBFksL8N3r0+UdkdlJ7pxzl2cMwzD
3BIq0y+et8D5Vw5BKlT4YRlHPNaghVmUcFdBWnt/QjTkdr6Qzvr6uloerPN7SWAkYMWQ4Oa6Px+w
Toe6jxRgLjlNLkobU/bBCgDGPwH16O5Yx/FnuudqSw0XfTtnSgJne/0J3ntlTnXCYhssGevq/Alk
jrBohQzycTJNH9csr+rGJ7/1jZ2XhYZxl9BpS2605C8WMm+tEBGlws87s5rOxwzBtKR1POpH5beA
8RUEiwOllRYVfqezxSNVJAj7qeehCpt7wa/rb/zOnM93CUc6qZhw5GJ05Iyz1PYKcezwb1GrUgTV
l0La+i5u2rQ5cHtF+yygSjUEqY001ajdmPKLJS1m0By9LpeAgz7bYpXRbCj0UTOhgdP/aTYSv0F5
B4lKW1Wuh/nC9df9C9U+20HUrA2dg8vktWlxLBKBOshMakiue8wiF7xDWXbKwtU8l/0jHb0Gz9c6
hkKdegGia3hJAMjMESPRfgBgEYKKNYLYhxYV8S1aU2G8a+GgwvjoZABgal2iXpOiAQldzt6i+oFI
caFDrsojRU4NuQ0xfxODFGTRprFeTRZYVtguYQoOF3YxJfGwKDoL4piDZ+2g5hSxcWXzHHZD1NyK
9eZvu5wLMjCDlU5AI8XiCKu7EOOOybOOyThQcuryYyTkIFcYacgNLtUkf5je2w8tXrhbdNX6vcSB
/TtK6OOb62O6AmpUv/VQ8/dePNSMUJ6V+Rwx903Ot0MgzQ5+ZTwdjYxi9x4aWOU+wt3D2RtKdKZh
65MUVBk7o3S3RWOm2t7nFAtPkVFk2o3lcnHII7HvoBE1dyNN11Tz4v0nMAdvhx4j5g1H08wCPPPy
wNuE4zB2a9so1NaZq2NR7InN9VX63rAu9B2yHmKeC5R8Uvh2K83cOCLiqqs79AUsUOp5QNW6LItO
e6yBYu3qsmluNKre2YzcZ6A5uNEcGmTz+fjP+w6VMgOwhPoRAFz8x6ocvAYqDbG/iI1b3njLv3iB
xadGgI8BqYaAIP3bTPpnNC67zMWWQz96sEW++rTaUTciL0M/vUyCDQ39KXoAuI/vCDI4mDP6PQ0L
I4uqOwN08SMM+7H7GHa69dZBWYS/rk1QYwe/0jeV1UTjti/oRry0QLODdRNUob3JHbs8hJPCnjaP
i8zdyB7jpcNYdTPq3RgbJCIC4UIYu/5J3znlSV/mxphB+5ES2/nMGjjEtFU3iGMRuf52VkRaW6LE
GKsSojhQYsZnY6LD+0fLAnkrXnvns4KH/d8kzyHkvN7+mWgJVi+ua888Gi4AEaqmbuyV69qZuupu
BCItXlDn6PfYzgv9A9WO7INLyo2rFenqgx9MzojgWtPPkp+aSj9AS+yf4zhzzBsr4p3rl0tmrk3R
o6VptDicDV9NuKITAFSjrX+Gv45TV1wP7TpF1zdDobIKX/7rZzHgIzgU5MBbzFix85lJ0Tcw0qQy
j6alT/5zi3L9a2BqybgZ7M5oSK504yso+8C/E3YtP18f/fLypQhHqZVfqYCSc5+PPjadAFvI3dfO
JKEaaZKf8OQ71G6BT2klZuRUAl1ss6iP1xpOk9eHv5xuAMuSkhh1B+ItZ3H18paSw3USR78Im22H
nCVE1NREYCQODXoNspm210e8XIgEriQu8OtYjxeJA6DNFoFGEHle6ENuiG1JExAzBnstw9L8eH2w
y1OUwYBlk6EwyZR7F7M7IqxdF5k6NmOA1dFgN9ofeimQACyhDx9GPQ4+pU3T3V0f9r135NLghw0L
gMLd+bBMaaSlrDWcU7T4h6Y5lANBttj3OCpgEn19sPfecYbMAGUwkDNd7hiTVg1K0AxWoPGC9Pag
aUer8/RnUK9+MUsrcJPX2NVcH/YyA2TNzjU514TVQiF7EaqbQQi4MvfgiSDcC59QQm+DuIIojgox
Ac+ytP5V04Slnq+F22xS/pbkyPz6/3kMe05FhdAFeMjzuUbECnUizZbHTmgGQCER7yzIEIBxEFN7
wJIBmnc0Fj/HIHSe6jr3qMqEt27ryxIBHSUOV052tikl2sU+slSJuYljGXyEusWbcqQbvqfF5Ltb
zltQW10VWB9xGrIygkL8pmAWo5DCgRIksxxOOR6vz8s7GxsklQFPB/yapLVyPi0IFGQJaugS4fk4
vNerMNjBTTFnXeX4sUHs+sa5fbnkAdLoRM0A1v7e5+fjBRHhbqxa7+NUcjGv6iotvugJEjEZ0qbV
jTPk8tCcgXG8GAwt4nhn/vt/LjPXiwNIykV8NAb0pJ+bCrngPZljt0GHLsC8FPlye5MFZfnVsqbk
Da8iUCD/ed+RINIl4/AGEEmh9PwhGjEqLVdjfszbOv3B87T41qGvso7z1Jn2nuebDzHCYDfi0YsP
yznNap/hoOSKZE7nwxpcSp3f0zCLB4S4dy4USgqPd8poinqHxEx24zUvx2PxEHHRiiQlp+x4Pl4O
122cQtPDZwJ3qLsiz4M3ivCYrwChQqg7lsN0gyH67pCQoklFoTNdJGgZ7DhwC457rFVTtHe5q8J9
mdguCmsqG3qs/pDovzGtF0Vmtu9MjAVWTX2FeHRxjgRWgs1unvqnBKU2xI8mPaveZh+U6dNQI96y
qeCC1/dm6SYfbCoB43Z0fVhmkGjS4a5sSnzuOkTbtRsb62Kt0+eHKqnbeGeyuZbHrBuMqiD5co+p
3bSvcdWnbwAhUOTT67CWzx024t/LPmiTI96J2RbSfXgjH3vnc1DvRTRSp9oGt2xxm3VGWqJnPfqn
LtL6e9MPza84EuRQu/DGRQEt8eWNNXcRKfPONCZnVDkkZEoj52sOkwucx5mOI2SnSXvIRZLeJYXj
sJsHdCtQqi/kJghTtCDJLqCsXD87L84yqVzAZyw+RfJnW4sXxku0iQdQKKegbLDA61HO2tfAyoO9
6tA3uz7Y5btaHJu8J6V8iuvmPPv/nGWdaEJUqcr4FGlac1dwtXyaVCm+kdG+ueCpdkBQcXymo0jL
7frQl1f4/E2h7c1QW26KZaItciDliGozNvCCz8DY5d4Yc3TPeq36ioBRDs4rDNeNp1WoiWXhnwFE
x43N/s7Gm/HttBQwR52Diflr/DMBGFdoOGl39lHUA/yhVSGa5iUcfE09O3i/TSsYTUQvIfVmmPYA
y72D1DKEj4yyj5CBMwPzsZoltm8s+7/9jLPcFEIfJHUF5Jx0jT14/mAaPCg8myP32ET66H+MfLuP
VngQTDsrRe14B1Vs9PZF4OsoxFg1uohwzGuEwCrfP2BRjLkFhD4vwrHMQYwOyxBURooyLx58ZZF8
Sn+ElxIBid21tjv8AV3YfWxgfE0nRMsLPCctvSy2SSnE6caHnx99+Wp0311jPl6JmhYbLIriybCb
jg1G16Tahr6w11hs+ncNpwzl5NCHmmdIOhy6NB6S0Rz3k13FjzZKyjc220X4yizzIIgTWHJG9y8e
peXWsS1v8JCMFSo9QBT1P/uWUdnbWu/9bpU6DhKWPp7WL9cn4Z2BudNAH4DKnVORxcZDV7PNPU6g
o6sq5MQ07PHeQmB83R6+y4BhHoZTgR9o041dd3m6EJDBf6erTM0VBs/5svqrFARh1j81jTJS+GpG
uQZkXRorhWDejcryZWA6k71MV1LnJMeDu3E+mlNUTdZBjDm1SeL/Djy7jvdIHovmuUeaTm1HQBcz
VdrSmse0wQXvBZQEUsfCiJG6q/VSu7Gt3jt0OObm22wu7ekX2wpVVFl2VnAKUdB8LbjMn9pcp0Nj
iFnIsAlL5GHj4S5NEeoH5NsNK1yImv31r2+Jyy3wt3tExwFQBZ2984nBDQERBHzxjr3WZsUd2rfY
rEKZNKHOg4+atmmYd6DO0AIEaNjZ6s1XNcDAAkvz9jDkWua9eni9YSQlk/H30AsYuY5b2s8m4hIf
JyMI8F3p9K5ce+OQvYzwHdXawRO8eQLrhJRfK1P/w+QHyW+7Je6ArZeJx8oFA73zYxGFL46Oiu5a
s2o86yDtjwzuxNAv2M+edW8gmb5VrR9WO7wu0A7yysgx9ipvtH2bOJCAlEe6RF1L99wNDeI8/BkZ
QXmowDQg5Ys6YrSuO9Y95N+6dnasWNQtXWeMjYfW7bFQJLzNPpZj1I2PDZTtHvV3LSjvUZHRxXeh
ElSZaqC943ZAuwJia+Dg1uOE5fSM3qL4VrgZ8jlokoWv1z/eX32cxfk1B//z9uWKBm5+/vEwME8U
yv3esZHZ+Ku3QuszCklVsAkczcKFFXwx8uRQK3FmGhvUbNPaSdsfJtfZX5UjBLjjuqmw7O3K5kmC
Zkbz0MnbnyLKEKQoKJft8XOvixuH3d/27OLBqUSg/cOpR8a4bHWE2dAhw+Zqx2DK0m7jtxjwrnPf
GzH3oOgdPHRml5TPflPrzl6jS1ZBY+9JaeoU865VAZaY7KrqBYrj2tDqcssibw9tUkcA01Fw/DF5
OitCJHrx3eij+MXGeExuwcXqmM41ILu2+WSmz6roLTCcsaUYuE4j3AE7zBBY712MQjDmS4RcJZO2
KoJuLLeNSG81Hy7jypmDKuEZIQaiENY5/4hWY8vcQqLzFAfYezzjQDN9jWTVhU8VdK4DLZH6x/V1
czmiTacJKg1mLaAmlyCqYBB49MRuegr92tQhtZvED6ndVSu/Ho/Y/8Q3zvr3BqRDjfArsAWH4sz5
K2KbYNimVxcn9O6dAzcOBOWxTcJfhYeF2l6vvaK+UdG7vNZsCEAQIfEGngu9iwM/8bXUnYy2OMFx
qfEgTu2vdSImjErSLFoL5PDKVQVV/8awl2kK8QQpIr9Aj4Skd/6maY6Nswrt7NS7+BY+4ejWYRrj
DuUvaPoA303pTDjp9vD3V5PSOgsvelD77X+fcPYVydJMzVSIoJ0/Rmfjh1ARMZyAqEDVrnW15fwJ
vlrSQ3+B2OtG9PrOB4ZBTccakBzdGmuxhpvB7zVQBtUphzS/T3Pvm4vh3iPg53qPfk5wur6A37k8
eTUaJiwbSUFz2S/JaIj34yjKkwdXDk+kEacPfAUwy1wllRh3Ffd7sCWmMMwHkNXozaoux8rUGJDY
vJGZvvfuLkUmrDCQ8rlUvKBFBz+6q06+5/V735yKRxEbYgKTkD+jtk9j7Prb/82Fzk9Pm2XNoc8u
BvWxfPs6iqRLOTw7WaFEtMkLdPWDetTgHqYCI3Y0NGcpxLH2GVqHWR8C4vXzZx0IW4bUt+gb/BpL
Bw6HnmkCvpGBd7ML9haBHBmT0ZZCFpvaz/Be0tsJt6+WYwRBRacV8FDyuNsFaLXiMuvAh9hoEeZo
H93BljeuiXf2MOuXgporwVqBvzhfxa6MNDFYTXIqqzb5pONdtktSLWVA0d8XxRTfcbvcXZ/cd/Iw
G34jQBZSXrRTllmvTp0cbRbXO4YpZafvJCBINKxyYPr+qmrGQr5luFPgS9qPmf5kV41731uAsu7H
qYSDs0bdr7jPKcbfKi2+82SIaJGIzUGj5ejLhn1qYs9ZeZN9kkCnTyy0aoOyrPhW9pW5t7Q6+mIG
mFoFbssa8H2ruC9h75sIJqLyidKPMf7nXU+7yJwlAkHIU/texI6j24Q2nkD2yQ+NOFtVI0p+KSIZ
A9bZOCkUMfCvG0vicrPNdWUd5LINZttepupBiJ1f1MX2KelwHIWWBEaeSRhfwwi1YtRLq+FGkDW/
xPlmY0QK6mxxRcDiLo62HgkDJ2kYMfam6SumW3KdTFNoraoy67bXFx+1huVoMByAUs43MweqvsyK
PBWXgJACl/vDntrvAb4RHerOUZJEP6jH4OC786cApdAyb0ITXZ0eLWe+LX5zr5w5ifsGCEur9RV7
HWNTwLoa3EPsOpKDyq0Ey9yK7jKd4qhzNjl61P53fATQyVKof6p1hAZedRiCzL9H47qKHnWnId6C
hDRA/El7+clvhC+fZrR1vCpmP3kmwohabBzp9hr5/WAWIxE/cB0j2TjS0cZ7OK3mB9NPa9WuwTno
cNZwzzXJLUfXfNVI/LmiKDGAa8XpFiUOiV6VSoW3Q6UC7USlV8jDaphDfLE70T3NoX18qKxI7WBf
Bc2mRP0g2/ScFAn9ct9Fh0bTgQyve9SF9Ne2FI2+igk5sWXrq+noaKVrbxPldj8CiRjUxlE5noxN
r78YgzJGHE4y2Xl3UZQX3qMVYLJHOG+oY+p4NabtZmJ8UVlcj6syN7yPUT70cpNOokZrWjTmb+JR
JT5nbMP8IfcV2mZdPJU/UPKsvlctdbR9qxv1A/tZ01aR6WOUEcf5GH6qcjqvom+TN6RJymMo/XJE
FjX2TogDK8h2RRyv04563QYX9foBIHIercNysE8WtLfPeHx0n2I79n52sWskK8rwGb44pu+/FW7q
/qZGaXhboOql/5Ll9DvXaUwygNcEpM01PPcmecpwjumfIsyCftiNTT41GhF14FK4AZy5BMbuKmjN
0d+PFA6LTejWegM9K6t/YElSOQ+BEUT4cGKlEuKgFLoYzmXo5X9wJq9xjzbMeVRC9NR6cMyxf6Xu
iXdHLV1cS6HRuusK3VqkVqsApdcxHMujNWU4BoCU85tVFFlFQZo2HwAYY9b2Stda9xtSCfn3tjD7
+ImXCjYI4Tvtduq94N6DZ2auZK+3/cvoYFG5wdd1HLaVF5e/Cw8UKYGo3k9YVdpt8trSRjQhGWKg
upZdbdif0LX0fvT4n2gvLRVunNj1GGdLu2i9YB+kqLxRmhm7Ci3ZfJzWRZHi9YJDgsIuqKDt9r1q
6Iusa7qI6TZCzmneXj7yeWHYYLPQ0ndHBGcIDBIyt4BphHczlhWRXkIqsMzOeOsymIJfjaKU5rMP
M6h9EUz/G7WcvPshA+wlsc52azO/C/ykf9Q7o8q/4XqXt0dA/RMVtr5C4AhVztr+2dZ+1P+pg1Ba
TzXI0WmXyjQbVwWa/ve5HrrDCl3UQvCJwPiquHafCwwa1AM2x/rw0CbdbDlRIVS5RoCZrGnjwbR9
AiSo0nv+YbJtIKcO1hpMInXKhChuJtYQxRyw9jPCz6mKAwR+9KK5S6YSPfypaUZskEDhIHDs4yaA
vZQs7RPoMx+3Gy2unQ0eQNhANFXZP1d4CBp3oa5pe6uLlLvHMwMX0QblKRjA7Rh2u8xtUDIyy2QE
tu87tX9nTe44fepkgbER7+vlr1EUDWSTSQWizChN66NsGt/YyrRJfzcaxOv/elUCJILdQ5nRmmkk
S93UNDciJEX15MUo2tLb6ZE5/Naw28DGHa37+h5JJ/NGKnJZ85ohU0QMNHTIheDDnIdPCPe0teQz
nmoR5qtEwWKNMMP6UNYlhzf6JcVTj1CisxnrpP5R5N5svyZRAk8ldbn/enHP0GTYFITJRAsXmnQR
5jupb2bDCaNJBUncwANJaxq50lVjH91G82805i/ubQZEVdOYUR30f5caFlmo21PSivGkimRa9WWg
DqmI+89jk3u3qBkXgeo8Fvcy2BWDMZc1VEFZrECZczzpvqmOHoBsTKM5XdAaR5j7Xk7SCPde4sW3
cCvvvCRJF/mPS5oHDnoRIRM/+E5HYeFkJZn2K879Tw2lqXBjIrpU30g7LkIvNVMEIVU7pPC4zyz6
ALpEl0IlwjllGZb2eTGlPwJS6nLljUqdzKYabyRWl1keRS0W7/xms0zWUktwooKYWKUJzR7myxbA
tP4UDnn2qw0s48mo6uFet2qxNybV4eGGzD3uTp18ux6TLTN6sAwgk6hRc2fPAALnfBeFNLPxOLPT
F3MUubkSBc1Oo83DH3gKRLtKj0jhJ2R3BgjkPajWCuOIG7Xi5fKaH4FOv0UBG/wlJNHzR7AiR8P/
0M9fWlWZ/sYVjQvqskRnyrWj5jFoqwqt7zz9ff3N5zf7N/JlWFwwaT+CQp2j/EWFPugL9CIrs3hx
oLZ5z16WcVzxqeovkwj8feF3ub9JMzLBDwL6/Zfroy+X9jz6TPjl07OuWW/Ll1ZYSAFafKE8Bbcq
zXL7GCdmd2fVHeTu64Mt1zZKNxTfUHqZu3+2XHJR7SlGhiCO7Rezb2bnA+kGKwCMg7OloWb+kD7m
3TeGvOircSTZc/1CsHltDo7FwoKk3edB5ZafMP+GKrFK9VEJlAMyOyIsK1P/AEyyNz7n+kCsTjw/
uRuQM+JH7pv0QCvHx6dmqGN7wnJL1zG3HCIn2nlM0qMSnsUFK3BmQ8vWGT6Q+3c408+mIOtcIND4
S9f84Qsa4cbXpB0G6+X6hF4uWXTCYbTCrWVmQTGefz1kyXENc7LmU4tG0p8ZtPhYkR98ipthXGtD
bT1gVhl9vj7o3wPhfMWSNoFbmGFgXLTLvZq2vlNMTpZ/QiO0KtZp5eFZ2dqhT6uxtdVdgOLmBlGn
1N+lY6Xsewc1p0NRa5XYw1PpipVhtWOxJ50dDnhKJ8PBHLVmOF1/TnmxsUAUO9yDRLewl9Ti1A4V
yJi4rM0X/GAL+AVUcZq9+D/Ozqu3baRtw7+IAHs5VbfjxElsSUlOiJQNex32X/9d4+8kogQRfoHF
YpFgMRpOe8pdsFNceHOvjxDjeHxWcnCKoPP8XGsKRDXp7790lYjHHQ7WfyygZ3jmdpiULzwPtybF
WyvnA06TVv7likM7xGUMqaEXJVfQekiCPHxwUJkYD/c/3q1J/TvO7FZqXS1O8bnWX8gFKmw2PQAJ
eDCL0Zde5yDK3j8cjBAVDTB5887bdIgdOOXgTsZLVOg5j3oZfbCsKP2t4vG8VLW9/oSU5GEzyntX
Djl7YaM4b5ww0sk0/KT/3isl3iYd9dbje6dEv8F1qIujPO4wscuVqipVr2O6ya/BUGGdpbXNRFRG
10063+i/7g929YhQpeTRAtuhsdUIRC8Hs5GB1lx0i16NImnxf8xy7xeJHzwetzXHJ+Bi0asVxeVf
LO7NfuEAXN1CcnCwQrRX6f8a864vsAFjSqhHvJI1obTj6SIzNjmSRxgyB6m/b8okf9B8e1ooIt6a
NNKIFMRBxbng4y4nHbl48Qqnjl/DpvYpHqKrsMWnPnid0Ad8LRKZ1vetamP+YlX2ux8zoAyUUcDi
meBJgN5eju6gDYN4U5W+ZjFlXKNP8jXeV8pPU1TlQxuKpZrc1YmU4xF8sWlB+VrzLiQgTz/MwBe+
QkhwlccQe9FyN2D5AIwmyUdv4eG8OiVolUkMlsOGgI86L9Dqdu3oRPYoZ9VBk1E5ycw/3lQuce2v
OBm05SXsTuYtsP5ol11+RpytUASusvHVjSiP/EDx0nA2U4Ux7Cauu/ajnVJJO+it7flbg5YaNdbe
rqpqn1ve+Jg6kYVxlN2L6YDIfGNvGqsc3S1KdaIPyXrHenqs7CqtX10Xi5dCVWsNFQGlxTOpm9Am
q3WFrB5vYzL6Zq8naUSJpsxt9Bbr+GcYiWCJ43O1kPiiSK4LMbeES8y/bE0k5zR+2L5OtuKAyxic
bxp6TfvKbuuFfPh6KPYJ5VQ446p1jX7A3C/oLcKfV/gozWsYJp6OdbX4iiKO1e7uX0HXkdYbrUuV
IB1gXq41W0mAtxFAfL1+bSdUl/f+INIDYsUe3mJ+1NR/sW/ChBSky2TtQ6MtX4D+T9TNp4Fih+aL
rAC/O01hvlGFo3wZ1azCYKkSA/CBLjAR6zGD6XccYA62Fnar/7WI1g7kiWO5UxopdRUroaieK1iN
2QKy5eqqkSRRj5CVLIUweR65csTrBAf29lVzRNetNSjGsMDK9vOg18V51PH9NtGS3KP4ri3crldB
s1w9tEA5iVTI6VxfHhDNy6rAR8TotQyp5a01JJWrFQJtOPnUkVqJfRZi0rQw6NWVLk8jbU0YRBxQ
Wg+Xg7YVQaVT6s2rVmntsMf3MwedgvG8sSFc6z/lULJ3WJm9+ylhXMoW1P+JBjxyhctx69rC+8qo
u1cdQW9M5xG1e0QF9sGFqPO9o/yCmKCtL+XcV8fE1BiSO1UicYngZju3CxHybyxfec1bapp4aoHl
WHmdkmY7v3fScnv/pFyVjOimOjZdFTQLYYvAxr2cJagj8G35GB5HQOsfooomuRb28ROVvo9RXext
M9KecXgXnyjUWYeWKX+q6l4sLPJV5g++mgnzM6QMpux1Xf4O7EIytnsSH0Ugpq2ZRjoWPaHAAtxH
pAun2SkUT2NZlf4K/9qBgj0QEdgFtvAWPsnVfuOXoPcATo0KBB6xs6e8ifqSdsEQHw3e6wT6nZ/u
+2gK91o51d+8bjS2hO9L1+NVr4+0kOtKunnI0gf/uvwAAjG6Lhqc9Jig5PxcoVwZr0o1Mx7qvkDV
z1dMJUKrr6vKldlgPlC7pfPRBUAVrtuyqrasIW3fhd1xdeBNqS5AQQZ9Kop58/ch9j2tV4OyPJaY
hDcYzbs4EQijdVZCmK5YhVXrNChHpk6wKfOxrg4DBgvJFotS5dUdqvhPZSru70xp6EMbIYn4Wk/D
di/6tF+o/r0lmBepIP+3fMfYRQDHWf7LD1jhQS6mKhxfwH5WOWY1xGqgeiKwbPRsRb/qooBrXfip
BvKod6Wnumelf81Oyb6xNmL8MALyP+FAo7+3bwpYgPMl8VpcZTyCs8UFqg4wsPUGpPodnHCQivmq
C1xYpPlp9oBiChqO95fueuUYUTYxQc7j6DOHpeSmh8m80g4vaeRnHv71of+EYQ9+pBkmcSC9BgMv
iv9lTMgLMiak/D27u9qky/TOGYaXiPz0q2O7IzyCsj9rI7I0HHrz7/3xrl5CvqoDRQPQDZVQ6GaX
Ky6BKQ3rOLyYk/UYiFwU68hOx6NeOkpF0QylPHaw+FzVdvneR5ihAcoTi7LRbDD7l0Oj+BK54CPH
F8rp4tC6irXB4dn6XZSq2CWtZT6oXeAes9xsjvcnLS/k+TYn0QCoDzIASN3sDbYzzXddwchaNiVf
zL6savrwmrZRAt14b8yGJDXVKsBN5DYyz7+cZVBWHh6x4/SStJr4pg1u88F3lKbd4PJtLtUubuxY
BoO2YIN1kcnF5WAE5F2CbNv4AriGqmrjiloDC9u25UqobfixTipviR18c0x4kpLH54DEnu2gvukQ
u+oaJhhYv4faxffYpTWp7IqkNnUcM9Gt3dxfv+vnhc0K8tqldwBFc67A59YQTjx3Gl+4NTHYNaD5
evWor+s2c44+7flDZcXW7/uD3tg0F4POXlctsvEdjWu+LdHvS6kXz7lIjFM6jr/uD3T1QSW/WyIM
JbFW/uflIloVtgxIIA+vFtab9coLexye/QSpyF1UlGm/tn0qlYf7g74p2P17JuiISN6+BJdz63Eb
XI5KljtpqeOUx3gAtoNtJxVAoLkp0UNUxthiVpRIH1AL0g9VqAll506Vpj7kOpTcfRAaonqctLNj
l/UZxrfz2UT7fkeve3qqkHircPlOHbRW0d91QgjZgz2q+7EyUBCcFIvaF5EiGrUtCILwJTD94dD4
AVaIdohF+Coo4yBc09MxPhuot/QHUK/1qYtSCLE8Ov232AsN/08fDsH0E1+e8k+BZu7ToHeGtwaJ
FIp9VepusvDRriI/2UaCAE7LjHAeBcpZXG2WneOPlV0ea0tJ0l2IbjHW2s04+HuNbDdblaWltJvY
mLpfQ2NnJyW1egcHbEtvDjXile/FjJLdqyr6+/ReTES+5j9ILctQOK7fHLUcGAduuwXQbD/H+MbP
pinZZKLuFw7jVdQlx6TPAf+N4hixzmy/BnhIVX1RdMc+11AUjZBzgs3YmSluxuh3m1tHS7o/Xlwi
W15h7v0xgL467KayM8HCa1NRr7E+wUR44SmdH1j5u+g8Sb0jrnr6FJc7eij7xjb8vjw6TZd9DKbW
P5BeY6XNgza+N1ZgMGqCb8puBHqotF8OVtNdA4+riCPmA8Yv32/d32Zg9MFGIHGIQLSDTPbC7pvf
ggyJdzEKl6AakZObGyEKo6GX4FTtEbr4tK69vDqR8qo7AaXzd83lVHxI7a7oF/pq8j6/uCjoxlN9
4H0hROQAzOKwTESWXXSm8mrEXib2emM7z0briu+aEyP+knHpc13lTvEB+Y1iaVHfrOguh2dj0wsn
rUTW8Ur0o/YjOtFj57yqqdQvtgY3Hb5PcYDBoFXbTnMUBrAYN+sttlzhH4kkFeswYm6srnWzSX5m
SHN6+x4fFnc/opn64o4xeg2JLjSxncwOWHcz9ma+ocOqI+861OATJ9G69cHE+ljpyR080Q97OBo4
l29BYbd4ECda326GkvbKzmlV7+iOkRrvJz+vKUoFWrxVzC5M9knBTpC+ZlW77QMsGveoKCvNx2EI
vf5ZowXzH2mcW/7Xx+Novox0qsovlhhNxu1q9IVx66YUWn+0fboJf+4/AvOXBztN2dogSZFFAvpQ
l5s4UluncqfAe0U7B+dvx1SCV0Bi2YdSj0p7S3cIwfj7Q15tYpgpMBHZTqSt1H1nQWClTwV2klVx
HPKoslcNCmzPzZin7TYLbHyeNd8Y1K9agCHZ7n8YmbNK74tWLXiHy8kiSj1pit/lR169npNSqiu1
0dtnJ9dUCiIjNf4Uc9WF+b7Flv/uX+TBsFGwaC7RHpdNi8thHZA5hsvrdxwICO1dLTTrDObe8R4r
2jHOjsRaGq1jZr4bYkX9QG9OKdatZ4rwETVeO8LLHB+slYr60s9M6Yr3BlcA3yX+gxNONi1/7eUP
xKFcBchVKMc2sWsTH0i9/EkjoC62/miiYGiN/ks1eu4SV3l+Xb+NSyGVkA77Gt6wy3HDuqNeN+TB
SbH88giSzthkded+ibqw2N5f+qtKyf+PRRuRR4u0fG5RMvaaW1aaohzroRQfGtGUPxG9yLZKpCNc
olV4mmboblhrPPTUGIVCzX5oLEcs6fHN71L5O3T64iioYbBxVR9LzFFx4Dn4R+xgXeMwASb8lgqY
2AUA6nplisCM1nnQTvpTFvFULm1GGZ9cbEaYfXwAAAsUaTDElr/vH/rsMOHB2EEcPLVchOshk2mJ
FU67Nk6e7dFE3DxrMeeyG+svyXC+R+CoXziG159A/gSp0MtmA1o3+wmtUcEz87LkZCZWucFrsP+U
pa7SrmqDpzrpFL9f6XYiNqaHRP/CPpB7aj5/By4E5Hh6Fjzfl/OPMuz3GnDKpypIVRg1vfpUpK2/
C4e0/gye3XuIYevuBu7NdWc10bbVKhymEcdYs6vy9f2fc30C+Ayk/cTgZIsQNS5/TYJdstug538K
EET+oGiFszdB1u5CP6uP94e69dXZ+yRP0Iu4A2c3PR6bSeRrUXoaJvwccArJvgvH7BGErpM9nM/p
O5VdKF5NmizlqPMbn+I31WAUIVVDNhmvKhxVj3fH4CUnd7LTXVZ78YsatlIGP7MeJ+FVZ1/RvIVd
JuczW2jabIjUOXSk4VPNgpZhyNJWEVZ6csCPkt0UdYQFwDQ2yA+bNMQ7XSYYXZNG0D48kb5q5qAt
ifLfWF9ZCECpEFqGZPJdrq+iGTIaKLJTE2rec5pVybMz4ljZTMoScPDGR5YtDhy45JtuzJEkmY6X
Q1Rp+alOunLfGqofrJPWV1AmTCAW2eFE5OYOiGLd31e3vjOvKZpsyGHRXJntq4QeGImtlZ0K3+9+
ZP7ggUBD1gL+QfkQupX+oaSQ9R3EifYxLQHX3B/+1rRtiv+0VlU00ubVLL5+oFSNnZ6A3WXDhwFG
D+krf/QwDdQRNiFp7aaicWUv3KS35g3jgaAU8gyXyezxSjocvVojzE9aaBlPplZ79tap+3JfVLb4
KIEf31F8LkCChfBpVS1/vT9x+8b+Jt15w5E4BG/y7/+5yMkyYyjXWX7CzlVR132RD8EG2+3/fGxT
U1ibY/U/3FbkHLKZDF/Quuoo97GsniO3cvL04FeQl0qJUXU6fa5Ae47b+9O7cXIYi3KIvKS5r2bb
Sni9M6DYXpyUoS6OE8FHvfK9pgBzFhQP98e6SuqlWg1XMNcEBREy2lkAFMLlDZ3IiM+louN5VPR1
HO+jvgm3jYVT1KqI0v4zOuHKp6EjatkTzFuPTu3a8ZqdGacL+dZ1sCJ/DwhgWncqfYQ58EnH3rWr
mzA6j35gZIjo9J2/jziF5coz4eaCVRPRsPWSMuJtGhqsPmog7y26+oq3pHB7tdF1ehkyaIJi9tbb
udxooxr5bqcbATFr3Pwes8J5AvLo+/s2HsZhD/WYFmZel7W1bm09jh9y5M0XdsPN30BlGpgroQMo
y8vfYIzQmLDmjs61sKZNTyx7ULB3/Jkk3c9enZxjZGSYled+OK2DKgnfe8nwCVBnYyGkpDyM0cvh
i77sCyuNg3OuBs6W676KV/R0603XNN53rVWqJ50GwcLNelVmAYlGX0sGK1CcYOnOnrAC+Pkk4lo5
BXWIbRi0MXWNfnuyT7H/OGbm4Gxzt0LBPlSbJ7Mu4kMzJiDHA7V/7tmYC3XtW4sAjkS2DfhFV2id
geSoBhsXnI2h07pVmBvaZhiLSd0ZOex/Ixudp8BP6kMxusWG+2hJC/AqhOF7yD6JbFkhgTPvdmoW
7iOxPYXnxI6C17xJvJPi5eZT6pjp0VYA1W2iqEp/DxP49ftXxNVty9AQEyh1Scgk3+5yB0z6CE/D
YgdogygOTW4KVqKisFUhq251pbu/P97VswaGnFeN4w8XQKYMl+MZU6R1mq1EZ6K5HkZN2pAW6iqq
K5a6mVBq+BwG7Ib7g96YJNYVqB/KTBX1D3kn//OkJC6o06HX47PXOvazipnepq40+2VUBXwSZUnK
6NYc39TgCVqATTvy7/8ZbiRLsQUlynOsBO6ToSrTWqcCgitY2HlrO1CzHdZn3sLlevWw8GXBDMpT
LDFL81q7UvaQVgc3OeeYHe9g5wL3bSd1r6HlsVQivDVDsBAEvS7NCzrUlzM0W8GVmpXKqXPgPw0U
zl9Q4LfW3RQ7B9FZCQk2NgX3V/HGKaHy6UIzl1DCq3LZFNqKge6OclJaBa33wIuTs4F2yibAu3tD
JdPo1nle6B+c2HYW7ukbLylxLgJ3Nrq1FMrnkgl52at6bNn+KSjA0610WBf1qkEuNVyXQvN/2KQb
AFCsNFt5xMbNugTjS0l4GOm2Nmm/v/8trhZbVivZ0QTEb2nWbAFCYtKxbIzwZGMO+2CPKCutIgEM
ZZM2gCAWQsKr8yNHY1+R7Mh9PXdC8fVqaFCJCU9tkET/TY6PPopTdX22Hlv7F3Y7zZJ95tKIs4ep
RnM+Edi7nFwl8rZ+l6n7yk8e2zxvq1VYjt7L/e95azypu6UDNXGlNenlhlazuAxqYYanqCp/Bko7
7rrGSV5RE1EZDqu79w8n+4wWah+0GuZi2jSooZYmQXxSGxF9NWsve8ycoN4pGKq40OyFGz/cH/F6
w5CqopfAAycbPXPrEPw6e0qCZXyyIfSvKq/T9FWMgM0KEwV1afWurgcptYQ+AZpasJh54S+/pgvG
V6P+G5/cmLtOiZXGf0TZrCk3Q43c+8Z1fONBC3GK2d2f5fUyMjBBL9G1vCquAO+jnljCtqJTODSA
4cbSS5WNYkaJtu1iRxx7TZvKhS97dS3JyQLBg2THAQHGcDlZFRjJ5OKWe2qapjj6UQub1xo975Oj
DO6rP6XjH9+oMdI00xBRrfsTvo6oqbjRPUbDH9IK4HG5FP+8NZDAYXgn2EEQ3Pg/stpNvmRZaAR7
JfOtX/gi4t1FqV//bDhhna3EKIatnotq4Xfc2F5kahbIf152cIiz8+MDGs1a4cQnmmRTt61jKwm2
atKPNAwVZyFDvIrX5JyJV2UECa9hjkOoeUyFVyrJifcAgwIvH8Qvgy+RrOxRr9amEekmgg1N+SPP
A5+eRVImp/vf/cZGIy8nYgech0TFvP6BFejkJhP1LWScW/1LOZXhPgnoU63Hrg926pSm2nujVFlb
5Q0CDsDB4r8uV1qjwzIohpWcpqqtxQaaO8V02y2LFwQTi4NbC+93MCKOuYeND1c6En64AKq6NWse
fPAtTB35kdmrkw6Jh+i5kp4qn7wVerOTfixytXhtvATnQDvpi9397ywT1ItiF5MGr4sMJlhE7svZ
O5BgNZEAoU9PmRnHYhvnnT4eKhTD/of1xHaEFgHJKYJas3EAl1iFcIfsVJuifcUOGDVZHDyfoB8n
h0k3xoUXVS7WbF50mkmCJGEGxYfZpYE5dAeVz81OGIfmw8pq3OxBgufXqNc4n3qzVc5s4yXc2e1R
JSEW3gfKSPJg/XNZtKrRuQPM0JNAWLBYCTMWn5LEx600ra14TWweP9PpXWpPXed7ABk5qmS4Ko8C
vdbLcSttsAIEILMTJIEh+Jn4Jk5kXaBj7dgrRvBCtFybG5XIpf2ltmaP1mVS5/Xa17r2QQwV4usK
IpdLed+NS8skmiQTJfkix5z9LLvQtSDz+ByaAdl+Ww66s6IL5XYfUOOqh/X9rXxjtDfyptSwRdJ3
fmUUJsiStmTnFiHS2F+CtHKcVVv1TvLH8nUzWniWbg1HfYNCHrxRvvpsh9GCrAu1BsBoNw2+uIpB
Grn2VUv8VbD7+35/bjeOKdAlziiwKSje8yZULxJrsNquoFZqZx7QDC0xH7RoMKyFc3NzVmi/ULCA
AkLsdLmT8NotYm6/4jSWSfld8xRnFRkCVEKhdQuvzI13HTg9UlaQTbBxV2dXAr6YLQIHdX6y3ant
MNuoug8TEuaHdEqpT3CEXns9R5d2MtoF75Eb9yxvqfRAst6YNfIr/HNOcz3DfMgY85NaZba6Mu2a
A5D4zl5MQfTSYgaysDdvXAxc6B7sASJ8YLPyB/0z4DACxjVSipIOBPavXmCnG0GmeQimNPkY+mUV
bOn/AZ29v21uzRNmPncRJQyuwlnxQWuqJhqNquQWHKs1ghXRtjSSYmOMAu0QZVrKmq7GYz3RdOLh
wm4WOvdsPJzhBWWlVDuZtOI/FHohABOZIB1W6aBiNYQix1J/9mrDMiS3C7GCJNyBg7v8sorpRm4A
h/0UTEG8C9NRPCdhk9G8GATg9fvf8zoapAFLEwwUKhB+TFJnGyc1mgJYvaafYm0UL05e9Z9dxKmc
XZYB+Vr3SWlVh07T4p2WwsjV7Mp5AJ3xXq4EkRkRGqcU/Jbs2MzuHoM2b8bzZ5w6stODN5nD2VKw
TONqzR9cYe3V0Y3rpcnLs3/xpspRCccs2s/w3+Y6ijnOqLSgTP00uG16jsMu3g+ucD63o0DMNBiG
6hcUrmE1qM10zss63gzQYz+6qm9B9ansZoWuyfDf/SW53nK8fQRr9I9kzWsOQSgSeCJqaxknJU+j
X52IUn9jR72nbwnoguxQY5Tbbu6Peb3nGJM2BrKHoPmITi/3HAL4GpJEtnHCCNP5GaP/+anqk2GD
M9eS9d/Vxc83p2pJ2x2kJ/Ct2YbTu3iSL6h56pBAatZNEOTppu6VJQO+qwuKcaT9LFciERog5Msp
BW6r4g0RWCc1TcsnYBTmj6DL65UINPHHssIkXbWGsfQE3Fo8WwrP0MnGhm/+rNnKOBQJv+jUtGqC
oaSFghRxdd0hWi2cb0Pr4Q/9/rWjgQ8ND8g84uuzEK1uKlo1QY16VFSaT0rgmNU+7Yd6XRUdCj33
B7tePbpCTIwwgcuJe+PyqxYN6IQM5YMT/DhdQcsOnN+2qYVq/74/0NVbSmYIGEZKPaNpxlNzORCw
fQBKk2WdIkMNfFBnsuaA85L6NeQu2+VuqNub3oBVMziuk27vj369eRide1HqxvHGzTXVqIyWedja
1qmMtGEvlDI91H1VHYocBb1AABBaefZY7e6Per15Lkadu3KmSRWlqa4wqjp2L+Hk5Q9Fa5rwYHTr
b1yN0/7+eLe+MXuUagCQWe6c2TeuGy3uNbuwaSxO6TZ19XBLuTRaVXYgPmo9mlWxj8628KIlfuWt
mTJXCiC4J0lO7uXqxh0CZkM72adAtdKtk5pqhHEzbrHbwmvF13AM+iXs2e0hOSFSThbMzexZ7QZk
xDD5tk9VmpgH1HX9LfKj0B6AcNrgkRO7+nX/897aRDRSAUgTxYNpn50VZQQSmqDzcmpK2z139aBn
O3AJrb6OA72xtlpWFAAuBLaIS7yr20MzLJmThtLi7PsOzKiyRtM6wX4Ikabz689hgoPbtq418aCE
rHkAJ8I93J+xvGou3lNpRCeLDRZFdw6uXIN/gsJkHN08bsLs3FWBerDUwR6AFRb/ubQNm1WaZhYp
a+9sbA1h+syz37uf31gfFHq4frGXneMQ2q5R7WFQynMbBfpqNEVz1iKt3fJnyPh1mXHU6tH44GR1
uDDy1fdmZHpUVMyIFSUE43LiRjFY0Hz76hwHGCsYAoPlqu+KvdFH0YM5lcFjhFHawqN942tLMU1Z
O+NBBbl6OWhVli4kR1GfQ8TaznURVE+WH+P62NH49tJI29pGWG7rYay+mn2j7O4v9nXoCEJAdkCp
1oKgA0x6OX6ZB5aXJ0Z9tqdWb1eNo3j/2aCgp2fVQJBt7xAsISJqW4ogdIny/KBoTWI/JKP/Xh9U
QBgA8Kl00XUwtKtifDkkJguQiDMMNdGugslYmdMY/Yy13lp4Aa+XmhgVOxfZ/pUSR7NZT2nRV43w
xVlPG2uD4U6xSmyv3kShUj80bfmJ2Kf8eP9Tv93ElweLdu8bLFmWAegDXH5qXNE8WihmfU7jsPTW
AaE0svhOq21zwxNPqVmZE+aotZespgTiNTAfIQt6YQTz1RwUuOqJja7hmqsWEs+kpGi1u7HifDZC
S/GRdO/6x7wRtQpQqrW0VYlZZ7JWzXh0Vh36+83aBbHlrMMimV5SUcdf7s/w6nZmARHioVUHi48m
4WyCAFGBvzpBczZTnHK9th12w0DXbJpqsVXd8v1VcDmg5EdIpgjlf7nM/1xVALS8GrfA5oysqHku
BW1WngBlFziq8khltKnWXVvFWy1Gbn4dugb2UKkafL0/7RubiRmDmZJtD5Kv2QvcdcIvBrVsz4DD
wmd+6XckzoN9ByV+q7a1fvAbfQkdd/XqS8Fp4Cvc0gidQ827nPkQxATLg9me08rzo3XBhQ5axqqN
VTuq5mPvZO7e0BM/WFF6+nZ/vm+0k9lGpuhDxsU/2GrMQxykXgXV1C49U4cPj32iZgd3qFtnXeUB
Vc2yEuOuCIY0WTVZ2D8Nmlf/CBst/KvUZdc9tEJrYSvie/MHld3hOfb9dNdaRXGwNVy2jfJzWOxU
RfcOMWzKfdQCsF/dn8L1rUvZCuk+0Jvyop+TjPCa7uosjdKzlYzx9wbq3VOTliGKoYhcb3FfSjda
SwsFJna4qiZDf7g//o2TAt+I7hGFCeD7tozQ/9m4XuOLIlCL7Fy6Rvi56tXwU6ho1UOmN94KqrWz
UFl6i8VmSwZEj7ycyqANs0p+kH8GbNME5RRXy8/ABeonoTvJoejybhXZ2M+ulNosnj0vCF8r3cHz
wO9GVVnniGZ8SSALf0p1R7yMUz20qx7Ni005OdWJnsS0gfHgbVLLbjYgQJUvdIeTdlWItE3WAwoJ
h9rQsxfk99O1M042YmcGr1yUVeZTkiBnvLCsbzfMfJo0OvmioOyQf5wdxUHxsFEo9ezsOaKwV6Y/
Ov2mtOsiXzWW6H+ACvMevDZBqpWOpBFs6wahoIfBjnJjN8YhTiNZV0a/xFQq35CUNesddEDTWg0l
lQ8JCcK4BNE/4xFgUgVaTg/tj6WOCONCZe5NpnI+E0DNVFPIe7Ur/anKa9q6SPuE4CeqccHQYwPx
WWSU1jq148PoeMW4kRqKn2jaxOGqpSvzkBmB/xpYxfhF9Gb/01BpE25sHzfTTZxN9k5XlXRdhdnf
+7v5xgXINUD2SlbJ6z2vznYwHQCb1OXZTjXl21hk3ScQMCir+ASroS+SQ2n52f8QuciPQ/BC5Zkg
ZralBz2hqYtJ15kSRfowVIZy6Iyo/SDToSfVyKdTAr4YHq1qPQ5Bmq2jsYi/v3vm8spHIoQ7BM7R
bL81Q6Yi4NPWZ0Qp2xUIA1rdvZt+p+I/fDKwx9kgLuG/k3UuwarU+hwkOzCmI7O+PMuamZIGVsgx
doh2b/vRH1jjYnwIQ/0Yju30YKG7sMozPLrvz/b61mJA7nsErgBmQ1W9HNgrLBUGeNGf+bj9QyOM
4MEfVGU7lOrPrHTFwiV5/cYRE8v8EjE7Jjq/pPUgFk2IY8zZQ3L44Ngx9tajO2wKJzQ2gZHGXwTm
5196r3UXJnoN+5HwbwYHaIN5FAJXlzNVY26sIWrGc4kF/GM7ZdnGUUxvHVepdlR9NdmVGFjzXKDa
jsiPO25E2OuHQXm3EgxvLPg8eEyyU0VZbxZThcNUZUXfDGd/GPX/GtB1B8uo47OoKmth1rrcOJd3
Dhxg0gAq5SBGQHhdzjrpIsVOYeqdvW7wirURTROXeUd/e51Mjhuu0jLlLsRfJMLXyCqnXy1FZbgI
UH/EQ1h44bGGqZStWz+uno2SGuUmQmJCeUyyPvthWXTH0T3XchP717EJ0ELzreP9PSpP3HwOFA2p
hXBIZGx4OQfXHSuTvHw4802hyI6lptDxBDW1p/hf/7g/mLxiLgeDesUdDe0JGhyo4svBrKBD6Npo
tXMGYXytG0q30RonGHE1U1FEr0Ntn1cgEZpEn4I1TJTh8/0fcH0igTFTfnmbraHPd0cqvYkBDenn
PpDmtrpdPGXZqK76UrX/Rjh4vTvUZTwXvhHV3xvNTN2vqymkXHFWGtff2k6CwjmDbukrezslKION
G4Ki/R8mSbxJe4HohWLM5VeGPw8azGz0c8lLuEdNPH3I2qz5ZE1Nuc1Z2oVzcL2FoH5QAAClSvOa
J+1yPCDQSjoRHZyDMU2+iUk0eI4FrfZlHDqyqvuTu7WFqNxJkCp8ZECql4MRfqHVnwjj7OS1Fh7K
1mswICSvqVfcwX65LZquXwVmH1dbEOPO5yxSnCVaz9UD/iYjTU4LjIkG6xxuQVOlpFBp2OdarxC0
MgHH7kekQNZWUKjjCiF7MmJrMSO+uuAZFv4zJBtSGFhNcnf/E5RmiuX2llWZ53zy25WtdVgERPDg
N3GsWGeHevsHR+C96EKtP9z/7FcHB9EDKLMw9gwSAJKBy6E50YqCjJd1BuQX/4C/HD96o+98MUs9
3/YRjLL/YTxJSaVDJSuX+uV47ji4o8wdz2Zs5lyhzlDGK8gF0Se3K8J9jWLGwgyv1xTAgcT3w9N1
0OOahSZU8ErN56yeMUTvj1Is/9kAgr1TtLrapGHeHesst5fi1hujklIBiqPVSqYxV29OsqlPURJQ
zmPkHL0w8NeFprWbzLdRiqsa479MbcSSE9PVgeUKpm1CKxowP5mp/FH/7CMQUSnMdF05u2mX/Swb
mzfJqMpj1znO8f46Xm9ZORToW2I+EA9zRQY3Uc0aeyXl7NuR+qHsw3JvDKH5rTYgAfamScGh6aYV
8aK/hB26sWUpcUhrYFkoBLV6OcuiK1ttiMLgm0G7c/ya6bHys/WUrPpP76dc38B59uv9/eneGBO8
MUAIMOZ41M0j+7GKaSjodfjNjMvir5uP7eMwONWXURtVzNUwGn/vXQ9Glc4UtwK9N7rIs6U0Bw9b
zlIPv2GWkYWo4FJfGMrmO03zHG8KfPHuT/DG1qFjTAcDMBbgtnmfPm1qI5sCwzuPJaZ4BC5klWul
hciLGwL3zsJtf2s4qB5vuuoU9Od6XJ0NHX80HP8sEE7ZWhUFpZWq++pBr/u0WviWNwajfUmaILH6
8KNnG6ZM7JJwLsIDxmoztErDTnnBBnMY1sgV/Ln/HW9sFCheUtIC2W8JrbrcnDQTW+yA0vBbqhdJ
s8bbIuoeRZw7+qae8jiB45HAqfkfBgUvQ2xM3/uKex57eQot1lHONaPnXxqEAttVhD5LvU5TVLzx
g4detBAd3LjhOINsFyoMwKvmS1h6kQgzLwu/IePRhGusbpR8h22psp/ioSo/UoX8mMBHWKjgXC8m
3A7CErlbJU1zFpRoWR2RcGXRN7fWQRoDFLLWRT3woGjj+zcOY3HFoKFAQsCqXi6mXmgJjKMq+oaW
t/5g5Y2xw8Gj/QiUrFjYo9f7Rg4FgOD/ODuvHjmR9m9/IiRyOKXT2OM0DtusT5B31waKDEX89P8L
P9L7TjOo0VhajVY+qa6iwh1+QWWwhVR9O1QjcYQ1qiYJBM7un9iu09/t4rGq6W37Xp8Y9P6W2VzG
Z+Ot7hd1WFQdVTcOKjEMtV86/YSgoW4L5cEVhb1zu7zcK8zOxsQBGNkil7GKMhpF44I2mF3l9eZ0
QKaeOhguKwX6SW75YW7c6bGgc/311ZMkb17yVhjB0NRX3w+HiBiojJ0EieiTBy3rvABthvKkxsqu
xefGgpImkxOgVUlNwFpfMrbU7SHWk6BjWt+8CgOlLHQgdooy2/MF3ByLDYke0tKiXKNna/ZD3gxz
HEy5Yb6DSaa8zyTSXMPU7uUcW0NhF+0QEPMQ0SO63ZcecDEKakoczPGYc9wQukSppxva6MAF6sSv
vsmWQjTs50VRAMDC6vrEdavqkIgQQUPb6JM9lN8GaE9LPVz7mgxd9/n+Blk2wE3eiqnd8+GW2T8L
mCa7jK0oEnFQDDM2cnS/83OuD4P33W3t+qMXVYC726GyXD/lB53uj75x5m9GX515JYFW6+FHFdh9
0pO56r0f8uR/UvBoA/tr7lmsb433uz3EkVgkBVYpVhGG7mB2swg8pP0eU08oXyLX6aEbT9aPZsyt
V/OmWF5K7EBjaaCzhVYTLKVeFrwgSdBPXvhFHfXifWlH1UFijvVmtvtuB5+/9TkBgOAk/LsrY63O
u2d2Rt1LiyiNMqTht13Sq++7Ka6HU4Gz2fzgdbXqYAo4zgIJOmsPT7S1wHQVFvQSsD8MQG63U684
EkForjm3MgcM3yrijMmprzkcgf9YDeXh/gbaOpz2YpiAHMbSd1utb5YpiRG3YRJkVdN/zoal12mY
iXhjRzOipn8wGAQxvim1T3Djt5MbXa9PR1eNg1IJ2+5jI/v6jV5WU/VhzIxX+9UTU9CKB3ZM3WFB
La2mBgAYES4ojkGOTmJ4oNGb4204JpaPXvQs/TGqs+8uJoEHPR7wN3byASd1XUvfjdT13tyf+sbz
ZbGTgXaD0uVSWk29KIqs77OKg6OVtvXRiLyxxXMy9M5DyM72genHyQNFoGoPDveSOsA6QD00yAAg
cL4gyIcyT4ysk2kgCmwqj3Uop2+mHaKm2KaoAprc+/zVUKn3WyQlr8VQF+VxlJb3YQK2/R7OW7kT
+C2zXV2aMAYW/PkSHIF4ut0IRpU7i7eXCIrcyqcDPqQoT2PhHV3ur/rGaUIVAKqGSZZIUruK9FA9
GTwUjLJAN6uRVFIFVTnPbRb57pTPP7u6dZ7uj7j88tXMaN78D/kCMmFd8NJTnnfAlHmQRXn4OE12
MqLIMKO9Herzf0ntKZ/bUGuxsnedHfbyxmRBcXFbktjSrnuRN9hxkY4zLWqjL4K6VSV68nZSw+1V
iqcptnfv5o2vSNNoIUsv5Ra6VbdfsVdxe+96j9UVeTecytpj89Z4pMqde+NlD2FRhFok44mKgHau
8/VOGFaT1XMeNEmon7E4tbFmnvWfJDLRW2kWyQMiP/IAUdC0Dktv5ZCiSHEWmjJ9u/99X4B8Fkky
KkGkgYsgK8IXt5MetFHtVDFpcMSJjTm3oXbpbSehROxavpXF9IB7HLIRc0vH6CHNZvMruvN7yf16
ny0/A9UJxJoBh8BKXYUduawiRWsL7Ro2SnoxOjX5G23z+IQWY+uPoYNc0dSV7r9q4QF4e/0aEF+R
DesIfSIzrd+uQWX3kz56vX7NVYQsfb2rXO3AWodnr+yb/mDggvqgQqIP39SZKL/Iji62n+SGcI/3
f8qLPgvrANQK3UsYQbxea0rfaE5ql4pUvZZJRERi5mlOTl6X+QLxKuqIc6d09mOk2Hr+tTFQSX/b
GdqkPZVpq8AGGea5xFxGwVdHRk0THhSRdP+gzmhTVMxsYxwOWAKHw0EbZwN3ktyO6yNd2YL04/5U
1sd3mQlp25INs9l5sW4XtS8nfagxdbyWwpouTTMDO5Fa4mZvB1O4NfpUMnH3XuT1s/R7UM4GnG0k
zfmYt4MmYd9Fsci1K6fOiz9bUzOOp57nOQfd45VgI0VCl8uv0X3c05tbhx6MbfPp6EbS5WAXr7Zw
ib0LpQ1dv6LboUUP7qCMv2pKWjnKIXlyur+6W+eW7BHXb0Dw1BvWyRWauwOFlcG4inYuP8WqmR/V
sOoKevj1wP/GJ5N1/qz1kxkDERzmx0xv7Fe2m5cp0w4h6SIzgUi+fI5nyQIsjrGmuGRc03Cavbeq
hqo6nLlHyJ+Ndhotr0VO33DKd7Xn7LlwbewvPjTZHuuNLtW6EgF+CbeLeTSvXS6091Y7iuYAwln5
OnmJbRxCx652DufmiCR8wMbJ+l4U6otMrwlYDRNUgdV4ID4FxjFtHJrBMM3ib4r3tfdw/zNvXIu0
1W1mSVpEIWR1iJpUoVGXhOa1H4ZourRRhVeedKVm+qFhKO/k7GXasR/NMMiGea/XvTU6lh+uBiKS
uvYaGWTHTV2a9JavXj708dnN0PN+o41OD8yn7MOfdo0J5jFupFNi7zKiw3B/9ksm/Tz4WLYXkTVY
bW7ExUv1dnsZYSnyVo+1a9dl2fjVaYzsk6mX5sGsZBadw7FLvivIH3cfMEkbvrQeVkzn+z9h40Jh
5IWlwNtEsXRZomc7PIvdssKRkaehaSQmgLX50Wlr54M6hlp8mhqFTphR4Y+8M/XNcakKAQSjdQuS
43bcDqXICfti44qDdPjZBbzjR70Fokfvw+QYybH+EQ1N27z+0l6AFTyFVG6ALa3uMPTXe0oYpnGd
pkoohW92XfqgaQoIFoXGvf4p1ZVQ7txlW+dqgbLDwAPl+6JVrub4XjcIKl5n1DKfdJEVJyDz7UVL
mPCgt3s0jK1tvUCqMU8l4njxSIgW9/amY22bUHW+dbLw4g+F3ujSTzF77ulpWsPwpoMYdhjqvty5
M7dmC+5KXVK5BaC5OtJ8c0WtemlehZGCOfWyqe+PdjGM/cnRFZwYpzDR/uSyXEDNS9F2qVqtIhyn
aTtEIAvjqtCDa/xem0astdukEwepteZHtxS7hPZlr6xPL1uF9AHbBFSIVsmK6oEEXbqeVx0GXnNo
BoCwZ60dm+ygRZNsd07q5rqC1yY/ptvHjXV7YupBOvpoNea1tqL5i54pHWdWEd/bIWq7U+ZY8V6t
Yet6Ig2n5E66wF5aXU9RiLKHZrf2tdCs8FGvujI/lmP5vm6aQKlEdtG0PnWpV8+6n4dhtTPhjSsC
D0UccbkbKV2tscV0p0HkO6V9xbx+tC9KH9oRdgPmcG3QI2sebKVR06OZJ9NrNVW4l52FhazB7AED
sWZD2Pj7anbm2NdBKY3TrGC0leel7T14em7/4nfYyitzwf+NSFMFFgSZ75qXb+Uuuwd9rquL9hku
R1rcIL1pzw+jGtbBLF/L9/g9HvEjwl+ahp7IKisSVStKM1eda2mjc97nGqw+ZaTcGXvWjNLRaLZn
mit/EDNTvKasgmb40iZf7SjNpfYvK9e51oOhJqfaMtLe12rvlyKiTvcrezB2NtHGHgYvuEBn0Ce2
AdTdnprJmFV2UeJcO2WIuu6QjSL+p+pEHh/VHklV9O6mVrl45lwiTdA4OklHgUD3/Vd246rg3oPe
QS2JSuW6pD66I6SfxLSvctKN/kFtJbIbOYHtB5nTK90ZbeOmgKEJAAz0Axpwa43eeJhSq8xS5zpn
4tMsB9vHzStufEuEn7tu0vY8XLdmh1HbotoKkOdFDaXRcQXMitq5uty4wne0Rj7maGUlBzOSe12s
rVuBix6xVORSOaLLj3kWsFAfnLqIUve1TZX5W5wjpO4De0v6SyTm8QF8aHuqonDYK2yviyfLiUGF
YUG80TCnVX87rqGPWWeboXWN0sYMfYVKkekXbj/+wccDBoA+AGnHonF+Ow7cTG8wc9O6plkemW9C
/CcmTJ0iL3xSkky8mUQld87Ii3LN77nZ6MbTjCTnMFZj2pWJwpviWtc+qsPhaE1RLslfU8c52bHi
VgeUIRP7aNRZ9tbLxfR36uWa7vdNLOt3Vap4004MsRHBEI+TZHJsqVesA+MoRaDSkJF1RRNC+5Jr
Tf+ohIXaPVSVNzunTp1FjsVABkPB1XOxhwbd2tCoINNxhqFAPrS6ptpE0dK2Kc2rZnQLwnjqMse3
wqKy0HZCP2UnKN0aDpztgjsFrMTf1SfH4IZj2RnXrHRN+WAY9VhfMJNzvPdmXuv6w/3LaGtxF+VN
CNC86txJt8OJsraczOisK5K8UeH35fjQN7P6T4Ge+jfL69SPdaiIJ6f25l/3R966mIC2QJKC2o4A
xiqEkW5Z5KHSOFelE9TeZkxjOHHiO5DqBPBQ3r6S6oZwH7VqdhFlfMolzirJiMq6gDUQs7BGmH4t
ItGnj9qEhtVh7qIWnxen7YjHZ0rNr50oI7OBuC6oHvPc3S5xXRoTXzuzrrmHHbFIbYHSbQTc7rM+
kFQ+ALwp7Z0Q4uUuInHnleF+oqz2QoHCqbrJrgpQEe2cDJcyqRMbo2DXuji6kMrOBF/ehoA20Q00
mR1vzRo1WeeR1bZpYV8zvWrOlk7fjb9arx/vL+TWpKiv8HLjhsRIq5NojPlC78vsax4TJR6RcUvE
t8ZDHanqsCreORkbRSfO+1I646anpb+OT9zBlV1vgTOzSwwbHxHXwNUqLEvLO4zY2Z2tUtH0t16d
WeUb16EW6Yspl3+FQnbX+xN/eVRIiwGk4yyBQA1IhtUO0lu8u6IoCQpLTT9GrUzEKa0gXB/drisP
WNIhMHh/yJf3wpKJL58TyU/QoavTkkwgxfBajQI9tLSvU2zJ8ECAYX9tJORMKoriExF4+YUqoPH6
z8zFx7NHz0eHeLA6L0bd2llm2sp1BAH4aCoIIeepo3yRQBQu92e5tbCUXWhNcydA+l1W4Vn8kKVt
NhdjGgWlNjT+UA7RJ0+E07Gbsy8Uya2v94d7Ga7o9tJF5A2jhKeuS+8kGWreT6lyzYoYZvWsdeN0
yvngyclEs2SM/GYCHhM54959sHyu2/QUrSjCTeJONjMaALcTbbsIexI7jIMurCb7nCLS51wkFt1/
sKCkSBRKuW5f+iL0RsWLEltJoMFQv2CWO/qzBucgc2dqHImlUJ+9v6Zbn5AIiX4NLSaSiFUo1hDz
eWI0kkDCvhnOCT3L4uJNjRU/AMF1mjfkavXT/TG3vuNCOALJhMYMZenb1czTUCtCc4oDXRrOu2FW
x0OuhOrBKqX3ZHdWc2rNfE8PYOP2sxfMG0pKCwlofSKVGWy2jvt6gOWcM+J8VpZvdOTRn1qwMjs3
+uZYZAz07RYhnXWDSmAaplDoAH2aDfUnNVWrQzjkrXcsOxwMd/bM1t7kTPBGsj1Bn66+YOFoUeZ4
cRKkusx/qFpaRhfcO+o9Q4utSaHiAKaGRiso3tUt2sawr4009644MvbntCyd8GBIGRlvrGlu90Q6
t0YjM1FpF5BUI2hwu0eQbeymSGru1bNH68swJ/Wvopqs+aAVRB47V+bWEoIURiCImeH7pd8OVukz
4jjoX19/C85OKbzecxai2Hy6v/G3XoWl4bNAQNge6+B0oT64aZeFV4ryVv7gRU7ynlvVfT9ro0uH
LXGLHmxG1iQ/8BJUm53hly+0vsXQHlkgyovb0/oIqCqz7Odauab4RuS+YrT9qdLr8rFsewiWo1ef
TakmFyjZaXvKi7b4dn/+WwefigwdZPBp3MvLR3/2XmhRnFah4AKPuyp8H8IJeZ+akXhXWHOG7aVN
06LJjZ3DuBWIUHdb+hLQuFBhWn7Vs1HNQoMiHfJ1qSQ26fuybEK/hXFrXLKW6icOfWEeub7oZ11/
pJ2Tfwgt9BWCQp3bn/cX4Pd1uv4EVB0XgCMJKQHt7W+JqFb1lVeG1zzLuIUalvsB8mcVHvpMk2/V
3osukZZKuNCTdVFAKeaH0Zg0NKwp8mMcWqfH2ir24OsvcDLLc6OC0QGiBzoJv5rb30WXKNOTebCv
pZMU6hdlBPBFB6np+pOVRc7fdteJ7KB2mMlTEG7jEXI7zH5fpMb01dCTIjvgtO7sKfxtHBg4VMRF
dBk4N2tebOKUXmhYUXgt1UrUPv7BnXeYzJSCOEBi6Bm1M4q/VTSZ5Fu9btLszf3vtfE6YgGLLzSk
3EUKc3UxjPOUui36GME0tjjYJ153tDHSOZiCKBZB42kPsLRxRCm6UxfB9Jo6+Bry57SaVHXqlNcO
ZE/+j1lUfaCXQ/hQT7XqvReTFPlnKA2W/UkT+uAd6jnau+g3Til3A9WSBUG6CB3e7oWC7lYfzrNy
TcQcxse68FRC1hp85X9DCirvQK5Shz6VjaY63V/vzaEBV8ASQSkJDcvbofu2Hdq+hdcwGWU7PGQG
DWJc1425ebKTZPw5zKYgWBCNudc+3LoluJr//9DLG/HsluBtEHoviWXF2Pcnt4vEoULa74z2ieI9
OFbq/KrhLXxozaK5qIWMxWm2m9dq1yznEFoQaI7f9Yt1uTELc/DPqaFc9WnhBVeTaTy1lSYizGSz
9HJ/tbdOF+OQ5KLnu4jr3k7ZwjOjbqIhDnoIkepnVS90xUdlYwqPvZlGj2gmuelP6LHDpaiKVt8Z
futwEYrREcE+BJTeKqBwZqvKyqaOgrCR4uxVufg4F0VNQaxovgiAW/bOM7/MZ3X5LshL1nYBzMAz
uZ3vXMN8KtFfClC2DB8GwwuPSIWij2MX7eH+0m4PBTppkSzGw251cShWhnnTbEXYnA/pX42+BO66
N9q+Jntnj9G1NRhkQBoBZJXAZlffcZojHnZRhddB1TEZtlMjns6D0kbzybFQWDzfn9vWd4Mct6jo
UhnhOb9dxjbVm6hEkPkaFUA1joCe9PFQKvMo/N5T+u8UMZFf+YMxl2ga6CRB/BrAobdyjMol9bPq
nEzT0dNjiuTVpylGGy4Kp3Jnb27cw4gnwnZcEOZQ01ZLaiISrypwPK5Om8cHhp7fwncs33Rz9dBO
vfcVB3TnjGc32sFuCZ/39VsVoWcQZr/tD+Fe3K4xnupa6DptFEhtEg9tN8nHLs41qvN1uAdp27gG
KKAhMLtE24hjro4FKiSOxO9S4c0pm+KDEynOf7YuI/MpRNgXBUDXy7NT4dROf6zb6tW4eu48JI8o
z0OkpWy+1mcIIwzqYPTzbSttuGSNY6DvEtNCqkbZvdWY8V6He+PALLOFdbWYjRKO3a5upOemliUh
4E1LGN8zd5g/zfFs/ii4ev67v3E3h6KfzQWHRxOlxNuhbCfqsGFuRNChCRYeiMFh7dDJGSp/VLN6
p2659SkpkhJZ8nyA4l/e12ePmKmPYpQNhIxs7ozmc1lZufrJFnY1fGvmxPEOs9f3+b+hprWXxoo8
cyez37gaKBATKi33A5t3NX7VhmEYZa4IqsicIj+m//nLnHLzq2O0Vn/O7THea4NuLjB9PRBHQOqg
ZqymvNz2Gv5XgVnY0wiPjoI8L3efzR9DMWo7Sg1bo4H5o2O2IHzYQbejhXJsDGQbUzDGIzjBw1hH
s/MRm+pc/ycZBnOnjLg9HO1WmLMQsNcWyaHuhSVqeSIwZJ7OT1M9N+FjUnrWf66MX2stuJxDrpv/
N9jyY55tnqzLq3hQHRGUJihqf+AGLI6yLeeH2injvdB+a2p06Em7VWp6vFu3o1kiwWFcgYhYVGko
P48iEy6tBGhsT4hXhXvK71sng6acStcaFCD33e1wuaxLZWqmJACU1+e+VRG664WtlUhJRba4RIPr
lYav5337n5q1g/yDk4GLgcWMF0/QtVJghU5JGVUOOhBt4/xoncm5ILiankqlNZ5IuZS9W31zfekN
UeuiyoZCwe2EpWl3CfWuNBi0Rp2PXqrktq/HcT8ccrV29sC0m8PhH0OpGxA+HJ7b4foq7mVF6zqw
Y2OATNFoc3poVSc/SHdodlqay5leBXKYBZCU0ePjWrVX2eoUyraQmcgCrxvc+lGdktl4HIY22Yni
Nq4ztihiiwv6CrDualK0pKK+wUw0CPMRh14tMS0x+snQTGerVub5bYmEYnq6/2JsDkq3gmosOhqU
129XcjBi1M8Wyko3hgVlidGMPV/pxqE9yjI17LM2N8UeKWXj83FlExRzdS/J52rQaBGD12s1DRSr
iUsMNJB5xKGsrsMqOVpxgWbS/VlunEfa/w44Ehy/UateXduajFoxJX0azHlZfDZnuhmHMZnt7mDV
XEPvPSW1tUscDpyRUc7THq5jc3ws0Ijt0N0CNXq7yvNoozwTVllAZSGvz1YlpxOaobnxPsN6rz7E
o44ImB9VoeoeGiXv3b/uL8DWiuvYyi+JHl97LbnjAZGUCcaRQR3V1rtEK4pvBO5hiK2W/HF/qK3j
Ag55qduSJlD/u52rYkoupG4ugiKMtPGYT2gLnVqHEOT+OJtTAvdAX+m3kPQqoSsbm/RDOkUQxa71
T9c1rm+3XXEsRQG77A/GosAOeoQKDS222znlmbShunp50BtZxAjOGMCVxBKFFscehG1zXghl0nai
LfxCvQI3gqHrCjML6tRKtTdpOrQXrC51+6I18Z5/8fLure823mHE5giJ6TetN+asxZB4qjxIe2GD
y0Mfw1Wj7GM6FCaoqnH82aCO+uYPVnPxmlw0LJF0X12ojZPOZZfZcIzSFt9QmXX/TVbTowwoFYw1
7w+2dcGRw9Hv5g7n/V+9/PlojpmmsvMB72bOpYErM/kJuJTioM56BKEWdMqeyPjWNzQWgjlJFUDS
NQDSo2WI+BMsKhdXm8RHlwzTF5AFj1XkWDtR+OZYPLqLvzmY3TVNikKNrYdzmAce2ODiYAOYPZXW
gJWdZsSvZSUTtdFhB2nE1PB+dVf7xaXfWlXRUAR5q9jduyQz+u96nDX1wa3V7vNQd+rp9d/v+YjL
9J/FiYnpJK6d2UVgAH7Gi7Svca0UMeqSqEvE7lvSxT29k60tAx4DMCeSwEx0tT9FLft2yGQZ2Goc
HdrYGz+ECnZTAG4K+82kieLLH8yRhIL4AvYoqM7bOQKnmSvNy8sgduL8As4SdntZIfQ/mfk7now9
kMvmlnk23uo6G6woz8yoKIPOiYrwMMxNky7xafEj0yp3h+e99R5QXaUyhf/q0hG5ndzU8uEiMFmB
o+ZNfmzsUa8ObenWfxA+8W5TRca/ZmGx345TjZ3XRRQVggZgJTDV+FNjJOHbkgbROzl5O5IcW7MC
xQh08rc81jpXmiXUFK3oy8DAFFs/ZbKIf9QIVO2FSlt7kWyewIXjxtxWsxosBcyXIZiVa6X5ucet
0i+LRR5whJFZHW2n3cvM9oZcfTDUkFH44soKhNNET3lZh1/E3HYPWj9+LurG+IP7i5Dkd3QNX8xY
5UrElx4i7maBigTqLkdHOMbZDvOm/mI1erpHY9z8bgu9lXo/cIB1XzlWijqN4oGtH1rOJ6F0SeOn
dWXtPHFbAd8CPwRSS0/5RZscykQatpNVBB0IjvAR9pfaXbLKBh1IhP9OWshvH5owLtX3xVztNSG3
vuDz0Ve3tOq0S7jiEhrNhvoUYd7aYqqklbj7Ot6oHj2IQzsR0ta6LgsKKAB9vBfU96KxM3xptQKf
mVwMF13Rhvpc9KrzR+OQIYHNAyS9lmqrZU65mSA+yLVCqf71IKRUnzzKJHs4uc01XGCWQNcoBa81
vQjxFuhsx8Grk1y5xHnz1hzLc5YVzoe4LMPiD965RZ2WJwByrbu+vppqDhUizzIwx7Cv/WwIy+MU
IbDX1LKzD7GF0P/9V2cr9qPzRowJfguAzLICz17WRhYDLN20CrC3d0/KOEwPmQKwM22L+DI7TXn1
qlDZGXTzYDwbdBWOFbWRorSulAH6fs1bt5xbFLt14xdKrcaFBLx9AuKPMLLOc/sH00VaEEFa+FVI
ftxOt4zsKoqztgxCWokj6uGh61eDm/qCwOKoco13ByRX9p6lzYNBt5s8Bdn/F17GVTpU9DQjLhyX
kv4FlTbHPc2tuWcbv/k1n42z+prerJK5C5ugZahPdt0n/0Lu0Vx/MmmfnpI2q9+nkZSvFPha4kE0
NoD0w9R/KaKSmFNXqfOSP8y5Ml7E2BXquTbGyniXqLCrd67VrcAFvWrq6LyJ3KurYJCsoe1GrCYC
04Luh0NZ2qXv1c6qbNR46OvtKWVvfTxa03B5AaypYAJu94w0Ufr3YlkEbtZQ0AIYTEBYN56954e0
ddvwGLGcVCmsF6ff1hBzGAVJn5OWyT+y1KP5obQ5iefKrVoU3y2je7h/HjaHpOkOnxJtXPQebuc2
65OhTp7Mg7Kt8vijZ1VG/qsvNdm+jWTvYrNqJUaz89hvQVLoUv72+6MeQlJ2O6pA6dhRE9TvRDNH
1o92jvXyTDSVaz81sy/nI0JjmX7perbdx2zINEccYKUYVkY3aog73ylHp7k0dRsn7+CTdN/ur8rW
DlvEW5ZOHPnpugjXSjtCqyRkh1Vw9YrJm3t/Etn0BvLAa33cl8PzW3oILC69qDX0IR+V3u2mKSP5
HnqKs5lRuE+uW4XvTLCn2AC6s0Ox/w/uQbo2NDY5QlRpVl+AnFsWiaFkQVeWU3NU47gavujSFKGv
Uic/eKn47rpzbu8kOVtnCT8oFNfIjGGpr/ZbLCnZ1ujRBD0MV+8voGNSSQ6aOjbjzkhbO9vlzC5t
PlC6a+BXMTZSEdWUB63bleFRT8Lpl5Zk6qNMw+K71WrT5f6m2ZoaeEj2DRwqgK2rqTkZZHM5JRwl
JZfjUyznJrvgBl3seVVu7c6lE7RQDSl9r0WlebGtOS1Iv2WaGQiNak3SPbjq1LXnNp6Gva2yuZCQ
n7kgiMshG94e1rzq4fjbWRkUchwvCXiuR3e2Qa8lMnGcg4jHMfyTpYTwsXSiKaCtpaSaFOCRqitF
oAmXew+TI3oVZpeVP+9/ss2pAfVawkhqQ8bqZkf9aSwyScptKzKhOdPFUCaTxkyGgy7H2D6KAlbL
ztFbMqd1tY3CN9oYlC0BCa72SZ4aZToNBkGyA+jOUkWBa4k9t0dndqf00NMwQxErDB9ykVafqA1W
/9yf9VaQgIa0iVkVPDz8jm4/KFBk3hTq+YGapGiOhVLVqnMqZPS9FhVwHBUhPXGEdGn/dX/greVe
gDeLChXExjX6RkyCx5mSQ+CWinoiRdBN3+6lBzWttdpvmHuP805osjlXtI7hKyHwiqjd7VzVqjJ6
Ryp5IAtnEOfUk473VlGqrvmhiDluDqhDAMv2c2xf/iS0hr8PWQGsE/2c1R1bZ5U1aCVZymx09d+R
JXLn0QNZAHrEzYq/RzduDb83QFrt9Kq2LgiPFAwG4kKEWVc7VXtq7UlpqfOjFNqfyjhtx0fX5uL7
7M1YxewVxjcIiHQ0MLogQeKi5dTernLVQsVxU0G1vxm0v6wxfmMOOrV+tRujd7HTpN8b0cdvheo0
f+lpEb0Dlpx/0brJerq/w15+7t96per/+vIQj25/CP7dpTMDKgsQvKvPmaE4j65EB8WvGxE2PpYY
JiKDaMF9uj/uy53NuL8rdzw35gttbawkrKTHZiIwnL666JkZihMH15KHDA+o5VNX6U4UvLHoy5hk
MshgADFbSyc6jpSq1TlJEC6tKlXRpp84JM3J27wGQHoKR3uUF2WwY5IBJXcPMV4z9NWUIj16oGt2
YAPbPwf+KZIRS2nYWO2BhHpAgbhcEjiCsFVXmlL+W0BT9Ku0tU9OkmTvMSvO4Bc76hQk9sA/Itom
jqQmmITvXLKbP4cbFswEB2DBwtzuBHUmroKZLqh+yBQPOWfOHnTKxsO3ye1l41OTF4bt98SiaEyU
TpUeiiJV6g+K7SYdojG9Ve093C8jBHg2RG3gACkMvlCMA/MvG4SPUWYdXbsmKau0/EwXTeyBjTYH
suFpgnUkJFnz1Ru9sa1a1HFQG179kFDFECentJLqcn/b74yzFlooJxVEExD7oI4VmcHGSpPhnDkZ
Ehr3B9o6Xws1Eik6wKNcMrdf021UFS7kmARtinK7T81NVS/mrDjDubatrPiQZuquts7LKgVbmSiV
g02ChC3g7aC15hKCRGihRuVQxo+zMMZ/PC2LPoxlMWYXDIdiSvTD3F+KqbbTP9nBzBjuEGgxns3V
DtYTq9OMGilr2XfY3BvY0fUxpOrzGIHB8LM2NswPUYma10lQNzZ9bewHfMrc0NV+FpUqX6utTZEI
vD5P2dID5b/VR5Cmit2dh6amGKzir0ydG3owsDtOds7hvv/Bt3YWEHyqCZS7ODSrtY8BILfaLNJA
DjIc388WSrRv6FCM3l5FaHsk1HVBvoO4WOei3Nthivw6s4pMezpiN5/LX5lUqr3+zstXGabDErci
oW+R662mJDKUghwlBY6jZ+gzxeXfSi//nebJ2bv8tqZkUEMgruUgvGCfZKFCJ7Cz0oCfMWSo5y+a
hA4ditcTtJkSUiD0WvDpwAvm9oSoRq/qQBlEIGWrPvRu5k6XnDD2KIfGfGtllv4I4qHbM/N6GUHf
DqvfDpvbQLYLh9sgiWNn+uyVQ5b8aHQL8YrKiavkQ+rGfejrg1p3l16R0UdENEJ7507aijWQmIGe
CcQBlY7lKzyrnArayVZXxSJA24s3NYqQeyhQCfsKMqpp/bmzQgUzt3beM77d2kgkK7RfOYPk0uuX
thvi0qp1ESQgux+BPxLT6A56XAdrBHN/vn8SN0db2mlLMWSJ3W+n6cWTbYlhFEEPf+hUT6P3xUuq
iWLimHy5P9TWd6V9gDkJk+KdXH1XXB1r06qQEh/tOAQBrWOf4esEyAKmT2Tph9YxgM1WaZolPkQh
56Bqsel+vv8rtiaMHwRleKSLiGtXy9toXTf3ZhEHbmhF4APGRKueyjwZHN/oS9ij94fbetqwJ0Eu
BHV4UpTV+upQfCUGGsj6U3L62VvqX0OHOrxIpP0NGLTYGW5zds+GW+3aqDYnDU84eKK2kTansQai
+1TNM0APEt5k7xXbOiS0Jon/aWovfKrb3ZO30tUbrYSR35ll9i7XVTwVKd9h73jBVFj57oT1YJ3w
Lrb39Kc2Z0r0B++NpEQ1V9+RZ3AaYfSAZ7fs4XOPVxFsLqXKjm6hun8Q/4PyhMxJI5gK+OojymkA
wNowVlxrw8GNNOsR5ofq54OIj7EzOq9upwPyWNjTC/oRdYHVxYvG1FTYqRIFs2kW4zHOEZg5Kqhi
7ET1W2u4CIeDryaEYJPefj5nkNTFUfsIWlknH0XT5EshRkkR8Za63uk709o6C1ynCxsQcStugdvh
vLzPw64mhxjphE3+OJvWD2VCw8t1B/HXPBq7l/jmBOFcQHfgSXbW9UgjpXKA7d+ijB3156yPveqg
pKX8RZkmlMf7R31zMNhtS3+PB3Nd1qrCOCodQPlBrBtNfrIntZx8PVH+j7Tz2pHbCNv0FRFgDqdk
h5lRHKVu+YSQHJiLOV79PqXd/XeaQzQhLWDYgC24ugKrvvCGvPPLSeypOG8tJnw+UJ2yzks1+3Yx
G1TO+jIxUX+3yvEgJFfGsaPsaEv15IUE/N/7s9sbb3WzaJBX5rQnu3HQbflgLd1/VhNmz6JGq1pD
n3NnMbeHk1RN6nZSr/B2ev2kKYtiYHMRZ479DwC5d9Zsa0kgenvGlMEa/uDiJAeQwD/KSOgl3I5X
2zgPaTQcroMttDmoELn40mZd6J2Ju42d5H4r9eBAwpMDGUftarV3eum140hN4ZprtXrUqco9VMDU
39ix6im+a7TlI/Jvnr/UuvLj97cRqraE5XN3IilyO89y9HIVg+vsOnfG91yZ1NS3sdF8Y2qT/q6L
1Pxyf7ytF4JqJFIX9FoIIldhcZYVrSWUCXqDY9f/8rM6cSjKDI1NuzQeiPKQ7QsbfTneH3brWyS7
0ECnYjwKpuR2mq1T0Ax3egCW/aQ/TiOloqCxleSDSCul2Dmrm4PJJgSXNsD49TWK/mzSRmqcA5gb
2iscVj5Iyxn6Y+OYOM3/wczwXZW6lrRJ15L4uZqILsWv9JpFUA3aziueXSWnpdNa8Z887x5JDRkN
6HjKnLerWExRsQyNll0npa+XB8fNlh92FYuPSaVbfjdnzuLrQ6TvUWc3Dw2kZeloB6txLTC2uAn+
i65NLgWhH0ae8AJPqaNn2vno3UptCN8u5j3Vxa0rh8PyP6OughmUZ52UtIukNK2b72bpuu85YMt5
SQwcdAuyWGfnlG7OE0kP3iaIljwat+urFXkT252aXwUC6C7CLF7zj4i75PuwZJ4/x9p4EiPyG/79
I7Rx/dDooY6H44w0epfn+UVqMwhB7bJOsqtdT5+Q/KoOg5vVCMMMg1YcISvHl0wrrR5XgDzfk1OT
X95tf0R2mQiEpUMZUi0yS3gx+KzPY5KKNsOPrY4fa7KA7qlUnHyv9b2xtrIJAgmYDhAq3auLzm5I
QBiGSSp2ccRTMzyO4JZqfxyH7tvogWQQmTV+v7+0G1cBiAXEhOR9x76u7h23nwQcCxhPhHVT6cd5
F87vlERKDZhlV8W/X0dhOKA2Ui/JAOJzu5hTmVn4ElYc2QbSvqel1iUGO7XHrNr4MrCcgiNLsZX4
Ya0hMGhLOw1FnV/DcqLEq5Vp45y6afadFNEdP6pjPdy55ja3T3Y5JMsRQ4bVMVEixbCaBPpIMiIf
+QkMD3pQCiPNx2hEEfEvt47UAelMTJJ2ouKtoUFZ801KSvIrTwp3yBYX8ef8ajhRHUxdHX0Gn18f
+2rJHoo40Q4I4iQ/7x+crc/i5aCr4wp4FsD8AIEUOShXcnTiqj5kSTQ8/ME4JkBdyVB5HTYC/V3G
2TAAoXj4937Islofnu04bXfexM35SIIT2CFijbX8h+s1DhxcNwcrOBvqYWzVJfpUAgP1dg7K5kCw
U4GbIOsB+2b1CcS53dW9KK4JHpznTFhTdEQm0dlTndw8FbIUhoYQpOY1LCnPrRBroVhckR6OvhZY
imtHWcfKfS1tHf2Jp7rVMJ6merpzXW99fVKH6f+OLP/7ixuTO2wYVF7dK6gO9YPmQGz2oT9qqj+L
wv3ZdukS3D8kW3PlfTCoCAF+hql1O6KiotPBHQ2fokd8MVST+F2HHdmzGs/RscjL5GD3CjqN90fd
ujupeSF7TK2WesJqJ5PaXKqxFeIaZqkX+RmYs59WF1VkHG769/2xttb05Viri9OLRgAYGCVdC1Bf
jKXYiThag1t91lrd/F6LEVfX/78h5UF+sY3ZVJeEUQkHKDG6b57S1ZXf1qWFiHTkPA9FW3/6gwEJ
KjDmJFS01oXEGM6GXuF4cqWAap6z3rK6d26K9THOPq5VHBYntffo4psnh84UtGlaORgZ3U7SEmkN
qIPoVFniH8pYzgHsQ+iobma5X0RWjsljmITOXpV/8+j8z7DmOlvs1KaIB6fNrwMlWy2w3CL0fHxr
ygzC32Qmf3DnAN/9P7PkH7ezDL08A2JBdlElS1uD8cbS8kiwrOzs4Na0eP5+YRugIay1neIuHeYl
AXNUgRg5Zd1sPRIZRk/DWCRf7h+WrY2TruPUSuhIvRKY4zmsoixWiyuojenvLDbbJ2Ho8JpzNzrb
bv0w4OSzM72tjxAUObQR6SBDN+N2Ge0C6zAr5qEFLpM5gVV41aMArP1m7PNInDqICDtZ/oYmj4yS
kH6FlK4jFLNKR+fMLjs03HmWoLv/cPLp3AzDozKUTjC3ehFEc4WMvefNU+c3aCt3J2sU/R6Od3Nf
gdRKjwvU2NYA98XrGqswEDVQIpp/vmrm/ZsIAIsbgAys9hBJm1tLTUPKm+s8XPLXvLh4rFRx9Gim
kxHaRve4FH1l+ZO96J/sYlGDKq/dC9Jw5s4Nu/Uug5Pj2YNBxjRX152ZwdKe0dgiEo7VoO/moT20
iRZPh/sHd2stCWSIgCnf0KhZzS7HdKiODGi/pqIjaTLhQnSasqXWfK+owx1o6/Zg4DF+NUhB6d0u
5VCOvYi9Ob3aHeIeSN8qTyqg868Ai/vj/XltfRyQXsnTSCTwhFutX2fMtqACxq4RmqfIbPC3Ka7n
j+2YAdTzrKHe2bGtc0LEhoc0aa30X7mdXF2UauGIGJp41xiZH5fT+BOoEVarPZIA3UGhP9ucu2XR
9oLSrWXlc0DBj1QGFMDqq3TbsOYFps6QAFPrgjmptONCQWw8sAXOTgT8SxNxnYHSOyVdh5AkUVS3
8+RFDMWcdfnVSnCwqUwz/kLtuDuVTm2clVQoBy6B3gyoNI6fsaCxhyCJbfdjW6MM4C38rwN3hrHo
YwK1fANUYj/e3/otdItGtEdDHmopj/fqfZlbt8z7kF84L+74dgxt56FQmuXfLG2S/7RMyz4ogMWf
B1RVKz/uta4PKvI+/RR7485v2fqMSZ//N9GbdH21WN04qlppArTJy7bA2y1WoyQoR7WNd97UzTPw
YqDVGUhSfWqzqiSVLdT2rwVTo+qgg7zSHvuyRRrt/hLL/9v6DNBAl6B4njwwvbdnQG2tvMMGjioE
LIoyWPRWUWAXgBMJ+gkVKFnRe1dPafJeRU8juD/4xqdNdA32Vaq5SseC28HFpKhjmefuBXsrxU/0
eR5Pg5Fqi9/rzfjdKWx9r7a1MV9avEixAE/AscVdxWV0kXqvwdvjooBgiw7RmFu4/oZmPMOPiYwc
idAh1b6NrTZacEjaMP96f85ygNWCSysvFACxpqNAItfkxSPkVWWcNDZarxmmgd+xebL81BYujglt
M13KWpqmpoYjfFXES33q0snK9/hrW7+BHFtSIeB8waa+/Q0NYDKhqItziUyMyI9wZ6K3wnHpZKRJ
2X1AF3ZK/l6aScsC2VPSPtjtwr+5vxAbtyxbj7sKTCH0jNagKkyC4ijDaeqidRRcDklI4bgM2iqp
/0pg3lWnykO9/TilVrLHi9y6+ZCOI+6RmAb6HKs3xWgoWTWJHl68SbfLM3W4NAtUa5g/CpNHelDm
IvO1gR0M3G5a+kectzTrvGCM3Uj7FUM5RzWPUuSbXuaceUTcs5arf9DEJroGaS8REBaylat9yhDH
bjGouUSFnT9lyLiWvknT/r8e3akdMO3WdjAC9Dh50yKhejtWlitKpBZFeDEGtuBgmYvFJ1GP2htl
EFGd+nU7xmaAzp+X7Ay9dRyBiMuNgIqCAPLt0EukTBKI5V2cesjtQ9+FmFPmaBf7plDz5kPbWOV/
OUHGX8Cl8k9Trmjpw/3DuHUtEKOZyLRIFd91IypXSxAtdehdoiHD00Qo86lTy1j5GmZ6Dis9zs+h
GJofczhme/TZrVuQsIb6JWhSKrWrW1CPRN/kuoZ08ZiiRIOyUC2CFKRfcYqWLDkXFMLFn8zX5NLl
0keqbW2lsphZ0g5YJeMYOTXJUzXgZJhmpY4ELCndEQckDnq3CEDcxhIP3++v9sYTBxkI1xRqHDAF
12cN4UqhxdoAL6pQ9Plge0mO2J/u1kb6MJhds0fy3sp2GIqWlLTY5XTLH/Ti0g3NdOlmY/QuSrR4
Hw0EjkzfakX9LmrUrjzgYlB0R8+KjD6IJn1pDpGi9Oph6HlFzvfn/gvosnoAADWQYdIclxff6gEY
B05zrSghBepWa321dp3HuPKc9lrnevc01OX8Oe3mJRBzUj/U7qSnD64iUEgoaitkm0SpHhU3VHdK
6FvBFnEWqkgqmSGcpdUNYDqiU4YKgVTU65JvUbMM7zL2CYO6RLfTw9AOxftyQfDmYIi8NQ8Lankf
83jIjXOSy627v1Abn4UM+zA447mkCLWKwkPaRPY4V1gShDQqSEWt1Px3yZPFF9TC4HI5Jh3N+2Nu
BHlyOF4jAKCvpcySyWyyfg6dy1As8xDYSuiMx6jiJfbvD7Q1OfnpqXQu6c2sM37QtXptOJVUfMfO
xhezpr51ezXMzqipLV+LuFaNz/eH3Pjo6HN7Uomay5Ru8OobCDtK/GFM4KFUCyAaYAwnLBcb/THO
8jn7/U8c5N6vcjT6epie3I6m2HlSFY3LaHbm/hcZzTJ+jDy9wRgXlPEf1BEwGyaONeCkkfquji6V
BSTljcW7xKqe/1WLDJuXqqp/VmGU7DRFNneO3JDNozT7ugUEk3tuExFe8jiFYpPo0ffZIGIloGq0
wyymwTz9/sbRuEddgaj1tcvU1JSCIg6XV+5k40UfcAry1aRoHnLCt73qvlyp9e0ER5bz8Ysvtkbv
LlE0GVHP7VRkFq4KmSai7NxXaWeem2wwPyamWXeHyg6tQEtRa3mnp5W6N+Ot+5oHUSII6B6CPV2B
XuxJ65OS4velG2oEtbSmQMa90WHAHqdmSW1crlDg84uGGt5Dhn7NJTSjIT6OgAz3rGe3vht6KuhG
gZACPb2KTvANGCd56C6wV5vYL+x2+JJVfSEOwsT6dicl2hwN4TaArypd6TWEQulId0drdC8Uq5RA
NefZPeRjn/qql8DZ//2ThXYMnT0qq7zIq6mFNSehDSMP0wT8cwXEGbBTRW18WpzZ03YG2/pwXg5m
3N4IA5YrdidC9+KK/mdcObPlh8lcn+lqSvHUfY2cjaWk+0MBXnLiwCvKmO/Fo18IZ24SKjwXCCjq
oQrn8Fs6T19LTG13qmFb55UeN5U3ugy089cdmywp0iidGrLKRtfPRdeo7/AKi3BjUxpxFpgjH3PL
yysf39ckQns8UwM9Tqu/7+/nRgwvHarhyuJNRKlsNWPEV3QbuQfvQgk01AN8EGIvyLg4w4MboYrw
PMdJXX+dYIn1h/tDb+wuQxOkI2aI/MM6r+7aUPRZPFFBRfD4aKS29nUcuziwRkwftEqMz/fH29hc
vhCEeAHcQhtZQ/LLuEKvJPSUSxGl5CmLGz1nYaw914Xu7X0mG1EBobnMjbiF2d7VZ+JlNXq0uhle
lEXYnR964Vyf1ESWj+9PamMRwTAAP5WEZ/hhq4H0xOmsMUWu2XTbdgp0rc96vykspX2wqNW1X9E1
XfSd7EseitWNT9cBjC05CM4ha6SG4xVh1HQLTlOjbYjPsYjco6ZPg/Noje1iHLR50ON3VRwl+UMx
1fm/9+e8FXZys9JqAQJDlXddt1602m7qKUQ6vnG04aRzkDx/bIbIC9ws9J41K9IfqSKB2VYF3uYZ
Jp7fp7HJh3PsAaT9/WuKigaABwoTgL1ewWWAyujCAXKcKLPxPGuTc6TDjGy2nU1ukFqL9uX+AvxK
PtYbQLVX8twlIngtTRNHTgVD12EDXKV2HjMQtdeCP10/zKMWUwmabDRVPjpuZISHXp/17mqNo9L/
CNPeLd82SWk5vlKOhYbJydiXJ7cfCtVHjhZkWD9GSgg1tp2hp4yIgHaXol+SSxd3Wv5urAflq9JW
2fssnqkTwxwtobI6adg1P+9Pc+uY0czG0JEbEizd6kmPMqqXo4kUemlXoZPBqq+96UOhzeLLNAjn
udCc4nHKbeftgHHb8f7gW7eFpO1KsKeECK3enhrfC2nGhQOFp7XfwgQdLN0RovUzYD47Y21EUOC5
oGI60i/AXtsr4UU96bU1hxfRGKTPuhqFTRAOel/5UTG+c5BnLUmpXK3FXn1UR78n+Et3TvHWhClw
0RT4JRy1Nj6MnEJFeKQLL6FWlUe7daPI52YcjyrC4X+Q0UL0hHtKvEb/ad1XE+lsafGgk87DKX3b
T6b5Ua88++zOWoHjtiI+o9sGnk610w9xYRnf7NyqT22jLPgLdMTOCQ4E3s5duvEWQnMDsglgRHpF
rNKdHsUNLHbc8FLpheuebKMV6kOZjYnqD8g6ar7qKGUw0yDdWfrNgbnGqWiSR2prCcBuss1SxTbs
MijDclpq1PZtrHYOka7kH/V4jo+t0JJ/7h/wra8L/Vm6JMQ7sCXkeXgR69DNxSc7Gjh0g2cdslqo
9ENqr3lbgA89uErqlh+XkEj5oENzqB/uj771brmSgcxzjOn7Otlr9Jb+Ztp5lyUcSsXH8320/coC
0pHbYzwGMYTAPT+brc+MoJVvmo4ur5b8TS9mjJsNHNmqDy9O2ViV3y9GF/B42+qbdrS0Z8/ukr8s
O7bak1BsJ/ZLvZ8/35/21kdGBcfA/grmwSuvg9LQZM3e9i6JJZaHgSChOxa980+fxkN5uD/W5jMJ
SpUysARx8lrezjephIYtEfdnDcv+bTlb8WWssuiBCNN1LpZA8O5dA35UGjWKQ+uUztlTs0+GPjnF
zqe1VT7nafx/v2UVpxh1IcJOnrYsW/JHIzS1rwsCJm8Ne9DeiLKoE99Nrf5Bj9t6OMxFii8xZyD8
AU2wp/NSaYdiAg2z4Br9oee928PWbh1IcO2/pFSpBqw/fvxQc33q4/CCdGb2RQ1Lq/XteiTqLrSc
fpojSqXfIfVsfIKSweyibCXNKOzVG2N2SzE4ehJdsfYulqM5u4U0jBm5YLo5vM6Ge4rwAe9ODdGd
uvMFblw6tgp+hJKLlFxZywCUHPkiwzPp4iAI1AZjpBnvVVjSBzVCxjWoDVlnpbYtkp3XbmOlGRh4
I1mWCjp1dc3akUOJusil0VFvQEs1vRMnoQQTUFudv4ygaK/3v4S9EVdXXZvmE1XAIroiiViJkxYR
lSPsZNraUTOghvuV1nlf748pZ7EK0ShlwQ1DsZYFXt/pjea0nR6yvGjjd1+NWgud86LOTf4Hq4n8
moFoK5oXqOOvPnKjF06JZN+VxfaewMc1P/saUeDjYihCP7iLF/4BEAizPGoNlHzIpdY1gEEUOf6I
5BxemIYHCP7N8qCqwjpWsW4HieI1f+lG1H4WXuqdCF1QXXbMuNijh8pde7XCL37GauYKrcI80/gZ
OGNAxWnmiUjYtSDG5nqaPN7fzq0jREtNMovBWJBq3S5zP6hT7+J6dh1qN32W6E9/Dov83SAq+UCW
exCWjbdKyp/ReOadgsYlr44XbxWqdukcDUgc9EZmtEGH4qxyGpuuyd/a0bz0kGRm+6daLJDJtSWO
30xqH+9l6FsrTLNW6gyADyZOu/0RLolA1qagn2xFoloI1csvI5juq9mqxt6p2vpgXg62mnE3WAaQ
WTQlYjP3/k6gA6hnFFP7czNbVUFi14eA5lVztN7i2ag9dm46Z2Q6aZOmGMhmgnYQklA/XKVc9EAz
+3mvB765HFTff0mHuOjB3y6HkZmGUGJ+4aya0/KUIa9tngujS4qArtSuUMvmkYPaohKvoC6x1irC
59wCVOsxHNqK+inXodWfpsKp+yAHYxe/xVRkJ+P6Jcu8/qZ0D/0r0kow7mu2bhjHUQQAjJtS9wA1
+klj2Z+qbJ51P++SsXwY1EHxHtGLbt+KwrNTv/OcjFipxzjqUU37ZQmUOgMHqMCt+MftzVHbqaZv
7QJQJ9R9pBckirC3u4DzVV/Qb0lhN9p9GmTQKIKyCKsHpelncydu2RxMQqvIQyUIcDVYFBtO0cJ9
u2ou4csHFAu67rTkQ9GdlzoW/92/ZLY+AQA1Um4WmAMXze3U6sGanXiK0mtRixhFopbI/VPhzot5
vj/QhsOoQVjInKhYcIGvKzgQQqxJLwp0MGrFSSj46doPYY+mB7JDllUBG3YovYFXP+PPPj2GRlod
gZKXwWhZ9UMZG8Np5yfJbH599BBzkYpE1GBh6N1OvjXbyLCFnVxNM9WGxzmd++LUI1zcBKodv6lJ
m8OPo5FFgW13mvNAHuwlWJPVZXy4/1O2PryXv2QVq+Zd1WObo6ZX9680aYYnSJj1ey2MkxCcjdnu
Mfa2zpgNIJrmFyBT6t23E5dvCflKnl51UdSzr4ZxeljEYPyDTf0fqAWxsr88OggXSL9uxyJ69hbM
qyB1CytV/ZZIH2fNHkStr9I3MbFxH9SdwyZ//3pjJcWKCg45LvyP2zEnrUNoF5WIq3Q3F++8cMq6
M/ix4b3lkZOcknqMZhpGxWwEUMDELiVy67OSeDU85mDNAem//QEGDCyrhnt51a3OPNa6q7iPHhX2
9uH+udncSBzOXNqKyBeuVYAUHB9ClS/4apTK8G2s5k+DyD3eIsj71/tDbbUPYCcQPkObtQmCVhup
dg5RD2q7V73to+/uZOZuUDX5ybBbccDEZqoPbayZTxOdzW9VP1eP/BnP29laGQCst5byGL0gQl2J
tb1dWZrPdDBBuV8X1+0N6I9xyqS1SWsDvbeLwAb3aQeuqSvj8f4CbB2qlyOv9tTy4rBv0ya6gnK0
9SCbREZzDwSA/jHMI+WsLMX8lBl9GAcq3sh7tOWtKwIFATxoJCSFXP524hroVeqvXQxCW+tOnjP1
7xa0lp+HLhw6WlNjre9MeGupXXqbiDvTZn3FrKuJbJEMpMhcdovxGUds93ObL/VTGCbTcIrcwkiO
UZ8rezzmzZNGqQJaJtcG36889S8iUU+hzlwR+Fw8R6jdh24uAK1hNooUp555j4Mu4vjAtR7F5wid
u7+jIRmnU5zNw56j0eaiS5EtnECkTotcohe/ZK7GmEKpyRLM5lgGRWGbYJ867DKcQesP9Jr2zFU2
F52OpqzWQG82ZZT+YkQKj5DH1BzlviwqP02LGwZuUk3/6QWNbX+hmnNQkfML7p/tzXmaaHzQO6aS
sUZ6TJREu7SL42u6JMuVPlKvfhy92lg+haDOmoPZas2eA9jW3UW3CiEaWlbQG1czNWezMSJrQFIt
89rvTdqiwucuLktrFG6/E1VtLqu0/YH3TQPQWm1kqRciaeCJwmOOW90vKmd5Jn7Uo6CcDC4xUAtL
5tOl0PfcjrZqYiStRPCQ8kF+rCmPlRWV4dCUPLb0NSZfGFo2Hmd16Y9D3vTm2dIqF1buiDTWUwnC
L9A6rXwPtseqDmZoKs+/v9USH049kp9FG/b2gBF7wSRdPO6ROkyfhyx236Kx4FmnDk7jz6xfyp2H
Y2ufabjyaEj0NB3K2wFDJdfDMjUovliVqwezlsTdA71hpYDSTea+gxDbuKZ5dpE5okJh2K8k5GrX
qEiQ+YCMuG7dpx6AVui3TjS7fL5LO7/v+0xvH5w8TDQ/UbJ5T+po6/oiKcTVWtqRssarg+2NIi31
0iT6qJXwkBnOoARzCmK9CzPvP2/ENNxYNPuNZUZzsGC4UPpA7YadE7+x7DzSSJhTDwLAvP6kHTNS
OoN66wVefeIeHX02owMK73p9wvvE+QPghFT/l1Qt8jhqNbe7bMZ6XahzDkojGsu3NjyN05BW3RvI
jPqh05R5Z3ob1Qp0GOgH0zySmqKr8XoolKKvBvcSx576vh17zfHnoRuLc6YNvgpx8qPaz5oR0NYY
wg/a0ul7+cP2T5CVEh4IiZK8nbLRWyhAZuApgEhKoy03r851bqbRg+50Y/8FWGuo+Nngec+xAgnw
nNZJ2Tz89ucMQBXFRMJMCptrrzFnGKzEWcDllvnUPDSgOp46I0YBL4TNqQ/6spOpbFykMgiUVlwQ
EOld3U66KbTYKFrGa7nSf7bNmKENZTlqOR1ypbIyH1/FYnwzLfqS7NxcG0E1AlvsN6VNGWKt7vBw
JjVXtQKspYFXrJ8Ybt4ekhHC5f0l3fpySIelCqUEU6xDzNBwysKJQXq33BTH3GiEP1AOsXxQr3T9
f38wWqeUXEi+ZZhxu55lrC2IdyiAyNqqC7DRKd4AzG1PMA2Tr38yFGUWdKhhdayFoR1UWRtRM9Rs
ZdHZVbIxsNpS+drbxvD7FZNfIAEZSoBpXEdwcNNQ+x0iOrshLK3E7N1DUw3q2zkN09Pvz0q28ygh
sWGARm8XUKeHSvDbuxcshz7hlKhkB4c+VExWG1V/3R9r6/DzkoGHJfmgoyDDqBfBmWg9M3KHVLlo
vRtWwTCYleErehyqgULx4HGpXX16osZFY/P+yFt3DRh08iWVDioH/XZkNxS5WkVgAywvGRG+HaoP
uaP+xJJi/ros3WfR6Unp52H7qYu97vejQyz3wFxT/WLq67tdCeHZ0kkj59La5jFdPIDNwka7mqpg
2n0u0jLV/2BIKtES8YfyzSs+pdoNajzEWXzt9KX6p+hrmC8zjQXfHXv1Ez4A1k7YsLG1vJGEOBJN
I+Xnbhe4sqaxt+BUX6vRbN6G7VB+EIZRHEpTMR9CxOFpzhrm4/1dfX2jwd6kBCPB7Ay7hsLVueU2
5aAC/nNF+inUTBxTxTQZP+4P82puuIqwdSj9S1wYaI/buRmpWgjFiqtrazf5Z09obucPk1OhQzsb
3Ru1NNzEbwtrD6a7N+5qTXWIiJMWYaAFcVzB28Cxnt1xLM+FIsZj6iRq749zuLOmr1IZOVmKA6j6
UM+kuXo72XyaBy82jeo6hE596HLFOqC1Hx9E280fvKovf/eqYzxSJimXBtGYcs/teBrkSpiyUXW1
IccPUCEqQ/W7zq6UDwkYnj0v2q015QWUVrQU6VH7vR0uS0hRnDGrrxZF00OGb94BG1PxkDVWcy4r
0w5MbBWef/cA8f1LOiKXLOdojZtEurMqTGsqry6yvjiBeW+yMGlj3x6p5SE5rGD/uWvy/eoZRi0R
0BoNfLSMSR5W9Sbc1pq40J3yqnmj6hxiyh6fuG/U+VB3c/n5/gxffYlyMOiWbCWVLcgVt8s6JG4z
6rOorvlsW9OxyyIz9wHTZb9d3r8daA0azyprRjwkr6410dU3DH+qZ6ei+750ijrtPBqvPwUmJTv9
RGtQ89TVpLg5U4ruI5IsVeU+j1kvTsliZ0HoRPpTOrn9DsL49dl02TCH6j48OfKf1dmcdGtogP/h
hQOX+5FYPH2EIzrT7M5T641TtspznXTH+zv3Kt+TopovBl0dE3QZBYUK7DiLplywFQUzETgUqLKj
OzfiW1/n0c/YAzM+FFa4c7FuHVFSaGJEaFIkkqsJGwjBTQhB4CRniBacWO4Oh2lQHPtA42663J/o
1hGl903n5JcExysZEzfH1yTFAxcD0vo5m5TZOdSlENHh/jibCyr7T6j0gs5e8950xXAUzEVxSplp
vniF1/mRt/zbqOFPDD3UOehLCyKyWol85+qW5/Gmtiu38v+N7K7eqXoZ9CjsG3xHOa/fKmnLYC+F
eoJSUT3k/eB9WYxqqnzhijyUwGPly/2pb30wnF40Fag9gjaWW/AivjP70auqxMDxcbTe6Hplvtcb
tz3qeV/wYOrid8NJUnODDjFpOjEOKLHb4SqPS5t7Bgml0uz8Sp0KOOUuhTYuquyLozbu2zEN9zTE
NyZJu48MgLF/MXZvR82QSRFe74or0HfnTaKW4Rn+nHiCY6nHAJftZc9wceMzYVupIzNHXsv1PYT1
NT0WPJqvc9+EQ6AafXMe+kF3/KyjOnB/D+UerQ7Ry8F+VWde7GFdjU3bFR72N1WXHSeoY/VD07V5
t/PubxxWMm4Kl2wGPZ61VUFfwBShloalmVHVWjDgdfyo9U37twQn4xSfKsXgt+BodL/Jmtb9lCLf
utcN2dxLrLkIPRCyQHzzdi+bvtYSCprspQhBUNJIP0dd6D4QkKCE2YFBv7+4mztJdAWVizFRwbwd
r9cUCNaDIa5VptdHpeOW81saTg/L4gnxuzmA/DxgxYFRBWTEYt8Oplt1F1phVHIRJX0wx+XyiY6h
+tjQZnqfzXm08zluTo4ES6JtpOyQvBhfnBzNiaZsXJhcmQ3N26k3ldav0PcX2G9NnnG6v5Ryqdbn
FBI3vWfK0VB+V7OzK91p8jYpSTjwPk1TXAWX0FGfNbfvP/KoL8fQaJ3/7g+6NUXkBOn1o91BUCAP
9YspRrYqMjue+RKhd7zzKtjrxphafwmn2JMi2TqaXGtADekXqq9ak1pppDXYfsy+ulRMbwsjTZSn
EoWC+R0x8hT+pfaKqexByjdXFZaTRK/8gmvcTtAqm9ETMGGuaaWqX8DJ4GHbqVP2U6MJ+6UOs3fQ
5OGs3V/WjScTNCOCHZIly+CrZXU6cykaoy2uCOonX710rv2u1yv34I6JlgehoHnox7Orlw+xUmTx
Tpy3OWnETlAmQDGKi+B20vQvylBTUAPL8zL38aDAhxBvM9dXukY79vGCc28+GNVOyrx1mGCRsdBU
rujfyBPw4jDhmtrFVYzSISe4eOy7OD/OvRp9jfCj/oMZSpqCpJf+QizcDgUpzRBxhVkd/Jz8u5Jp
9aFRxuzjQqHg0aJYMAUZ3uu/C5blAuL4Sq0JpL/AVt6O6ipqaADBQ35MD5MgnNEaIgKKLpraTifq
BcqxN8zubxxrsp10ZGtHiaDByOtg4WBo3I4sFsy7abjm13ronHdA8bsgSjHD8auqmg86TNODZ1V7
emsbTxoXi+wuM6qUn7kdtRlU5EKSiPkS5z3AMh0/jTipHMRs5MMhaSt79DPR86LFXmh9wpbL+Xn/
Q9p4vImi8WygzEXqvi69LtmgqWHNLxD64qZPyYANLvRA97dluaUyrs7LTShNxreu9uhpbDa1g3xR
HTluE/T53PePzdJk5TGByZw93J/WxpfCcICu6cRgOGav4krKL/pkW3Z6pTvGSSrLLtbf2qEZLlC2
yhyRwN+/kG4GXO3kAoeKVBlJ7p5L9tB6jjL5veK1l6oh/2uGtnwQUyJ+ZvW4fLw/1417n08GgAZd
OHgPa5YpJuV6ljloNRlR52Ip2fdudhKL3n+rvdH7J0sLa+fQbHwsjIgmIdUXsDBrtA/S41NntmaG
L3wTf1CN2DGPeA/mPxKKEv8JZcCfq7SHeGeNt76Wl8OuLv1+qIWiYb9x9aLmR1mVzhthdhkNkHKo
f1Rh8waAygera/snoSZlffyTZYb+x18kLOvqSCtmPdQ7dnhBIeoKqOpNXUTzjw4y9tnsnHEn2t08
wdSdfjE/pbTt7dWADHimpGOWYx3T0fUpZ6KTSLti64cN9P2ZbTymYJmgsAMbQwVinX9qfR8KT+rz
433wFNZV8WQ0UNj99n9xdp69cRvh2v5FBNjLV3KLVivLtiLbkr4QkiKzDduw89efizpv8XIFLRwg
SAIYyewMpzzlLkrU7bG5bTEIjUP3uor+Hui5XAv/f+h1AurVLp55DcrZGhaZOOPUnrP1FNP6hS/y
eGFFP9q1tIlRugCVsGRHpysK0BYRmMxMH8q865sgnfW2v9Zr0Tc7qTiIGih6HdJy0qz5P9xGi8n1
YiBHE2ONMC26yKMsCpyVszQdRwuGmwvi+dXsmu7vQ4Sl8Ez/+R1HtC6QhCiNd1qspA8AGuXBrefm
0CMU8V2gUH73+bb5aIdSoaR8QPUOesnqOCqQjTLsVFEltPN0787Qe8asM28Th4fkvwy1WI9AcKXP
tfp0zszGJXDgwpnrvvf7bDJ3dmx2/S4WTjleuGc+Og+ok/y/0VZhFr4NI5KSyC3q+JY2fleBVPqi
hYMZJALfgdoZ89BHB9nZV6gFXQiBzsEMHAmaa7QNuGpIVFZzpeWiqFHP6HjYabqPvRpN10ZfDGXR
j4PTq4ajfkMFzvonTxpbDTBIb65FpohLRnoffWDUt4hvLeSRIcmdHhi9pp2f1mn+kA8NCnw4zRx5
3+XWtrKLELQPx7IoPAMsAPW1BivbWVs5tYYju6yj1E/yLtWCKmlAi9ZtfUlg8IMPDPYaFiiVWrLO
dWHPBvmctZ2bPLhF4wZ2Jr0vuGuKG2Gl26zrzX8RAzR/tugzX8IUfnAHkQnSNXUQfl8sl06X1NJL
crOqSR+GxK5v8eiQ2SZUI4RLXhH0A3aMLvSlXOmjMXmjaaK6gP7PZP1aJ0EkuVXjh7Dppi+pZcbj
voLq5gYjHmjKl8QL9ToohtgZLlSGPohMaO2howfefQn/lu/wR74yo70DsQ5Dq7DK3CsVq3bFR/1h
vEpbWd2mwK4u4aw/GnFJRZckmBR/rQorcr3qGjXKHqBaOtsoNb2vDcrNMOCRIhVFMR7++mLiK/I1
SbsXreLVK41ecooyJErFIwAf31PHalMBNcq2E2x748JyfnBGgPHTt6QeDXx+DSRzkUUZnWXbQtUd
1EPWIQdxXWSFW/2amtSY/jbK44DQgwK/Z1MPOtNqShJgEboGU6EYPDJovPnsOCgjoxKBcLMIEQ99
EjKwvML59/NVPduxy4bhESMhwwkFGYrTfRMNk4pYsdc9RBqN8MDRUgQv8ClBbytJ7NEItGJud1MP
BPnzgc9WmIGX8hAYLvBsxJqnA6eF6yblmA9I6rfyS1n211GHkrE/lfnwt7WvxYB+0fSlm4Feybqw
NyaTDBsvdh4ys5kQXzDHuyQCyez1k3MhvjufFUPR++XCAZ3GLj2dVS0Ha+y11Hno6HEO21JBcANb
VGs85oWZXdikZydwmRYHgRgZgA3U79PBqhRsypya4tF143iLceX82xzs6VfcqOUP9tnF6PV8szA5
neoZtWF0WNZMxbkyRCPbrHgcYivfmrJBjWnOvfwovGp+GoxhPCDj6f2HaZK1g0QDRAASTD+dZhi2
djF6Mn+ETW9vikJVVB9guvBROMivuOFb7T+NiGftAoVZNs/piBUnMaXrLR7zah78Earil9zpoi/x
lBa7qnQvXd5njyRDECVD4IcMR9l0tWsmw64GZXTzxxHKA3WmRNniuD7+8HSr28k4wk8yz8aUNMEL
LxG1TebyR6kW/Xkq67xUVKPph4FyPJ1rXqSx7jKxfypN+nMxB+0l+6M1SJiABoVbmkC8ivCj0Eg4
HQIpDqWzG0N71sZ62pWyah+p6T3p06zCszTix2pslF3mZhB7La25Sbvm+5zb7f3nN867geyfU+We
QVdtaaAsmEb676e/oyhbICHqXD9ZurCVyjcUMfbHyIg71No7rwTGUc62mWwR01CnnZelkdH4Ttik
w9dZmLN5FSH30r22LcCdTd567k8ntOWLkwHgyhbUyYiAf1KCWGCdvf5WDjZGq4pl/eqUVm18zcz7
WwNF70tKvu+A19Op4U4GBAZO0HLVrXWLWrsdqiTUkqdxcMf0FkhD+5ROiYWTlhcCDJ8cNdpm6Exb
V4lRm8a2tkdVGNsiKcR8nNRK0745iRILfyY2iVHRS8Hv6nkyV3t8MbPwVptNrTwgspVbB2NEn+ZQ
5Xqufc8y/tCxe8O6oIq0ut145flCHHiYTjz7xJCnX2tuGjV0nHp6RjervAMKl3S+p2HO0OpetLOL
S7aLlHH4P54s4kJMWJqjy4Zlm66OYZUMhSIgGz1ZSCdae6WZSLt8UNS1fa0pg27eOCBftC+SaGDj
IQk0ba2w1Ap/qcrkO5lG7pMax4q2CT0kF3yvmHo3qBO4UrtUiWVxlzeZmuFeP0dfrQ7Kwo3ltoYD
ogZc9T52a6341ZhhGB1lWJlz/XUe26puv7T5lO9NgzbK3Zx60EazssstutSpUuW+NOXY72m4yGs1
LfLGl2LUkm+zFg1fClvqru+gOPJiN3ECtdOU871ZIH21aZSe0ygcUe/SaRr7qzZXsnBfpr3eBKOI
yhuUwes03XWVN3bXoztLKm2DMYX2bYlH82tG+av3HWj59RZB5iJ5nswJMfomE04aCPQLI3/UhGKm
O1sMYfIP9AXx6E0s2bGgF+4EtZWL9EtVV2iDUBQw6b77rVVbytGoQ+fJITCKt0btia+1nLsWjniY
2nsLxbFo23iTMA+jm2jVptWbfNpiEDhUW5ct3fqtGL07RFL1ylcHdBT3cHKy0J8suLbBGDWG3GSV
MbU7qChdcpAK9Rio2bNy1/CMhVcl1OnchzAyxvdePVTuttDs2N00HQDWm0JVK1H4ISri/TbSMhXT
Q8ccnWNvlpoTRDpibEENBwFWyzS6PxHoCO2jM+lefU+aZHa3VmkVJm3+ObvWO4jQ/1Qxp/VGFnK8
VS3Zdb6w4sRDcXaW0aHu9dHj6ZO1tTWNUsv3Suc56Rc10zP7tsLBWQQmsvzzFXD41PNbN0ZAOp8L
GMYIux+Tjp5b0KvpUDxFCIl1wcgD/+LajTMFtV1W37g4l1VLzWjcmiUiOUcDcry4dcph/jea27g7
hG3pVJmforoCex3vztDR/Qp6khvwWtnTPsLgJr+dB1XRhG9kXKvVRsnhQH8xCUnCe+x4tO5Q15Gn
fTFVqRSHMC/lWAZGVxf5fZTnSrQb+3qMn7Xextq1UR2BOHDTilBHWZKEo0IdMVHTn6ESd7HuDxoy
K3qQg5O2/lFBF9rHvARFdXDqMgIy2qtOH3D0uvZedRW9iHb6bBhVFAwJ6vP+AOUpvB4Ge8TpRCbg
3WHD9sJN0Tyo3cT7JUM9ize6PYVU0HFIeqimOFJ/xIgW3830/yJf9gABDwmXsrbDLkB/C/Ebw8IU
qvMGdu3Ub/VeqsY9ueY0PGtGZYA46dUu/TFUvXVrKjA5bqyOV8kH6YREiOtGqryuw8Ebg8jSW7np
PcTf/UEvc/UurfP0raPmb92qapg+TFTwbH9U0nwOyjRFIB3haM1XpWO/2HNh/Krh82ts71iTG3ua
UysIK2MQ+FM7TeOXwsWDSa+jGXVxpykxk0escifMvBrBFM2JFjSoI7y6WjzlQZMp+bcGbKLrx3bp
jlcFTZXJ75soHIHJIztzXeMt1ezUuI0PsyEMbSPbdlJ8b2qnFuE4Je3ULeEUyX40DO7XHhHc2m9M
jG6hA1llvDfMVDezLVY8ir2Ts1pnhx6CSwPcAANI6xFlhfw17E3OtehEA1VOer35FRpZ210LqYfm
TdXYaZ/vUnU27etEhvEvS6RTsxGzAT3WkrqJgEYdWffwaNMBHd7J6V0fmcS+jPzandmQOkrcXyMz
C9sH4YWuCGgH6Snuguoyu7LqlQ3te73a8f5jGFt1XFHfy17vr9Sh0EnXZIg7Nwo7+YwYkgi7r3MT
w/gWMDwfJG4bv3nYTLqJxTTtoHcW6muLZbIOZn0GzYUuv2j2VjUX31Qv86ygtGVqbY3R7KrdxNPV
B5Vdm+NOoX+Z+E6Gi6Y/ZZj8XAm6IeBBQ9P5VQDjmI5D6/Zi4wrL7GhjehMepiVo6mFu2+JGZsC6
tpWdjPah0Ab2s5aXuu0Dky7lnZkUSbUHrtTb21AtgJ03laNoN31PgVvboPIUaS9T3gmsKZR6RifP
GlOh30RLwZSGf8R6erwZXRCSx1S/unSoymSPepWpOBtRxXN+Ial8r12dPuHoX9Iwoc3n4aB81jmQ
kWvRPEifo7hV7lIIK+0XDnxZbjRD5O7Giqiy7Qurt7yveQ7hc1urbd1vZTTzkmZGKp5sqw/rQ1j3
1b0JSrOnBtd6/e9wiN3S3MDP7ZKfgxKr6g6uV64eEk82/9aFbQs2u5uXxxnwWX/FA10YFzCI5yER
PQrKsjQQ4dyR+p2GRH062g1CJtbzjMCAXK5gLfqW6bE8DkovE58yYim3n0fNq4yWMMzBhwttLUhf
zsJMPh1TdoU76VAKn5erpvMzGl3JdaeQ6fqlF3WXlD6XXODkA2JGsQCNNaqTFA7XVR4QDmHnTZj7
plhP9Fdl1Ir7utai7mtohNzSLoGA5hMv2OOubFuj8vOic/9SqYVGMd1MG8tEwPKohaxdRo22R6M9
trXn0BAJ6+rVD0gaIY8y2JfUN8++KUNR1KZXwcYFQrbKvyCYpHHUVvoz71rx0ExtdHTwJ3lqK/TP
95XmZJfsbVbZJpOjV4uSEpJRSw1mDczP0EbLSEriF0+YseUjBjbcan2u3bQKxO6owmnCKSucNcZW
qy4c0LPd5C1a5BSaiLDxPllDkQtroIcnlfSlbauxDrLJTh5zFScuexTiQr73Dg35cy9xzqCOAVxH
Z4jNu264R8Nc5HOcqM9jiovarqq0ovs2Ks0wHy1SmGFrSW1WbxDuENam0IX7BAqj1wOaMI4IJqys
R+GnORbX/8S1QZa+LybCsVu9KjrtSkyR7d3NNSF64qcKEV/hV4YRV2/JVIUW4XkPAWH0S1QMkh8V
L1m0DbO5yW89V+R5oINOzLZ6p2uPSEIOmm+bdQ08sqJbRnpTpc11mcdzfG/KypLfokIvuwKS9NiV
G/DVahQoyI0pbiCNIUwPuQlu1C+TUMcsGe1hZevomZX2QYsknLNDPHeese0yG4fSN1tNNOk2761+
LDdd2aLUfAzTqm/uzJknDCmqKC9enFhazV9WrdjpNFzYdfwTMBGalacXCqK9aTLIYXqsFCw8k7nA
7ShOMLiejRfsIZUL/az1hYKSrElqvIAYofmfwZdaGY/aELfqo1KSK+zsKYt2k5Lp31RhiWivunO/
0V1hpH4WG3XkN3aZmdvP79D1Gec3IIHHAae5s7TVVnfoEKlKJLxCf4zsyAjwLs/ui6GMfb1UTUKO
RSv28wHPSi7vIy5vBMXVpeayKrlkldZZddroj1Bl9SBp4ZyLWCa7oQxDJLDteY9EnBYUSftTSZT0
qHVmFLi10Haf/5APZs7K836gdkCJaa05m1txzlshjMewTZKD2uRkF72cvoOtUo9d2w1Xn4/3jsA4
OfNY0FHd4Xpb0KsoRp/uLjk5HeLttvk4pV7zr9MK+9Yj77GPMGYc1U+61PU2bYtq4h7rMIUUVypy
2+k9jgzhAAQNsUootZ//qlXdlP4IPwquJVQFKrW8Kqc/CisTHkr4J4/AfeJARyxm65Z1p/pzXwxP
eTnOzm6WRqj++nzcdYPzfWA6lTBquHO57VfboMkmIGxcyY9x7IY/wZLIfCPNprqq49bwtnEZT/Mm
C9P4MfNK+Ysuabr1qlDV/jJwWRYAah+3MCB/kEmrWo7pJWVqDaP12DW9+y2VuhOEXmy3BIG4C/ia
W2bd/vO5f7Dm+AhR80fEG4ur9Zo3laIqM4K3j1WS/E4HszyqZjlnQQ6takOhrv2Jv5H+d/igZb3R
tYA5bOIDuUz09EP3GiUJNe9sXMUG9cpUY51qzzyPd5S2Td+FmnqJBvPB9QY6cVlUNAEYfzmAf/T9
PGJs0VeF9VjIZpbbYpLzEdcWZ/ZRsQ5vwWG1WWCkVj8EMHHKQJXGdKGNvo4nlkmjPUHpGnVXoqXV
pDujblXRMGkVbcZ9C8jjmgivDEaSrI2aZZqfJ0axmUbrkofS+3quTjuwKCB1iHYTV6wL551BgQ3r
Q/cxGcNs+JIW7Ii7WJgWqI/M0vGqKMZM3kLpNoLJ7lxj25PBD0GKrPdtiWZXfMjTQbnq7bCbf2Nc
r3eJr9JvSHZN42jj62gOLdYPRRtrdzMMCjfQ4jn6rg7DfMkS7fyqhOlDkwrdYtqq1vqqrGXZKU4p
WMaKJxzx1jb1Y4SIQEV4WXargRy6EIyd7x1GdKiGUzRe0GyrU2lHZqi1VKcf+wFe0Wwq7cOotPhu
xXl+jX6rdtUY6rSveNr2gof0wqWwjgXBnNL1RPCHII3z8v6G/bF1cTNsTXJj+9Hr426vu2W7iWJv
RKN1nC88Qx+8hwzGkUQ6FEIVRPvTYxJTTZ3CsbIf7UGKxO8Q/zm0ntZBfK1ts930bieoYnXaF8zo
C++q5bhtdTpawOuSqoz++nLi5/BMoTOA5hQKD6c/J8PusBeTZj/Wk95/j+2w3sbVJHZOjCz2DHl0
7wjzL/UWuRz+d8E5oQijA6k+HXSEFJ9QJrEfCRGdvV2qw0vqOIA/Gig6f9dy/T9joZdB6X6xV1o9
PJSIjUammf2olXr6c0B9zi/0KT00ZVlc+Lbn188yL9QylheftH+FC6g94FcKX/5R2D0mVbzAfh/p
Mpiy8pBYkRJEM8p3uhUlF/bvxwOjnQiaGOqasbp6Y4OakNlb9qMy4NMzJn1xhZUDVlKFN/pwcbf9
IJ9DZIEv3Lfv5/L01oOlyqA86MSU8BBOP6TVdwnIklo8maPlVPfgiD3NN9xIo+nbqcIvLfo8uyk3
BnNX52btbNhbmbbBsnDIj2astWz4oaKK3OD1uTUwRzEuXC0fHDi6iUT4cFwAPNNMOf2N6PCUWZmP
xlNctU9hKLKd1adxYAihb7IIY0Mwl2ZgNnPl19EogmaMvH1K6W7zeRhwfsmY9IIXUCeaBvx9tenb
RG26OO7dRzSm4mut7UfMc3vleRos5VL16TzkgECM6iBFGggDtOVP5wyQvMptMrDHjA7EMdQMeQhj
KwVcryo/Z63NEAiUl0718rFPNwN9IjANC0zWQvRwNcF0jhwx233yJHWD5gXt98cOd4eGpMrsNpXs
xn8/X9GPBkQDZ3E1WIoWa1MfKlxDHJlq+tQ31vQLoG6z9aSu7iEuTPg1qy+fD/cOwltNkBsLpBrP
zAI9WJ1v6LVO1TlO9FQnbmX/U+YZCmVUYxr1KGI18ZWK0ig6TP82YxwepYFZoz85rbaviHm3vd1k
ICaHpBP4p+Ni/1DBZr2wJB98eDSMQe3R5wXqvo6AJm+cjCRs3MdQmtWmtAi80rEV1FKy4dXMO9eX
ccoD8/nKfLC18VqDQrYUUhZW1+l2UxpRz1hzM6oxJ4e8zPSb2RutB1VJm/RCQnl+17G33mUJiTbB
t6zHAq4nYmNOn1QnSYO6Kft9LhvhF4TvRztWu7tJ66ogyiCP/O0soTFAmIB5hAMQDJnTWVZtHCKA
FIuneS4dwwefVARDU8Sqn+XmJanSDzYbowGgg0GGiAzH+XQ0pUidbhqa7AkjTlUPirYeq6AyURL9
pqTYM6KYk6NQ3Y6mGgZK2XfRb9jY49eKHmzoW3qo/lY76TrHqerraRsLvNLvs7Zhn/7lspBLgaF2
FiMXODzq6g1IPMC7bdjGL8nEoxOUGJhuiJKncIuy7iXkxNnXXyIVxOVJYclgOfSnqzJnucQVyYuR
ZAmzm97OxN7NczrkLI+P34TxQ9rJjdH08sITe3bXLGUiCgjEp9pi/LYcvD9CxLgYqZTRs39OeR+e
KdHNx76vxu+VqMdnKCCXnEM+Hg/4FnE41am1ihBlMAMj7Ex/Dpu8uNIF7lb9WIhtga5a7UfIyl6o
Tn00IBmMhzXOO8FjdXs7oRiSJBzNZyAY7vPcj/a3QtAdUzE43Bg9PhKfb5vz+gj0b1yOQA69Z23r
IHDW1Fh2lq68urns7E051C0Zjx7TAg+9pDgaMhb9i9Amx1IOMTTj8g7kc4sIjzHV0S4x5r6WV7k2
Ts2Fb008ztc8uekXmi/yqzyijnYe1wAmTWU75v0rqIBYsTe618REUg1MUicYxsK1whuX2s0+Ulwx
fzUlvQTagg3JnZJasXdbRXq+MaVbOJtRs/Lhtq3AcPqFY6rNlSycoTiMShTTOYGzrV6TIWvW1dwk
ZnIl8f/sd4Pa58pDG3YAHylUGmLrQv17NYgVYp/Ymeh86LWkuMsEOtZxAMmzmNKtXRmyrv2CzvEP
+rfK9ODFrfNoWCTGXzQzMR+JzVPxOps9/omph9JsAGBBvMQtkGG/wvn7l1J5cbP3ohqZ8KEfp/hb
rUtKFW1l8J8GlkoygokcXdDhUEa2ldw5adrdhS38kSulCPN/TJBME6hmEEybKXVoAyrZWB1xq9Lv
Z69ptacpnz3pl1mWp197uklHG+nAxJ/pKIrFKMPOfzTmqKqI2zag3Py5cZRh09hGeuPBanWvUYgy
Ot+JFInPipCZ8PWk8toDTbe4fmtyKkdBU2uSev6sl3cplGOTJn2SiRusiAwcVlsv/GE5XVPsGq2c
sJG0MxOFoCFWNkkJBWCP94JyE+b56AXJgLPMvV1PsTpsO7OusmKL7aXjxNgIRbG7G4GuP8xKqpqv
Wdynwy7JqfLuvFoxfptJOJc5hCXXo2BuD4ChhgsP8Nm1uJSzFqQ3DRWaRO/Vtz9uJ82LMAGt1OmV
K6Ldx5hE7hKzjXZLVu1LmpQbpcbIW02G7EIKcDayAxkM+Cx9VEouPAOn92JpozKQT6Dn7UHN5U7v
4A9twM5p32lVlj8k6Bz086l+lt6+xeSdxsHn98hZ6YDAA4o1ilI4sMJbXd1bUz4mVp4X0e92Gu3o
u+G27oMyaDOBWC6/QitP0+Nch3Kbxl3+g9dpunCRnYVcoE+pHdDIAqFpn5X16dxqBYlL9kJ4r+0T
nF6iTVVMheEjUXKrFHPl0kz3qktwyfWFTTWRSiYBNyH3+0V1uvLCrduxkoiJTuhT7+p5qg+V7lZ7
YRbjnWfVSPh/vtJLxPHnpUgTlK4gJBX6drA11h2zTkTI5Dqj9xJVaCGCIeqFrywEhAuGEetokiIQ
jTLsI5E/ILhfCwSoCp7EvLLeC5WixDdHPFatMsrfAN1Yf6mnicIT0eoSTxK96Pz78lv+ODiodYZT
og/hi1qW81XazO11k9QYcqL3HdToyV44qGd18PcBgSVR9eCwmMYqiBRuIkTilR4tTyv+7vRe/zV0
IRv36tAeJnzaIj+sqBnksjIPRl09622lXH3+Ic9S4vcfAfuYOIqdS2BzOmvZaxVtUeG95HWny01o
z+g8EuH9iNt+uh4m19zGdpq9DmMUvunxPHwVVqHmvpWrlxx11/fH//4UcjdKYcjIruumoujUcW57
76Xy3M4+eH1fSL/v8PD0vQGhmo2h1TPtxzL9rnVT9P3zlTjf0nx+SPX/d/TV5YHWlml1yHq+1EOR
bOzGnaLAiFGLu/DZz88q4wBT54ZcahBrUffJ0MfBaxsWXOjZP6YntZ09t9aep3E42ok3X2jzfDQe
2BV4zroNGPfMYaR37cnzJvdlHCzjXs9Hd+NN0xBg8WE+tbVMLszvoyMLbYPImEMLYmJZ5z+OUb9g
eMc88l5EJK1v+iijxyJ2x8NspuKSbvlHc6OTTqlh4RdB7DwdK5NEhBKf4Bfs5p1xX3a2OJZG4s6+
IhQPh11hGT/+epsQgmtkN8v9DrnpdEhTKwZs88rwRQm1LgoaulfRTs14yi9csR+cBgZaPhqdSjjH
q4EqBBcns5rDl0atyqAsQg+ATaVsbfxtr3Q5CRzTQ3mfprLZfz7FD76grmouNH3sphbjwNMp6u0w
J2YtvRfNGGIPQ6s5xXbHNOetOgK/uxA1rN9MTj2ykyTwEB4R9Vp3A+1EbxWBW9eLQPexWQqyk/Ab
3Y5fw0oRRBFt7keGFz58PskPtg6XvMdpX7SEzsjAI8ZgVJgtljeUEYISZX9FqjgelBGeg5V1f0lM
W14XGv0LJYYUzjhzYkNHVwpNnZSXBR9xrcDH2fQl/Kmt4ibpjckqXGq3f/QZF6mrRdBnqVCtDiJt
p9QLUSl5ieo5jjawZykO6HZaBEWchhd26we3J2ORKXH0l77q6hkR1hA3VdyHL4VZdTqNZBNwkjbO
6oXb5aPdQtxBvk/3HqOC1anwelkb2eyEL04eof6qD9M2E1lyTd86vHFqbAflNIdXn++VjwZdzMJ5
oqHdIU1yeiDGMiy9DAuOV4VMITCFHLbYLttXcazVV13VmV8qPUkvnMLzQZFEo5hJCZ94ls1zOugQ
9moSqnb02iUxNNjcqns6RNDRdu4Y1TeFLj28PIGWbj6f7PmXZNwlAqKu9U4AOh2XirUco9jhTGSt
If2aD0FIQsno9+fjnG9PLlBkmIDAeOwca7U9sXWy86bs4tdxcLwbY8onPx0c+87UFW/790MB7lno
tuQGMBpPp5RHSZbinJYw1JDfTIqe3uO4CLYZyYq/vlbA8yzFKKyX6PyuXaujuokbVzWZlWcUX3Kl
UQ7jpHEU+vjGjZty9/nMPtgkaHDA0uQO5S5bS6KZYeXkXQJzp1Eba5M4Y/vgKYY45F6aAL9EN6bJ
y/7CGVynWSwiHRT0wJfWBQ2V5eX644W3LE8WZlEmryod572h4w9omJgLJVNm3FJhbmEYjvpPQB7j
1stU+8JV89HGIbRYSmHvvPTV1wyTenIwrkxeqc71B57JNDCdQtw5c/+XhoBc2vxFJRsJdM4CwL3V
TEu3t2a7zl+bURj1Vs2TMvvmtoWi/6BC1X6PKnQ5L2lLnb9MdEHpGFJz0kl61q3DvMoyIOxl+aoN
EigYFsjfqQsZN9NYxFeIaYwXbrcPxqNOQOK8uJKRua8mWXj2LIE/la+GdCwfIGyCfOjQtJthGszf
KWXiCy/++QdcXkEaUsjocdOsBXUBBqVF1I3iVZ30eeeWkfOjTwwraLR+/kvLEz4f9DqCCroRYDwJ
uk+/IGFEGQ8Y4r4qIZ2C+ymTpP+hF+bKoYQucP/5cTyb2ZLHERMuAlY8guuZISQZVYORtK+LnNNT
i8aRrxGg8vgqRv8fxiIzc0gjlqvt3T7+j1MIeqyy1TnpXg21tEAJIF+15U2E4NEoyaUWxNk9QxJO
bXbJjZjZGZqmN2Er16E+vnpj09wYYYJ3bDVYX8c+PfReuk30Ijt8vpZn7xAAKXDl4NPARy7qVKdf
rqwWBfYo1V/VTCV8aR3ciLY6tcLvn49z/s0WOp+rUSxDPINM4nQcL+ubnjxNf23pUcCr1e3oOh4X
hyehepeiwOV/dlI34XtBwgZ+QLJCyXsVJmmNBeel88S/wsIWV8SF9YN6fxrMo3AAgCZFAJHN20aZ
Xvz7+TTPqg00yIiuFyFrJGbVM5i+MdpG3sle/qZkaj8nCJodyaymuzqFbSRkNPxboQ94n5raeI07
n/tTz6fhwlq/d//+nD/3tmMgab0U0mGUrW3wkkIZw3K22je8bhHKm+00lJjed1FNXWzqkDFJVDSO
PGM2fyhmHgOKmwztKh8smVEzzvXnNoNIcRCqVqoX3tIzBMMC8CcOR4uWPtvS2zndCUaCDGcrLP0N
USLjrjdD41kBafVAxVvmgdCgs41Uj7a1rVvHOi16J/AsRVs4jeUSTJj9Tzln4y8w/N24vfD5lnDv
dOXQBuLZhT7CTuWxP/1xmnRF22uz/qbK1vuS0Hl60CxF1L7euMbXAY7g4Htt7Tn+QLk+9+lOYNnV
y2q4as0Y8mxs1rF14Xuun45lxUiEiQTIakBWLH/+xx3k9MSJfWZrb/Mkxjer1srflqCqavLV7hAl
sy+twvIWna4CqgzUqJd4EZjWmus/QizK8Qdz3tJSqouFU9FaQeTkrV/HTfS1bKpCvXHiSfVNkWKB
UfJU34WF2WMloOX/FhNty12st3m6+fz7nK8Epd8lWScBolm7Loi6okRRotPCf7POelYyO6TdX/TD
TegU1VWeyrfPh1vfx1R68RWAlc9WW2C0q60ael0Dq0aP3iIeAX9WMxoiSq0cZdW0h8Eo+mtzcOML
q7++vN4HxeKJCj+4XTKT068NXS6GY8ag5QxkFc8bc0/Ly4MQWGrfOqRN96PVaIcmgtH7+XQ/WF3u
aKQrKHRD+VkXXYY5ri2rU6I39IiGx6p1y02cJsbR7MZsg+/91efDna0ugmTIinJL89rR5l1NlEhJ
TZI0Td84OE3uGwhovY5GNzWIc+SDT10LEV7L7C/lmctXO9ndjLsoxS5MBO7JtTq1hjFNhzFE9iYF
Rwf2VrmJPBlaeKPy7v3tjmUwWpsq4DQ+J53X069ZSUfv3aLL3oBWJJNfw2lVABJQ/QB/r2yR7JCX
LFU+mB91fPIv+BUona/DI0iSKY3yPn+zoqi4kqHrHmEDh4c5AcL6+Sf8eCgAuDw0yNesAUgzpO4q
U6v8LRZ6ss09TdmNsa4X0BIpEFzISM62J0AQC7nSJcOEO7JuuVGFTDVFkcUb6MU4SLLRuOpoRu2n
qVe+5eV8qdjy4XjvNmNI4XMalsn/ce2qLaimVEvKtyS1IrQgqrJuD6o+WsdIFqWCZKlpXIBOnp39
ZYqchuW6ocW2ZjBkMT15JXPyNztNx+9hWldbDPZsX3YZgBu10dub+n9IO6/eupF0Xf+VQd9zNnPY
2DMX5IqSLMuyLcm+IWxZZs6Zv/48lPucrVVLEI8waKDRDdkqsljhC2/QjQSf13JYC5pe+ZasFWSP
WDsEEGLQMOF1FQdQPZ/CbiygM2EKdWiqIY7odGfmzdsL55W5ZTCwFpzjxPJnhkO5FmWp1hRPc55o
2wL77S0X37jvUV/0BlicK2fNq+ORTNN60VHSEzkxmap2YZmNxVNXx+aBgkSymec6u+Hiyg8N1/xK
O+B8MtFVArW2ANeWVunyoV+snQpv8WDIlORptgb5tgo6PGTlcrpRdL3cvj2V5yEnwl+I6CH/sQie
gZc6HUspwXcSLKVPgV2V+OzMaormgm3eO40af8LyGs5YLFcgp3rtowl9ddf0c7XSQjyfYB6CsJ7b
AwUSouDTh6AqOcnxVLA5rTneG0kRIzeRa7+ssUwOjVO8F63DSNQlwRpTNIAR6wjjoV/cl60050/N
pP9ouqo9BBoXVzlbm4hUaff2HJ9/TqINOrGUJUmkaYOcvh0UoS7RfKl7wrjev47kGcma2ImOutY/
vX8kkISEHTT3YfIJRdDImZSpler+yR/U8mpWnXA79EG0w5y73r89lFBgAtaF7CnoWCAMCuBpUVtp
mhukOqRM/R3khQ7btFG3jWIPeCxLCLwEjXnMsKLdhEMUf5VtUH9vDy/Ckf6Mv4DLOPE0GiDLpL/Y
IwOQTVTqWuU31Add37Z2pd61etvt82AwNs1Uyldy4H+TfdU+gOAGhGPO8063mvmj3GZrx59w9C5P
Q7WEHhDZPnGJ2KGldQtkWmnV36rUWxtkDaBgmLmv3Sa+Zu8bX0f4IGt8xY2Tul8JEpbF+iIi+TM2
En50qZfjQoTVmiNuMmqQa7/DkYZT0BXznRpb0kpBSEwL/wyzvCDxCExEkX2ZtRQx81zRfrdgfo6I
s2guzm+Ixqh1He7kyVDdPMbQG0GY+UPcSNcaQqPHyGqPaTGUn8FP12ueLGJjnGdiT7G5OCkXS09N
KIvZYzc6UqZrv021+NEUmX8IQbjvuCO/dVZs166Crv+8wesyuq2mCJpI1AHEwiR7BYImbPE/D8IN
AT+CSiQlz9PVWFY56oNqqv8G5hhtGyc2j1GI8qnU69J2ZeUv9YfT701GR+uWXhz/nGWZ3eBEi6Zb
GLiSZqOiQbXwsh/a4DvKO81xbuZog4Ghv8lQu9+Mkk9BG9TPz7efQgi/lxdGy41EXNOBjJzJRimB
XQwGiJ3A1ePGuehs51NZD4j6VEpXfY5rHZZxk3VrFOBXViFSZ8wwQQbhBhIDpxM9+XEhJTrCIe6o
RdeISvjphw4qDFIk0vS7SUd7i6la8GPEhQg+AzJER2OUBq9Df7Xyol4uL4aGZttKdPnKccTzLGqI
KKFx0IsIficxQtNJa+RdSVbkD8HYhUfUy2y3S6zRC3N/vBgROEE+JDV3vTpi8mI1+uU05+pWo119
9/bnOV+PNkBU4jH2K8qwIk2oVZ3ebOUiDtzE0AHKOLr/kY8C3Vwv1tgsZ+cP0S1oCTob1IrJc8W1
nxeDJDVWH9AbQusFdDmKQ32ZBeXKQXe25hgITT3WHLx8sHPCt7eGapzqXh4D1HWzOdk6eAGom7RF
auxTzulsuqD/sIvuVNRCVo6/V8ZevJrp4tA7JQQUx7bVSktHTQlckzPvmDd+9kHTq8wLwzL/TmI2
PjS2Xa8h9Z9PsJPNzp2y1APp5iB1CWjwdL37lRkO5ayx3n0YXtNuptCqXoZpGdxEmYZKW2pbrQx8
HjzmZpIq2blQcKJ/gKg1F14VB2buVnkxta6aDBmJ8qgQzsUuMiSRflNkiM55CJu0uguY2Cy2i4xG
9MOIu0L6ZNZlmF8YsdTLaBFEADI1U55IHZQRPanS9SEsR6Ona4H9EzGn/CHMQqQqzdmqtW7rz7Wt
FRvq1DOUqho5jIe31/jZnUukA5NkAUEwNY5oNNwbiOLoTaYGbgjdqTkOVTHVHupUmnNlVLUdHeF1
DZfozpXZtqJhs3bpL3N/8m2g64BhtJcuIjxaUXrZhJIGFWnAA7MFHTe5gHRbau7wDmSvcPLup6kH
xsrpf/bSjAkZHsUPojyAO0IsCaod0Z8e7SdXN4pfBc5yH3M002kyD86FOo4Yp8NE2JnjbK7sgFfe
lgwBE2vaV1BHxI4iqVxiOAmKj+5URwerDarkEKjqHNy2kdboVwURe7aSF5ztOvr56D8uMqX0MCHI
nK5+JdC7uKOoGYMW1nW3RS+x9ZTaUDI3G4LSk0rJ+VADtvFXjppnXN/JtyX7Aq+5sBBBvUBPPh0Z
YafCyTQNOkwr921+MZL6NrVXdpqS3rfoEoCG1julPdiYIUatZ9lAja5GM8q7D1Y+EArsyP7R46hR
p/zYdbMUukqtApnPpKwrN7bT6vuQwBrOYdngek9CgDidC+04sH6FSWp2G51QXj5aGok1wlD0F/1L
p2Vbqa6UW0qETZjUzFs9y+To2kwoCG1So6nLDY7TYHjf3mzihQJ0CyAAq45/AVgWccMJsb5Mjqbe
D063MdSvThq62fT57UHEzy0OIkx60g0tusyheq99RtpDcsfJjT46K2tKXMfiIEKO1IYmamBSoN6T
Zrqa4gXSRR0d7TWV4pV3EclnpgV9vJSe3yU4WLfy5+m49iZiCia8iYhNLQLDKNWUb4IoQniltK40
bczH4Ev7Vb19+8OIp444knq6Gyro7pZcM5LyMblAMczYGh/CCyxi3h5mbc6EcF6Fl1DAEVTv/Q/5
Jt7In4ejslI6WhtiCWZepI3RoLe+5EfqPQe1p298N9xKu7ff4lkf/uXZIc7WspdejoEtklZWvEb1
o7qu9rsIhoTbfe3hFPyKJDd6cI7BRjoia2esVW9FXQPSwJN9KsYLWSRVSTvwfnGwr/VD43tTdiM3
rVtLxoWiumjXXBv2NtCOiia5klEBHjpK8uXc7HjmzYC+iPkFIbkGMvTb07JygoimfDJEgzgdWUOh
9TMbPjX5t65eOT9e3RBcF9TKCX4p75xOvBoS+aEXwvpJ3C/ZhfLd+R5sgl1xePtNXl1DL4YRdkMx
xZETJgxT/E4OxeP0IB2n/X82hLATJLNstYzW6n23DbbLMp3c90bTzyvlxVsIO6HVoL7P6TLERXkV
XKjH6pis7YRlws92wosxhJ1Qh3pp1TpjKB9zx+2vwI9hAlf/LGu307zkl/zzP5s2IV5oAkeW2ozV
X/yeL6U77SLfr318sQP9Z4e9eKdldbzY3VaihKWE9PW9/728UvfFd/Nm4N6+6Otdexd+1We3fQhX
DGPWVpxwMbZJMdZhxJjT5En3ZrWRSs/5Yn79z2ZPuBnzMkhRo2T2hu14+LPotOPbQ7x6+VK5J16m
PMk2PZ08XH9mAIWJem/VF4X02dY/G8PsasO3/2wYYW3LReCn8cwwZbh1jH2cXJSlF+krm/Ss/ETC
DzWKtBB+KZUfEdnXWnDk61SevzmNHeauEo3dJx8oZg+lHRL9rsgLNPhQ7YoO0tik+SZBlfB3lNQ6
YQeGDT/e99aAR+gVgCBZNPoQeBBW/zSMtRa3vvLNTlIs6eQx/1gTIROuVZpLPjiuRFLLLL7c3QtY
BVMhsCLgmyhrC0AZVOF4nMQJvwdG5uiuH0cpJtO+tRYWijcH0T8qQdBcwfY+i0KcLppu9BEP11X/
W9+odhV6dmnE8oVFEcBXPBprzTtdxAD/gDEixgXVT46JUsbpgCnQ2iio0/K7VmWGx77LZc+WcNiy
jBlH4rgt17QyxQ1OTYEra6lkI9ChOSLQtqWqBU5Mi340qhRdzmESfTTxWfyA+LL9cS7m4iqFXLBS
tDz7fkshQ4G1QPEU5SmxZ5dpqTxKiESjVamCmCH932NfoHpvr8qzr4d2/4IKAHROxY6O1ulkSqWN
LHym5D9qqXJKD7nw4rOzODzvgcNkKzfO+SvB2qEKBRKBtUdmfjqYXVI9tFGX/1GaeXdVYyX5Ka+M
tYlbvv/JwmeyFsibgvgR9AuRBCX5yCrpiWl+jcKi35WSaXzorUg5xEF2Rw3UPEiYa5SuJCm9N3f9
sJKJiz07QCyAs2zyUmAP1EBEVr0hp0klhYH9tQq5FqDljnb9wxplQO55EXao8Np1FIELn2Ecf0GI
NVcd1wyCRHpKUv7YyqSLhzqd5iUlNG2gWXS5RMBclToYFwyJ/nXqTekaxiviwT1d2PvazpR+h9hN
Adjp7VV1tmEYbDGiYvnSAqIGdPqhaz5+aJuZ/bVUutijYOi7SF5YF2jJa0cfPPAHvbCqldvreUec
fnj0ptADhfq2COmKCCLufR+1fD3AdgpBavRZksbK90bX9sGnDD0V67Juc13ZgNqvGy9AndpxZZ1t
9rlGAqN8wju5m3wPR2MdrVRtxAEcQ6K0MZuLTG2MckNe3/aZNwWU0w6T3sT6mm/a+drltqJ4Di4c
2RGKmacTp47IniVwo76Waj+b2zrWmxR3z0YzDrkTaPZOy3Ql3UdZL+c7EyG8YI/yub0GEBczSgAf
VLCWKi6rBxkr4e7olzRMhw7+FZGhfL4dpNbRXDzKTe0YgpCrNnNNPW9byGhsb4uqNPxPby+gs2Np
UUChYg2IEbUOLrHTeZDjUjciWS3u5mSKBtoH8TjujMqfQjfvzGDtYDobjnsSbCDMX9BKCkKTp8PZ
QW3hCWIld+mcptR8mhy2vhRDgXeTuXun7AbQbcg3NIgAVnM3A0g8HW1I6LUZYSd9xQ5r+pR2WueV
qZbvyyQYXHumtjSl8bihYGev7Mvzs+m5QOhQMeMfQIdCDkaVykDLJq3vtLCWruvMca70Pnaui6kz
PF5av9SSTP2k+Hp4rSvhb1Vps5W47Oxs4EZbuI0LuXFxABHyM8fIEl0KKqJxLhtK3WXab/1uEWod
BiO/0KvgW4TI2vbtBSWuaPTYlIUjA+EQ1TKAoKdzjpB6lfT2MN6ZhWVf+SmVwJ9NqTqpF2lxTQUd
8E+2n/R22BcTGrorE38+PHAYe9Hvh96/yIqdDl/kbabWdmegMJ4kNw1t4E9DNuj9J2TW59+DarXm
BtBx017bajisaUmdfXbq37AhAHFAGaAlKRIi/D6g9mlG091AdqR4YazauJ7ZXXKh9XjluAVA++u8
UcvPcdWYF3k/RT+1wh+NlSNavIuW54BHABNkgV1SlD+dBslQBmfqKvmualp/cokSyno/qG1ao9oX
BMCguqxcgeucj4meGoArhl06buJR0o0ZlhT4Ctw5+LhsWr13Ps6Vg05KIm2AJK0JnYvLGxAbxkiI
sJB1yCjkCQstMdpZbZqyvotn1E3Cvh0+oEQy7yTHCVS3KlVif8AGv95e3mJkpUGZAEeMFizrDJSB
cGAHiaHhR1gZd1qH1/WiyRnfG/qkrV3sr41DvR2Jw4WewU4+/YBZN9hRjUgRB2UvRRezL6WWx9Ku
9ZUNI57IvBDwUQ5jYCwclCIvucHOBU25TrkLkrFxE8UvtgOC9W4o+8l7j4ZlKMJ62AsgD8/QIU4H
zxMvKOUOYf/iSptr67IbdJ/eLEsU6kS8acNi/pn26DG9/dXOlyb0wMUuD7QO20E8CpXGsRBYVeU7
PN6sXZ7WlnxRETbZbkX8+kXrcHt694joFNALZonCrRMLkEOSy0nTy8GdFSbNzjetducoubO10WJx
Ldif79NBAngE0nHpkyyMAJXD73S9BDnCO1PezXdxoaZ7p2ka6MF9dQgy2dyWRffw9uudLU+wzeAd
SJi4yim1CsPJTj+Di8jnuzwJo+ux17QtFa41saVXRyGqpqcI/I+D5fSl/ADt/g5TwztHGdvNVKU6
1kjhmi8mdFF+z8t4lr7pgv0D00goiD+esKmNPp87JD2ir75USwgP1pNUbkytqJKfo1lFjeyGCSwO
wwUwVzlErHEU5g9z3RvZolwP0vsXiIxmOphDamMH06YhrrtxjiuOlwIOc37SBrGmxHUQjfAfNCf2
+8qTQnOoHRdgeCfFbjaa5uxp8+BnHxut6KA952PTmnu6zx1FrhimjOINUx0a2LBiNDuNCARbZXYZ
lD5WGS7tcaq++6ZhfYRe3M6aSaXdxtroiAMNnAMXDnlqAxGps56muJbqZW8cOkyJMROZCrVSTDcE
yZ1YVCXBD7n9AJnkyolx0rmGa6LVwwbho7FKtkbV2Mkl+mlh8RDFalF8RscujOIjFnQ6rO3BlH3c
n6Z8nILQLRUVuyE3RHKnklxVLVNMdBSt6F0zlFqTXuBgVNWRqoYS38+xWoOcDf2SrNWdhzI0O5IH
ahWHTDam+WPbINm0J6Ozk9/AzRwsFvQARcqPvjF1lDxrdFN3NQZe0SPcrzzfRrjakJTisGjxmwDH
9xcDl4e/I/E249/F2CbyrkJ9aPCMau7NOw2Rp8rVjETNdmNUzPKNHehhe6UGqRHhtqOVXRK4qRYi
Z4c/ioLci6UnXXrdKn4K9GXs8Jo+QPW2pEMQaG1/q4OIydBY5qjfOqOTGjdJjZfMN1mmyDJ6Spwh
F+LBrtJpqDpjXgRHRZWKJ9S9y0VhVx2jrZ9qA5iuACeavePkkryZ1GZsPuN82OT7iTA33JfU5Kdj
aBLqbcpR8+NNn4dBs7FsKdC9wR/S4bILtFrfYyfjDF5dadhD6X5f1heYYZr258SWOvth8iennr24
B+qyHaW0CLyo7kJjj8hMFsKiMO1+RwgGt8KwG3X00tmue3fid0ebXgGbknhOhC8HQjjAsa3JVc3B
TmoWO1ZfW4Q3KuwD8WJspxsplKT5gm5U0H4c+k6NvvVqoxv7wQfS8XXuEQy8rIJ0HNwsRQ7rRxDj
ArjF8aPLcqLJZrGYo/DWyF+gDQHztkwtNO2tbpXohaKiqms70xyt7AOAUH0h4Jo9AjNu0BiNnMO9
maC1u3aH3JWrpX5Tf+ER7OE4knWnh7jqHXnb6dqY3RZAZcunisw3wQgICZabyVYqQ/Yi1LuA06kD
UmQqyw9zoGrWp8IrE8uYck9OlbpBT78s8mzDp9MiHOtmLEKuSz202gmFZL/3v1c8EgZCEhZwvrFJ
Gx2xkKECMvVD78fRh0KkBYhLZzkHwYc48bPgCA01sk2vKNu4Hb1+yp35SZYspVDcKA/i2XDTtqlM
DOwwzhzwHQJ0/ysHMhG1h0SNmYmNWpEH/YLNYUfbHI6U8/Ptm+Ls6kUU5I/5KDkYNVIhTOM1Ykzo
UumLkja57WoyOEUvrevxg5lGHDVyXkbvvAuBwlOAgbO46JEQaAiJDyAb0Dm1lH1TpgRila22VbfT
5MCaH9Qp6Pzryojr9+Y9+hISQhYh3gajAW799K7KYwwcnDqpv8Xh4Dhe55d1+AS9Ircvk7rnzFGT
2OpzPvzcNvtQNUbl29szLUZyQKtRI0fyAa1Xcg9buC2hHpQlB096X2Ivd++EWvgLb/jmk6pX2A6+
e6xnBaKFewj4WMT8aA2Gi1Nrxfcd6rKHokQJfkNNuu3B91Z2tRK+LdHEy/uZN6PARZEPwiNFVFFV
UtUnCYe5LrlXhgJXNwBvzi0Ouu3NEGXZHuNE9RsRbqJuSist7t9+07PuBoNTRCBoIKkEZipaGUW6
QVGGAPEe3Xv/S2nGlC520BdDHeSvhFD3Lg3SxPFw+VQfi3oKRmhY8CQ6y1NnfVQ+9ZYvjSs162dc
9+mULOLQTAdEnmW5CduqySKYnEEt36GN12vRPkTpCn373CYyueHMGsd0106UF3a9H3eUV/Ie/5S7
ILcy8HBNnzYFsuUyDj2eU+V2cADrlJvBBqs4zhitHFaVOs+WJ8VaTOyREFtUaDGSPt0gjlRMgebn
6sOIcKG5z6wqUQ9D6RAJESGFa8nGWSq+OEgQORIQU4ylBCKEqFHFSowmQ37I4lnXrim9q+PGt7Wm
3EVjlYGdGgIOib2qSm2suBYHUXATlMag7WrDwiXz7XV0toaBCBMsy+QCXKQ80unrj5WsBq1uRQ9N
41tbJU1G4HLwAYxYaTbqHPY7fzYqb5SSfKU/JZ7A5MaL+ASJAZUw/luouc1WJUWlnYUPKP4Qb7Yx
Kjz7pSzm41Aoad96yObZO2sBjEkszb/42pChRPXyrB2aOSP+fbBmKznCnI+OZuNIt1HYxkezU9Ob
t2d3mb2T7UD+D9WDk5+ziLKHMLu5pNStn47Ng9IWPr5MZp/dtVHm15u2KtTabWYDiqCW+fpKE+J8
VZMHgUOnlsnksh9PP+tAH3c578cHA1B1fFHFjpR/CKN8jjdWjrb4yry+sqp5R24XZBth+gOAPB0v
p0OWDf1QP0iLQN6XCIYBRIvKzrFnmQI9vqBCgAZggVdItgEG3I6bEEnLyLOLKFkrUpyvLA7jpXxA
AYYysth9yJLMDpN+CB8WfOpmMkz/2GjXtaV5ATWtw9uf+HymSTHgLFI6BnZJ1+f0zUdfRY68mZwH
G32Hr0U5KDdxaSIKLiPVefv2WGfYJb4kXVa8zxiJiRTTd9/MW8fsaukha/OA5AoxX6uJPLRyHVqh
RZlm06eCAD+7Qn9LlrCqRSnhrqzo512VmhQELU2RxZGDdjCKyMquJBeRr5KpDNOLDLwaSu+4mBlf
w9EePr/98GcTReWRSADpKQrgtKaXr/YCmdEGWN5auazc04GywgvWQ/XNJhsMEVFITGnz3tHQ2kAY
FS1tGhjUH05H07JaRsg3M+91KTHucdwFS2ZKxrbC9nJl8S9r+2STL7IeCK9BXl8kPcXi6oTIHJ65
prEAT5UlDQs2UTU3hwwd980cNLob0xA9ct/G22DWi5Ww8nxeKcQtSvFUlQH/msI52hlAhZKosu99
EpHoMHdOnnD3Y/ZyGQSyI60EPWebC72ZRccZ2e6lyClCbzvEWel7yghNG13r6f2seXEXBBdMQQOO
O49XwDXieKwaUM00qOm80ygUjZCSCM9tZ5DVn71q3th2H1zUidl9GYrsnlRozSz8bDQoDJRcoDtD
pCJWFSazbIY2gZs4PgLbp+E+1zJGvVbhRHvVKqNyOyGfvFYFFMtJgCfMJTxfODNLjiDkBWnf1kOX
zPKj4/j5DdyK/LKLrWplQ7zyZpSqYORyUEHFsoQTGj/YKNftQn6UOr+/M3pj3OK1kG6KCVVJV5Wq
p/dtQKr7Muhsiu4olCGuIxSvOgzNx7L0k0dc1mW3csJ02/dT5vZxNb8zkmAoXGIg/i/XD00tYQKp
QDG3ddo+5qNZ7+VyHvZkIx9KIscPSD7170wyniHvgHgWcgNtPLGhTvQaV5M5T8iBDov1h93uAj1I
PbMw14ywxL1N55XvzUwuVX0OfWE5jvECZLAQDWqsrsBIPpuPEfIRVyE+zndvf6+z9cGHwh8B7TUu
TqZMCFWQyTUnbTa6x6l10gcbIRk7sKISY8o2PNSBuXKViZERy5yLmbImMAkuT7HDbMh02Wv4KY+B
VVoPIIYMimejPOC83VljvkUIBJwrTRYneOd5SRIu09k2+bvEgKoYd+pDKU+znWePTsEt5xK5+e5M
+uuNPbbVK2vlfFY5T1CJIMZlZWLte3oN1WbV44tqTJwnpnMIiqT/bUE3uLdT3/jaBcXa+XWGMIbz
QpNxkb8AhgJ+QBiQ2laYQjGSfqLAY48/TXBt81Gy4ggwlp3Wfg7JbZ6SUt3O+HwMx3KMcMLIq6gI
j5NvIJno9hGLEaMju802bR/FeYtr2ZDH7SUhOiBlRY5kqcMOSfMzxe1QOrK8NEaHWcIate5omqCT
U66JdYkzCUeXbsLC36VvbXO0n86k3ChZNpkok0++Mt0WlC4PqTNVW9Smkm+GMg0rX07cetCGOP8J
oukdotkgFvnlrpR8taq176gtxR6AltGV0CbaJ3S81rJm8QZYFKW4uhdw2XKiiPzkImIP6OTAP9Gi
7M2nUnZidM8CikJSuukwAip2wVxRP1Zjg9vQ6yOQj6MbVQvR1HPaxcvCgywWa/GmAcilYxij153L
8YuhwsrEnFUeTCwv4ZmQ4S8E3zMvFW7OsE/9Mn3sdKcdntQKJ9xNPvXJgJE4RVxpq4WNnDz1gaS1
mA0jnf8pkNuKimNC2Brsc677bC0uEQ4UqjB0JRfsDFBPdONEXSPD1yXfL5X2tpCkcaNqvbOb0jY9
onfReQlaThS3wjVZTDHv+TPqsi6JhOi6iuZ+WVDHvpka7S2qZfnOjofwkOZOdVGoVD1qY+gvCSD6
nc6p7UFb1D7i07qGRhd2xvIMoKwIPMELEoA+t5FeBNadPdeFrzvVbTkkZewhwqbYXtZN9t6qG/u6
hV6/Rnx8ZbIp5y0yDRA+AVYIRQypRBej6ZTqdpgwjqlrLd/F9mx9lgwp2ZV1JW+KhfH49g316qBA
IWm5Ae0jFjw9AaQIVFCbDfVthlfQMaRJsZeVKvqA5pvvwe7sXamIh+3bgwrHwPPk0oumdIkuGRBQ
4dipDLuk7NI2t0WS155B19vDWXjeQC5dFZJfQqIXicTzWEuZlsNtaXqLLOU0lmraG2p9GxaSmR99
qc3bXaxPQeHNeYOIc6P2tb+d7KqT6ESpdezqtqS2UNeUoHrfNQlKhWOPigWaBVSrzoChM7y2kUZI
cTt0sQbNzU4PrSPTP/HHZCWlEI6/P0MtYQAjLv4LywJ/sYBR/GnVQc5xpEmj4IPkKP22K8K1MFtI
055HwTScY5abfxFjPB2lVSKOnarMb8diCj90RfM4Z9L4uZWDEI0oo95qKI1gLhZXB4CE39+3jJbZ
pFSMni0nMwBFIZCLpcCK+0CPbqXZiT9xP0ueU8z9BcJ9xf7toV6ZTa5hAg6aDZyDol4nPacxlYys
uJV6BBKDZmw/Yk6Q/Hh7lFdmc8GAUIlAoIWgQ/hmaZb4eBlJ5W2iQM7DsK32Yt83N5oTWtu+06tD
P+kGXdWmSb3Q6teYtuKhpy29VaLUpZxKki8CC8CQZSkWr+1tpsz+jeyXNKZlLZLTDfYA5XdfK+WV
RFQUEWABsTFJNcgmFnUaVfiGYDjKJKzU7hZbVekyHIIx2A6z1PwC5JMHm5Ru6XXut90jmn/DERMV
6bFzwuxRQWrwZ8pr/O0V9l+P43+jAHfz52ho/v0//P9jUcLbDcJW+N9/f4ge66Ipfrf/s/y1//fH
Tv/Svz+WT/nntn56aj/8KMU/efIX+f1/j7/50f44+Z9tjiDv9Kl7qqfbp6ZL2+dBeNLlT/7//vAf
T8+/5ctUPv3rr0ec7dvltwVRkf/194+Ov/7111KG/q+Xv/7vn13/yPhr22AqW/GPP/1o2n/9pZn/
BG4C2QFtcwL9Z0zF8LT8RNX/SRRO1YyLklI3EJi//pEXdRvyl5R/cjAA1yb6AigN/eWvf6CbvfxI
Vf6JkBUXHGEF+eVSH/+/j3Xyff73e/0j77KbIsrb5l9/CcX2hbhA549rc9GDIaZcbrgXB51NL0ap
dRMVLDq99qgdsiK9gIvoxvD1cQTeVdGXFxPz9xO8HFE4DP6MCG9BYdRFn0DobpRZaIf1bAVeYtmX
yNzuM3/NreIZ8/Xi2vp7DCr5RALPxb3TtzLVue19B4BJuYmPc+fhBGr+9i+iQ+R+HN0n3tTtzMfa
vYAVdXz79cT4axl7KYXyzWj5QYEW9uSUopBV537g+fVj2HxMfY0yX3lZwoINAmmjy9eZWnjZ9Pu9
49IzZpWBrGdwim9CmhV13QT2hnHzVsNovdhLtXJdBPalqW0NLdiOcflJBRFhmysXiRAEceYtrBBS
IZ1oEVi/MHBrS0UwTWqCAlfhu2Nf565mldu0778UmjZsMAc3vLdf9mzVMuTiRrXwGRT7TNQg6uFs
BB1DNuX0sxnH/gLxnhbcjHTTy9bXmvrdbUNMtpJnvDIsiDHoPeDAFwljYelilFFZBWANr5jBVuA2
pv5M/K7ZEn8cB9Q6NQeFTkt6fPtlzzbMkjXTzV1a5ktFX5jfSrGh6E5BDEBKxzMADYH0fkrtbM3+
Uri/lu/IAqLsBx+Mer4IEzWD1KybKoekgPhfVSi7EUv5Qs4vh+md4gAMRSVuySoXNAVnovBKZtCT
slVq7OVW60bz9ahy2KxlhefztgxCJxxsr7wcA6eHQAluvkDBMQaQE+2i1vK9Zhj77dsfZwnRTk6a
5U0IjZciAI4H4qRlIzKwHdbGXh0WPupNY+mOc/lDi+U1te7XRkLMhpsEAo9ui3DxIHZilT3OMggX
ctnktQU+4vaaWtRrs4ZNE1cVXEVuIOH4soqYZKBETy9Qwy+WUX+u0lUJwVfHYBepXIpUvsRJw72t
K2GSxV7fKLWH4pl6k/roP6JX/3mWs81CdUw2k9L1G01ykkPtoNOi4iR1q2JtpXpja7Tb0Z+KlY/5
ynM9i5jSnoENfjbFY4SwhixXiZfMOT5dbeYPu6yw/dt3rxnoe4sqEZJYQFGEYySTFA10rY1AuAEM
CthfI6WuXq9C7JddJKxNLli6vAuzguKiME4rU3toojbx4A39rB0Lv/s2/iIDqtvIiSFtVbl4cqzC
/AaYqnLDwoQBplaUWSNDTq6qoIoOegzgvtJL5LA6hNw6rXYH4HybWe7kX2/Pyvk1QgEWGirtMYqS
nAqn2xV/SD0FFMWsTJ/T8ZflX6ee+mnSvr49jCgItpw9lCToACwWd/QrhbNHcebeAW0EHq83L7qy
H3ZDlY3XNt1wycvrBpRF3VDRcSc8vUw4V/WhS9RuW9Or3E9SUphbOa12bz/V+c1CaPicvNCXp6Qo
fKqsbFQZpXTuUCnwbKAxN6PT/0jaQ2ccKTBIh7xS1spTrxwoMF5Ix57zasiWwoRLWc6toiRepcOY
GuzUpRt/4RftStou7qpFX4LtRNcTGT0A+sKHRUVXVbqMD1vit/kRtJW/6Qa1WRlFvL3EUZaneBHI
zknha1kesncBgW5CLaACXMzmpdrj8YHu3BqHUZw9cbzl5y/GC2UnCvqetzLqD7pyOVd3ynvPiech
aA0AySHaBzR3OoRZyB2y8AzhpFdmPrsZ8NlCX4MmiMVTpCYxkaeq/Kzfv9iFnA6DonuXxIDwPcMI
hqtGk8w9tdTxW2+F/bUs180PMPLyLpord8zwtFc4teaim5uV6Eo8AJ6fA4wc3cAF9iO+7phOSo5B
X+IFTbjvc6N2bR/HrlA2tq0q9wgerfWpRfDCn1cnEOGUhIwki3eqDYTJkPM+wWumG/d6mfmfsm7M
Xd/UUneO+vgzADpjMyUYMlVaD9JdUndjEt4kCmJScnw959VBsz7RaKm+tJX/PsjMn8ejswAfmmTw
rOBlzDq5kT7weP7Q4FOlJbvCQVRK9ZFeW5n9V9YztdP/HWvZXy/Wc4X0mqHGHItTFXko6v/CYHDB
dK+8kngnPX/kF8MIQRma50M4zETuQ+DYV0FeXtBOBwWvf5yc6HZSQ9Vti+6HVRfp5u0j9pVjCPLo
kjkTqy2goNMXnKOkNSStZpmbtIrG2kwu/w9zX9Zkp451+YuoYB5e+oHhTDlPzrRfiPSQCARCiEES
v74Xt6q7nKTTJz76pSNuVMR1+QqO0N6S9l6DsMNzye5jNGFbAfwSDXTcAwG/Wc0jNkcT5W0YfNIG
jtJAXR40rn2x15qJx/2dqIqnVhYH9NVP00j2dUTObCUfLqA4umPloOeM7j2o7Wt0a2E0Qs2hKxJV
FD+Dwb2unfrBbOELPzbkBvCvR3O00750AMHOj3+f5A+raPXsVVaE4R4Ksv0kEuH8kLCPhThBDHuN
M2t1XfeCidL7n7iaZIvLtoMVgkg6WMUFwXgIjPJ1QIkl9m1+8psio5M+dvV4dALDjSfGSGr15ySF
PySs5S0W7QAPhwpom65WFA263ix7fOqBVrcdmU6lYWSGVT0AHZ/lLZRu/z65f3rekgfACkMYfRDU
DYMcXlzKEwmBPBRSxl4plvpYU763g0jCmaf9cZKBksCvQy9nEWJ4HzDEmKa+L/AtOxkdCLDnxJvu
+qg8Mbe7s6roikPvMbbm4JKXuR1zDRaKFudy9PpktHxqYGCBKwZMZKmsvn8LIMfkKAerS2bC3PFx
6G3kKJQ4gxuDdq74wpxR8ofaBQdpp+qJe/d/n/QPaQMX4UWjFcU73I8hK/j++ayH4sUw4FBIZ3mJ
WS7iySf/wwrKctnGBgQGHAoai7Hj+2e0Vdm0tkK9mqv6q+eNScEJHMmie99sYRF/znjjjz/pt8fZ
7x8nKUyzSFGhPG6UYzzT7qSm8eHv07ZE4O93j/VPWk2bCl2CYgOEPLGzerEvRSoZqvDg8C85Ifn7
w4Ch+/A8XIxBn0C+RR0KB5pV4sk9IyR1QxYzdLg7q17bEFUYLUO8jbMP71HIT4dG2vvQ2cmgidg+
tLh6evHgA6wGQljO4R8BjrXno21X8ZuwyEfyDMUMr74uK4sFJ64niM3Fg/bmB3sOwPOSlvGimRlc
ODBTpd/6vstJ6g9ue9NwDw36iFTTm5CWeLP6cDxQ0YnbMNAN/wXsuX2TA5lAnyJrLiwkjXG+lCq6
h6BdmPWBETxBNaO5k2Beh5el3cvwoGVkfLWisgdzTfbtnTBbJ7Gs3s9jf57UF1PaEw4kc6hvXLNp
jgro8szs7PytxLb6UtQFv7JbK7iuAqjIGXTgB5fSN8/rZ/fYUxXBIG6yLJ0UZC6gA936JBkAiaSZ
rovC32sbF8SE4TTf7XPm4H4k0MKpaSh2JbRxTgyVUZlNHny9UEEi04vJIzQC+5xddhGcCxPLtMf8
OEH885YO1a62B3IhvTw/dRaddjWFTyzQDf6zadBZHEAUgiC7xdy7SDWgD1fzg0/b4bpDnfsI75je
TqkId/Bk3+WwbcqPC3U1ye0WCvaSkeFgwOBTfu+9GhLDw9jKHVpAQ9qAUnQjpsG+HXLKx6zxGmc3
4numljbm8aEA7v7JG1QvUZAquZcqdGCbI0xV5guLcjOmnd1g4poMzipjCQBGp2KnN8mtbOCsDZIb
GqNj3IVmt4fpX/Dit3X/Bsyek+lJXFl9YUOBaE6JqbvbRvEmxrqsY1WrN6iT4HxPaENjkzBgzrtm
zz19sk1pxHPt+j95owmAHwwizdVcp0Yp/QywcXAnbbdwrrvGprdWYJh3+F7DjSpL0J+ibv4OaNMM
CWTmFHFZ1JhnFy40McV52onYmzMpjbNseNsuVaXWGJKiIsD8t64NFI7pPtN+/h7ASOtrBUmIS6uX
PMvZ8oIl5cep9fmxhA2DlfiFcbS5/cYdV3gJsBdd3EDcnBcKYlIR3JvpU6XAqPd5ewwnQ6Ne697n
5Fek+5DFZqGNF+W1N7rFN0ZasuJOO4+zA7NuOWt+AoNzSvCXjEMTaHkSy3ZvzHl4wfFXvZyP9k0Z
9VDVbVsNFR3SZkyZFlRVp5sFDZj0vrYOssHNHty+WnXZXJuPcICc+hhRVyResRS9JiiSO6r8xmC4
F4NmNiYq7344ELPMurLmVwCGziccnOhNjQj7KdVogozqE/eUi29zXV2gLGdJIGBYEb0EECRdaKr1
MD813gvPMzla8qnF8mB3UMZVbRbKkYFnXY4H0kewsgGrgT5IMNPCGFAC+2E031xYbKRmOKY+idKw
Jl9n234tDCwzZZkiDozeTPHph0eKwtZFX/X1EwwEyhTCzX6GCjmhpwGJrZtKEo9GtxsNGOOhU+rD
2KWPjk2BrJAtZByTWlewpc+KGkZXRNYxmtC/gqm86GvvBHrkTmqezUOPAKJwkA991WQToCbQ17bn
KXGstknCof1STDVYwSAJxXCXiC1ZiayElDTusSH+eznvXUIObthnbI6OpHFjsLS+eaO9AycrHbA9
1HO5m1yWTNX4rAKamlWJx1VpbdXDz7EpQMnR5qG3/GyAwYmvxgMfDxX8mywPlEJTxv2Up9gG4gny
oMNh4r7z3ElLpYz1L8hjaeTX5nQCD+CEq67AHXN+80Ngh0vOY14HXwaupuvKR1oofK+CLhJVfIdd
yfpumVLiCGDfwPSuO7nCna9M6vjdDlAnaUMrBdemqRj7H33V/QgL72426/oQVlCIiYe86W44lGyy
yagskfksfHAKfOnec8lNBc3fNg4lXCdGkXf3ig7whwodDll6bZu3tlXXiatd+n2GV/Jx0vnPsLfA
hy7AxDVZUR9mh1y5LL8ciPGFee5LBZdYHlY6LsLw1nfg3Br0zqHQc3fr0am774zAiUHJQHplhiyT
olMd1lMxRtYRvm+iOQmt3LsG3nOxpXIBZnLUubEOsD/Mdf48sNZO8nCs6qxhnVQneHCyfTQV+1wh
vPPZGN/cho9mVulSk0c2MH3rmFTtDaMxLgu4W/r7uW+CiwHseCPV4RwmZd+4V7VrA75dFZdh2Bqp
EOjkoWk/kErFcgibeLasH/0IV75J+fyEdoKbQTYrR59bqy7OlTnvZ8+7BSOW477e0FT67ZUpqXXA
oTY1lEpxW0hDqk8ASMS14NnAWGKXjQtuKElG3qtDCbTZEC9WXSj+jWGb+Dh5PFc17EtOZs2Ee98X
jvNLWB0OOFyOGU6wmSn8K8ckVyiQwMWjz2DIk0BbOe+uy+m67FHQ45GfVDVpj3XtQvNJoupix5Xf
3QstxlNNhPQW2ECDuAmrl7Aguj71cOqwIODdQbq8UVUsNBAVCGiEqJd3tjgK7wi1IPElUtQ7gd8I
+T6T2V0SwtQgulCFN0NmvMNJAbBW4LGAhYuZRh0HVVJQ2cl8AHZgfgynscUP5N3wVDvT5OEs1MGh
IWSk3EUghR7yYgxSHHx+FKbDfvSAi/RJa/EXZKpXlKA5SuaD26cgbuu7wjbkYfab7ro2pgrUm9xU
4IXk2rmGmXHTxlYBdX6kGCrrVGhqx6oKWx4DzExxaTTaKxVooLY8p3oyqGjBap4qBYQl6IItygg0
VkDolge7C8Y+EUVUXFdzF37rBJd7FXkzlLQKTxUpvBRlj2Yds8Z0KqPOS2qvfY6YSqrKf+kDDohI
bQQytid1OdjG0ePdgwqt9lsZeMO+dudux33DCjB7UmZDKeV14zf6loAiGJdm9AwRxe4K1hIH8NFh
yqiI1+yBzAC+rtHFjaXatkwCZGrDgXyBNcGLILbbme9M1jzB6Ri9jg4QYMg2RNUV1EjbuCqK4qWw
WxxQ8jJEDm26Ax/g8B7b3vzV1VDGUX1YHfzCOZCQJ9DRifi+0Q5LTRbJEBUi+Hm5+R6q5BeWN3T3
LRjmqcbdHMohLj00IyGXDOTtgZiOhcpikc1z81VU41FC9IOANnHX5OEj46y/ifLgGVDOIoZnzG72
eI9CoIIwgUAt0nDp1LwUM6bhou4nuufYEBIksfy6p1AicOfpJmrIQ0i9Nm30iAPhRCdgeZnf3DvW
NEGVHMETtzjzGlA2c++rzq5jA2KGJxDDxQXEh/qXWqv7orbunFw9G9rZy6AeikNdI8fAmNpz4FuN
EQv/FbR3B9pNwoHMDIQoqlunxO4y5EcBrf3bcmh7qE140OOLacjEd0lY9zzkobjnOOnedD0bEvDx
+OM48wttTI1IYUVzX5bRlNrDsHfoEKRty+nbTMz9mAv1wmHWXcdBidosVDe+EA8yWQCwvQZj+atp
IKFJbFXwLCq9/CSC8QoiEBKwcvyIltnmDsKNXxynbVNBxyaVIDXG+QRlhFHWF7Bg9G4K6HXvDQdd
orqATEU/IiwHYWeVNLzUQR546GCkmFalUtAH40FateWrL0jiTzx4E4GPwsDAi5tmDE9+STMe+jtc
RBMffWsXpg17UDqDrO6gMyMthx2mNpp28L/uD+AaMOy6oUgjoLULkEBNBzqy8xJ9CXyWb7WCRC+1
u6ughosqINyQqPNUM+zhDy4SyRfmrI0273TheFNLEiXyva98O6mt4U1VLYq7Jhhqfdwqs9lTZ9BF
EuAK8gP44jyWnrQTwLblN5Hj3OOVxXffhjDUmBcFjsn9fRS131inSQbxmLm57ISQMTKGHrD6CT2K
0RqvOo4jFRkGdQN7czg2e1y1uyryVeyP5kTTkpoFmmGoDUJjgUwZt/xd56Ll45bInoESAkTTOWdv
tkOMo1A8ysAWqVxskgEZsspBDm0igSIU4OqZTRsT7d+hygCw+s40mptDXj5T2AnB6gTnJ112SNmU
THxXi9E92EFBUzQtSuhdUfWFuRGN3da4LhR9a+1R3FX+wOodtDvqm7LEpngYkDThRjhKnDqtASWX
1IfsXZEiatjrDH5ld8INOS8u4LrN2aViNgzZcIx3WHOgXhndR/kCx8CFslDpaIUT1MbyoaGHSI5C
JU7QQZ8kjrBDDle0GQK0pHIVDWnEKd5NWxH17wUqNc4O3ZXJSkttRkePNvA1seXcjZAtqOA+J9Ep
j/aTC0uvWFQwGiCgrmRjrR39XArg6KCMIfEClRH1MXo1RcyHMIBBAYtwDGW0nZ9xtFLV3sFdTu2b
0FFvzhjw187PYSFUwZwDZyHoWj5pGD3XmVRaP6GUT519x3X0q7DpNKSTG/DLqXLIbdDXw0PkF+PX
0fZyBtKbJuqSV5OE2sBkGd9kERbNviIi/EKaedKJbuHe8r0seXSLOwboiQ2vHHjy4jXlF+iGsywv
ysiO89LQ4ZfJKFh+A4pBH8YFV0F5WY29X1y3jja9FKmJIx01HESGaLjkLbEOSsh7yVowIaCRhd8i
fomBwvjHA4wr5g1uVcCpe8I5NfAhiZ5bNo3jBSrPNYOJhRPtKcw19iUOX8NBzTCqQi2HxTb3Cpph
p859LMboehGPu0K7/VVa1QWov0Oas87uY8sACC5GVqM/YEcvnkpLkksuFjcwNGGQAkeXoGQ9uOqp
nBxgxvc8fzSiB2iEnkq/xa0bNhfIBNzPQaSXO+xyfCLXLQFuzP1VFt0DmAFOfgLy1b7EPbw4Yeuc
0sLFldXcW+adR3EHVoVZq6wRsBA9wHTLg+lvKXE7M3orzQm4yL43mmkPkZHLHPyYbscGK5tCZ2Yp
JvoaWiAXTull3NQXjnh2g296jpJZWOUud3R7XZTwkLkTwvbzQ9UkckzAqCm864F47R1nXhrMt3hg
+yJti+/kVH2jFc72xWzhXnU1L2qkKXTVE1dd6B58AlJ5KMZVotuRyv2O6oaRSCBKy5gJdsn78pJ0
5nA14AoHGRFuYJZ8OcArPhfwtFRwIaeluZ/UbP6Cma49xqUHwlECl1PxWOPg70HiI9LoPU3iYuHG
34MU1X2RdvfEL8A0E5fgW9XYKTlGFxU8eGAMMriXtjPwGvYxrE+hYJVR27r24eLDkM39yACbVhJr
V5s0vyl9H+oy5UhSXM+reFRVQozvtk9gPKeG2B+gq4McC4UnCDJBd5dCgsOyMjkxH8m9hh42yNGm
ZFmEGQocEEs5upFHKA53iyCo3xjooJUR8ltRdiJhPrnTZuMYO1e0ZLhqPONEbPtbNGtwGSEEkba2
wSnsnp2QJFiQuMkEzH9l1ECFhbWowAiU3tkl1LAHsTNUTTIbMZdOkd0Cl1Tr/rqgXY7qjZMD20NM
vDBOaXU2doH7OGh1QceCQNGF8a+KwhdF5BLnNXdUMmsLrPhr6FHBI3ckj8DUNzyTgfurdx0ILvQg
zuLKdQAtnASoTxEfwkCaXltgGMWgObcZRZw84gAKM5uI77wazj1ZTnLvaFuoN83SdG5C3fdiV0NY
EmIuXTOpR9dv3Rh1LviKWWEuISHRZ2YxPCqfcf/7aJn5ZUXDAOWO0kscbMzQxQCo2o2bHvmO7UjA
cuM4esYVpb21a4k4yXa6noReymwwVTM4vx5NN2OtCZb5GPY0hX7TBPrvCKFDCIi2MB8asXA8egmh
03lIhwIW43xm3hXvxIjOwsRfrVxWKtE4Vp8C1tgoHlCA61A5UAbUA2t1MzGKrBiWMy5dQftW16Su
7lg4mw9RjhZQYvXQF4RzhPHc0opcKgOSETfQedM44Q0qP45hJ6C/K+wRKldBLsb5NEFj6BLaQSh/
5nnbMxwWCFZZXcwpnaiqdhSlijaOZsoeCY3kcSY+eW6JU7HLntgtOBC07uys8GFbdaMhL1ntZ1sH
+mTx4hEUJm1kkSGhxu0q5b6ZVDcy6ykugzC/rtIR1dEjZD+GH7nry8cee/7P2hTU2NctvCG8qEOp
z9VWiqw33NRVxY7M5MN1ZQzWjuItL/POCCFZZVXFIZ+nYGG1D63jx0BZO0fwOCyQJCC9Eu6qPlAd
26FAzRvvng8ByRVOS3NEZAfXLI5L51dZgvDMfhiu6jkuSj3MdDCfYwGoj7Uj+Ywh0JylhjHuZz9H
65pwaPEfPFaSWxye3CcUvm+dfmYHCk+iC2323o1qcP+xQJZOsXvK6lQMdf1YweydofxgtX3SmFPo
4hrWVF5mdxql9oOqTS7x+6mw5854lRIQGcN08xqkWQU7Pxoj9vXh79X8dSkfC+8f2JLvwRUcPflV
3wkM3plACkskPYjOEEWNNbK3Hz3m6kxrZ91aWh6Ezh2Q87DhA7Jy1UW0VTdEYIuLBK0DGDJVNk8a
6KpR4j/jbipTdJwGoITc9ky7Yt1/+ee5HkDh6EVDLGett0KA+i6MGpC2qWlAGBIFvW50y88AYtbd
wuUpUBezILAaePif1TQWgzEQSLWhW+j6icNgINDY3W4Owh2D6MdxgFzzmY7huvn7zxOXBmUA0QkX
CNn3faWBTNppJRqGrLkx9EXUu4lPvDMP+dPqQPdz8XFGq8xea9DjSMkAm1vwgOUR1WXctbJocuIA
u9n/fBmCsvIPkc1zQGV7/2t4bbtQ2wHawkWpuDDyfcWouKYj6+7LvDrTN//Dr1rUCxaxHxDJPnJk
FeRgw3rAwybcCXHowAG7b0WC6D0zfx8ACvhK4HIB6wG0P/za17ZskM7TBXDkWH0v0Q3Ld754ypsM
0ok4x6AsXu5C7+hb59b8H34gkhx+IvBMgP6vUXelgJaumeNCVPeEpaTvzGfolMiE0bpN87Yyzkzo
H2IMqEcwGkCaXeJsif3f4CwEtVhRayyTiMIkDVtTH4+ulf19ifz5IaBSL4ICNijx7x/imTgpyBIh
Bh25Mh46ihs5cfWZL/aHqYvMAHgOIPX8BR71/ikj2qi9dDB1LLxppnsmf7rkXtRf/v5b1lL1MK9A
i3/JgqCcLHbXqw6q6ecNuJqqS+waHbGKfulL+VpjI5N+fXKq6hbIHWjD1W1cj3kciPBAK//SDsYE
BacnGyJ6sdG7GiSy6DaQ59zR/jgJIVCh6JEHwBOucgsZ4MY64ryAqpPVHDhDZX7SnB0FoDiJAzDR
mU1o+XS/96+XLjKUPaASZwEVj2/7ftItGTitzRElYV/to0IndRheVxCFckZ9gKDbThPxfaD1y9+/
wsefCVYnILsLpwERvxZJKrH7dzQQCHze7LFzpGqAk1/v3+dDeGbx/vFRLmR3oT0Fvtw6vykGVbFp
KVE0qP5C8MgEqMQSuGCf2Yc+7rLYEAD/xEYXLdrJq+ULy2dkUY486nRVim5sOoxg91tzJgVJ9WAt
Z+MzEfMB4xvg4ACRigWY4wGfs1aECaXvCCPAzj5Cej3WytoPxKLL5QcdcfOpt+jXvu0hfmAnnYmb
KkWtzhnuqwoty79/0A+/3oX0NpDeQLkvEkPrWZ4Mq9d0gXZ4JX6tc9dKE+qi0L0TuKDVB3aOGfNh
3S7P85AlwBWB+s4HEQu0s0wBYeMEoNfb4WKOuxSQvudh//ef9eFwgccs2XVBl0OnOliFI/NROoB+
PRArgbFoPnUBfHz0PfeMRxxCoaFlT+n/2xPt9wEJLVDYtKBXl/j1T1GDOlBD28FBr8EAIbk5u0su
8f1b/AMj+I9OGnC3OCAivy/f9bf9A3ikboBlNX5gO54sP792+ibluJ2iMNIWB3uOdgU3doT/R2X8
PwzG238/Y0WZXP3r/3psG/yzJkW+I1Puf7UL87Bf/6X/D5mT8P/87VMvzMx31MnbV4q+1+s7suU/
/8m/6ZNB8C/YsCyyaCFSI+IIS+3f9Enf/BfAjTi6Q7QQgong3P6XPhn8C/ukD0cr0we18p/k9n/o
k86/0P7CCQsmrS7+f0Tk/4A++f4EAOA6tCYgkrA+6loVHJf8mfnwG7HDBCBO1KshdvnbPPxnJXzO
lPzv4Ku9x/frUdEcg1tG8wV+Pk+2K87E7yfvvXYewI3UpRWE2TLXW+ADFTxTo2o+p+D42eiroKG5
hXLaCIIEkAHoc0coz4FKtmlS1pwhrbFpkqnwUXIwvjVoP0FIjGwce9kqfwt2IqsePD5IsbW2C+4J
fe3lObrAZ1OyOlWh4tm5s2oWnE5pAhMDvWLcm89teJ+Nvvz5by/uTL0hXRsrJecDardBe2y06afb
ZnwF4XO4F+ipzT3o1TfgB4/eW+dg6942+DqdRxICYxAFyCBGZySL7EE6snPGqp9Ny2p3CmwxduGQ
u1mEBtfdNJjh0W1GyEdve/dVfPYFqmShGuFp24xf80mi+3+OpfTJm685Oa2EBBIAE5jzRqOZNnSX
jXvOlOqzsVfRWYua1TACQcGcox0x2zlaM2L4tWlO1nbPUM4FPgSy+VlhsZ9V3V2WTXe7behVdGKV
gE2+5KwC2kp5Haayz8/IHS1R+N/d/v9m2rWC0+xyH8Qr1LsqZzDiwSHzTQEjvwuk3zNSDZ9N+vLn
v0UopKWB9NHoUoALeQxM46KQP7dNyyo8Z1dEKDMTL7OkfxLe9MqLc6e8z156FZzTRCDPWcOKPmpM
yEaEOb0YLfuMRuVng6+C09dVl9dmrjKAdi79uTk03XDmavPZ0KvAnKX0zHaJe3eiGXoNJ2rKw6bZ
XrvMWPlYmrYRQq0T3Z1TAczdG+Soqqdto69CE8TvyeQVRrdz/eyOAp547rY5WdNebB+yS7lZ6sww
7Z9oEBexZ1hft732KjIJ1cxTY6Hhg6P0zpt4BJUr99wV6pOv+Y+w92+hw0Lud8XUq6z2/Nscrqxz
2T1ue/Hlkb8NjWbT3DmAtmW4cD9Jz/2JRmqVbht7FZe1S51iLEeVlZ134cI9G3iXM1fqz2ZkFZfN
7EN9rQTlZSxrJ86HCiD06Oe2116FJXyZoqk1JXpH0HyJwwl62874um3sVVzCsYZ0PgAqyCdun3RB
9GY052x9PpmTdQ2uF7Ll7TDpTJjyFzf6L4Vzhp3x2ciroGxcZUEZCbONitP12I7XZmGcE0L4bOxV
UcSqHJdHVCjgrIbmgpWQjx3ttth2yjdXcenDlcemnKsMrdUftec+NAABbvqU5rKT/hY5ovU6TeWo
M2hz4gJOrBPLSbjtUGgus/Xb4BPcRwEJaxXM94CR6u37nql023uvopLmCnYtEdcZGJx3aDjHfk62
re611itkM+dOADqbTcGo0dUHEGAkxcb3XoVlVSwyzkBmZLykL8yvL6ym3LYzrIUCizCCAu+ySiiD
pmM04SIbLqzbLROO6/b7b5mHPO9zrMQsLCY7HglEH6tq2hSaHxSfHWY3Ie2wUKbROJbMeSmqbWeI
D6ohhUEnF3QcnVEXnGPBFIH/E910lIUkw/tJqajHOihQYkvjw4vZ+h5guuYZ6eE/pxTID70fG8re
RLgBUkorFESAAicF5XXbpgaP6/eDd20AiC/HpuZrfj8U5GWk/qZliHLN+6GBg59ygnnOAJv27o2+
nABBFpvSFQp57wfvHIe6EI3VGcnZo6f8+/ms8ORn872KTOAXA1iANMs+j+q5nsJfrrfxU672Sxei
0QNE6gDXl8B/RS7Ya87jprBciwkRCPSB/UtV1nvMi8E/Appi3jj2asOE4yOcPEvMSLtAQ+rBSqDA
c84X95PpXvtW4CQIYY+I4uwjgrdKoW9QDxPbbZuVVVzKYQooDLmwBu2pgPE1e+2Yvts29iouiQ0I
awfOQ0as4cqhVub15abzN+jm71d3NJpODVoMluBs/FIy+uGa87bACVdRSVqvD4jb6wxWTGaaQ0My
hjnK/bYpWUXlZEFMz8PtIQuZvqcRKigBpWeEBj5bJ6uwFHVj89LC1gCZRjCCYeZ1tCGgsumEglh5
P+OBOYgqzLHEgZuPskKOEHeEg/i27WEtiB/QynA4xOih4ajMr0BJR695LuVx06yvG/+Vr6wm7CGy
P7fek+lX93Da3Dby6jQLKs0IYp+HqjKaMSXAS7FwwP/ZNvgqNntRd6aYMSk2d++YLtNGsDP3qWWI
j+Uff+3IAeDX5JdmpzNzBE1xMjNzkN9l06SwREy3vf0qRN2ypr0e2zlTHYEPYLEzQ2vbWlwz030v
j8bCwNsXQHoD+j8+SVRUtr32KkILZRdgqbbAtY/cyFw6g0rnGb+2Db4KUZADNKi8Ys5aZ/hSCfmt
45suPtAwfx+eeVATe7Id5HFZ/6yHAFBkcGY2vfUawUJguCIqNavMbNqvENO+Ncn3bSOv9k09V8qM
5hxbWzXc9hV7BgF72xpZe2kBwlh2bEa+6ot+SlTUQ8xGbKuJ+Wu/N2d2al3BwDGbS/0AKZcH8yxI
4ZMs7q82zYCAdxZwQ2eMg23N/Ife5duSlb+OyAYAamQUO+sGAyes3JeZvfm9V9vmNBhG7k2Iya4D
gTE3HyO98Qjur0KSzIMVCc/UGRS/n3FoPkFqYOMqWQVkW5uhjGBSks1N8FCBRjW3wcYs5a9C0i9R
ZwtKX0E/TY0xVHPAOyDu06bIWcNlirmChIEJ5wjwei5UaN7N0bipcA+0w/tUokvBS9PFCmwc/mh0
PWgVC/Vq23uvNsyqLaCpp2wN857yCpqcB6MY7rcNvdou/SEsW7PB0HDxeyld9RC6ICVtG3sVlSWJ
gA/2EDoKTNnER/0xCMfnbWOvwnIye0iCaY3LQ6l/1Hz+ClmEc4ZDn2STtaZlFPnQu6aoU0ea3rRF
A/9dXHy2vfcqLGsoQTE7b23slPWO5dOBO+cUnZbV8IfjibcKSz+kbOb+jOMJhBe+lxO4NsI6BEUb
Q9Up8aDnujGMVjFqg/hj9C0qnWB1fJX2mNZD/nPT9KxF3fLBphCfwHI0cfH2lfs0++HLtqFXERqY
vdKBi+mBRvk9VeBFtdHGoVfxWfjjBFAZqoWFOd4UfpTWrNs49Co+K7cELaTEW8O7SyatBzVhp91W
FltDOAXoej2BNEhWVlylFVizR9Ya+sxp+ZMocpc//606W0MLKqwDgYxo6OFrpUR/BXm6ftu2vLY5
UxrWeUGBCyfzQS8fwDcFaeN120pZxajbeJIPy0mZN83dCJJJLEW0LW+tkUDKha6qDweKpc4Jji7t
ptiEDeK2F18FZj8YlQnyOAJzCq5sDvkTx9m2v62RQE5t5z7Yz+jd1fmlnkA3FD3dlhPX4GtZ+7OE
zwAOtPUDC7vXBgbumyZkjQLCfg9PWKeY0e0JimtXs+JrDuLamTlZ9rE/JNy1l6XtSmY6HNM9lKRv
U/hWqZvam4f7nkSEpJt+wtqzoYLHez95+Ale2F1ANO3Z4uF+29CrdU64I5DIyZwN2no1hHFdaXtb
WcVZbf0ajuzBEKIZm3cWiyez/THqcltKdFaJZYAoZN1JVMVBfdpXVrizYd7z9xn57IuuzuOMQL17
hjx9Bhh3e/S8Mpmgyhj4Rr4tKa6dEsdWwJxdVygwt/SB2MbTrMOff3/35ef/aTWutv8goMpyCUPL
ikEF2HWmIoEIg9q2VtZA4dHM3WIxZ81q0v+COgGYGRAz3Za31jAmV9Y9NBZwvTIJhxzLzJ4K85wL
5yfTYq+2/b4KHQ3uJ1ZiGd3JWkBrxt/YtFqjmBRY3K32kRQjCNTEoH3+kBDl2nbot1c7v13ZNeTw
8eINAYW/AKex6TdCGEFGeb85D+PYWoVG2R0uutCPARSog47Oxs+5ClBiwM8NFAHszYOckr5pkAEc
Y9tCXAs89j2MqCcf0S9NfShYA0L4dLspgtaGn9KEKybc09GsNnnyvzk7s966bWgL/yIBoqiBepV0
jmc7dhKn6YvQtI1EkRKpgdTw6+86xb1AzSQ1LlGgBYJUpjlubq79rTE3t1Z0r16fdvVAqbQRBx8Y
V2aU2QEpC5u7I2r9ku9ujdsi6ApAOWKKC2YsW+bHCfAQv3Znb+dJI9tEDgN6e0y7bwSBChxFnv0+
7cxvKOkY6DpotW7rqw2DKdn/r6rr/3R6qSsFImLYlcrW7UR2qKF3cweFg2eHOHM7Te2WdQPB3I6P
cz2LR9Pl7xw+v9ipXPC5qmdu2D4cpyygQ4FMyB1QFZ7Ndo76YFIQRfJkR17Zlv1Wf5xb9dFvHJ1z
p+5ngjJFRBE1hLPXWX20N8ysfpvgP/Dif10i1B5kiwZyDODF4AqkjusxaE5e7XaVQKNWWz612ALX
eNOPduXRjRw3v60kdE6d9qAdiSFyPZk9gGEDQIxwG1V+6901usUFIhhbAAZAkSEP4TTc1Wry7BRn
UW4tXnvHiSIAomA8QD//PRs8byeuFoh1NAX4CnNQr6Bq8Pkuh6Dhv8fyny36J8GPKwWiIWvTRSNt
mKSiOYoc3l+qGAjPb8M4nj/aWIYP2bGx5wDEUgBe1wfCYGLbxtF6F6KQ/4vuDrOf7UZjc7XZQT+s
0To/0TANcNNZwvoGuXEAKtYwUF7C1h9sPdSyzBshl67OKIzA67tEv2e+/IudxJXqRLVNQTdSYOAT
+RpNyw3gAn6FFTA3ensi7K0eNDh59nTk3/SYPi+H3zUQ3Oq3X17Bj9qXQMGivCcnvq9VBGTZf8+P
n3fID+htCXqOEWTTp2wQ93qEw5VOvU52lBC9bXVg+ZBe8IWnNUj7Kho5CGXZ6rW3/uDd2cLDPVAA
jJ3qDBSQuIbpBmpm/Opvfijp5ID4LWJBr4wAAJ+PGmgrJqJ34rTL7//jioQ15tt+iWQdkrrHaG4Q
cL/kyn5hy16KKDv3csq93h0TV68zZ7ABgnLxQgldeHha6yV/RP5wes+r8efzBkWib3+JPIMf7dHi
OTZd63uZ2Nsmf68o/BdXTVcGCJEHuIkhdkMWzN3rBGM9VcwjI4DgD+g1v3nvns0wSRjmaNSo4Vj2
yq59WuTJ7ic2hOHE295ReTfHIgEMc74gGFH7faXk/8/+7/9CONAv3n57P/aERAItD01wJcLoPHTj
716d4tqLHnYlfBtnTBrAhxSoNcGovdIegLO/bXUfNJyMUKicOgmSNKrec9R/blDV+rXc2WvqKQkU
Gh5DZ5jF1YpENjyzI3r2+/plpv4r1ho5KNB9Ckk33dcvEdCp7QRcrN+3LwvsX98+4JAlZyRWT0c4
3RNg04ojjD3H01mke6MTNgAYedLCdCfbcri5bonnx53AGTzzcV+mITm1SQpmAz8epkR5KWxQef62
UwDe2WzG0CnrdPw52+EGWMiPfv3tLM0xpqMQ7EARVBDMAFiDjrXOu18dYfKD8KincuIzvs4jcQr2
7pbT9Z1j4+c7buKqjhSvj6wze4KaUPalTdN7tvnVyf7gXQosUrbFNcpN29zMRdvkf9cZIg2vDnd9
XDoUsxE2od3ALt1kS/Zgqee6dGVHU01mQQWqNukUBacRdKM261nl125nYcZyXEwP4PVphhXAdcij
j2u8S89OcVamOKINqox/qOL61Vjy5RisX0SXOevSwg1SrxoasmPln8YUuKLc76kjcWEFnKcWQGXM
k3ToAcG18TlOpF9uDGjlt2s+PrI06meUbqGEGCD4WXwGX3zyG0xXc5QcjWjSOsMkbMJHNoTnIwj9
htJ1q15xOCTJeKSnDVmsm2VaYghT28hvl3V1RxjM0MYNGr7V9hUp8i96Sj97TXBXddTaZAf1J8Kn
18wWGRANfMr8zmNXdsSY1Nsey/TElb6DQ8OdHDPP/nbW5bqzrps7GDaYjDQnWH88LzIifqex6+Xe
iE0aq9An4gjueAZHAw2csV9/OwsT9mtQohs0PGQHSPxIXe8q8CsDB6bs7erJeNPDZmNLTvtmyjQb
HuES75WxSVzh0WIS+EDBKfgUrOoeKPqTyPz0y7A1fNvqFiYy6QEJ82nE6ry6bCgN2d/j81wmxE/u
Wa7waGkkEFkxuiRZp9fahFfR1D97DaWL4km12feYrskJ1TmAewblZoEX9Pu2E8pmJgR40aJP2A6d
bt+Fr7bt9W9+H0/edjjc74DoyzCWE4xSQEqVYTHpxW+CJ87KZIDh2k2g5j4Y2UO/559WTxBB4gqP
QtTfqb636ak36qrr+AfOmF9wnzjLMuBZCJw84pOs10A4AlCWo9pUtbd+Pe4szKZpzdJdpjgQwudk
C+UpaIhffWLiwrU2UFpntaPtcfAaAWsP3rTxe8JLXMERgX6eLxIJg72O/wAiE3ttD1yoV6/ETkYr
YUsIZ2JMFQOU6CfOk/QqDBvtd9rHzmUTZxqAsgEADYRsjzSWD4ff+0niki7JBjkGFlF6CmAxcezr
dQ33J78ucZYmQH5qpp1JT7GMHmzUnCBL8+wPZ2GGeGTj7JL7AYNHXUd05udpG/3uJa7eSG3REs2A
yJ5k1NzVpvskdunZJc7S7JuBk2zhiO+T4IkKsYNX3rwHxLv88j85Hly9EbnUPdYDQpSMH/wqn5ub
fZoyzx53glmrsi2INHp8SOEv0quNf9t5kPtFV67kqFUTtvEYzBet26xMQNT6gKe32m9AXdGRVmRr
mxC9Tro9OddIVz4ZoZJvXtPcFR7VxsawbsJ04ZrCSooJGNbvs9+24uqO6n1rNxiZpSeYGP+5ZQSE
5vUo/RrurE/4H8Aco8GVLVIrzHMAyUZVYfLere3ylZ/MRle6s8VAO08tNsQ+hvfQwbsGtb6Altpi
A0naL5JzncFHHY/4HVBwKur2sYVD0RLOXi9vMAZ/G1ikHTwOYHeCXWBKSNlPjQXucj9Ofn3vHKJR
pJC71piSskV4KOpRlmY7Yr8IwFXw6AEfX0iKoH9KbvmSftqG7KtXw139juibbJ8SdAu1afwIy6D1
0WbvUnd+sYW5Cp4OVVa5BDz0RFny1Q7HFUxm/PK1roCnCySCFhjBnJbJqFLyCNGiVp5JT1fBk20a
JvUU3YLa2a2sF2GKNT08+9xZqDA8tgtMFxFb1AaWEXCNKWJ2tH67Y+ScpcE0RBkPkF6Bi8E94phr
OEG9o5r81XA6SSG58mClEg1PLlkV0ooZD/vE88UjclboujXTnIOUfkrTGPD+A15ZW1MXfvPcWaCx
PGoxNAhE8yZuqjoif0jl+Y7oio+6LW2PdMOdvN7tHQGard7fq1v8RY+74qM2SMz/TpW8h/Mv/R5a
++LVI670SG45UNcRWi3AAz5nLf9zgHedX3e7LKKxodomErakMCW4yTmUmCRW3/+74b84iYhz/0yC
ve+haAZCaWvbVzga1Pc4nfhZWeuHJ0lcFdIW4brPBvTNHKN2PhLZcptPy+QXNRJnhbJ8S/kwwOxe
mPpRgPq2pcwvvnCFSC1IvzQ48GkWZih7Y9+63vot/n9MpP/1DkQyqOBglIchncMHi0RfVmvhF7r8
QzL/17fDWIvBZHiVCMDQvV1han5OxOCHP0lcJVILEEcLPmhygjPw6zYgEQI8th/f5wcyOCxC+gSV
O3hQkbu8URFEpLjLzH5TxRUj5V0NNP1la8k5/aMR64QKxmj0/LhzC13jlim+4OMtWyq+0Dsm3lOW
/WKNulwizU3TgMwKg1FBYSA8xNH85zYETBV0WYjnpu7Kknb4ctbRjJ+yNl13Pw2BBcIfNnH/vc/8
Yu91hUlKwQCogy3LaaP7XhqbrlUTJe9Eur/qIOcoVdB8h/BDwgNiYIeXvf0z69JKzmn8zvd/1Xjn
MJWZRlq+vjS+MR/Bb74JiV9lBmT1byPpOK4DGJFecosazk1qjG46Bm8vv0537qVTQ2qQwpvktOjh
IVcAllP27PPp2JU/QS3d6y1Fu/nQUQg2lrFAHtArtQiQ/NtOGRWUjvuAXG4NvRo8UsPbIYApi1/L
nYXakXFZVoXB1MFyO2ryksrcr9ITnOS3DQ+j2AYqDkCDy/kjvI2uMz/OXOxiig45H+ESXjZ1Fr+Y
pH9gQya8pgk8SN62OiINm+MYaeKt1VkBH7ov2w6nMr/udtbmFkwTKvXRJXbdP7ZLe5MrOAf7fTt6
2/AkDvQIu0lEFttR1FP/MVDCc3476xL2BiBzrNgNsyG6SGOPcwCKoNcJHbuCIRrXQ2OzND4xBuZU
GgYno+fDr1NcxRBpx43VMHuBCr59tr150i357NXfrmIIN+dYJRPWJcQIL3sYzqcOtTbVf3/855s4
XGreDqYQPeQIEKwgSRx9qSN4buftVT8dfsueOUsT4uzWThP4oGm77EAuDMuLpqvwChWBVHrb+GUc
ra4XjOgit7iyTQ7BVhv1XukWZILffj1I4dAIzz+ki8T4AtOdmzT0e7CIXWBRMMzrKGosISE0PF7b
5ENjc+Y5FZ31mTcIoDmcmk92lLfdIF9huer1Ug7/LqdLNkiWRY7hNH2uC36sutwy67f4XVzREFs5
kQmxnF6DalzU3T5Qv6F0JUNpoHCbyxCqUHUMBZ07UXbJ/vd/L6GfxymxKxqSXZ2FOewnTlEuHprx
tyGmH/2+7C7ONLRHd7nDMXhmZio5IHNc/QTxsasZgrNLkBHkKWAjGzz0w+sW609+zXaWJfbYEF41
cDmHe/i3bsr+Xo/sm9+nnTVpiYzXCTzSE6q8YG8jFnuynoSy2GUUSUYNbVR8icWzF7xCnWcOF3m/
hjuL0libtmqOsBHaIYS2B9Z1EPf6LUtXM9TmFs7yBr3SJGEZD8vTYFK/DdxVDC0Rn5poJ/HpSA9o
y5fped4Wr2fbH2y2wradKKPob750e6E1zG+o6v1Oe1cyFDMjhoVfTh4xwppYUPkJ3uS17+edpRlY
QZZao19g51JyET30uV8iHo4dbzfZyTamJ9A+YD/ZFSkCOBrcsRWyQb+p6OqGZjhLGhnDeHM/1sd4
bqu8ZX77rIsrIlN8CEYnPMkZmMSqo/2zpfur1wpyZUNHkuM9laLH+6h9tGEa3sH1/j3/p1/s4S6v
yI4kzMMNDTdp9rgE7CPY4ye/djtnZiLrKJwMhM12EfCSX5rR3HRwAHyv+uhXTXeum0m6N0laQ/qV
zfZVRn2LF+jec6644qEjhXS6b6FG3Gp2GmnzWK9+1DZYXznTfGuCIR7xNqxHG92mpg5LEvf7O8v/
ctb8+NYXu+qhJUjFsuoJOsGojcu80xQ22xzGdzmMJv1GNnEWamsm8JxgCYJy+pUVY7YWNsje8yL8
xbAmziEatvuBuyZUEKEc4wcVAEmMghm/ak/YX77tfMV2YEYMugfps7td0G/52A/vdP2vWk7ffnsm
acf5jBfQMZlYGQp2M3XqPYetX33cOUdDvH/2uURwu89pZdu6K2ORWr+d0WUYJXDTYG14qXAQhOui
mznqqUyz+u2OrpKon2fbj9EIxwfDz2HTfzwOv1Kk2BUSabjCr4Dp4CmxZnCp5r0q4ELu125XSCR6
2RBsuhDk5PtSMnnM1cy454j+ICTaws2uGXww0qwp8yl/ClO/B3O4iL6diWREelgIgnRZKpsCE/Ov
dfGbKi69qB9XIZoV8pC+y8fikJ04ySbwewCNXXrR3qRjvsHt7dTGa1vQkN8Fi/HjXcSumGiQItsb
EqanAZzpx3hozGlKm8lv9cfOAiXRbGiyEXw9WqYi5PZRjdOL11HqyomOYes0QMopVHL7dpsdCyv4
xie/cDR2DtIxgT837S8h+vRn1OW/SeZnPRK7WqJxG9JmHC+q5L3+Q6btjNRZ68eiil0pEe6e/Xgo
iZxZc0Aom8Fu+D5It/yzV5+7WqJcB72Y8D6E8kaIWcIluQYUSPutIldLpFPYuw31eHlCoFfglZ7M
uxWgvzgoXAZQrdkg8WqGS6hJ6oejX74xWgu/W5GrJFoQXAgCu84ThSn8KVTm+6yW48qvx53zc7Rz
s9STQJLF5PzUpWMH9UbuB3aB2efbPVGMm5hyhq8P/VyJDgbAq/Isz44v9of/LrSLllbt+Aepp4Ms
RUfoV9paL7VM7CqIlDIiTw0udHoJ78QY/cEa4dfjroKIwBEoTy55RFLXHy6fTpP17DWYrnwob/Ih
XEbs5MuWV0x3D02s/bKfrnxI0iENkpXhal7bpdwQCuUyHP22cVc9pObejMeIOptBdB/qYXxY37vH
/SIyd+E/TTPn6dEdiMw5DU9wp0u+mTlANudo1/yTX69fNoV/Pcbvqg6DAFesEyQPN/VMRcGRB/X7
trM8g3DttehbjGgrlmcpDnIFOdRQ/ffXL7efn9xbXAXR0I8JrQdczmW9dfeDnupPyWQhsEShRSCL
XEbZvYTF5/dNp9QzOeVSjZa+tt1oG1yt5/7+uORgakDO3tnj81/8Rs6xOqUUFm0cxyqKh8NP/ZT0
IOBC5AGHYxtnphrXLQlg537MqqzrLAbvkAaz30RwxUdq7/OZs4ACFtxkJTxWX8cloe+M1WU2/WSs
XPlRyFFSbHuMlY7SL2paRElI7Ud+jl35ETWTjPOmpqdtXkVxZHFUydxkfsvbFSDhYT3g+45JnHTh
U6yP6Drdx9hvY3KlR4Azb3W+oOnjPt1YDb1nTfwOXld3tG1DPASku7z4IMGE6bo+Qy8s3wE6/GLx
udIj2NSwXHczO20obBhOHG7dn0Oh8ORrFw5HThyZ4XjOBrnj3cP0bPI72lxdUjirDVaRSOHkJk7g
FRIH+X1Nhjn0nKjOsRziPRI+HlgFaWd1MWiyFgERfvuhK0068nkJs1pmJ6r76JONTffE7dR1fjPV
BSVRHjYi4JhMWdqWc8OOYtbE86nM1SZFeonWpkHHyHXtqr2lt7ppPbMJLigpTYNcsh0fJ3k3nsOg
/2M5dj/dUOyqk3DHCiYbXDa2ltVXcnidqRr8wiFXk2QhK9HtjuOgzudnJfr+iYiQeGnwkGZ+ezTP
l82dNxIupqFF7Jmy3y91OP99eP4itHCBKZsiuxRhDn1fO5pv8CHqwgKB+UirRcv943//kF/s+i46
ZRa6FWGA3hHB9ooAeinIQPwuuK4uKZxRRrRbbMthOomy5xAmDzLxne3OSZyGfa62GZtnmtCmUABI
nqeo797p/J/3C3W1SRvtebrAwQqRy/otqsU9IOle+xf9QSpTA+DIgE842Y2UgC8/qib2uvRTFxSU
Ebw5K4o+OY4QyWHeREARzX4lStQlBC3xrDIlkduSB10Lhps52f3MemnubOrqCMM+7KCVCZb5E3CG
TyoL+Dsx26/G0pkpPczip9H0l/SwCFALyk68Nu8lLP45rH+Mm6irlTn4snTcxlA/9BPrr00TrlkR
5G0QX/Vylh+GsO73QuXYQUvW8uxzAAWprUgCEkIx9qI1lYEI7vL/w0DpvOo6eo9hQMg/Qe9PWufK
4JqcHWFj8eSBGiRW3zdzOi8FZ10UFGYxTVbwqU9feGNEW5JUJep6UHRT+iqyi7FHofcDMFwIo7qd
4M82VHV0MWlvuMn27zsfsryAelpUTZObG6uWaD+3SSCWSu8D1Mg7HO4NKOsGtLhkDQYwdgzPijrV
/as6upSd8pVvfdUdthZlZIb6W2J3PVRciPXzFmrRPEB+mJmiZmM7lvtuzcu62yP7Hom+bgHA6sR0
O6h+fdrh6oeKmVaw9B4wrqO5PxJ4MtyJYGgbuNge0/CK18dsvdvXTqm+WEmy1EfBpklv8EEP4QeY
bUsPaiT8n9h2hrP2IaCPVQQCQirr5RourYJfqRUJsC/zHu351b4zGZXTPNXNZ9g4jh96hYvf08ES
KQtB04Hf5mHchY9DNxFa5hrZ7PtAtf36IZnGYaNFCyxOgg2MqBxJUQmz1r6UQlJ7b6Z847+vGGx9
0+wiNQRFZOnEnwMKk537NjoMqEvEhJl6NrFpNJ5tCWTaRWRWS54nEw7zDSL6hhX9ptgMwx+5H2eY
y8Jzu0qmWs6nuG1U8vsyBOuYFVNnIrlXc5jNjAF4LuYVhgemF/mfqx5r8h1GC9P4iWZQPt1rmazD
UxBnQX43rUHePxl2WAwAs6I2BUyb7ZCUKNffj0sj8YzXlxmqGtpPtjOJemq6hHVxGY9w3NJFvxC1
3MNKIGWvIprw8GRmcdTtdReil1Ejwpsza49a6SKFyuulMQlZn5a+RxIiG1rblWu/DvNfuVrryZyW
cQDan07jfAelM1soouuEpSHKnTf7cag7vCsA0iTJJ1m3NKq0alg1zTrsquDoCUY9iUOY9A2xasvw
WLsDzzP98jhm0fjYWB6DiNj0+dc6Zrq5TVk24aY318104BcKOom73xirMmX9pXP0lUIvkIqSdZqr
RST8S3goNV/RvA9ukZGcAqRp2z487ZOOP5CxJzcLs3Qsh151UUH23mRnRRvBijyGm3TBRgmLzDxO
alVYK5GblnB3+NrzYd0L1rCGFH2A9yoxh9MVg0fGGQi57CtKv/Fmq6dDlUO7cFnF9TrtBWG9vpr0
Sn9bp3RPijnRWkCozNlaweq4MVc6ielf8Z5Nn4+1/QanvvAFhjWigzF0d9RVksWNulajxkuNnY6m
CG2Sf6J7MldDnq7beQbypH3cmjw4BzB3GG4gMZy/jiNpbrlp2z8iQdAyIYAsLOWarvRmyWuuXnQA
F6+yJeDqVIfsx7wgus+n53Fn4lkq1MoX01qTD1stWFvNXRiyKpWsg3lbr25UfujnWge4sO1JUNtq
GeYXOY/p9Z7BZKvaaLZO56Afdn1eJrKvJ0TQiSiA2zB/T81Aw4ewFaotoEIZu7umN3hHUygSW2+G
TqhyqgM5XNOjHuYTzt19foAy+GZg6/Q3ORqlrvqmq+bANg32mpHeCEWW16GN8dfxajEuZYe3oucW
FfmsQP6FfkjnXMpbWDAl0AM03Zycabyxj2IkwtzFs0Y5UKv0Ks7GHDy4V7Iz8zUsZ7a7QcIxuWAa
ZKbSNjRaP0S0A+eQjoc899O+bTB/Dvfjsx7YdpXhneSex203VISiyDiJkdi4z49UhuWW7goVk0rM
9zJd0+H7tMohOzeJybYiF2yKikANfHse8xbvIQ09evw7RtUyXgEFIyeyJrWo9n6wUAVtOT9eVNKu
tAJJGNV1oZmOFzzhZgFcJnItvpp8AS0bpniWVnxo14caCl88crNlk6d1j+heMg4cVCFMKswVlxL2
tkVCrSwoqr3vCG3p2fbd9JrvsDNc94lN16OAqvd22vd9+rD2g67x7gShb/qs1d6ZB5xHdfIwL/n+
ec814efgQPH1VccCcBdKMVI4o8GnJv3eZOmMGvI8pDVKArnIb6UBoO9mAKBXiKJrRqors4CE9bBY
nnM4Q5Gwu8OMGh9axjlK29e+wQss3HpO+9iS9Xm4GKU90aRTtDRCk9/jDPQ5pPT6BpT5CzvlM9PZ
2Mo72rAsqYDCDGsO8sZCKh6z8LSo5nsH4fkrkvZHhYIUTPQ2z8cyyMCzwxUhzp4l3q2+pLOyf+aH
3MaCdCbLyzqvkxvNqQaGf90e4jk0L7yLWVqqCVhALTp6N1trhyJeVX+HrE1TLiilK4mW4U08D/nd
po4lrFaWwsyQ4S91X/Xc6t9j1PB+EEq3W1fEtU5VFSvM+xeIxOb4eqJHOBRbNoftuZMi78pulTap
xsikX0mdp8iuB8t2lFjVcVCoyIzkFYvK1NWWi2C8b+TRAqPXHeos5prHV5BadbrA1JvvZDwDih4e
pLtpKTyEy4CZeCyA38uuVdsdSwkcxdReM5FnDzCSG02heCC3q6TteHxLuSXalNM27ctaTOE+0yct
2iwu1wGeRVUuZPMsR52OlZ5D/qmJplkWYb3SpZw7uRSDgSNYMaWpWB+DLs9Myedc3KhB9v3dlmWH
vFoyEcwvUUQOU0KSgyc/2iAMadjO6ZkxHahr3nUZsj8m7guwfv7qiR2G85Qk3VzlSUNuxaY6fsVg
YTOe1BrySqZsLmlsEVLNIlFfLAyObbHMOAeKncivkk35HUdVeAEe7odOjPCy5bSLsNujjEZU7UbY
fI4QdRQbFmNd0J3goLYh6x432fYFD8Uawg7cXi8C94hsJVlBFaEFfpKqprx+2gz/bddwDqZbQq83
bhkyMTrFuzddcJaZuAPhM9igTX9eQtMnt7Vpk6a0m57Nw3JMtS3TuYGnkh7bID1TPaLEtEGZX2QK
BDLNekPCIRtLufSdKLbo2MRZs3QZH6ltjSmXpafNtToEuMIbz9vsdskQkxTjqK35vkcyyYv4kHD3
swjE12quVyarcWyisOQE8QMQ7Fs4fWFtHczVSFhtKtXAqxMN2uZPyJVpXh7gT98jsEfdPk1q+9dq
GBg1Kq5DXq4Cs+kuzcb8EVnZo74KEgRYV1LNyf4pnyaZYC5Ha1gOzbL3H8bW0t90oiOskT1QiFLy
OhhLBgxtj7fxSPFqnoF5u6IBSARnWucxuYEdpMwrysKmeWlQ/xQ+9nlyZAVCgua6H0gQoQf6aHlk
ES4aVbuudV5qmZMvJgs2gfwbT8VwHRgYbRYDR+xa5gnv6aOESqEtBZ9Re2O3WTzZaMFTaBsD5FCk
B+R610neCnk3tox8Qn7eZiX2zeEqiwh76rY9XKou1Xx+Oci0vqDd4TfKaoARFcAH/CY8YIdSAFTL
7J+H3Vl0gqE3cnVbv6x71WV8zl5RYJxO1ylGX2TllJG8+Wb6BeaoB8dLbdFsQ/4pYWrrAHZu0/AU
wBeXl3uwhMO5GUDYrcy0mP0OnCkzlXEzRGMlDWh2cEhj4T1vhs0iAp7lcNeDdfUFtBQWFgFC8b0A
cSPD9pnp7Y88GjbSQmiyrsP1bLFBX89yGdRpngQq5NBWm8NivktaCCRx9J4MHQP5hH1cbB+VQZ3R
3bG3uK9G2y76m20DXbeaMtg2VfVGDlaRJYrj8iDpGF/zNWLYb2zUgtq9LPtyTY4UV8G1Q1j1ijGn
yR3MxPvpbz3gCL1K0vgY/xARSoxKmpJm+7An7U6eqQ1MewIqqGbV0IX9OY0z8puKyPLYUpz9VURG
k+DG0C+ogaAoLK5kPNZHlQ/KmGs9bx2tWNwNwU3eQnH3jGCUmhJem3z6zPpD6wcB4hsiLjtsSH+0
y3QO8eXHoT4QZPZ9S+XnLkp6c98N4Fr+FsgkVr/ZqA/TJ7ItK7veCaOfLE2oxjyT+knZKeHXEyx+
kgqhNRHlCOT/cNoMsOElCiDC/G9KoS9UBSfHCunfboL7IEvr5TbWePooDzlKjRWj1VGMXZJDxZtB
dpfdYtbn6H9AfIInHtZ18AHWUAgHujrACipG3bWpREkVxulM93Bf8XwCAFpB0sWEqFmIp0/xIlNM
OtSOb+qrVqZb/8wBoqz/XERNjr9yi5k7f48iLNTwYtcoJ1xTc5bWpZFRaIo9Uxs9zePFJY7zfL0z
Yp66Sm44vQoxNbjgNnzhf8R9mv5WM5K3Z6AAF5bAMT7DCsBL0dqcTY8zc69ogP/W8AEQZt3u6ngd
1f6BwOSy3cvcUmF1hb2gHTCohgGL0uHipKqom3GDWdo9ApoP75D5CajfWVSUi30uYYUQhQXUOI3G
rrCBFGJx4X61AoXnSESjPLHPKoSNIXjvaVZDEFwwK/f4NxJ1NEOkoUhQxq3kzZMlK23+xjY7DtWa
Yy6dWzNm7IYlVsNwIcm3Kf+at1M0v5gWWYKXQWValnOSDg1uGo2Bl7Ck2Pwy7KP1KSGk4TlEXgs9
HjCsKb87YH3yMRpS3l0RS+34FMyURJXFDtPdKjWuH+GBCtNWPZg2ftZcWESnyBf8D3Nn1hy3kmTp
v1J233EbiAACwFhXPQCZyX2XeCW9wCiJwr4EduDXzwdRNS3mnZam+TRVZUUTM5kJBGJxP37OcfN5
cKRt7V0TeeEpxKZxDVtC7vGhWzpzDJy1LIvzpZui8STpLEmpaxXfYPdMZjDV8fxkIiR48IZ4QBJi
NF2Lu+kgq11RD3Zz4U5T+lxVS9Q1QSfwFyOEr3NmoUWXw/wwFaabcZdeMMZdc102Xn3KIhw+JGYR
eYEcB+9UqNX7lpkuKasyC9cJFwom3V7mqVtc9TyVJgtyPYBUB0tf1kWwZpPkSQyrc0sDbIRvy2rP
gcnj3U1db4874Whxq/xeVBeSkp0k9uF4C+KiclpInMUgsB/uOPRofunLg9D4qu79Rsj8y2zF1bDH
W7Sz6XCYWD5riwAb7iozM0jcWHPwOoVzI3w63N06NM2qQwkUXYUriXKxS9e+Sy7WOXU69rcikQGE
aYTiKTlofyYxob9ahiHOAhpLTd5lZy8tOZRRy7QLaCyr/nKKzvsqZ8PsP5pW1803iYsa7wCwi7Gs
qJ2IW5grh2ZgMNSSUNGL/o6P0M7l6Blezz5kWQNDjpMcnsKlzvJTU00lPdMHr1YyxL/CerRM0Kdg
xm7iIbdckBm6ukRkmrOqvTPOGySFNoSpM9D1Wp2UQy59MB1sGELT0G0KXYBtDrOXcSYNUI1p73RU
w2UbylhHF61VrTQjt9xIhKR43v2UaN8NTH/yqrDxuvSDwhjtrK+jVoSxKL330eDBmNaNn7zTsVZ/
5YObO6Fl5ukTErD1waNTBKDJYuJCuDQnZD+2H4yJ9G8B1wxkss3Yq9CY8uqMb1pu5SKNPbtrfpfH
WS+ImOapDIfI606ceO7NszJboFIj3bKisMkdGpdkIw2RDiuxQHzAVbuJOewGulBNEfvmudFOdfIQ
bwzgT03eEOsISjL2N/S5cfJQwrOnVmNxVAHceOQPaQTidp37fXHZLY65zwYDP5+UMdH7ts1y7x53
XHMKXUOw9UYcXdWwo47uRLt2IMLXzDLDAlMzijZwZuCkcJ2TEvdpYJLASed97tfXwnGX95PIh9O4
8Mzloo/rqv3SzWbEiVH2fXxuLF2JHNL0UumPQYa25nY2pSxCP9elDlDJGMat1Ety1cvEM8O4b9yz
1ZuN6KyrZozA6zyK0/dlTBe9W5C8wbvMXOH54ZDG8Z3pCjoxpXId3g2mzDVNB6N6uZrJrM+knvTF
Egl7CEmgsBtyIk7Tnrwsv61s2/tslUWR7nKX8CSondR/kHQZPacm3uBnNYwtoeaYzo+ANRVhtIHi
lfwmq/sLo3UVFdp2Wv5KBpFdJmtZ1UHhR9l1M9blt8JyXV0BRlhsGdFSrOVFOZL1XYyt52fBsFrD
HC75TLLvVIWBS5TDMzvxsmLskgA/nTR6cJ248S6MzEjPiyYvprC189k4F9EwNIym2z/TTDCPA2fo
EzewVnvRJzZuUx8Hb57HkGAuuknFJC7tyL8bhgQWKc533rxj71yvOpk24rKg2v2Mot6983Ai+Lh4
ZBjnVWIV0WlrFaZzYtpqGU5o99L2Qa+n9N5Bp3hn91GigzZyl4/oF90Popqq87yX1d6sxsOSALg4
1ZdJmkMR2F03faCQYAfQZAjZKNuzfdbmdUySeSMBwumh1cEV2I/EUI+Jtc5nmgP0DjFNZ5yVagYr
LVQ03dm+WM/HznXSYIn84jxuTr406xT0Cx3PZtucdu5J7+MxEaoNEk6sLH4QRZx8sDwmV+qlFSQm
2xlO6CGJPq+Fx9iEfZnzKDLaEV0vcSGuVbwuTxFo3/vSibqbpfF769SvrEffXIJlar858fhuLQoL
hLmP4/PMWfMG7M9JLhydJGc8GCNoOqVY8cVULru+a6cyYPid95GxzuNOEUG34WAUKaQhgLZvciXu
ZTVIwGg6Ovr3PpnzTeoP3o0hs7Lj6FniLrCYtqzTbinuMnOax8PaSDvfJ+kCADuatv5IOxdTcHxL
CUxfGneWb/RnljR7erxEU/XFdtbl2VvGxgSJXBzNuVB63yos0b7azpjxp0qPeRix+UaAH2D0QJKJ
eBAxSDVau2n4qEVVimCqJK4GRdv20a723awNROxEMxHiMl8O85xmoQNQ/w46jJyx5DGqmMy0mz6B
EzbVYVTae2ZhiVOl1uvKkOW1n1n5lVzbMQ9UI4cbrfz4ij3b/ZyXNCX/Df3iv6s6HWmqMHjuu8ZJ
4ce7ozhDxLqEUvpvM8SRxy4BhQm+IfIK6ghT3BiJuQphfHxLTVge+wTEaZPqMduqiFZ2mo1sR5aY
3tbzRh7rv/Vop3VH8+D9PG/zp6GDeLoOxpvI/fJYAG7JekkiztI9ppuWd5oqcz0XHSXRNxEg5bEC
HNp65teUmfbTpO7N6FL42Yc3Dfqx+ntZMvCWZIV+ZXfBGqtbQ4m3zcRj6TdVJpQfFXMljqPPzVR+
tFrvdwy//2aWH2u/h8otIpnw2U4c/dV5a5i5b2vFJ70jbm/apYWTzZRtE6P65JQUtOLxTRJTeaz8
luyvEosAnM0qWjo4k5JUQ5/f9iCPqs2y14lPaog6uxTPK5UWX1vz2yrZx8pvakgoY/Sm03SNzzSL
63dWXNhvYqPJY+U36c1cSgelJjY42S4ji36klqbfRk1wj7ZDaS+giN02CQcrurTAKxq5vvXD1Wsa
Dt13h6nMa1iZQ3etliwUTfcmHxl53DEC00jQd4WKyu7nR/BFOqknf71pprjbmvqJ1+v1FMwMZD37
qF3kbZondjCt8fC2DeVY/019VPlrkiC3N6jnTNo4c7PkbVZM0j1am85kmhh4NTh4SQBaChhwGEiu
3zYuR1yQMZ4jd8XHCw6e/zhqClOgdG/87KPVWc5Y9AN3wzNpxWnhDvuist529hx3jBjVqiPX47IB
dA9TlX3y8/rpTSNyLP9u8dFUzuaw58phDSeZL6dp1627t3360dL0FhgGcYTPYzb4HY3D251Fd4rf
nJjbh/xfCCjH+m8HMAfvXkQxxTQQO8YyoqFqa87wL2RDcRhsK8ub01JZ849eWv/xZf5f8XN9+/Lp
3b/+k39/qRuAA5o0Hf3zX+/qkv/95/Y3/+c9r//iXyfP9fVT+dwdv+nV3/C5P75399Q/vfoHrXeh
y95REV7unzu6IX7/fK5we+f/64v/eP7+Ke+W5vmff3yph6rfPi1O6+qPHy+dff3nH5tG7D9+/vgf
r23X/88/wuTp6/G7n5+6/p9/CPmnz388z2G8TSoB0Pyn5+0VS/6JWYYQJqG5L8ztCyrI3cn3v7Ed
0+XPbF5VRPN//KOrye/++Yf7p20jqWOFC2hL0iQM+vdFvXoq//WU/lEN5W1N0tNtN7HtFv81N8if
uSzb9flQn/96x6TbGo6QrS11Phi5ppbj0exuOmuNxG/OvCixQjrplYYZFB4J1Dvp18kdrY3SYPVo
DR8MkYYhMOer/87Hp8wmzu8adaDEseQX61DN5kUNCnov3HWlLhBnvn/IbO1EUCZWAx60mZdpc+iw
aW3fwzTw+zA2UguiUzxmqdzFTQyoGQAOLzn9Loe0vnCyduq6M2fCMi7MyCSMHVWu8RTQLLLJxXTe
l7QBmdIAQ7/qNkmb9qQqTUAKMseTLpUyOZkMAVEnlioY7GrZ4etA1+uyNuPruTUq8xoRuBVRkASy
vUQak38gcfPL07zAd/gDarDkCexi3RlzD0vL1BUIoLC7vb+0ft1eN66z7toiej9UydLA/4nctnMC
Y3Us4y/JRwBEGIu8n4Zyba91XtbGh7ZVEYBZ7Mf3WVl1HhCylM2chxVhb3Fp1m7pJGEUl/IGqNBL
7k1jGfBYyiB3N19BALNnrQ0zc0IYQPa8G83Kjh/ixO+de/i9dvWxidt6OSxrAiwn5+mrZXqWXHd5
W38m+1q+9YDNGluYgWN43zaFuqF/knnaRaD3gZJRmR66zhmuPDha2Y2j7LkLjE6IG92lkXG6UkhK
dllMS+H3HlSt50xYeXNX4E3aIiPuJ9fbizhu3unUZw8yFpeeKp46Ne0xvavWKT+dFguEuF+WOegy
2oWneEjJB0r4nUnNHArTfEhTF5P5oMANxqdGTKvomvFLq+YblajaBhyoRBfpICkoFxRBnLimfVFL
8lmqnWxhdbhgGLkA6EqvbcYAioqPGysdJfoVW5wK/PYGahEFIdRh8NBnuxYeSNeUwB+y5bycxZZ0
yZCp5BkXQ6rK4mSOlHcr8I6iw8CcZcm5iqBrBTqCwrfraCfRHiIP7tap2+a6OlvNZHrqp/VbUorp
MKc96LbpDg/+UgzYwk/DLi291QjNRjWXeLsm10ZZdoee5gY1jlpteY2zzEJBn9YusDWw9DiMhVwe
lnbJ2n3tLO3pbNXjXZw0y02m4DCIfJmNa6/Tw91UV5Ybzp2o8l0ZF/GjZRjVqUhqIIKkYmXs6a1m
nNjjAJfBjtriQUCMYyX1ID2NFvbdLNzmKcZp+mPEDGtDQJAV0L2Y8BFdMOZ2wqKKjQUZcy2bM0dW
Zb6DupEYAfl3FQeo+XPjMhvy/i8VOcm7Ga3INT3vQIVHoaOuP1uozZX6fT9MWTp/TcScRRABo95O
3NIIdA9YAYrJ8tT9+IXNwZYDVsNaQ4akqJZI6n5NOQ9MU8pvOSqnE7+tZs86kabuZ3dPGTRePwnU
xZO4SDrb7B/8LhutsC98ypxhExv4XO6jGaJWeZb7XTXU35p2kiPYIR1w3ARaEWSk6dKcq6yJnKCp
vbGtqG/1U5cGc2FSzLuIPHgUfeApPYN9TtTk7ENbtaaO6aM42QdAlsov8Lxi8ANoHfm7KDa5zCs5
dc40PcKv9BYZ2h6VWYGZd1KYJ/TANASV2caONWC8AH3o3GpM3tcxbYKRYwg1JU9ofbrq0e+HSn1c
C7vO33migAY2WEPdXvl5n7ZXKurWdO/ndEakdeQEIHzbJnQ7CjIMFjCaz6dyV7XWBFu0ddTToJ0S
Xlmu3dPShwHSS/zu69osP8GzybeKkxFMW0mTLuvNOewg44EG4DOgUlGmgYJBcFAz2wMdrCrEWnzQ
1ero9tzLlXefVDrewSpV+zaVbRHMnkerTB8C5ak7T91H+JYCi3rhtwF1/mE3TkV5SIfN5czsKutk
xsXhMVkc94ZCP3iJWZs+jFskL7KP3aCETnJWIfK5GRS16akV+WmkKnWyNLF3ZjaUAQO90GdxXNBE
9VOZ7MphWnem35WnbTLWlzgJ1EYw63V5h+V8MiOOdHrU+qi/orEspkBgSnsiqs5t4RYI/2DLNjtJ
BbZ9Tl7e4/u4BjX8tfNmML8p27DeuY10ZZB5NNWs2lZSA26qx2LJVHmxMNYnkXQ/9xZuQ5+SmA35
fMjGUX+NCtnVV01az9Y+z1weON5Y3eMsxiSj9sGZ+zEtqUSmO4C+ClqTU9rR1Yz6K/66UQ2eHMBK
44OahzzGHzavPFi2mRHtWCBiJyemTNDFwh1Dn2q8F9ppV93NLjWQtDULaNSDqq6xcZnNnU0BWQeC
UslySO0oHQPLjL2rIl07WG05e6oul/4kE90S6ra3KP/4mRFqv1xue2e1172sBtPfQX3I/DOli0Ll
+3XxJIRAglPDSpxw9Ud9UsjG++QMq7nTkw13w2R13pXUeS+jLFf3fbuSFXYUURGUUynNoFdXxikV
J+fTNOP9TO2gzw+RMS20SXWW/IFyi6moziT906hMHv5plXDcBNma5jSvTJwkuY6odrmHpey1dxKl
6XKBzbu4LBvHwV0zThOqzUbyjUpgvJx0a9Wy6pN+IAj7HkD+j0Loq/RLW3f1t/44QH4VU980z9VD
3z4/91dPzfE7/z8MpSFc/CqWfl+l/fPXfzz0T/1z93NQ/f3vXqJqQ6k/fVdKRWtNqXzru27pR1jt
ij9pqkus7UtiW7XBnD/iatf6E/KwK5UUnrXphX8E1Zb35+arZ/m+JWC6uCig/wdB9ffOHP8VU2/f
aAlycEsKV/mAZ1zAz+BCAcursqbceSaa7gd2o8ZujIIzfUzXR8cZmvzJNlpKgJVeusXe9WLe9hUD
sfHnuCJaM8JazLl77ifOMuxy36j06eQjabgq8O3lfK3z2Wk+w0vM5hqWoioygkeCJOvZnetluC+S
2S2eyEma6IsspVbXsUo15enSSlH/hnbjtOVNYtGTotqhoWqpbdSTU5aXFuRYLjmmtrtciFJW2Tej
G3EN+o0K73VOikUbKQ82uAqTXR4f2c/rMXKtkpqISrzniKgk06cQUUHTCnvsWvd0xbggnUKYSEX6
rQAEEtFvUuKjvIfvxzfQlQKXCwB8PLm2vOgnAGjNpNfhLph+pSBB/T/sa7gytOTyhaEzGi5Ncdvv
2qSP2aQN28AQ43ayoRkL6vMrJOnzXiVVl3MMwli1rhF8al77adr/yNZ+zs426OyneQRNQkoYoD7U
Ipvs7BjpmZPUEDjbGV8VEj1T7OIV6rQ+FJ7dS5Ojo1fqU+6YUf8bue3Rs9m+FxdhF1oSSab3N4SJ
fnmIjQzpfY0X5pyi6NQU3YfEjgQhHHHZkN5U7KA9LIUEkp36DT70Wt9t8/UuhqC2J+DQe4I19PrR
kPKlhjkn8qvhFq6WIYiXcp5YSFS56hWqxnVqWDWhEvWy4QGavbkmQZekBYPy6wfw9yvxXE/ZyvEw
bUMtdoRYJW4SFdlitl9tNbHkDoulVis/OO00YNaVepGtPsGYEkIH1FZd9ak2l7Gl+JnWRBa/eSqv
tYgMiyMUzrRIJejzKf7WtKdXqZkteRV9QU4Du+Rko/zDrzSisvOXk8VrKer8BpX6rlN+NQOBLHD2
2BYq6irOxqNH4a8wgpre+JzQbbQ0Tuc+2RYEkpYEkT0xur3aYVqix4EG6gvJQDipmQwPJY4sS4jC
uq0e/DIp4Wtpp27FfTkSxn7+9WPa9tOfr9ICQLERgDqWyx4uj80ChynyiKzX+fPc9i2TwBxyk+dj
zhPi1mBuoes9NAJqOYsG7/DtRwoP6jfP52+DZVmKlmwUX33PljZb2+vB8rToeszE6s8oLQ32cCyG
MLYNRtiai3MB+Ma+38VDmz8RPFbsqG1TtpZz6lH7px6qE3bbbedfEv6qStdivLDnvPmtkeV3r4LX
48UguUK5nmBWqWNIkwSkavxqlZ+7SEC722dUS0k/qZqmTRVOeoFhCaO9HHmtXnRZLzsvXxfjYWoa
yBp+W2RxWKJzXC7KRFcUkSvfhCgYDo5pFPeq9OO1DIX0STVDYSBfq85NutTzqXlK5vY7Q4jvLTF+
viGhLI+cX4GkOcphsr4eeWZmpcdqbD65Tu0AgjQwKZmKUTT4lOCt1aXpBfSMl92zGGxewxKH7aSx
Io+X5qmXSh+GSf5+DX33Bnt9cZJgxPFRBlK0/Nu0yOe8I5urm09NyyrSe5ole/aVsDC0vJDdQO4a
+NFYrI9lMi+LC4WgnXQSsuFT54z1CrrSlna2PrbG0KlrL1VbgDDb5B7+CV0Zt8dTQ7lgCi2j64z3
DaSf9XElpsbvwSyK7dBKGX0eUF35Cb+UALrro1fOM88OOQR2pgEG9RAid43Tye6g3GF7djk6JAIM
/f3rfY/MHu0plGA+oiZ44MpTo9pig75xyvxp7lSlm4M/ttb4YOOQ3F+2bQ6LrChI4MrQAOmeT2Ob
w/Vj5VWR/Tiao8UkA7onzhjpd0aI8uu94XjXFEq6puvCdgVrdeSxP4Wk/VBs+U3xabXKriX7Fqbb
dNANs7o4w3RpYqP49Tce70bCZS+Ch71FpZzdx9/YtfB1IcFNH8lWt8k4ISxg+xOdm3N4q1E76lME
cskknMTQd/EV7sku8/TXl7GFs692RemSz7lbT2hB4wKi5NeLYoXxqA1flY+lXZWo8Pp6cIznGikn
uxHtqioLi3m3Tm/HzoNzFaAmqON97PVirAPPdZGJBL2I6QYdeYrEqcWDIOgmS433vWdAS9MObN0L
JpEJEGmSBkKmipS1LXbaJ4/39ZgQXZyRqfXbykenK28E532z4Lfcynk8+fUdH+9rnuSAItzgrrlb
SU7w+o7p3ZRUk+7c93BrTYJYp20FQey4bvPWJsiyT4F/ZqbtnPuSH3H/PbI1VLNNabSZk4geIpiJ
XK/Q6Vq2p7Cn4APvM712pnXQxQgX+mRLJVl10VRuMTVNkEtWp2tpltGvb+lIO4xVvON5HJvsahtB
EFD29S1pELS1xrn7vdcnkrXVN/F2Ab0hUT79WMfCNBeuLUqg0vUhe+W2pbSN5qAxEosw3pqd7Ve1
zrv8qaCitzHhkSZpkI+pVteRnnlXCnjGxyxxqbpDDrIoUXy0o+zChfOC2/3NrR1Fmdyab0kbpM3y
TMcm3nt9az0CCbcY6uU93LBtp+pbzdRaizWtv/ToC8DoF8q066MraGaTQ2WqLR7IDOoaL5DAldXH
B18aw/SeKBWKUjC5mWT2yXFlN6no4MkUs6ei2XY30FruWjQT21pPRMIXpn1k8i9yLIuhKGOboeh7
NzH60EHJwJJIfJHxr5fx2bbC/DdFxaM16hEuEF3RKMoj7TT/Fupa0wrvTmnj3Vi6NbvDS3grEm+G
n0VmmcS/81L97rf103G0fSXcUFOYJMGmImp6PexmVhO1NrP7rkM8lT8hguiZUJz9jI+dNTaea9Fk
QIsOFMAyA16MUUXIwqbHKE20ou5vUeZ5UXYAlfXYDFiQ431b1LxrLg0Wfj9XHFQ/HlusJ/B9cFGv
Yq2wirbHQev27UEYWWrxw18yf7w3a2j36YmT55xNuYIU+LucE9YZN/f65rdDgE2CBiDW3zMqwsHO
AGdd3iXJoooo6KEbN2E0mRA6lVjtdtnrpFVUbXwBvwiFa6tTfW6Cws0gvUQ7xkUbl4Z9FQEsylBP
9Rx/MVMqJVM02Ftpp6qLr3ZWrO19WauyfZqgZk839miZ87rzssp3mlATP3bDYZocb7xudUIhA5jU
LK1LFBiWD4DX+laYzf3QRthreHrNAOjH1p7DeM5HFsO4wkkFLDWczM4OvrAG+0EV/WJDwJ2tYUI2
7FO2iIjfoAefwRwlMgsRxE0rxamEqdiczfmCWFxv0tbD6Lux3DmlMa/vJlWL9HGwizii7NELK8S2
3a+XQMV95+98yKbIKZyC9jgCMbum3LNeRNjTmSfWZCXiEBt0vDX3DaCk/X5xRnx33vu1Oc/vZkj2
/ZXRIXq/58Rwh68O6j2Uze4YQ6xt6tpKujt/Xosc6A1047DWtoeymXq+FEnoYu6lNz5v5lUUB5p6
nHdMlUU/+0M/ofaCP9vBnOsxmnO8HXmAU6iTqDRyde1brpHnJ6NqRFckz4lXyZ5Rni2KQfYVZmUj
U3q1UKInd1KZPZoniFsNJGUIbWlSXNL9MtfxPhspZ42XKG3jFPVqbdepunf6tq3PVIam3zswVxRO
cc24mhzrkOzTyQ9iw1a63yVRu2bL2RR3RpKeTGnJaRPm/mSzwY60CnM+1MagnO6MyTEZEYQDwhbr
emiIunwosNKb1Q3ebS4/+pdfGmla8Jrpk9W34Vp3tv68DtoX43mmEHyIU2s2DNfFEcKB7X5C3QJC
dODQ7IhzEdlOyu3E0uFQeZqjRZk+PS3gscY3y9RMjXuLkAfR6MHNJUrds3xYfG+8UZmESR1o398w
CbftnSR/dGPkP+uFbaP0jvfGotmyr9i1deJcGDJCl3VppTq1itssm1BU7KeMjSDe16kluXa2rO2S
FoQTptibcbKkeoewJGvRWfXAutUHEQt0iYcyK3z//RB7WoctqTcji7Qr5QTBSiPZPoTr38oJGv9b
8mI76bj7kF46lVSHLJm2EZMFlQ4/qNFXGQ9V6W5bvj32SH9Df+prJsCKIFJBNm5L3te83GoCgs3w
6czlP5wlXcS3FYlFkllZ6fZ4rMZOhPOXVczbOFe2D6t6ZwwGDRBOjQq1vE21loRGH9o0JdIKJ89a
4PKkXuLQpIgpP+jhsc+qIa0YLyNZ65NkWG1rvvIyd7vklCfdrA+KmcU3SF7Sn1FbbRNMtcb25J0F
etPnwi+3oRlHi7dyxHp64hrGCj2XG/64HyoQUn8GcEv4nTM3tXrIHbjkVJ8mHwAoaNzEYix+zJ5o
7Xw+0s2M7eaifvk+GFCQeH4/YlxEknjskwB2DmRfM22Nhx9DTc1/e/u/B/nlfSAFIr9yRVNyAVZl
JOPnHNpX2lLxQhk7X2nkp/xVLGScmg8k4DHKWeflQdXr2DPVyLxRTJ9Vlr9QkqMEMS7qxi+hvawP
yOIK3iIaMDZKlr6MRj/IzWULeqn2UlkKCzc29WcMKrYRrBtWEPvayz0lIiVHC5u6UhNeBgNOGCya
l0f7Mj1UlBeMj7JT/mLvuGhf2xApf8I8ja12+5rEThS/XGptusn71UjtoacpWiK34X2ZSOtA7Yf4
W8jtU6y07fg76biS2dX1yIP+PaDGOq38oy4Qhbh7w6Smlp2t6DPm5iTeQCRzP6VDzZr2M1QkD003
8XzTEfuMz5aKK6YPKqlyu/l2JNi96cCytw8U4/bDHmOPH0VlbsuhXJ3t+mkDEifT+6Ggapweqtjj
cxN6KMTyNIdRbPUX1I+2uZJmHWqlkx9D7mdjy+XMqcz5EE6Ami/PEIxxzo8b0cl8T+SWeeOu0UZf
paHZoRZoIZXTNb3a9dgN9GcFgAGQDY8pGc5cZGIs54Hzld/ly6Ay75ATLM7LufTpP1Wf9jaVSXxc
fLsoR8QI8UaO962B9ye97vhB0OgU1yXqsOJ6KSdwO8ecLKAiDZZfXI85xO6EUCfj2y1MWsZHVUUz
WQBO6Nvcp68YXrpId7Rgh/HaBBnDvig5Ysv9bFSYnZ05PkfV/NFUlEXVIUZKk+eUE7/DyVlfJG12
GJKCfPfLYne2lKfQLBiOE/l9zegab3QeewTHYX1ELVNP/Xstp2RSp/3LrdOxFtrMDpLImnNHlKw6
KLWrabHL9a29DZ81N9usAa/apvgLfup1OXKNwBrEdr99igzICFomOO/XKeijEaTI2NUnmEl55QdA
Fosqr2RjtbxDLdaWw44OAriHHyDLajlFGx3QL7WROIsjvfIZ6wv0Bg9cghpqx86BKBHJkPqWJblT
RbkdYMK5KHM0n0g7IOwAwuNh0bNVShUtnHmIBn2GmVxvG7whlRtUIAaa0Fe3GTwD/rxdCu7y40R4
FhkIUbu2Ta99mW0gJSpSth83j6Tq7xDNlEtE84nMQIWqpgbt2w7owqK9MmQfT32yYzSOyLs4q3n4
q2Ejkj+oqtyODSQi23RrRWsx+V5GMutrkGhcBVM5nk+rA83nLl+HyXhoN/kBDP5G++oT+y3zy5ia
lRHIbHO7h6ipDDZ/0ssNpSpS4lUia7+sp+aT8pHVWJ9p3amKa6V0s0QHVK9db3ybUiuboz0nmkTd
3hXg39haIUFqH0Ekp7x/Z8Y6w8kichaZzPeTS2yjEc+moxYfOxRprXnS5sNY+qEh1i5/XO1BYKcz
cDrMJPuWVRNTuq7jQxZgluNIL8KRXxruGNAvivhz9+NOXp4l0l4A4hCt0LLd1vftpsBdgunmYz3P
D6L/bfGmXbm9o/qO3keZ2H7noAzkHUu8bG9EseXwDjL3rbaRFlHDUo6JFqPrtV+wr8tYqNuq9Mvt
lR9TlpiSnch3KPZQAvgOwW/bqRGH7by0ErmUaE3vdkBNiZ3SBGeFB72skS/OJl1tqxz57QYHdtSJ
+GETlvVnejWZ3zZq1OIa3HK78pwGQCyKly9yWp8jTTNVjIeXjK3CisfFk6RqBvsuf9mw8hegUcO5
YzYYm4c419iq1rZh35S6joJE05TwYUidhnvuJ6p443kq4i2MS2y4aA8u5B4ua/i+4OiOyDkSRM6w
LfJGbGXGXTXN25x0o1XkOJUkXVViaJAVrMbDy4CAA2+bHtZcW4hld5aRXSRCFjCyfp3RHyX0YDns
D8xgweamYC0eJfRJTw0BvFo8JMg0uGo3jmdWw1SzzWrD3lZQgeCZURhTvV37r79+S1x/yu22r1db
rQZbRvjVLNzXiW07zLUxdS5Q1cvWmIEBcxXkAaykX3/VUV2I1WS6JpI4fOIk/3/c+Gjycr2RI6t/
zxETi5A61E1k2zeuT82KHVnBjDex4sp4wv+bujPZjhvJtuwXIZehB6ZweE86e4niBIukFGgNMBh6
fP3bHtKqCkXWinw5rBiEBqLoDQCza/eesw/aNIdL9mtx/Of38nsLwYWqdJXquXx4xuHc59bvHxui
oUX7FgtcyFTNe8td81qPd13gYxNtKJ3/0/f87y9ohSGNAy8ILZqLf7c/IRoSZgUX5/GaRuC9pSU7
/tFfSpa5X0/2P3/APyWo//fCXj8hvVuB5tIKLJNx1N8amXNVQJdAA/r4a8XAqnNt2i8ekCt3Nztd
MO5QYq36YZjspUC/U1/Xc1uzNBjd6rAf/Yd39PudzjviKBWglrV9Igpp0f2t0biEwpj8xW4fq58P
1URdxzOOsiZhXc8DssHbXeYMC09maLM5UFrAz+AP4oNaZORjy8l+50q7cQX2W5pAG5b6lh/n+UjM
S77YFgiy6ec8S/1cZv/5Q/z9MnLhHGELl4mJaZrB36es7Lttb83GeMm68royrX8WQgpc8fCwGHB8
/oMD6v/1eq7gQl7/89A0/36f+jPViBWI4fJr25vTrEXQ07CyNhEamvS/aq2hnkbMHNBZZOHmUf23
5cAGTWbiSy8uP7cliuTr1fDLiueiRkHER/7nL/T39Yf+bMj4yeEJRI8CoO7v/cxpwYmvV7c8+LWh
sZT7Uvr2G/jV7D8+gv/+Uly6gAle4HDSJ2n29+9SJnihh9RLDz9LkdGlO8J9ZLWSP/75U/2SYvzl
+aNXyEuFCGT+HMwHf1/XBQrnxs+zbq9XS2Td1nLnqxphEI6FNhIFFDP0TdOl9FZD1M4rp8Wod9Pe
lGd2ayQ46aYpFZ2fG8uh9yDuZeKCHjos1AZuc0nmvDTnZZNAQqBMaTGLQ+0qLKdut7IaVqvfoOnz
OhkH2qXVdmOjcLW9+/DnPA8N4WjYd0ktzXa+LaEuh0hmSCjPTXoiBVKNAwcNP5dxZRSKS/GrQAF1
cL3ty59lBRV6wGaBzpxl7OdRAwQTS/eEUJelm6PhtQyYRsugoEUWzDmhtgZ+gBLLG/yL3VXXYg7x
6HX1VwxHedqFCsxr2GHXS3ON6k6HdR57yocdBwjrZ8ujZdvMol+FzJ8VFJO1ie93bYPrJu63o90e
OVuUnrUFasFLSgzlVAqCaUWeQlIgDyrf08+viurFpuwNbYxYfUg+ROEJ49oM6EYgFBuQV9dzWDgB
2mrjrBwkbVc6MD5TBjgsfdAkG2NoUrg1UYt91LXuwzZU/rRNW89x22d3Cce1eWbecJ1oUQMKy7s0
PahK7zlXdJvTGBEScoJdplvTLDYS0JX+Y+Ho2QUn15sn681056UPLo6cEvVQh2FRWtsCZavgJMzC
Mff4rTNm6du6gbsZxBPwKQh0wqAzMW4ozUw32CzOkkw3qHN7cpcZR085p+kw0MxF80x0e0dU/fQB
p7hcsjiBilbXkfRrqV9rOi/GgM/Bu47cfq1FLfPw1LsJJOt2sUO26lkDVfSfdRaN72uduNT9ddP5
eWtUf1aD+C9Ljmw6RBGDM1sLT5qsZCn43M1slQRzTqUxhs8s4k3whOHGAAeYu6kL1iSdntwF2X68
5FOyz53RPuTCXo9Sz+OBTkbz6Gus5aSJZBc/72EDts6onxNu6oOTuoAZePoyMlFV9ZqKvInRU8J5
SzLt7Djs0lKyavccKPHWlDyO9aS8G2/KVew7GYCxVhh6R3YgbsYmH+5WYGpiy53bb4NF2NBTO09+
Zmp4skzIK9oxUrgGXb91O1rQaF/Sw9gMYZyB2XjwFXDYEuPy97xrk7jKVBotTg3xIAnbU7Bacrck
NVPgGpIlvxpp8Ab0kb+b+JXHgPPYh56bYY/uIfnewnzbl7MJtmcJC3eXFaJ5Ug69+aiiRYPnwG7S
l2leg/fKqF2O8oN8ngIr3wqrFydHAEaMGnDmNw5tup3uu/pHV/jJA83DHL1Sb4ffTUY9nGdMZT6O
VpHlO6CYxtbsZP/YjQ4NB5aCuFvm4WR3ekHfLFHDJn6IJPs1H4FzHVEgDJ+d5RQmrkfVc8zJZQbW
ynaDH0Hv+jI2EkOfoIU1buyYffEwww3inCQxsHS92W6SIGveRdGpG8gX4tx55vUOTdzrDDUdp9NM
OXsr/HI80v02TnlpZ1YcsPp9N6cJx/m6BlCzenSF38DDTj9aUko2FuSm964rGgtFgUI+uK4dd25W
qQpNbaOHWOG0mE/ekKJDF6bKL4vpsxBzpNqME2yZkxMIJNzkY+qdpQbr7FYS6rDtfnGn5VMMSXJx
TB6fsRv6mNYipOt0lqMfu0tj47bv64uC5/RtUXALCsF4G6DBUKKBKAFVpC4S+sF23plMN5FtVfW+
oVGAIlz2D7NZlw9dthB+UYITeWmzpX3VM1EAUTuDbkhMDZ2n4P0xcYX8VPLgzRnM1zmY7kOry6pN
vY7FeyHVGjHkkV/qJm8Jgx3Nh5AhwlFZQFkHLZKTk9fOexd4801Bv39k7AA5hKZPHyUDXKQlHdIb
D+smVhOzDN+1QVETB9RnRQQUsL33Jq/csdB78Nzy1T/Az83u0emg7Zgy/WI1tdqPw2zuCzV679pO
XoDYFi9rK9dg3yqSkopWpj8WvpB91vvDgHFDLCh8Q5xR2mmZ2JYggEQ2jkcvLNUedwNpDqnfhS9h
3Ycf9qzs50Inzce4juuPgRs8Hv3GunUQFuwFO0Xczm3/RH1pRGD5xhtDd+XbKiD725WZoMyinXzJ
FuGwl82sSKIg3IRdu/QOmGYA1XR1sS/dQb+g7bJ5/yRrQgS0d4Vnd9/oy7X3YZ3pA5z88EkS835O
u6Ldzj5LLsdgmV9qrBUnPTjTfd0l+lkHgfN5ZWelkdUu48VZJA8PPa070+6H86z96ZhPs03Y6xV0
l3jSiTkeo7Ck7REeV0MnNwnL28NqBdlLQOvkW7sG/TMbfnrgYfNvV9Po0TB5+Q4+i3vDhBvORo87
IA5WAsC533W9W1OjuS9pwd+nkLZboNCV2OmpaL+pfnBSDtfreqNDZzgjVMK4hB79GcxqKFmz5by1
/TI4mMz8NqNanbsA3CudeW18NxILDdrN4jprHm4WOVPrxv5ASzu4KV179HvCvTQOMuAxKrmZDJXe
02WpLoazoP3v9Tv/hmTBPje/dJIKBmgoMMiwQH7pQkk9hY2y3gYD/u2myiZxi9RneMmtEZF8ZlU2
0NbM9M9O0uhgFwpZhyeZBSpmjuus0ci8Ow5CwGkI3XvoPJJooEtjMO8/L0br810jhu/1TQu3rdqZ
M96PI5mq8s6eHePBr8NcYb7WWbPFGKgfUcGPcsvId8nOMi+xHBi47hEhJolp7P0Rf+zjEtR6yPbX
0kPEYTs3VVPyrTVTWp5KzuS62pg+lcvGlUMy3tItKYBqDmb6PPlrs2waUXk3yPUSM8Y+k5fnnoN4
/8XNOf1p1hGtemy5OAJqZEUHmEz+ybVmURfPqw0LaIyWuRXhcLJY7MQRr8W47NtqqXWcjRjZnkIj
LUkIuiIedaSNJAV2bDjh/JTbqGYiK3Oqh2YxjXUPogBbu/Bb7IBTWMz1xtL08W/9iuU0RiC3xg2d
rVNh9fnGM/3y1BsL8Qh31WLgAwfxKGsBaJ0+jSyvKi1lufKu750i6OPFK7zKosHeNTwPAePNzWAu
ltw65lBlN2V2BQ9D0YXQuvZzS+a8XBj8gDIqD3XuuM02ZVB4W+a0SeNizueDnTomJOZAZD4tMXiL
xzLVinHkAMIpsiam314PtNLAt+NvJBDbLvKd0qYVR8/ui6kM/X0MKU1srRYLiE5i2tt0zKzB2lDC
ZUazYTaPFG2KAEM+LobT4BkB+bVA5GEl7fmBRhjkKX6yCLWBt81UpSI3bc05hLTvm362VdbcuO6t
aYze8MIwVyaHog2c93Qc39Y1S18wsL2loXKLiGOCfJrQdmyTINF7weYhWCQ8zfjLX88VsNGLtvNh
N2Ya/Gar1itj18Y1KKUrn3RdeTH+yiUaArwqGM16+dmnybojUIExHo73WyaMAKnMuZvaeGWzce5D
KFtPPgIiHedw7yj8Mm4YfCw51slGlQ+qxaa57Xw/vemaunka2q5Pt8OcjsmRrjHOI0PO4RGGeBtb
MKl2ZZu4TzXxJ1uCg5tzmbjGrVXOztlSDC2btGN4HXIsii0rGd/rwQfHNFsWvFufTRg/0tjiPCQn
4IJ+cEK6CHw7CrtJQJeGPLZxvA6rbGjKBA0pgsjh2EEbnLcLTe6nNdH594S5d7svmK/Fmodyital
xK46WGz+gEoByhXUF7yF5JFdJ9+BLcYqU6vsS5Gn5hudNxg/pRnucVjJna/84t4ohN6M0steRS1f
KqiITOmceudbSfGtmSxohq7dNBCLEn0aLBt2UKLnItjkNEdPiQKMV6aCDncOyYrDrn1HhsBwGicz
/ywz238DCWa+lqY93YxMbmNXtc3RpmX8hea7hbcwXAHYg01s8bThhyuZ7E/Xm9D5dMrrYXghB41d
e7a6jwZoXb4F8s8glGZy4x2BV+XNptP53DNrWhuahf5UmED2WEciz8gL97ZSnfWRZVmPca3iPURF
5WfA3fm9G9pf3BOYfF3wVYPlQ39EyIlPje37JFXTf1Wc2gC9Ksiab2y8kwaCH0zjwehLL+5VYRzy
1rVerrqBnbmO5RDli6HuXHcuPoYxUGwPnDx3cM9RQzWJa98wutNnkiEw7umUkuZm7gb1UVr9nG86
2oxjlI/V/AnclGeFh5Jz2qDoYn4fmVpheS3GETDlaJ9oUqdIpvJ5pZhHNvrDQUKa7KSf9Wdn4fwW
GZQjfVwlLeG0RivR/Ip1dL/AOa6++WqcN2Vnd9hXjVZchglyI9O1IEQVRA0Xef2UVfuJourE6ldP
2xlqVkEpF1J6ouIwmoudTUAth+SqxFukcNUWUy4OAxQp3ETQLmVWOOW4S0ePUYosN0VJkaa312Ps
uMH0mVvU1DZM1Fd41XV5ZzXm1MWcKpKSJS30mlVttDmk1bIH3F/Uzp032LAgS7PN7Xd8tz6pGKMR
4DHdMTArZwF2tfGaEPQgT6aC3wYHb9j4bLjuEmfMrwK8wai5nSWuxyWR5XkJEssWm26YQ1PdVyPd
ITuakXmHw04Pqs1f07R0mjSeeFQYo+DGsesrVxHaYb9LqdXq45ANhvyja7t5dLcZ+idZb118yuVT
IixmL3uFUAqnMChCPN73xaBKroNjIJcagMwNzABGZO58/B/SCH3B99gVGNtDmODuq8uUKXv62aw1
1HXggNX12hq1zGRWZyAE19E9eoHrHITncPW/pyCWZ2+PrnrleWvNLsy/DWrC4h1B2F9W7J5lUkwe
WwTLcf9lyGgoBDfAT8V8IUpGLM5mSLuhLQkpEBZXiy2vaAogxUM9ytit+gFwrz3w8dYIEINldRtE
L7ZMnuzeVbm39RCq5vZJDENLCCMU1Z4ah7ND2u6UCmBaItNrYpzD6a2FmIvSXYWsmAsk2q4PnH3e
+3IhWyBzRjqp+QZJ1VBNIHDq2cmrrZpQ3IT0DuomuFkp/YJtYkCfYwo2JqEaItOB2r31l9WGeG5p
+UUFQ/VioK7pQWNiPgMcyLOzRW0iv4u6pMpC/Y7Zfdt4XZjFo0anMker1TJ8XL1h+VNlfyIXaLx3
Ucce6APnN41I7A184YH0gmWRW2VLxFpjyCBYGdVTEc6Tf2wp4eB/12pxcLgDntzrHn5XPwcKjDYS
6vK7gpSDS1o7MomArjlDDM11eSSqbZopEIwKhHLPCTEpcDHutef0Mk5kMH8YazIvKjJT0EaPQZmX
bjzBq/rUggE2RvyRo0G9GiOnEV2YMJg1AqkDLPFy/J4a87XjQkVtgSQts3SHT2tMjJ0czABxjtWG
9SYRTtNsnUV0B5MMo2/VWDlmB7wO2NyGhmLuXv2US3eRgSeGGIrw0L8ifUA2EWmFym6DpqMdKZBM
C10Rza1LyslbRlArmvl2ZuA2Q+8t/a1fetXJSLsGKfvgYq5AW6ck0g1rGbo4qF3AiL4BkBnfAhfG
n1Nc6WjrDq2qSMYdaJh9rAgWuDeuIEVDNHzOVe08U8F95mLHTpgEIaSWZvphIF6ieVio9MZgGe7e
OFxO2YNfSH2tumwrP1DBeCftgDH8YIm0l709OsVjM9mYcqWRfk8hYQPcIIIFuVoCQbFc4WRHKhfT
SzC7w/2kKzJvFTY2psO+bFhNfYlZoXTDR5P2oR+HRQOonaZFHsMEzr9OtoOP0C3h/tcOwXntpN2n
NkmbHYBa8erpzoxCHx1ipqsVhX63LkQruMvFxAyWx9bQjZi6qhqBfAh3ezymnkad1tUrctA0mWbe
blhdpRGchjeq9hdrx4SIOauwMRbGKbRgll4DvwNAWOUjL7TTDlZnWi/drT2o4Sa1zDGIBcxLf4cQ
Qj1Ps9+jOu5rPiVqAP/NAXCRRsTEO3etca14u8AJ6oiaesFMXiYhcpSyzbOYDb1AeUW75H6VdACi
1VPK20IdLoA4C5lv13bm36QucjpkI1LFo63+mLqs3lpJN2+m3l2++awW43nua63iqh2Dx86FJsHL
uS6xDmh6TsDEmlsyiKxzkBF5jkzoSlrXhCecDSOzPhYIj6cZXvE9Wr1igwbMescVM8AE6Pxw2cDn
LTSgJgIE4mFacBtXOuiTLXTmoGL91XZ1LkxrcXe9N7lfjCRT84XOVWnTDGjkAvBCmt9y+AmgvxFi
XBoUJmLrT+7CoSC0cDW0iXDlVppF9ly64Eo37JtUddTncUYST3D93rw7INe0oW2rSS5BJe1XUjXN
NBqH6pvdyeZV900TQYym94iiEqFUOnLLV/pbakwipbaajY1B5XGrB+w9HX2XNyLfjaOGZlrFOi/9
u37om1Pvtng9tF/e0BfwD0Yigi90jMmeupIjPpS1kkXqiO5x1It1LMnVg6FNgMG1WhMS6UxNi8fv
uuDQgbfz4jU0KJxkHs772rXG6hG3bB5rmlux5lZ3Nq3tDlvKF/NcLw25VMVkvmbJMr+GCd5z1Q0C
66RbbmVQJX8gK8bA7jr9S0C5vzedxPxoUKC/Cv4JmJaZLw7J/yuem+B2Zsi/V2PPUxcM7wiUgV4P
guxFAGLC5DlY7wF4A2fVpiP37Ae65phBXB3pIWe6aMbN1Fr6KwRgMw5mDiotoJ41AsbffDGCynkq
MtuRG4eu/lGp2mQUhtKytO3PZaD7r7eloh+kP9igSmJ4mIHjYnrlRNtI9agJhXPcu77IWlb5Lgiu
2iTd4n9GJDAvhWyZNTBwbEC5IKVZ9pOFVwOrfyNmqMtiyGSxQvnB/vOS5PPkfrpkLpWHoglk72xI
7hC9EQej60yaxatEzcJMC30E2RK5J2KEd+ZK2QgOON/o0oMsdRyWmS5m5Fmzu3McsNNvXl33LCot
aNsZ0r7vZsKNqfPQKcTG4qUpghYSjEbkyJTxqKpA7DMNypGxOy5S0Ew1P0QLMKaLGWgi1Nt2alpK
6ENrnpaohVSaXEXk3IOgaPZpka6ifRjtoOcIk9uzp/WXJgA5XsQMYgPOfViG8rm4FEXTDU3ckRzp
mVuh7KFrP4ZyHQko4LcooKFT41CSRSv4jXY8JNgkCyjdxnL9JI6XirDaZ+k8+u1XmMur5UZ5EpT8
HVp435vPRt9xYD4XS5dU3mYWYeCPu/8wngMS9RfVA8M/DNQhXlmGnMj0ED78PgokEzxLilmFn6LA
RfJr6m15pcv4SdsyRe05BWMNTVs62vIjX1cYkeAvCXZhSL6z/1L8Oej65/f1+7SXt+Uzp8euGjJ/
RQX+d9Ro7i5Yk9Lc/06Qx3XQIn8KP4gzq7gRYZAT5PLPr/j7TP76iti4+Tau3mFGvlfEwF8N3TQN
g17gl/ghf77i+FNVY7sAGhwO6plDTEU/itnA8pGTU/ErhfC/4jX8L5Bn/zukw/9HYDRcyX+5Ulfw
2m9ktLdcfrx/TD9+Azlc/8lPkINt/wslCXPzEAia+CsezXL/ZeEER84TMoxj8MA99ovjYJjuvxAU
e7jxgUF7PhCI/8NyMCzrX4wYEcVQRvPXwrL/G5gDmo7fnjAX0RhGEcHMDEU2o/C/h3O33FiMPdmd
zMZzh8PCYbyvn1JVc868nde1MPaZzgvztkg6b9fCwT1jDdTPc41KGRxVEeHUM3dInpqNTPKpOaJI
1+ecfhyidjUTWiTMx8UPvuJsPfudNe87lU/7NmC8RQlFKlFAfUqm3HomTXE8oCWMOF+6n2BYmhg3
47NPwORuGOYvQkyEuSQiMx6CImVKOPgtZ0NGDvXnldJ9XNBvHbQHWdzJ1vpY8PYPih9hxhakw3ay
m+BsNYa3txLHjGrS6wjQYVdisaPUEiZVl6NeGWl9DJCwbU8+cEkFNUSAyzMocavQ8z4ETjKeedH7
oTB34VI/+Dq4tDYVqZ1nw9lf0sKPF8zs7X7NGGL/ge8WqJWkl18SopWYe6eZxbEhx4YZAmfkm3ww
3fd2nCC1zMQgzMJ5qlvTOLITTHvEBsD9J2rzWtbVDlbSIffxOFx1c/6OMps4p4n9Y7LHMTIsXBvz
On7KoJ8elLWoO7DbQyRQO148h0MtXudhK4Ka+r67Utx6xDlIcODQNa5HfkKW0ILv7tewV0c8EzNR
SVl3R0+h4+A/NhSFLn0zvCIbRhvpEQcZ2fS4UJ9pJF5NLmPdf2oqMSJIOvOVCDfnvHiZ/Vbp0NgT
piYPoBYY/PWD5ALmTGa93GJPV32t4h6LJdM9QtzpC95geiE2qJQrZ6BE70ozY+Qlpmk5KAI5GBBi
6NL0FQWWNuwoz/hNUMD3TXdaCt99kEFmHHyl83hGfrlVmSrPAVEdkQA4toc9xHfIVk6Pvqv8zyaY
m9egkJDwgkVuVjVbR2e2i+di9OcdPsU2Kr2xQFNfNqcstfQ5xA56tBG2sv2PNdblIEAh7lz7TgoT
3nY2SwMdtOncTHSMzx6FBf2blC05Qhxs7kGQNe/LNI17MgQF7axVN5G1ooKm3SDGjV30PopQ7aD2
TtIbW/fr0aIa4r4OyjOsazekoF2jxBmvIXSj/ZmNxodJqiXkoiSJim4yvoSVWcdNT3VJlEH43iAO
Iic2c564cVbuFL+M8THMD47ZoDbrGmTkft99pqtjnASCjUddAmxzdf61lo6/B+qPuEOQECaya8Gz
jhlFoDlvukTiqDRWGsChrXduKozt7BJLGAkcw5LE0sz/A0lMuw/D2jn7xfKQkksXXROdHvAe7cfZ
uGOkEu61bA6d4Upwhd5J9VLfIEg69Chan/yVLD1ugwvGYNoH9Xtj6S7KW32YvL6Ida2uX9j4BqfK
uF2b9NEZOfVeNQlD4eh91i4V1GS7fDJpJDGjzc1LoM1XlALeF+g5xc7GWXuwtEPPUL6XiSV2Vt2Y
xJZVQO2N9dPWxvgxjdUdB7XnhhxGtZgodzwnDpL0LlvXFxl2+6QrH+SwvDN+eWWS9ZJIHXe1IXdB
z1Dfb/S287qt54u96+k/KATTcyPcV7MaP2ktp1HdToi5q/Qjsdq7AP4Hukffi5q18mm5zNkPUm4f
SSW7dExlz9VsfOW8vMN8SPhmRVglITfgaI84hV6NcfLvLccgXCJvv2J+2Hi5Eym7yzZk6t1j4jjZ
yjd2dS1ORGco1Ngm02F3P3ZjF/W22hl5Wmzb5dp9xstD9xIrXm91+ys6RKAzWPPnuXXdPxRpSTvD
T59sxnTR5C1n8mvFLpuSOkIdckl7AvjgptX49Fz0DxzwmALNqDcgKWxXPAaB/O7YpdrR0GJa42W3
wTI0UWIQkrBg2jtJx7qEYA8jZQRJNKpwPRCEdkMY2Rr1a/VJP+lHvhp7lyiQyHOyW/LkT8TfwRN0
gH9Sm3+mfXFa2/SZmvHgCU1GrgOLMUhu7aZldDaxp/Ta/5EkBAdWtfdA6NkzIILzzJMR+aNlvQ4G
zxO61zt0Ad2Bow6o+cx6mCx7K8LpvjK98A+mtuY1VtHbZX0ITEAblyJn9yy8MiWoxGRQ28p549nN
3s9DgpPW3tz2DpMdx4U2BuxBxNbqn4t5HIkYWl+EBFOsC0U/FDETm1bfYVDRw2ax17ehM0fU6UH1
IyCM7jE0uGgw2hg5MKq/4ib7fm9asv0MkBSQyjyTYVGV+vvajYz2+KT7KxVoj64n8OlxTFlxnvy2
p0nke9zgK/w+9Np9OO0sVCKXBiUgJzAKUHPTVlP1MZBP+aRa/h9rUVcDWdTDOB3A7BS71vcehixp
tsYQgujtIZ8NYYtEiNjGk1V1ySbs2nEriSzKsWTcyJ5ztAMUAqWow7jRbesdF9sl+7fdWwYPHCyM
dYOVAejeov2t2c/zeyukl8cF0vqt0KAiI7oyihEHo8j51PWhb8Rj3o3zs4TWF57yJi3brSU9hMUR
wDhD3c9FbhE/uG4lE7bNNJlyV9SwF/OEThdDTRxH7y6haK1OYytsYnYWEgbKb2h2wKONIiUGxfk6
F0N/5Iu5Fx0CyXaIsYUOOLBbLEslgYfpJXHIfaxImsB4wveHjkRAojPPEOg+1LjceG7Yk+wmHlSx
NBtabPcmGX4MHNlZ+yQFGjW2fMYWFVBSyj84m5obIAcMJMx6jrmEAkXBGs7xsExzDHnuvfDoqw5g
PDmGo0Fr520x6zwaautZ19dn07MNVpWm2mHI/FjAX9x5Taf3MrRfibJm5ezCdAPakAhReyI5qvFe
8na5za6p1WF7VTSghN9UhiZliybUNmHUHTllGtJFX9YYt8Z4LIPcPkhym/2NcJMlLp2Uoa6RZmcz
AI7KjLrcj9BBcEjV3+wgTFYaSh5g3qTJczqWfXKDxgV1jq7QO7hG8WVCbXIex7B/Yrrz5mdtu2vr
wLhZxv4Pos936CzVVnBLGnIaj5Rh3lvRmf42LJyeVhqU3T3RpjtTN/vOp88NG8Tx5q94hiFQTSUS
zRRKSb7059DwXl1Hdhg2l+IZcBiRKTS2uQXI1oWHwibotvnH0Cb5aZHtUm5wJGCCLvX4jg8g7hG6
Utz05ZaNTdXL1susuiLHC7s+Pj+sG2SzrpIvoGHseyhTrse2MAz0mEyzS7ovdMaM9gH+Ahh9XJ2S
3cZx1KrPTT8zFr+aCJH5kN9ZLeh8MJXSBSvxVe8mgo6WnQX4PV3yZSDk0LB1jHLCkLcBVk1i2uhs
pkc/X8SDKExDbCSDVr2TYs2reyNdbPOts2l8tLRBO7pg0vcDUlmM0tnYIJOzi4mqkVTHmQRnUgVT
7BobMKWJOoWVP/V7mAzT9wZS5WjEIHWq5YLarGteGS2K70SE2SQ6oys28NaRtA0qhtUmO5GfEIQA
LlfZP6NO8s6Yr7P2Q/XBMMWYwm3zsOYrXMi2Mdb8BR4yhYKHiqo0WMmi2Wa4ckArRHAYwvVTRcRy
1HHYMM8dnkB3S7t2St68LvHOuQhm+rHVNI76Mjmy7M5ImrPnLlcdIMg+33bOVA9n4uHz+TTklRnh
vCEHmAmN2xxJ6pZ81sHJ2fAbLI/Ryku8BxgGSMJCxsw40GtB1dyYq6I1qkbUzRfXW0bOJJahxyOz
Y/kc0tD4CAuZCvY9E2GLWr1i2NpLW5IEtS5dTey5s/b8MmddrftiLNLsOBKlolGQqoBdC1zbW40i
w40bzLDgmWZlOhg6c2W9Xu3Y/qnWGK62U43jM7bN0KGVPdG6VfiQ9Gw8IuRep42c26B7rHOvDb+a
fsdSbftLLnaiAii05+kSPW1qHPjVps0bMMQFm1ofKSvNDYaGujX2ddPUNZt/n3qwXyRjLuRCWbVN
TZSescXMmPqXNUN/t8d+Yt/JsBuwJc3uTWknKzteEqZfnL423/uAhTdqkFe+BHm1yJhNQU6HRCeP
ojcFzdPFz+fbyV27A/yK1fwe2CPRZDAQxEjCMKEWnGngqC1nxHPNxQAPO6MRMLzp1PQJjf0ZPNXe
yXQwfsG3L1RcFPNc34t2UmyzcuFgbDOdjKpekX/tGB3+7c4kBWZMXhuGOo9ETcljXkl8idfdBqm/
5Bw70jIc5zL26oKRSrHMNHuvBzvLGo7Baot7vxXlvSX0uMGqzXW9DoP8iMFX+y1EFHQfzo7zLcmy
F05M3J/mIJhYZ3DpNhaPHSKaUL5Oo1fcmfk4ECQPg4biSvdjjPYXqV+2zOI9rDxGuSIQoHSV34eH
lir8K2c9Gp+6JTX5pKrAF3G2LsP5OkJF3tC1uzCZ6Vl7rZkwHUl0H57A0db/w96ZNEeOY9n6F7GM
87B1d7mmkFOhkGLa0DImzgM4k7++P2Y+q5bQ4eGvsGuz3tQisxJOgbggcO+53ykOKDnyZ4ys/uqp
6T2kddAeRYSx3+Dbp9UccTzgBZAzfzBxHEZxnb3vYnuf4Kec3ZXeMBfcYo0ibOPs1yKwEcXOMg+O
+PzG+8kiSUmmdN6NiFYB9FBK/UujIPYPNug/ymL9/6Wo/rdRR4HD/SlPdUrjn21Kk8k/bgAb8v/v
/+KfNJVh/2tLBLGJ0/tDRlMnS/QPbtTkX5Bv5PID9ylAh2n+O00F4B+RvEvhIdDpzqJ5+N9ZKvtf
oNcwr/MDjz4ij6a5/yRJBf/vTZLKs3RMZClagB51yIJ6svmSV2xq5AGuPtz8Zr6mDp/BBTBR6tyu
BaR1qPQbOn0egXE/DL3X02XbF213m8Wzj0daAxKZ4HPbZ2+oqOQ1+RRPYYB7fLxDOS1Mymjornyu
mwYRi7E10qQtXHPdOhhdA4FRlIi+jrnptdmNt2z9bg2wGffBrhApIaqtNfp8Uh1f3JJanrGr3aEH
czZnXgbHxKi3g5bB+u4QCvYcqnLrwXYS7Svd8i6GjcNEhwAI3gXv9CD+muMPQDqpNJcRHQ5lsR2w
EaD99MGmm8g89pobm2ovhWJo1ngjRWaW7q0pC1o0d3MP8ZwYxOwupY/9aI1ujeZAT5t6r4ncXW7I
rRWfAy83T6QCkOb1dL6HLeLJvxLDB9IR9/6PJtoaq8kybIz0ttukfcNguJ8jk5/8FHMecXaZPc3l
Axq1oLybxhymVlWbkXdALIAm2S6oWH3Aa9DtDytqQvMq99aA8njj+Suns4Qic+YM/kesGC3jg1OD
gXjAAmF4F7gRFn8Wuxrn+LQb1rtCRKILuy7Si1szG/DnbLApu6faMfe7upvmz1UMlvwoAj8hj4az
Z/QRk/bRPk6BlpSg/mGNbha1mXVFLkt8axdu9rtV+N73hAZ4/AeWNu7o1O2TU9GaGp9vekeuEKEs
Dhonz/neRXXdHujG4PDoNhqCwaDJke5XvlPqpDHj9j6jMIGpmct/c6SaJea9UToUv/XFHT2q/KUF
oR49dYZy1CV12Yqhu+lR9P8gdZPCEZrS9N6IuuSJT1X3C6bXS5/GyBuTDn3lvuj9BofdzE8/DIBl
U2Yo57xKl7i119a21TZ7beuTWc+5scttneqqRxfh02CPGfebbOCiAuuFi+ZYuIG2i0w4Rbt+LufP
7P4IfWYxVN/NXuMC7lu0OFF0dtb3onAdno2rSHk0yaFiCVeNKwinQG9/JmYJtHMqq9CzbONbqtNu
cQz8HGl8OdikxLqZ0NkBO92kPjNn8KXirMyHVpSfIgw2G46uAfeIYa5WyMFOE9JpMFD1FS0X+3ys
0ZHqbUSyy08E7swgK7L6zuxbi9SPjrc5tJ7OgloRTQsghXQ11s9FHkffy8kgY9WUCDjuHXx3GxZw
2XQfAiHwureo+/4aezN/pHXZi+8Qt+g/hBjN9RinLiftbsz8z5kTu+97tw8+155XoEdpDC+9hU7R
17dgVspQFDV3rrIgo0y0eVmzD3o//ml2C0Vlh+I0LoVgicx9J0grbnrBiRb2eS5epgQHC3axZEUj
WhfxlwGuEhrHIiNDo7V6C29p4Nhy4NLpfPEQJiHoNUT0ObF8wR5lxOIhIGH5Qm+IH19FpNQ+rstk
JeEIVMdlFbpD/sR1v0VgpGMDfYh81HA01ojp2jVdMO9x687FlZNN7bKnaYEGJ3reOU1W2equOwRS
aIiDiJTlLkcuaaKZGyzsoTmcQNCv+2Y9pqDYhx0f8u0vDFINXrNdj2gdijF96DTTsnc1KZEcZ0+/
4dJEu4B7hDA+ftF0r/5S2sIcdhOCcVLXwoynA0o/azPq8LnGF0PczzuuUzCBumr61sFPuG/meIWW
EjhVDyGjmRvyXbb1FAXU7q/c2UQEO60JxwlExWN9GPMEUXRDuCEuttYe70l7sCrO2cgrrjyvaZIw
SvTkFnRAvpJe8+KnVJRIgjChGI74vrMlC5uPj78UmHjjy9uVD9HqVvV9XxYZ3UZLRm3B5hM0IHJx
MtJ8UYmDJya/1dfUFywMPF7Je/Ui8J66SItWRO8u4oWi53PHep7TLymkBbzbO6znD7A202fbhhG2
WyOrvotK0+iu8th3sn1sAw2hZLuSe+OTMeDZLLgtIegoOUXSWaThUx/XJOvrzCw/pl0SVQev12mw
EPzPstdnvflocnjT9vjjsgDHVMchs6hK50vSJySoMH7Oh0OMcOVuzTHC2OECa/+Yg5QjKJ/67Ivv
RK5e3dpTt3k50MugY6PpJq3xY+rL6jQg9EFOCpf01umo64O6MvNf2aYPcGbXeTG1dP2CdXT7HbE1
l7iFfvofRof6n+SCrn+c6yyAodi19S96wZJrctT1fWGs69fUMIcH7BdpryGnZMEs4oINwFMgUdmn
0Jieln41PrkOtyMa4jhd7uil8j5HNGLUu8149SlPtfVXrvXjneEFKaf01O6vQROs5GlGLwhts0xp
YNHpw6PnzUTco4ukRjeXjMYt9RbWzDDlLhsjQZPSUTONFjTb0aVVg+TLPgc6OWLea/fiaFNmHw6Q
Dkib0MSqkzMRyXd0JrmP4QK2p4D4isV/zy3YwMEcTYB16noYiKBE0SHij02rSWDwiR8RdG5ljoT/
kFzhcE9muZwf17WEaLTDGAM34TgwxvydG2tjxndlXqPq2S3SPj9MfmazBnJvjm5wRN6k0UFc6sbt
AidGf98uMBz2HqkVZNgQ3yuQY1bz4NcC+U7VJ7jSemtmfIdiOqEOR0Uv3tVFVGgHtl4EeXMR4Lm+
IJm0tv8S0U6xJNa3mH7UaW+hjOkitiIbrS2SwChCgd7rYHbhASWf3LXHMK3TaMd57pexqtHjZnp2
Qx0RovsOJjR4thLeh3UKenPhtZO0jL4Ott2RbsVjhAafofZJ5Y9BgX83EMgiIGXYOs6o/xS54OE1
0Bf6NY0IGr4XKP/tfto5PvKXdwGIRKyBqFfmp44Noj32Vum3D2ke4yUS6Zt7QxLkxupclRwt5ulA
1lKnAjc1g3dPf4UV7+01ruN35ghO7ht53pauwX5GPjlnTtmT04x4UDMZoulmhqBnzcClY+TKw9wP
WP/m45I/elCqcZLnNM3duRP0+UXNMoo9Oj70RYA1BHVXfc2LPcu0tvYWTUC00eioC69j4XESZiE7
84s/ZpW/qxxnokqWmUJ4XCUN4zPsGBw8Sn+IfukDfRTXNIu7C7tEvpg05ek6clMUiemhH8uhP/pi
9Pqbqmjz5ZY5z0kyk0dDwNpmog8zNp7iPsnM4afGKfrBx1HvK+Um3Tsa/oImBQFlZ15b/hgs5BrS
ytyvEGjWPcXF2Dmsq5eSiWRjPpG10KyrZTD0Zk/pOUZqyB8GxU+zkKjAPEJf2jae+MaeQPuDM3Y+
S93QU3sfW9Poh7SWEeaGDynqyubQIa4HPvIWsBBTDFcAPPRfNCvnHOADNJ9oxFZhXSFkF7i7VEke
HWhmoYSVktQorjkZ4LAkHHTOu4i21Iaqchu92EFK3ppQFc+1zWH6OCxej/oSfW1HuZvyxVXjpdlT
0y7JLxxqMGQu6Pkod3wicRHnUg98hRM12K3KowGrbhHl7DrhQopqA/xM7iAwMcWtpyefNKPxmj0s
qlxHu9Jm5Z5iG9iTUeR68mgNLVDvyqlRUY4zlZF74J8ktugrJVW8TlpW3QQT6hDU+9lqU7Qe8upB
UEQDFlTQcnyP0fnCHZwaVgKJxiNHkSEp1w6azlvYul1wt7Xr1UfSz2DFQR9gN/I5QIYG2WGpBu7v
4LDQeicTLctdMH0ftZWMGH2Y9U8kRUVwJUATZt/oiLGX9iAQzxpXC7m09bC6CGRXMnbe6A97K+5B
B+zqsR9msVsdrzHGI7eOwCkOKGtwb99Vs6VFV8tikYsoRTcGLy4f0eiY51aqPyUtJLT3TmuDXtub
lIB0lAGc/e1nei4zenxpCir79f/SBxgM/u3/98fsAZKh6k3uwOb//v9SB5b9L74K3Nl9sJrAV8kC
/JM68Kx/ObphWQ63FNq10bP8O3Xg8K+cABUL8hd6rP1NztT94wCIWQl5CD6+tDc5/0nWYFNE/TfX
AXm/7aEFpCTFP39lfdGvI2k51J2PtGVMFHRz7wa+2HJBj3VudIkCRE6FDp9eix85b9b7yYYX12Zt
cUH3dm70Tazz6tnpe0BfOBp+mLdcr+iCmynd2M3Nq8zP4z9z8Np449zokpgu9szcdZrADhuydpwY
0wcxtN4FMPe5wVkgrx89KQdSjPrshA5tvJbjv6Bw9BQnffvNV9PiZ62bClRRYZlwHESBNOXGQW1O
NqTuq6Hh7OFkk1l2qOn6sxNREMzLubswuMT4+e+1uOW1Xo1OFxY46lGzw6Wp809JTsMmqtPqa6DP
3rH2LbxL69o64olo0ioF3Mer3exB7S/bpJWvfrvNY9cQjmeHLY00tEY4N+toflcbW6LdlPSQdBFX
rdCZpzAO0KzXkB/V3va2bbx+cD3X6ONxJivsaTw5pGscVkVeKQ4uxa+HNMDnlmSGzuJ+b8T64hbW
T6VJcaXg7Y0WFWdUmeFKofCw0rbaTKaptjO4UuzWA4OmUWKih27sY02p7sb0s0QteF0peHUX9KXd
Z2YYTOB0p/g9BRHFCZdit1nqlo4Lv3xEW90e5ii2j+Y8BNdqcy6Fr4N3md5bWvG4TEVQ7EzQIY/k
3sZY8enNt2vRscQ4emObPKIip/SSYmBhdc3Lnx/e2J7yN58qVwpRbYgqB8Vy/Fg52TMOLsEB4C3S
G67uy87QqvE4aZ3x0w0GfFYyB+yg37uQasv5Q+9n48HRaDxT/EulkPaAPyEk6kUYGdl1m9j+jVk1
5e2f/9LtZf/mD3WkkB4wiYEkkYiwL3AgGO16766R4kfTkUI6NmM8BPrGDx2BlsYRzTdUOQrO2xwm
HCmm8VLuRd34TZhS8HixgXimcx5deP/nZkWK6WFNDYc26iak3MoxH9lLcABAAZdUbdalqCbpgaS/
LJvQywf690vqhO6YWM9qo0uBHYjUbYY5qsMqMC3MW+3pwZmt5fOfR9+e8XcrRgpsi55PTJg7L5zG
BgpBbKU7jDydO6fFwvLPP3Fu+qXYJjtPAWKZ/dBFiRYBDgK3o/pqpcgGlBK1jbDdcHCD5NoK8mbf
4fOgtl07UqzW4POgE8+4E3smneHFOxHnX5UmxZYitYIbZa4UtkIzE65OcWxYPrVRI9T2a5ki508F
6E5heKFlRMCRIOZ7V39+8DMLxpYiNYJ6I1BReWFKResqop3nI81UCQibwXj5809IJhP/Ps797YX0
6kjlaqSwrbbzw5L6FagTo7sTcf+hoeC4t/w0dRGnxNXHtJ724yp+rVlsXYvZWV8WizKLvjTGdR83
1F2ysXLvDKBzfBBx504wGX8fd9033dFhOjf101Cnt346B3tg6/1tK0ozuJtT8+Of/5AzK3+7zL05
YXljjFAjqsLeXJd9SXv9gSb26AIS8dzo2z9/NUtTnY4NTHMzpH37+zgBMhvN92oPLu0KG8QpiTUR
hJ42fbLcLQNa/VAbWtoNCjq2qmWtg3CAYwKzqQlhYineGm1pOyiXyk7wsgzC2PHu3XvkhRe+T9s3
7jfbpOwJFA1U5XsGDSlO6SenKbqrWKcLkvdrXmEGJ/7ykwbbdM2wwz/P05k4s6QNAlOJoYwph4Y2
abp3AiUpIC5SYlRqnMOff+LMAtoyCq8XkG8boyPosw9rFv6uCYoHQMFqt6K/22FeLU6jQuye0IoQ
ukaQPc+1EJ+HqL3Ut3buyaUveolTeoYvgBeC0L0TZv21MZMLb/rcvEsxi6cZFqJx6YeYWqcnx9LI
bCeauVlxjxc+K8a539j+rFeTA42HPrPV8kMq+d6XHIXqVmTXEKum3TPS9fq957fjTQnSyMdqvFmv
MbzTrjbj9Zs1a4xHbJHFoaw992pusuq72nKQgt7RcaiKG90JZyvRd7adXxtu80ltbCnqMWJwW8fK
OAME+Y2vI3JtsrRVO39ZUtRXlo0EYCteDnlrHuH2Z0fwnRcOSOeWmnQGsPOGPGivG+HkkeZyssI9
pnWbXSnNiylF+WpM+NDro8F1s8t2TasHn0Y/jtS2cdlB2BqhMNEXZYaU0pyrfIkp/tINpTbtuB2/
WcVVMpveaNAQHgMkuy1B1lETGtQ+bn8fDV6FCJVeG5t0Bsdm48ktzRhBvaO2GE0pxHXHpjs6Izcx
N7TVBs1hcw7+8/s0ziwXUwrtkTbnoI6FG6LYKe6hOcTf7MFLPrj0Qe8zEHtgB92gf7IL+k9wWfdA
v3vfg7gqn+Fw9djOzP4n+mfEJTvccw8kRbWfD/NslU4RmrpJK9domf77dLRdxfckBTZa7YDGrE2f
4bjXfNK/ASkxFBeYFNeGyH3ks24RxpWXHaeuTXa0bs+Ko0uBHQHi1OjEKMJU89wHn87DOrY7tc/f
3x6Dr5avkRmdS/2xCMvKBqnu0uBdHv68xM68ULmRFJdBx4t6huYg/M7AX81w7tRGlgI6t4UbUz4q
wkAvviH8PnZGrrZMDPmDvZZl14PBCTVN/1a1iLnafokVZ0SK52J1OvBrOpOtGchYRu5TU0bnlNqs
bO/h1avs6EctLMuPQjBH0UHLakHh3VgUn10KT29wjcVI0xW3Jy+4mYvchhrgX6pEbG/uN8fWTVT6
+tn1hFZkoB5+GNn6zxX/zqsJqMCT8Oz6xhomCzHEut6qzZMUrROVRXtGUxouQ0WfHcKJq9kqOsXR
pWgNfMw0ca3Pwwpy7g6Hymewtxc27TMRpUsf4QG7I68CRBIOGTZt+IlTfp69UW0rkL03kxFw7TpF
eahFRXddmuNRjw39wrScecGbnvj1C167yXBpV4tCz3Ey/HmXYnhwhqlADdZP8LetJvW3YxzMNKW3
rEuBrDsrLjnRwl/jcuXcDaaBGR39X/1ebXwploNFRI1tmxkMGC090OuIk6hmqJ22ZNNKzfDzybaG
PFziBotxQGP7sXfmC8voXBVKl2JZT+wuA5VL0kWktLR5OFGtGL1flx1swjKhCV1sao3EgLxcQ4f9
2dcGpz61iZNCvY2QC9NsT78kjSP+kN9g03LBr+RcfEiRnQuhC1gveRj7xWHAdm6Ouk9qTy2Fdakl
gl6Fbg1t9DfI98z9gEBEaUqMQIrrZNVmG7vmLNxaNXZ01uFKbl4IvN/PiRH4bwPP5NWZMLiik6nb
P7SCu2EtHLULDdyIt4PP3jw2s13NoTfRHMwZ8oRO1leKMEM2XmHDr2a9zjJq30mJ5sz2nC+wCCfF
4aUA9ulsaRbqyJx8kmtgesiS6muVxcLR7+20NNh5iti301D3Fh1JlUU/ww5jQ8XhpfD11hGVIKib
MJ2beodG/wNeQGoFLiOQwtPATD0BKTSHTe587F0owRVuFYoLXQrQJqE7L9LiOVw7H2ONBdETtujN
QW3apRhNGhbHivlLWHgZ+lQvR79VjL5SjhSi39uXGmjOYgtEdiFudj/pNw6D5dK+tS25/3n6wcbl
7dAQZI1RB7sVJkijHqN2GnaNkxYvrTd1z0pzIzfM0PhFUxZN3KHn5tl7TcTuPilLW2l3BEf/9g/A
zwCHFsfrQqz70pu2bPwHbpX+hS1sG+V30yNFKgwYuhVprA69BJA9/UcFPRdZc73E0XAtBnq3LyzP
bdv63Q9JcYthBATYtm5DNJfuDhaZ9xccwubj7C/xU28LYO411PQLn+Ft1N/9mhTGUDGaWCydfzKF
c0yRXwNWUIsEXwpiK3PdNdFnEeoDQEBwVUCTndG8ME3nHlyK4ixHQByXhn/Ka5S/xgdDZEoXO0M2
mnJrG62BsP3Tmg3Dnh6e65VmW7XHlnVgaeXj5pJUPDZYVdrzvRLqCtRgpQDbCE2vD7h2FRUO3GMN
zjgkDTjv5EDV3qa3LddXF7sNhwGR0IQZgXmFuWqPE/JgtaeWAjcdInwByKeeXHwvagNcZpwpTogU
tZpvetPQrgw9VB/0GgUGauIrtcfeVuarGcHmaEzqRNdO9Fxb+yTx8HIo4fGojS4FZmFaKVpURzvR
FIFRUK4Z4B5mpQSD4Umh6QyBa3v0NtAob06wgMV1ZGeu4uuUIhP8QRrXUJPxOpheNH1zGI0vlBvO
BL0nfVzNOIvGhZPqSfj1lW47t1lZfVGab1nf5cIrcSufp+6q/Gj0KNkLtfmQrbxGA2zY6C/aSdfL
d3jIHxsMYtQeWgrK0XdajDWJHLO332P7CwKTfhu1saWoNPQBQ6+Ox57p6ILPf1U07i+1oaWoxG65
X+qg1ygN+vE+d2jYXzVLbaPaqHevwxLi8FJC+2L52XQgrdP8aJvDi9qDy0GJHxle96w/NHVPQ0k3
WkxbguKES0HpOlaMtdXMChQeFDV4aouluASlkHSjts3NLAhO80h3xbJw2aD5cj2qzYoUlTD/BU00
Eyulnm9cRzuQ1FZ7cFmi1eWYTGi2Hp16r7pqkaog61G6pxuyQItPmNk5AU+dQEnjAIHX2YWj4pld
SpZnTbRxD200aqclqx26gLs9LNFcbZU4UlgC2mffBnF8WsX6C8Jqh0ILsqDSm3SkwBSxPQV1mYlw
NQcNvIP1YmjuJWXTNshvjpqOFJjwJCApGmsb5mv9EZuHgo7L9SmwHe1K7eml6OzANwfAaPiBhm4U
XLbpN3c5YKmNLoWn0xgcTWwX0V1Cf35WQWoky6M4uBSgTgqaEAPTJsz8wYL+iMX5UkxqX01ZmJX7
mwLOWnlymr4xE2rpgff1SxWWbeH95rXK2qwCFui0lqgoMcoevjpBYe7xgIBXl+cOUF5svC4szjPr
R1ZpNbU3k+wUCAexouBIRCr3ChRk8IzxKTH257d87kekLypWIiuNZfApQWHnj3gAePd+mn2r0tW5
cCTdzuK/my85gBsIU/Svo+ShX3C3mBZ+i2tsw0ZuVuNJtLQwisDxj3MF7khtecnSqtSH96e12vZN
tJ6p5WHNoLXf/zxjZ3Y7mQFMc7mY/EhUoWla5s0AVujY57aldhmzpZj2MkezVshrJ5gZwb3drrci
W9TqbIYthXRDdom7drxJ+ZPkocGA42k1slWplGHI8irTjWmqDtaRbEf2bI/Tl2lwygvL9NykS59c
aFyw5M2sQ/MHKSCLH7FrUdPGY4j69gA1VX2GsVDbhY5OU2ID+lDPViUhpyGLqPrWnGyRlV2ox8N3
jFYejaJQHFqK3GEgkTEC7wvpZYzf2XSaHhCYDRfyJGf2BdkPu6bTDy6KP4YVkEY840ouIKlOP74P
fErxE2NtP/7qRlk3RrG0Wya78SFDugBJaUB/UgpTS/r6wpwy6ZsVS6gb3p0WeV8Gd/ihNrQUoxpf
FIcee/80d5q76wZQnZ2lH9QGl2LUEQJqwpgmlNlhL9hVDqtgVlwy0le3R786jlM0IT8ZHvM1+ur1
ZqO25VpShIIs8eJs1oJTC7RyZ5jde8dXTcbIQqg+XQfsb8vglKQsFHw8cEwLMHBQmnJZCMVhIev6
turD1fXf6f7yLsraZ7WhpSCt4tGcK0urQ69mb7Hht1qkOtU2RVkFJbDBcYUI2jBxgi+xTR88VBOh
dsmRZVCW7XBEc9cKiZV4TEmWZsml0DxzgpJVUDVvMzcyvqD65IIrNGL8udwvQ9+5N/QlKyZMIbS/
2VwwHnTcaNH4FY/SRwYG1hvsSe0z/Tcq69XOVRnuRFNKBKWzGgFwGikGdWV14cS0bVG/OTGZUpji
dNIhnGqowWExeJ1qMNrLxFHTMximFKhlZyXZNCZZaCYe7Y8Uu7E+V2zVMmRpU1nXfgKTJqVCHzxr
sZnsICer3TNlbVPjOIDzTT0N5zW9Xp3o+6qJSW0PMKRApT+naNfRT0OzSt7jmf3LWWrFSrMsbzJz
7DpbGv3DLhq8B3gX1Rc7sbQLX+ozq+VvGfGrpRiUaanpNrMCW+NJL6cffQWBXmn7+lvH+Gpsr0tz
zUrrNKxFo/Gl03vIaamtts7/bsh7NXpnNbQRWXoSFr7+yXfsj0PR1Wp7o6xtGtzeo/1cxGG+oF6f
4vTGxqNKcXApQPWOrvex21pitTTa+zMADLcOPqrNuRSfiPdwEXR4ch2W5h6o2YgdgZurPbqsZioA
u3ajP0anYNjomLADr2b4TYqjS/UYUFX1opUdebcs+Gr6w50wykelaZG1THiurUWd1cHJTt1rYbXP
XgEYTW1s6Yo6jpBgmy71T1rm6JCZ+/iAVWOmOCnSKdcGlpobS+2RHgs+kYPDmMh9UXvwbU94FUHN
0CUCkzvvlJeglQoIxbs0V51x6+3giAYCu541WOOV1t3AprzGlEixDqubbwdv7Ar1Vpe7J9ub/a9z
tri/ZuCYnuIblSK0bjCeB6Fun5ZG+Md2sI2rIQ9+qc26HKFJB8UI6POJouyLtzT3azMqndABfr6d
FnOl6w/nd/MUtxBv6r2ZuWoHdHyg3g49dHqGgXg+nbTCrq7GTQuLOddRZUrwbXw7+LohymrQVCd7
8u81e/sQWUrZPAx53g4tAjxVx9iYTs6iB9AxLR3WYtx7arI/UChvx4e75ddo4/pTuuY5mCtA70Xf
fVSbFylAadLSC4BH/cmCrrWR734Gi660DEHGvn1wkUc94uPNZLs2r+YkxgYi99W2RF1WJAncezcq
eX+ayv5mHbSnIbp0/P/9gQXTo7fP7aCDaWZyybCnMJwxViveoVF6VptwKTaBMkJ6C4r+FFfV0S2D
z8FmKKs0tixGwrugh7MVdCeslMu96Ra4gVtqRy1dliMFhjWseex1JzxoX4AgPnpjqbapyDKkfGqh
MNVRd3IyO6BVBguDxyILhoPatEgBmqWDi2TQ34ZPfpQ6yVa4WmofT/y23i6WFfnnhJdDh7PT5jrq
F5ifrN0HtSeXotPwxzwjoVifZjMw9z6Os3uMLhVDyJfi03awiC1jeOdRMMI8LQ6GrSudnHE0ezsr
mZ/0rWOkNWIJ89AMf5ncbtWmRArOIcDPvu8ZuQMxfixjwJ6xZykOLgUnFCpb9NlcnWZwpu/KfDKx
xM2LpLxSenhZbIQdNp4nq1mdTBcHiUNm2t1yTb/3qqbc0WW90ep3+mIJqzr1XXI/Dt2p8vULHb1n
dkVZb0S5ohsd16lOOBegx4czY/g7yBS12lr3pCg1AR4WmiPK09hQj9xb7Vz9gvJtPalNvRSnxorF
uh9N9ckpRmxHGwzERq001c4AnhSoFuS5IDHi8hSUHeaz4sdgi09qDy5F6SoKr1mabDiJ5WvV6d9t
21PbdmXR0do5uH3njNxPxt5ZIVQDRlZ7aClKKZUNdjulw2nEhWZX2fo+i1u1s7Mui44yFzMUs4r6
UzQ41XdyIusLF4FnpSeXZUd+TJ88/tvVCQPjchdbywd3dZTyQzg+vt0VXfjLmEjZ1alZRHBVdsXm
96BfaqY5E6AyWErgAR3o+tqfqrW4c9bBOiTBpLgzymCpRdf6qTCN5qSvkbNfs/y9Fgc//jzlWwj+
z3SiLmOltClbWtJmjI2P6l3UY/y7Xb8wXpvgQv75N85NzvbPX19ELbzwUix8T0brNgB5x6lew7Tu
nEskmnM/IIVpVNKa2rVre/Jj2OQ4nejO1aLZ1oU5Oje89EFdLHTUmBE0p9WNw2JsqsNcZmqCOF0G
TNVDsvhetnbYj4kHE4O9NMqUhI26K31R/dIph2wtOXuN2XMwtteO06rtubIUySnqlepizjcu07w9
F0d8u7RvSstF1iIlWT8KHHDEabQ1tCWrdTt3Qq2cQ3fe27W4DvGKw1IsTrmw5vd+ZK77JWviC0ev
bZTfRJOsR/KctQf2oTWnvtKxIAswiP9apwlmbCUo3L3T4smTlW6heOSQJUprN4PpF6U4DS7k3Xle
O5wOUca2hz+/ijM4Hdrb305Xm42+DiC5PTW5N3h/rYbQxwes46vP1K794aV0MazHzyyLveoaAB48
GcAm4Msn3TPbO9urrXKfGlrX3JHlxuaP5Nyw7PoGaj1e8Na674OM3kY/H7XnSORxcRpa/Xnu2mC6
nbAaL+9TrbeG67FKMMWG0W7uNi+AWu1b6Ug7x2B6NXx6szklXnONqPtzO1+63Z/p6cMK+O3c+ZE/
WonWiFOFbah7Nwd4cn5xtJTrj1/3YKhBPHcvdY2B7G0zVFgztlEHRg6HQ+vCzntmd3eko0DmYx/X
+qs4JTmdPVdtHCTroV/TTHAx0Hw1RQ0EpLd/qV7XRoNbijj5qw0av/KgjEPK+/MaPLP7ypIqoZnl
AGpanBa9GZ6MwhNXyRB3F2bo3OjSscDElM/J8p4IwsT+GUt465hqQ652fpSJV643rQVkse5kLRhu
6jy1Sxf4Xm1ipEP75NPP1g+GOOH8Nu+syL8rPE3teCprpNZRW1azX5j0IqJTJRjx8sG5Uu2qJ6uk
OIUMiahmQa7E6XZm7Nx6Wn1hys8seVkjhTV2OUZjJE7RWjg44GoJ3nkegLdyji6syL9rir/Z5mWp
lFkUtg6CTZw0vOX+yqvuF55x1Q2bJf2zazx/gV4a3WtaVB9mfKV3WCwMN0Ogd0dDDMn70hqTQ180
1BDxHupuk8j07xKa09udwb+6MBHnVrYU+66H+Z9ueflptNL3K357B2dES6229qSIL70A6wCPsAHP
/jOJl9tGqFFzdFlxZVljuSZL0Z5sJ7ga3Pwe7MAPpaeWBVeeBj3Y6WpxMmtfvGNtBDdDV/YXlsWZ
CZe5Ve5q1CTS2Gy7bHrQvcfI0dSu/7LeKp/dOqoxZT0FwsAeK3FDDSeZD2qTsgXSq9M5rY0zotWY
dJE1czhf/GoPS+JZbfBtrl4NHg0J/cI5GaOgqnNcZ/1ih23MpWbnM8ctS/p6J87ctxouhScd16tb
rXTGBxyPq7vOcQqsiK36I8eIQUkij93Z2z+lChrL6Bq+Q3GS/8LkdNyneARdq82TFKxdnM9WRwfV
CTO/I9XFbwAf1LZyWXsV14k/dnCmT2veHfygPhrJdPPnpz6z18rKqzgGtFQ7LRejQov29VDiP6bh
z7wgFVb7yMnyK+H5htfOTXOyDe2OS/t1265q1yMZQmUlZYVHPXOeeqPzMSch8352m17tjcr6Kxun
tCQvWPnAerV9jUvxfqwVc5my/grjj3SeNDaydNRqzHBhHnux/+3Pb/XMPiYrsEiT2mkSlTXXde8H
LsCY4zVlqnbekoVXUx1Hi55z/3JbbT5AA0nx0nYU70Oy8oquHhyq8qE+YQR4v9LaTt8n13W1eZFi
dNXLYpg6CgL1mnxuiNGuGNU2eFl2FXGSC/J5LE6u0Pq7rg72lNdbtXUuq67iJponGvjqk2/ZBzjf
n/Kq+Kg0JbLoak1qqkY+Q7vIxQ5pEX+v10CxoiarrsTUi2jIG/ZE3NMOsxt/7Vbzvzi7kia5bWb5
hx4jQBDEciW7Z5GGLVmb5e/CkGyLGwjuBMlf/7J9suBpdQTuExg0iCrUkpXpmVW4sKsIZPiBreC6
unlqnigL3su8s37xrYu6mkabqzYi5gIJl+68A391qirp+TmdJ7Wow76Pm2uRNJi/i7J4awZxx5/f
sHwXc9XG9aq3be8vqiyjRwulnoTKXrzxuyzOA1oFFux1GxowYYM3oiqCZzP0fo9z6NgmRJhtVBfW
XIL+pBmDJDJ4Hf1i3X/y+3/FMKyTcpIc7wRZzZ+6nJ4hOe6ZObuIq6kcwbujUFqsoz0BEU86Fp4h
+n/Io6r14EEMN75M4ktMoQCUf/X6kC7aqgECcg3NimvCqUoGCJNx5XfWLkdU3tvC9FWlL1JizX7O
NQRc7gRCN6IV4gS6EjqStDAcd6RQiFREvWw/xgWK5nY+7Ce/o3GMU20CJcdRaADRZn0OZP1ui+3g
93a6JFF9dCirFNMXg4pZwPJnaJb5JYsu4mosD7NTgrdNyOZNtLOHXAx//fpIbh27Y5rjXGDYERoT
lx458vPMzJBCPlY9M3F4bt5JRuuOQKHK5ghYIJV6xnAry+q+9+JpocpFXXX7SFrUibvLCOla1o4l
kCO68vG4WFz+nFSEexAiPC/6iynix4afTOk1d4uVxc8rL2MAtcOmKi+AARGIwU4f56by8bZY26k8
LYbHKyZm+ksA3fZEDuLdFAY+zxvWdqy0mteahSM8IipPX8FMlFXj6BOtYGnHOCfo1Yl41/1F6uXL
sssP8Vj5xMxY2slEoxVSvN3YXVtE85ooBUnkIb5zIte78J9qE9Z23s0IGn5N27f9Zbjq8PGojD6I
kNSPEpK3Jwh9WjDUkyAdiuFeG+OfBO61f+nYbLwebTUJ2V30MO9f98litrds8/q8KFG9bSvoj8g1
HJM+mCH0Oraq+aAOgvC1E/3v9Si3D9zMkOuEGO27Jszbx0bX+yfSsvlUVOJDBDmutGv6A3q0qnmZ
Mc+eNA2EOMepl49VP0LexFr5UO/5/7qpDR6hswip3l/7o+vXfu23Od5CQreYBcT0l4jMEAHU0ZKM
BjqhXqu7MDDVV8VYcVyEeULGRw5xJPXoxWhDlQsDWxUwzgTM7hdeFCD8hGbUHjfNyW/njsPQtSkg
C96Yy76HZ7HTGiKLwgsUj507HqPrINxKq01fwhb4lSCW71VU/e23ccdjiDq0GHKM2wv0zr/yWD3t
tPeiQMa+HZexkhyCvPPeXmLOf9NK/Rnmoc9ELJZ2XIYcxraREkYj6uLPImi/UyvPfifieIwd854q
X3DadRjPD404byg9+OQ22LbjGioxh+BZEAWopmj3TEmnX8JVTXfM54av+w/dFFSnoT/StZeahlD8
tLt+OgAW6KFMlDaCQQiTmTixa+zF3EeViwoLOtOUK7o0l3Gla3leFgzKxW0IX+T1KVxQ2FKKtie9
MfA2kFwVmJEJemgV+y3umOy+Cz7nLVLBtao+BxB7Pg3l4aXbhZNxTHbPe0NHuIELI2MEbStSJlXs
Nd2DxR2bPQ40SAgtm8uAKnySN1SDn1v85ncsjtFCanycdYuqRBcMX6uN0UTNxqsqgZ07ZgvW4yAC
nrq7lPWaI61/OVi/3bks1+/2ytPkgsImgDUoLQsD5GC+sxOZFui/BnZIh5HTZwb9xrddYTzDIfEf
S26WnWFOBrD86mPZPjNOfvf7AM4T26DdDfjm3F52a5okMtxCWaf98OvFr/fvlUNyQWLQJTB7Kyjg
frt6KJU6xbV8JEr/ER73UAH/FGpe+x9OWG6quIrmg+EHzJJsZ8urv0xsqveBxuBlsJbhpwPq12+L
UM4saVbSvERgeViSdomG9ywX2Ekf2mpPw7zc/lynUN/DDd/cmmPzoE4IFwII3qUKj2lI1h4PtS7y
/qUy4BxJ26jtyMPIaPXUI095LMUYvTBoKn41exW9EUOzPwVWl1knBD8BFTf4FOqhJOu4C0WLql2H
oL0cYo9PmkC1uZm8Sq9Y3HEXMzk4qxme+CVS6iG2VKe7AlD11zfq6hde+9qOvwDNJw/mbupApLaW
mGOy5pSDt81zdcdhDCPl0WJ6lB1CTHnPR7Ek2+SZd3DnpYfUbzQDWY/Ul1iRcKhHgGDVizwMp+44
CJOXy84FaS/RYdNOkx85DbwUQLC24yKg7IOiQIuqgJ4ErophUDif2Z2M6XotXvmgLjqNrP0Y8M6g
91JAf/Mo6ZaaPZJvN916ddUoKGjwr/9VFNQG3Hus482lnaU8jXP7Zt2re1fm1v4dGwcXF9QGt7XF
5J60zxLUoWkzhBGMeRB+0aeLVKuqCNF9V7eXgcfTZ22r91Ewmy9eBuXC0hpQNrUETMUXNGhDQN/U
l2IG/sVvccdaLcABmzEWO79OTojuRcvgvd/SjqmWG1tHmbdBhio4T2pS54mQ0/dfL37jcXfhYLpF
9cGM+KiQMDvnenwrJ/PURfJcYUqL8tIv+HEhX3s/qpjkOPumyL+qQr0oM3thVXHpHaOFpjC10J66
rr3+zUj5VKj4069P58ar7qK81hXN0hgYOJSUBhSVy6g3zwSQmUfTLOr3gsnm46//0XVY8hXf4BJn
GdAWQwNb6YsqYgi3aA5RDgiFm8f5IPbZ7MMGyPzWjYnMSYMe/7R6waAhBeFaNcGFshynZ0L6tdLN
/5reixkQSzuP72YW0CM2qAwz0T40LcY3zci+/frAbryOLhRM7XTougNrH8H+Wx3NUdLbzkt6ABt3
jHkIj62CdFlzQaPsbV7ENeCrfH7w27ljzqhSditaNYgalpakzTJ/Q8fPszLgYsAkiNHGdpT1pSop
oH18nZOo6u88YLfO3Hl5l7Aum64oGvT49j9tOM7pYRvfnTtWDMAuDcIZjqie6cM6B9/navVidKbK
BW/FZTlYvuF7KiIZSJu6r1MR+1WdXfTWuna218PeXIqNRA95zuMUBJ7Vo9dlcdFbgaJhJGpUHvZp
DD6Cpf5NF67HHadz43u6AK5+C/e9Zba5sP0onzol9TOquvcalDdeFpcpix7G0ik0zUXPm2Fp0Tfk
gYdR/aUbQD+1CL6/bEukz78+qBvBicudpVVXDogx60tJWHWOOTh8Qx4X573pPOucLq4rEqI4VrE0
l2gAieKmP2CAwc+buSiuPjbLJLe1QjG9/7SNzfd96Z5+fTC3PrJjtLpuLR3s2FymTZTndeqWFGMi
xZ1jv7W6Y7XWVB10c3A/7bbwpGLqjSYA23tt3QVyQftUQb8C+RVl3VslSAnLir0YbjAr64TKBOVC
2kNR6BJXaEMrUidkwRPvt3PnUYWIXLcOGzJ1dLnjF0m1SkgX3MNZ3YhKXBDXEDYDQu64AVVwmARr
/PucTycytp9rVVvPX3C1s39lEnvJNArWrLkcGL0aK5CyN9UffodzvUv/WhoTG3QeegU7qs1nEOOa
dNXk3mzIjQvpIrniGBBxVczIgIa6T4AF3pI8nz3rpi6SK28nUdKVNpd8X9p0IOOnSQu/MN+l0Nq7
spY1WCkuy152KQo3Kp3j2TOzdbFcAAEbvtfw9S0j0Uer0BGD3s89cdx/OIpeiV9dNJeKjSlRrWgB
AujXbLM7+SBmBv7FtTAP8xwsCQC9Kq1MBR77uAhSaurqEzeiemmPwAvhRJUL/Ao1C7ZpAbi8DdkJ
8qyfd8r8Lq0L+1pZR+kkcX78WL9Ow0NrhZ/vD50o2YYoOLcgIrzU2/Csbf2p0fbe0O2NtMKFfI2b
nOaVjjXI59uxfTv0QnwuIlOeOmNATErqElxQPJriRJiSft+WJffL5F0aLhkFG53qrQVTOgO6egLR
M4Q0f3h5EBcRNrAItGQqggfhVDyi3sEe525d/Fyfy8PVDkpDpGZrLkFAn9YxN8mqfMNcFxLGZ2BC
2EIQQzdr9KmhHTvRaV3vhIs3oiAXFMaLMY5jXiIVHjb1xMu9eK8AQP8xabwZqdfhu+AwyaaNLN2K
XzDqKTGLRoXPbH5n78LDILLNRjYiOerj8u82lxcL4kXPjTuP8mrRA6/GqUErGe3NrX+sG+5FDk6V
ixBbO3nwsVray1gE/Zly+hAK5hlkuRAxux49rVqEcKO8infT4v1gDr/w0FUQFMuqrS1gSjYewWoD
poj627AA6uB3WZxkt2N7NbIaBRSKSc104ovqkpqKwve+0J9jiZjv4dSyvr1UnH0kldUonSgvBmd8
VCd0FgiCqqFCBlP0YZMyGpgkLoZ7TeUbtkqc0LnWchmWa2BOMTv/XB7z8RQ0LU3jhgZepQbpgsSi
mcb1rmd9IawckhlaQyS8J4Xx+valixErKEC+6AQ2qPGP2iRT3IznodnMb1XZr3ewuVfL/G9UIV20
WElyDRj+iFI/OfqzPBqbLiZcEEvjAlkhvi7FEN75X68HjtJFj8W7hZh1BLC7Koh4t5eyfZYV88sd
pYsfG8FKq3WLusyq+8eu/sbH7exjYdKFj61HE5TcxjVImOLlvLIwfgyG/LPf4o75RqONoaaCrDqf
RZdyWsjTFm4+0/pUuggyjBLYod3gG3JK25SI2ZyCaPnqt3PHdk27ayXzo75sjP/Z9rsFa5fy4unF
zh3TJcM8Ny2fUWXDIPmTZvn8hmnjVWWTLlZrBDyaGei5X/opt8k6q+9lNPl9TxeqBQyVtFSQ+rLI
WT1v0Dg47aTc/NyNS9pV61GIMQbMmMbbh4Ha+gzpKr92KIDWP3t6MZJjlARZI8iXijclH9v3U6km
z61fvdy/ctIdklX9RNA4s1P3l6Tb207ek0e4bvAVJ+aCtRbbcVJHNa75QI8ZrVaFTvgRQpoN2tLT
k+lCfifm/qfN99q/csy1OraDBBwIq11rnfCqyJNGEPm0TvPyHI8gOZ+L7e+oV1ObMh2wpCViSjBj
Pj21kAd6GQXlD9CSoo/5WMs0jEn5PuILO+0LWX5TYJACLUUePoHGnz90M6kf8gV5URpPoCI/0f2w
5yLPoweren02as1JUg0zexKLxdD2DBbtMzv2z2Vg2oex3jr2EG5dv6Von+dDsmwWrICF7umnpqKQ
h93moF1PQHgGGc0PcPpBUOFMyHV2qgLZ32M711A9tuUhZCLLWD9XvA8NtJMGnn9lS9h+hO4O2kwh
iuFfJJ329xgQps9CItAhRPTvQflq/J4Pl96sPHi3tw2eWpA3XCg9TmY0d0K06x187as6rsyC54UH
4Ygm1FpNDxxDe9Ca0+IcB2vx7OUtXYAbjaZxayrcUSoPTHwM5Peun+/hh268rP8BswlWC3wpxN1C
qPTYou7c2Lb3GVKj0oWytQMILQakmpcWbLjJZ8Ko16gKVnbzBXmAM2VHvXdq9uip7XZIieF2emUj
0gWyQWJcdhBBRYFtnUwqQQB5tnLqzl4f1EWyFeNa91HfAyZHO5NGS/xuwtC9V5ImXWqzOBCiRg0c
oV9QPHFlyhT1Fr+IXrpItpBqlE7bDgQB+/QQ1esLADx+IGvpItnICsx6DGzyZS92KHsGpPis1oJ9
+vWZ/1N+eMVQXegagNsxGsSoDlasEG8jxMV/o4wXnTZg8ZJjz8mXpp32dO5J9xjBGT4YS6IyHcKd
P9fGbhX+En9154LdeHdcTjQe5tHKMOB7aYMAQuFU7hT0pegQnob52mOmAzTK/G6Ei36TUWs5MoD6
Isv8pYvL93IjoefaTqFeRdrSq27BxRZHg3ioRQbZmdjPUFyKNINSDEGOVGPUZdoSzNQxwH42r94g
EDE/RxVlvy1xIUQFrp2IgNG9wOPUMr+QxUWfVaW1sxZwIJ3qwjQ3Ag/dZu+lQ7cus6vRKCDppPQ4
oMnA9uljVW/x4w60zxlg4UkmI+ptLzvkk7J2a6ES0Gr93shxSjAunI9pH+vl3Tba6M77dOMJ5E5g
Y1kri2O5pk9K/m8qwSBa9CZAFXOb7jwjN6zFhaytaJMFqowr0GS0e0owJgu0R2EwNSPjtUnLrvfD
r0kXv1ZsYb4dsUJNlh8vK35aUunozq+48dQ6+LVfu7Eba7gwNdF3fIT6JGyZW1SbbI3gqlm86kHS
BajFC5r6agF8G5o+/KyGeD+LJvj8652/zm1FpUujVh/cbkBN1pdwCm2KEBHsHuW6gt8IUjYAdevp
aVSDrpNDsD2BlOKYBQ0IBn/9728dnGPtFOoE7dJXcCUx/VYXzSMc153I/tbSV7v4V3piol3OnCMP
12z5TezQH4S+npeMMU7t+k//tbgeBoSTA76JmTbwn83z5627W+/+pwP0yqPocpmVdt33PEAk0u1E
QzdxyPnHacPAVlLLwxyJNXH3pxbNlKe5RcX3VEV13qfNQeansD/YYzznwZdibWAno85PNI/omx14
L0DzZ5lAy274PuaU+BUlXDycpT0dg2WvL3xdPsnagHZ20+zOk3zrMzqRfFtEcYloBm3+Kq02TKrF
Mb1XTry1tlOTELtitkZGdFks3c8bpSuI/Yo7lnVjcRcHJ8OxbwaGSc24bf/a0cfJMXXk97670DeE
KdsiQUB3YUEfJlwW72ZCfvMySRfctlgGJFeHGGiv2+ccXg3F58KrXytddFtM1XjUm64uueiLVM1h
KgZr/W6KC28ToLLfikVVl7WYvk20XpOoiNaz36k4Bh/roAYTbVthMLKrX1hOv09js955qm9dFeep
JnFoBUhrqgsYHx/k3GlwwPgeOf3ZU4kD4lj9fhQgD4tEotguk+DwKxi6UpARgFtHGfESfmpJ9d59
ZkvgubRjmj0A3rOuwvIC7jMQHc5D/YKqqhc9BpUuuE1OdgiERo2kVCZ6P2/x/F03ovF7sF14G0Bc
8QTTB/g45h8L2b7v1PDB6xq62LamMdRwtmFpbfpURZ08TZH0O3MX2yYxy49yNQ8yVbd9urWP/TbN
fsbpItuiPqY1GEODbMWkeRoGeZWwvt/9/KGLZCsFaTYEYNi5nsOXGB73U72ss18k4YLYwPUa5fG6
lSh0NueyP6nJi0MJ99AxzuaI8BSXY3lhcngcOvu0M/vd76Y47yZrh6hYqS3BY72LE+PzjglzufkF
zS4VWdcOR0tCbLw5kMCwEInUWDEvqjAqXRAbO0YUNDU+51Ja8mJZTVJJee4Xc7ootnrE9H291kE2
tlX+CCHY/bQAe+N17C4VWSGkmKFak2dN0b8PzPJ2HbjnLXcxbOWBaUXw+cCGGoM4SGNKJehHv0vu
EpFty0E5hovLS8DpUxx2xVO/qfLJ71Sc11P2BaLCqq8uYj/0uSaVTGOz32PxvPF8uvg1FbUI0C1W
n+y7XX2b8x9+u3asEyq7VTmGCD2jYnvifMmG6t687620y0Wu9atoQx4GeDqbif0WgyU7aagqTkPX
yLd25T+KxphsyMv1EizLmi7r4NlXdWFtM6KiEiiX8rJ1/ABN5LGei83UJ69Dc1FtOzfhtk+8uMQ4
tKncm6RZCj+v42LVghBfeWASTCik6tMoON5sESk8N+6UrrkptC0CVlzkWJ16tqTMT6ecSheuphYr
UGUKsXTO66Q2xx9ROfi1Pl24GhlAJxo0WLsZ+Yuqhh+dAZuE37d0zHaxvGzADV5c6FBUiSFb/WQR
wfuFSS4irbZtsDVsxOqzXZNQ8bPJl91z647tNg3XBV1McWnriSRlHfB0mSFT6ncwzuMK0WloWm44
mGNsv0BU7LOaSy/mQ1wWJ/ItOtUC/qcR4mFs4Ynl5nPJhPZzxP8BooVmtC1ZcVtohBZj8MYCN+Z1
Ji4MrUOARHsi8axuaD7k5KCJlYtn68dlKosLM3CIihQXEexx2tsIQWQ5xnds/1oTeqXg4kLRIFfS
gL9DBVkdhHmCluGYDFJvpwP0RZ4n75SjQGKgbBPSIJsh0wVkeAGOeOtZD3ARaTLoFJ+1Li7dGpv0
iKqPUzh89/uuTnJKlxD9a01VViKQ2ev1SYbKz0hdrrImKvq6Q/s9E6D8wzCdWp5mYZlfWcqForWV
XG1T7ioLtl6n7RiK05DvftUdF4km5ooNaHSiyy6nc15tb0dh7pzK62V14SLQWtqAqKy3QQZUgXlg
U2ef6zyan1c+x1+RxdcPPh9WuGi0vbJCHsjEMsh/LW9qKMc9YRzQq14iXBiaLJRsgx5xcL635DwP
4LlbTRDdOaJ/YvX/GqxwkWfLIYpKL7AmFHjrEyGke9PsNU9ts37b7AgPQeiWgV6zSmy+vBdsfKcN
yU+7usqnq+JDaTl/3PZ2TdE5BeSiOz52UazTYYjJ46LL3/Wii49xNTyF8/huqsH0QmIAMWOxli9h
2NYAX8kvfh/CcQ122wv0UY48K/GD6DZAfZkPn/zWdp5wTimVMgxktld0OJV5+R5Yl3us3ddFXvsK
jms4am2qbdmR7LD2RW5gyDKrn4QxBanUz4WrzgwQFAGpfJb34mVm8grg9TJe4UpTziYog5bXKtNj
ZKdEbyTo055Nrd8UlnDBbkrZeixpqDKwsM6pXdT/0JH38sfCxbpF4TKGi1hlxgpS8NO8VrZKQxOI
O0H29da98lFdvFs4MjQLLdxm0xRjmoM/5cnGS30O5+Lwcw4u6I2WG63Gmats5CTTgwEUVrZ+cbxw
QW97XB37qjGUAU4X3iaYEQKDyqb6gnnVD4SrVVmrHpQU+aayY+YDaOe0eTCBkV61YOFC3wTNF81A
t5cVy/ZhDMjXncWeG3fM1R4rfOTRw6LofmrNmfSl31PiIrmghNLmxToqcNEUp2DbdxB7ec4JgCb+
Z0dwHKDsjPoO1srYQwzwJwYdwnvd3xs9e+HCuICUMM1a17gu61KftmqRDxM9prTNt/4N7crmhB+m
v6GMTmiiR54/W9EH50Eo/Vhr/MgVWsJ37OJ1ORKwSKiff2rOQ7HwPsoz0ZPpTS8b80ZZFNuS6iDF
uZWaDchlivHLaMe8TQEjj9YktkBDnWjIqzdoBlanJhLDkmDyfH/TFsf8cO3vVgkpq+YxbMAB7/Ww
uBiyDQRKUbFIlREWvFXT8hjG+oPf0k4mjtAhEEzgNg0H/WzGGbIr6+g31w5qpJ+PuGxxaIeeVBYt
7EPT2+cW39Vv31eP+q+m8MojOrJuhunm8n3e0m+ron5ewYWP8ZpO0RRi6Ynub+pc/ghq4bm04xW2
uYxBORTJLIpNk8ZiBrEdGJT8joT+fCRlNUzdqqXMFLfNKV8Aqd2G5o653Ag/XOwYi/J261BxzTYJ
lBBp2gMT8+LOJbx+tFeeQRcKhiJQuJTjIDMzR+ac0zl6OczGP0EITPjFZi4CrGVQleDXk68K9mdB
+2/DwL0kbKhwRTLzugWL69gi7is7lpJujJN14165rHABYNN2AIwzNTIrOvo5xkx4upD+D68b4+K/
uAJkGpA7kQEZxc+lPh4x3jad/BZ3LFRB+zEiQJFm4ZEvjznI7TDyyj7+evGrB3nlxrjoL7bSbQNc
QSLf5OujbWuSMJEfJ20PfIE6VHfy2qsbfO3/OAYLFkqM1bJFIlVYUEqwkNorwZIf9ifOSfNE1Ar0
agnliV//rBtW5qK8tkANx970Iht68j9l6nc8DL0qgMKFdUmwKNEyGEVm0HBMYr68O+LGC2ogHFjX
/3ElgS2F5Ew2xtvHfiq+QVPYL45y0V5clDMvagq7nbr8j4WX1WeoAHvpWlLhwr04ZerYGmxc7vl6
Aunc70Ms/IChwkV7HfVK+zzH4s1wyORFMSDVfn1N5Ou30qUhsxEraQlR4WyoI/Y2qln9pqrr9TGC
5Geio6F6aMIleDCk6O/Y242L6XKT6UpJ5J6LyPa+iS99MIWpDoQfMk24CK/oyi5d8lVkhxCAIw9X
ctMt8HtzXYDX0QwLYFs1R+FL61Ox6Ok8rfdoNW+di/Pm1l05jlz0PAMW5kVvzaMZ879+/ZFvLe2E
4nFVrg14cHkWyUqdjlq9766K136LO4XvZpmGgy08RjUBThRZYfkREKriTp/kRsdNuHisGFQldG46
XBfFSJeYMp5+L1UcXdQ2/dGFw37ummM+4w4vybCt81sEtn50a8LFay2STBv41uIME0TFaTZR88Co
ZnfioBsPgovYavK53KQdRFaZGAX9oUqqtvghtigTaGGeqF4/eX0hF761rB0t9kPEWbjnESI5wt4d
pIvupRQ3HlAXwKVpOUKiVvBMjSUYYHZen8BRjYwlH8n224FWkWcS4JKVYUj2oLEkccZDNn2I+bSl
W6z7Ow/0DStxhSurIiRtXTOexaWS5xG8iRvxzLRdsjKAC8J9PeY4W834puijv4rl3izGrW07xq1J
hclgjD9nZNqXc0z36HmKbX/yuzuudcO2FkwNXI98W9KOtewUQxnYa3EXz7UGER+aluFUrG0SlA2D
56gVh+fq1yfvX3ldMZp+XEPcFhF2kPZttvAR1e0//bbuJLvVWmFIvlbwegF0kzuaoevnN7sjXEDX
og5dNCU86sQbkvTH8jC2pae7dhFd4zBjaL074qyYAnLKdY4BAyhI+10XF9EVD1u3V3zDmdvqh1i5
TfsCYzh+Z+5E0F2O+RXNW9xFbeopJTMQxTxnsd9oj3BhXRqVXzhHjXNf9w8ExcFkZswzPowcM93N
OnZhY+KsIkH+PI/9Xwd4j+88JTd8gIvrKo4YnSdg8TM179NzvsruAfQf96Yyb6zu4roEbaqZYnId
BZLwf4SFL9sw3Ukbb6Tr/wF1TTPmWOVBM9Y09DezEfPcj/n4VGxN7efWXWgXYhE7EGjRoC/XByCE
Ewnk57lfluViuxhGqsK4DVgWhaD9KeLuIa6je1Tjt87dSXuj8ZAtsQMWr+ycgAf0DTeHX57lakwG
FMW0IC6vd51AtcCimA9FVc+6lwvtAv4qD8GKHWelBGlRq1MgUj037oTJSxzjyvAuziC58/dY1380
NPbLTFxwV14WYTRq7Dpq5Ltjqx/X8J4W/a1P6Tyj85GXpi8rmkW6i0+bHfpk6AI/HIFwwVs6L62o
WU8z6LX9EVbBaSLsh5fPdbFbdDNxPFTQXFkU1DmgcmWSrmDHyW915xVdV3oAAdyxbA7N7yrWuOUA
ufklJi58q18wALsivc3QDtiSpi6KpMJsg5/luwCuWM49GENWloEBu08gv/v92NqvfsdyvUX/ilyO
QRTjpCzLulb8oCP5IYf4s9/Szhs6Vp1U1crDrB+hSJqAQlR/MUyufoVjl1BspJKPiF0oXjly4qYh
qS5LP1ybcAnFutlWJC9MlMW5/ouhLaK15y13zLMAV2jIIC+dkYO9B9vvWxUqz2jOxW7R1dZ5Mdgw
mxlII8SqUVAvZO5X03XhW2ZQldrZGGaN1inbQYxZ+9ENCBe71QFx0EThgKVZ/Lcqyg8tWCy8bqEL
3DIUzTgA6GnGQdoP0org737xrE66FGJyHNcqsjvNwnom57aTD6sqfRd3LDNoVVEPTRFlpTGfo6MF
WWg9/+53KI5p9hH4cNYZg5TdtOlkG/n7HqViP3flYrb2bgPvgtQ0Ex0336OGlB+LsPzbb+dObHsM
Wux1t9BsDPbtKbLNb928ebaLXMhWnhNGijUMs30I9odoGoKTtH4zIuhS/OxpWbRHQw3C+2zuzadV
DJDimf0k11C5/nntnYzdWhCsPRVdnLCOvG3U/NHnxLmL0yr7qkWNZQ6ztWjGtIDSZHKEwH34rX6t
9Pzr/SmOvK3nHkmtbrofW2FhnZ0fGTF36cFA8tTyo6Ykq+o2fhRBO6eRxDSk384d+yymoirKsCdZ
e5jTrOlLwOrvfks75lmCm6anRhN42iMrY/llba3XEAd3MVN2pMOwxfmRNRs0cVNMEbLP87Lln369
89eTLO7iptqZQd/cEpJFoEIFDVY0bxgJz6Pgf0U5mDvVlhu8uNwFTwEou2pzFPgvbRXnKYt6/UGT
FsKSR6dTCfbjZGMG7GTonYQU6g7QotwCuOgjKPY/474sz14/10VaQSqhjBaV71lfD9uQTiNocpPQ
hBIsw7k0fhRg3AVc9VvExUTUkZndbCCMsDxtfSNj7mKtTJ/P/TThSrS7/aEAEklZU955aK5m/N9O
JHehVmZVahdbeGRCAWnPaqr/KJeCnnfSxm+WsatjP2t0IVcE51FUVBwoZMX7H6KKxzQEzf+91sD1
eXntdzjG3h/rUMm6OjLIIKxnzJjUf1eD5H/+P2dn0iQnrkXhX0QEQgOwJTNrMGCX23a73RvCbbdB
IEAg5l//Tr6Vra50RmjjhRcqpdDVcPXdczxQfM8iXCt8dn8YL/1ykLPgUJlmIfFg2XXU1OkgI2wP
yTIYKwOdQz8/2PcQq2Uy+tLt+i9sOqsk29TjIcXPoRzGTy2s2qlsxjsd/3/Z0GuDZ+3Zq0dCjdrr
I9+NX0JvDAIYG/Ths6na+3NRR/KRa9TurVvbnQp2kETFdXdqSA8fLRk3iTBFj1f4wFRJNHr0AqVZ
PHdWC6ySWLXvj7X2aXsuurE9/z6sr1/1tQ5bZ3Swn3FjdkSER+BYW9RPPf5xm6g2wBXvx1TJuD/y
he1/D0oqkI3cKWEhbOKqYyJaS9IdOSyYvi4vR1N/cxoQW7RrQmXCGB0GS0TXDtD1F8hdJjPMEd0G
3EaulH8olP9WR86gUJdGq9YnNs73LI5vfE5btmsulk7rQh+5YFOQwOasu+xBf+9Z+1br1///6QTT
TEPQDwNa9wNeJKIa/GThjdt2bet2+W2j44G1Rx7Bzfox8sSXYY7u6Vrf6nnwa8/Xpe0Do5ot36iZ
LyYGYXH4u9tlVNjslZZaXLUz0HpXVgkYkeUBz57r2W1GWiHqe2Nb+JvarpAeKot3lVRR6XhwtLEr
FYC2N0e05muDx9hOQeYUPjduPbe5Kw9FBnulxJ4PU8k/1obsL8IYz215scGrnkesDbxoz7uqVxe1
ox41ZpNbzZyw0SuvVqzvyLDkIyP/BGSsz70kblqkwpbeKpsabOSwoSijXeqTWVXxCK6rvLMLXa9C
r6zpNnuF4xINumraciKa8GErFFXnWPphphpef+VhML7ZwhLIQjxNrr/IOscXEV011OLmfKuwfwwj
ar393SkbI2zoCokSOTBTzjmgiPm5oIQ8cBQK3znY3lgabO6KslWJAiqjeTAS2EzKMHwkeKN2bN0K
3lWTHZyIMHnTsSc1fQB77wRewQD81yXN0DiYjp6Z3DTFd1/+kLAVcYssm7pi7RYuBW5mecePBzjY
jcm0+j+cVjMbuvKWA6UswWSASqdhs+kE8JW80+9rgvuViW9jV3s31hwleiaP9Tg+cL1PF5Al9InC
3PtNtxTB17Bc7lWt35g3/yGuFoJLcYUfQo+IJLyNl/ebMfXfbsN0/as/bbUqnvR2THREwc98PINv
XxJ4m7lRUTik/9r6LvoSRV7tmMMl/N+18HOOemm3jls7Le0aYvqQDTlKcf7k3va3jD3H84dtAjk1
S7yQDlO+M6bP60Do83XZcQtV2way5x4tPG8Z87hHIRz3/STepJtchbCBq66u5nFDVVWOtaxOwwMo
ifK0m6m5sJEqahpvK6cVanT1UUORe0YhxDa9d/qiNlEFKq8/Yvim57qZHjy/VQnMf9w8NYRNUYXI
IwiziCHf6tB7MnXcPu7KOMaoDVFRj5SFCOSQd13wAZD2qd22r78flVuZGRub2lBDhU85DDkNjHgq
tvBpWBdsHf2poP2LR/hljMMvolyrN2oq65R1gJ/2rb33RnFjl7fBqr3akPJZtyGPiNo1SloUezRD
FHzrqmrL4J1XkmRVdP0qh6p2nApWcMOcGk5/UazzjhiT9f2oL13Hxo+/H9IbK6qtoDVj3JoIt5fc
B8V9Xrzps1aO1zpm7cP+OtfEqEnnpvtzQ/Yk6U233tl2bvTbBq7CngdD3LE+hwXreSQTyl3uJZVu
NW1nu7dth55FgyFZow8PBP84DbUtnTXqMNprtaJdFETAYb5JmMfcKmGFTVpparyYi03nWOaGhxBS
qBdKWHFy6zr/de9qeF/8/3Cez2FBEl22yYgCVsfGr9/hp223gR7frDzS5+up6fwwMXvnuHlRa88F
qzDhfEL7fKz8LhPDuGRB71bEi9qqX/vdBoOpIsnb3EjyfCzTp3Zz0+MTNmIFOe22LsKjy2sR/Y0y
nTIZVvmH27e0orIRbQEaZO9zFgUfF2/Lao4zuFPbNl/Vg2r1Jd78co+JWiWtrssMQgLSbSm0Gat4
m5mvAqHyaJuHk1T1ftr83XFbtPGqKur3ogviLmdx8dWTxZHMk3GLfZuuCuqgklVEFeaKIZeDeubc
EPniNupWdPbFxFAUdh310X/CFeXPsaKPv2/62sQrp3sbrpKUyZrwXeUAvMVffeTxMz/wCGHgmXun
3PvGcmsTVtD32WlR9FjJmfcRZhZQs409t/taYIWoBzKy3sShcrYt0dkLxxKIaOcmKShsyspvxUxK
UnZ51C37KWyHNwesc++E0q2Rt8KUT5XYOq/XOXQizPuJBes5LKIhVQXKA5w+rg1bXZ0rUSgq+zw4
EE6HmeqTGPrqIjf/cEIWhQ1d6XI51miqEVOiz+Gg/TQf4k7G5ca8sc0dq94/cENu2nwLWpnDu7W4
1Bvd7ozNrdbFr4t73UybLjaj8xZKx40u4sTj659u427FayQpNIS8vs0rvz2ey5VHmdZbcYYJ+L0X
lxu3ctvJcYXCiL/wos2Jp/0P3roqmdBmNamsI/DGXi0uexWIO6vErcGytll/LANgXlGfm9CoyzRm
xxC4Ka8Lm8PyFOyEkbXHFt73YdLWyxtCCse7is1hTdJfhnilbT71FZQavKVJysFzu5XbOloRTHxI
B8mWnJMfewRwb5HCMQ9ro1jNuGgTrFLnzV4gUxQHzbOZF36n59dJ/sqqb6NYUxBSI71B5RNIlegN
C3hVnwAgrrBCCHn5r+LaTctC2GjWCJ5s2XWnoCfrP4bT8kEvbj5owkazVhMFDe3XLm/a5isSU39p
D1I9TiFso1n9CtZY99jPq7hSw0mJev/YmNIMSQ2BSbeDsS2q1c6qKQjBcWcz63KK1AG7uOKegtGN
mPWtmMWmjoqSPVA5oSw+ETG3Fx2N4s743Fh/bEiLSY/H7WSwNcbDkK5r0cGttoc9FF7N6+VEglA/
7q0id5CNG5ulrbTFTe+vx7B0eJkkPcwJ1gA0GwoPiZL//v6D3xouaztmJScKVW7YbbwmiQJ4TAS8
dNNt4Da71ZvCwMQXja89Y1lL5sdB1Pf0XF4fG27DW91q4m3yNcIAqiuXuBq+t2ySb5ogUHc+9utj
w22Eq41DWMkY0uYqWE+mgEsA29qPLuPObZ2tKV536bVG5Yso/608/cl4g9PZhNv8lqm1GQfIoOZ7
t78T8h9zuBUNcNveEUJFoiw33ebjwf+Mvf49be6ZqrweWDy2wnaG/89R7mubD3yd/hBAOD8PKCst
k6bhY9LLoYNvaOTGKXMb51rapRjxXIm5wyV5FNsgz3HBKqf1jds01xJ1h0DCHetbbf6VgXkiUIl2
Or9xm+FaxFbrY9cKGeuqO28VfSeaqbs4TUqby9o6hao5+MblKgyicyx0eGmgRnFn970RTjaONUu4
nQTxrHK+1W8p7ixJPE53Mqi32r5Oq59yLXPFSAVCRuX9Jp57I6qkjEu3+xC3aSzZHX7YF7rJVxal
m7++aafZ6ebPbf5q3uca5ylS591QQS9t6LeEmMnpJoEn7F8HxQtiNjfhWufwC2pPQIm8U0kOpyso
t7kqpOO2aT6IzMeu+LPBPfFQ052mb6wFNlblTYXUBuWJOQzKfWSjpS6emR6nN6vfk5fS8wjcuFXz
xW3Sk19HKYYGYlfss8z7aI6f4BtZnpDPLO7E641dylbBqkypBG8Omc9T0f+97tP4UAZkfzPBd9Jt
vbfRKF7Ueym3SeadLFCeY+rjpAbCzk7DY8NRU6EiKNuWaJ3vz0u/VZdtEObRrXErbHezbtq0okS9
yPJO8/mpMIebkxC34SgitqlgipZ5DZzypEpBEw8eym5rvA1HNaic7ZZwL/M1nv9qKliIhtUHt0Gx
wjac1RwGwArBdvNPhRnftrT7y61pa5ctWKmnSCo0vUZPs+o/B8r75tZ08GsYwVS6WEw5lLmcDfR5
2IF7p3CDoqDK8mvjmm6DLnrPy0JlzmtrnheiP7v12zoAB97qI4eGpgsSfAoOoZPag9+aU+M2ETVg
r15ELcvcQ8rusoF2huSCdMOK+H+QKG+ZexnEXsb97kWyLS/myO0kYPNQZYeKiHILvCySOnw37X34
rpwLt03PxqGCeS3bSVdlPvd0eRdVbL0MccSc8q7c5qF2L1zJ3vMSPBS5Vp9LiND65OvvP+iNrcnG
oSqJ+Gkpui5n6VVJ7LHhHYeOcwe5/2B6nPGifSaxd+86/vq7LLetBkHTLhGZVy9rBk/y0+b18tyX
YvoRqUk8INnWPex68E4H45XbkmwDUsSDJ54MpZftx9z/8CJvOuMWVDhVH3IbkCLbQsrNzPhBRH81
VfkSQrnu95/mxhHQ1qWqip630CXGXiJ+QF6/P8uAB3c2wRvfweajGDU4inRemXcRhJhaofXDQabm
jVJ4DVI0npMWZf1v8FbrlmDmNjYlijnupsl4WbdhFkc1/EAb7VbUy21uqmLxgtmLhCDZ9AUSnS96
LO+c3W58BRubKuKJ1uAQ42xe9k/tWr896t3tnGNDUtWySq9DPUTOij1M9Lp/ngruNnlsUSp/3SEt
12HPZf7+hobiRxuPbjgjtwGpINiMFJC5yubOPKu9aJOAEN9th7EtAmcGoWVerkXWNO2zMuzLjtpY
p4CyCSlThXRaSuplYCa/E73qx4BMbkoh3AakYD3YDuOxxdnktz8qAgR8RBLQ7XBmA1JMYW4HxYgt
QEOWIVLL36E/u70F8//wUbEe5Lh2cbbX+xcYzbxf9Op2PLPpKDZNsth8XmTygPbrQZev+8jLO0vv
/6fEf7Pf3Maj1ID/KrGRZBDb6fKdhNPDMkXz27Ke/fmNxCXicUDJfAL33uIxLLn3giWue97he6mS
RhYMWrdlJ2Z4RE/sVMpoTuKyWMZEL830naHI5mPY0+ZbLQ5WJkHViPdz3YVl0rUCiZwypvMPCUDw
L+ozwE3e0CigjmtwUWWkTlPkz1+rSB8PeBZBxfHatu+qinhzstXTCttXnIQT7cXTnFSYM3kv2AHX
7CA4iTLqIKik/DVhVYXX+XUMU5AX9Zct8iqIrkYLfwjWo8nK1lOPHtRGn8W6anRpjd2oOW7TYZpV
MIagFIbTjZHJURu85bvZ3nGbDtu5Qe3FGBcZh4tLv4o+mQOsIr+P8tffRLiNfumwq5r52nGNgvof
I257zzA9/VeGbfm2DPrp6fd/5sa+YMtrmU2PfGCiyMjgPxaR+rDiTH/nJ9xq27odSKGgf7OMUVb4
eI3y1H7hbHBzjeE27KXaSBxgJopMzDSTBf8EJUS3k6rNehULEjQqNlGmSFQk1PvgEXKvsO9G3sG2
Soz6sPcRPHFWNKivn+hePrZmJqfOHG72ydzmvkS7mLkd4LE+CdMlgu15DXddt29qc1/rATq38USU
ISvzTI6anPqF1G77g62wFSwAocPmiLKJL/v56n11Gpp+cLs72QpbZS8nr4IafDaY4rvsyTfYYP7x
+yi6cf2wuS9+TFCo8qciqxbWnmUZLJeQwr27juDdE3fe8XxAmv/OH7sRVjYHppCX2SCXXmSbrgNk
4boX3oZuuWAbBEN1ORsriVVnn2JzGuLtUq6hGzPIba2thTMTddyg44WvHrSv35amcJPbg7Hur6kI
1KYEsHnG1126iEHnIKovXLTR+fcf+MaY2yQYbzcB2QAci4wRxckjQ53ER6DdgsomwYwO4fsY8jhj
Go+VcBhZkoPVn9y6ft1gfkrBlzWRV3PtOBPdDJMX/7tkhdtCaVsoztU2NnuLUYGc8VM0PPXh4HZd
sTkwXcI+zjtInMHpKUcBL9RC+OiW5rABsNAbu5mt114LlG/7RXMKI8+tBoDbBFjUkKMb6iPOerja
VNrbEgZTA8d5Ym2omHYlLToWZ1sfv+3aeTxXfi0dp7iVcJM7NRAVKMNsk91jV9PlVEeVY+jb6JeJ
6ko1shSZ3GRK2+I52hzP/TbytVVS9IJXIqNrOSYdWR+DMf7bKXZs5kuTikD6vRZZY/6cWPeu6Re3
RdyW2GohpO2HtRSZkoj2OBDPPute3Hp9PXv8FPEtViYS7RruiJOXecvftDk+uLV8XR5/ankrSNv5
5DrWnvAz4tXe0zYi3+bWOv21ddXCvGzcW5EhmcchO7BupyYidw66/59qr1yzbLBrbtUGAw+wb5BF
Rrjv3eyftlqUzzCJwfGdx99jL6ySPdp46vNWfEUst0+7wdpTFQOVSdn460XQieOd0QvCpMSG9m7T
QUXwSK2K014PxG1htTmxIjC4LAU0xJxuUhQu0gTeKW628fC6+HWYV93FvCK7yJA7+Cb89suMme30
BW1MrIPvN4i6mGd7569n6Y/rA+XHvWzfjU3YxsSaqu4NKUueDQv7wBtdJ8B+3JIqNhe2xQTONyLg
mWzjE85q3+LNzTSe21yYN8OPmnuMZzEuotB0WZD6aCLHDccmw+K4xCnHQH4C2nT/LhHE1xh1M87l
NhB2qAYq4QswP8m0B/WZoUfh+11k4kZ1FbeRMBXQsVcLZssVQ0qWq6tDKOABlBDsFaeujOhLWQTj
R7+A++ipmOJRJnCgih+7fVpPZBp2x2kb/BoRNIyoWGPFs40k1z3EuD3025iYKOee1wrt+kKs0A3q
/aSr76SNbgWDFcWFGRbfi4vgakP31jt0htIqJ5UGZuNhUiK9MO4zy0xFs1b3GSlKx6avifyfNpBI
7rPodEQzfwGh58HxmU71PQjw9SFhNheGQZb+3NEg03I+U6EeybE43UzZf7AwzbUB0hlkeEm9SF6l
1cbvNP16RoD9BwtjEi8KMUZa9LqDT+r+gxo+nI8mUE4XX2bjYUMgOzUxL8hwkH4+iHnjukIwGw/r
67X2oZIVZFOLMRH+e61ix6liBSXBQSDelp1kNCrmJPRkSo7SKaHLbBLM51JrTciOJXmoz3E1hwmE
Qzqnpzpms2Ae1QHqkSo/01vwfR8HPIzIOx2/MVlsEiyYQ7aH83Fksor3VLfXST4tdbLEzO0Uxmwc
jKvtqGYdHFkvhjaJi+KLruN79+jXs5rMFucax7GTZTQceD7Ty8eOlfV7tQ7VF77J8okN9eh2K2A2
G3Yg+YhQ2ze8BsQfUGAJwnVyWnmZzYYVQQsgcuVrFi1qf/LKvj+Fc+hWCMJsOMyP8YpBerQe0/A8
RWZ4UNJnbjPThsOmcD8aSLZiVOYWWfm+CpOuI3euNLfmphWwh5qb8cAlMpNYbE4t6dSTkVH5uFRN
cGetvLHC286IKN6f46hD6XPZA2aBbNhp7IN7t+tb/bd2VM/3VKB3f83CPYTtNtFtBlkV+W4pmHY6
EDAbCSuqZoALh1kzWg3D08oOFJ/R3Y0rZDYSBnWZHhrZGB0KHiFRQfCFhrPT+ZjZklmD6mt4fakN
pTY1VA3iMBnh25S4XBuYjYTVwTyMMAjaMp/3ywOF186j36Jw2a316/f+6czR+jGJdBMtmYi68yjH
d2tn7izHN+aj7VK4DDQudDsvWeftL5GqolNQzsZtsttiWUjXmYlpf8zU5J3n7huMYZxe1VloRWrA
uFjUsZkMOyPsPrv+si6N2wsydAF/He5lYNMW7N6YMa8vT6yM3nt15Waky2yTwiFkbVT7vcmq+FPj
tzOuao3jeNtQmBcvPsou0PbM+i+yNH+gvPXsNAVtIkw1uhlUVRuAHZ5MoOc50Em5BY+NhFUtRfqL
lwa3YuARVeCfPDFEbhuGjYTtW9eW43LteLUcJ90Xb8REg4vbqFiBuTU9hEFg65PBzixv/PDrHtcf
3Jq+BuxPMX8M0EvdUCSYFdB3SWo6vcjYcf+34a95mLGNRu2Yza3/b7GIj75av7h12wpMZI7HZp3Q
dGHU22J/9CfjdMVlNuA186LSMUyos4rM5VlpSU4wbbj3WH1jHbQZLwXL5kHDIDczeAWDWC4RD9cU
vttCaFNeSNL1ipeezvZ4+xh0JK9089FpwG2ci/kwclZ9qTOxi+NBtf537wjdqlngpmNNwkMPTY3a
xWwqt3/g7/u+hCWjW9TbPFdYxHF37LLPVlAT47xd9nVzSnozm+eqedVA1H/rshkeh2ks4uXZJ62b
qCeziS4N3mNmgJYyHG3lCTWTZ7bBEtDtc9JfR5wqKUmARH3WQRr5olk/X8JoIE55dWYzXcWqIEu+
BUO27/Ez5xldxJ0jynVG/Dc3zWykq1tYUOMNo8viovGmy7D0QHuMP/ffQtgVvydLFT2Fqzq0Y0RZ
R92wieHpSSaMExP+pQjn+NSY8avTR7Apr4C3UAkWocrC0fs2dGGbREPRuu0ZNuVVoNqVHF7cZuXY
fyKwnZYxcTvM2ZSXKP1jkFPfZl4406cZet+qOGK3k78NefFdxkExTW1mOKDkyUNpc+Qjy+k25NZO
ivUx0v1ctxlvfX3ulxE1o9D+d2zd2kyXTVctFLu77CjDr22/Z8UMucDf9/z/r66vTH2bcwJ/FMUo
ne0yjM78JApddcnQjft5Zm37FtJe8oEP5HgZ13DOp9rsl5b05Jl3Xp1tYTjBEEyq9nxdDONkZaow
J2gxDmlRzwu58BHUVzC0O0YbWtcnxXAc6OtyyWE568b7M5uh8mc4Ng0S0Uv38PvCyOMw7265Blsu
qwrCeiewb8vMUCS9ho0nn5nb0wGzEaqWHdtAauSRVFDAgmt4VzSOrvPMZqgkjRaKtWxPl759UjDC
/VGtffX995PmOvFemTM2RBUfzbrMpD5STy7fWxOf1yB2YzGYTU/NrBiQpW6OtPIpdKeIgagVypPc
PCeZzU/5/QZKem+PFBL1w2lDaeSjCZmbdhuzASqxFl4UF9OehvMWpAVr6wSyG7MTlMFsgAqJ3ijS
LefpNnfHM6G1PCl57G57t81Q1XGBh+WyCVOPLx9DJF6SKi48tyXMZqZCuBPpipcCeiSUJytOe0ld
cjdxOGZTU1OLl85BzHsK6Ht4WE3VPKyFm7kqs6mpkUMJzYSEpisPv5SdfGBGu1UtMxuaqv0Zyy1v
aNpDS3WPP3VF77bf2cAUUvWREF0UpDRGfIbVSE9I/bpdZmxeaqEGhwC4+qVePafFDP9fP3Qk95kt
nVV3ouhwpQ5SlLfuZxOH7FxTxzSaTUxFURj31WCC9BjIeNp6ZAEKKNfe2UxvrIs2NRV1KLYmS7Gl
PavUX20QreapOvzKd8sG2OTUtgQwNYD5VNqQUiYQcHyjonsI5a2+W1ffcoV7xqE8rFq91MmqzdPg
L5+c9gtbOCtedizEEQ3SgVbsofNApC8xbsBurVuH6WilDZTcpi2tpz04NcH0XHjGDYllNjjVyUMc
cxkGqTipnepElKMbns1scKqdaciPIg7ScmNPUG+CeWN7T03sxte0wal4H8KoGYRI1Rx/XKfiAQVm
92TEbrV9fVv6KbeztDpsym4NU1LRF9S3fuB76LbD2daEmnZqrLt4S0evVOVprIOr4DzfocnvNFds
nSxBdkLGkCGCIBI5af65ntVnt6bpr8PSb020RbIQKfDGt6jQWJO6r/90a9sKTg/VmpDtUTQNK1Se
RjJp/cZ1Glr54irsPVzUD6y3Qo8JWaFTepW5deu4FZuwZ1Ri7/SW+uuyJX1lwvOI06Pb17RxJ191
pZAFNjmkY+AJMfUCdpZCul11bdwJUpxA1mA/l/IAl6ASz0YvctvmJ6eRsYGnWgeUdj1Oib03miTU
0QPUmf9wa9uK0FJBLt0zc5DO25KSaX3aj8Ptg9q403Bwscf7EqRQFN0ePDbH74Zo9R0TmTbxFE8b
IFiCMdc7AI++oPXHKKSe45hbITocMVS8RbelagrpQ4Tj9KVpN+W2eNkaWMTIFqJIw55OFWEJ3tnX
pPNRy+X2Ta0whaZiDTdYuaWtWGugHsH41OFxwC1nZFsVTiyc1Fr1NPX96u28Lm/2JXTrObVxpnj0
+2AX3pryxY/fxNW+PAmyMaeUPbXlrtoFxjAwnFvT+oAH2NRU6lPIRn52GXVqI00kZhowUk2xR0dn
UfgXeI45lXpQG2kyayiZNO2e1loMiYe8zgmeM26+6tSmmnAjEoPZ0fF4HILnONrbSwGpCKdAojbR
RAce1yXDoPu8kc9EzmNatMc9IcVr1uy/6QVqQ03hslZU4XaIRaCcHogf0u8qFu0Hus/jnR9wXQlf
+xPWhupPo/KgKU7SMeyid2Ukx7MSo7hsbeRhD6FuQC61Qad4gFv5sIYkDfvqCwuHl6KgTodqalNO
yls8M3SMAIVr/Hc0ol1STkI4Jb6oDTotAcOVUV5bX8P3fuy1yTz6/zgFlU04jZJrKFytWwpL1OZT
q6r13RpSCI3/vvno9W9rM07hPvsh+O01bT29f9AErjYJ3Ez1RTWBdz5oO77IsUT9Q1tVrdMBjdq4
0z7Rfm9GhjWOL38Ay/8axtJpW6E27jSIauW6w8LfrdFp7s0/pT4cl2Ybdqrh1D3AyWhBlkBVp0Uv
SOdHbl4fmIC/Hoh5qHxI6w9LGjRifoYJ1nLBCXNwOvtRWwyLMKZn6Los6TRCCOL6NgTnO8fYsjkn
qkJkBYDApIr3NIkI/ik3x6liHYl5UOjNGwg6TlbvvF3hkjFs3fSXqE041X4IQMsv57QtoU2zeksy
++v2/veR9frND1j2r1903GCFoWCXnOIaXz/J0CuSeR+iO49wN9ZkG3HajELdiVZrukDn7OMUQAEu
UfWoQZpX0Jebakf5IchW/Po7vMnbCxQnrqk8gi8Tn5JiQarZbYyum9pPt2MDgK3pOrGkizQ8gVJJ
A7R1+Mut8euH+alx3XMFEHddsCqXHUxp43ybN6ekHrVxpwWx1DbrMKdxuKkLHEd6ZCTD724dt/bb
du7xtr/MazqWzDwavUXQtYB9i1vr1tkYJgGrCOmwpkNZipN/LG3iR3x0bN0K2L6AUTrexpb0kMOc
NAZ67G3c35M1v86LV04iNvU0mznuFVTrU+Rr2YOPFTkrWR897aJo3HYQm34CrlytS1madPXoW/D5
P1Yi3LwN8az864zsSFmLocF0D3Q9Xfjs7wnnwu3lk9r409TGUzEVxZR6bO/fBrpbnpqJh3cOgTeW
M1sRK44rH5vUsab7qPtkC+IPteQffj8lr7//tc9qRWq14e4KKc857RXhj7uHPLn0vAcf1PvnoRr3
l4kMeBr9/R+79UOsnfZ6OhDFVC/pyvznuv17Kd0qc6itehWxJhDcD9a0X/f+tE9HkBx07h37bcUt
VCtpS1Z8AOqr5eLvkzwzTt1U6qkNRZFmCbwhxirvB3uddnMFNXw4B7n13Yai1pmS0CwNWodm+oM8
zHgaIuN0Hac2FhU3cbN5vlzSISKfoDL5Njx8t0lvQ1GIp7lraox5H7Tdpe6Kl8739geniWhTUayT
kLby6ZRKFNGfSn/sTkN3p+0bC6WNRbV8bkBtxHMKb8Pt1OpRPW6Tac5yrd1yctRmo6AwU8lyklNa
08h/MEh0P0rFHaPU1rvqys7fhiOaUqi3HllxbJ/J0vV3kOJbo2NtsMdCcaUN/S1FRrRpnqDzp943
/lA/mzIQ9/7IjXXGxqTCue/gwkumNKinp46wz3tYuR0tbd2reW+Zujp8pD0ZaTKN3pg0/n6n8ev5
9JXF2CaiJNSbffhBY32UHPX14xJf1m2GbSto5g9kCrpToEv/NBSoP3QKBBuTQkVWADnqZUlHPQan
Wfjq4peHm1QAtUmpYOU7gVTImNbSZBuPXmjd3Umn3ZhHNiclmdKBPyFtLLqAPXvrAPR9DvR5gJDQ
nePIrT9x/f+fDrF+BJBBhXgTiKpg+7f34/qyzoi6ZOzie2e2G9uvLQ0VQQ6rDyZcmuOhnr/NdeVf
ZkP7cy138lwKQ5/47iu3U7mNUMU+dFKjUS9pS6PPpV5lMpYolXWbSVZgVwBNPX/jBm+n/F+Uo79B
Xc8Pt6at7bevGTJt03WXAXLTJ7Rb1D+D0cTNbYXafFMjZEV0HK5poAL1riwqOHMuvVNBDLUBp67W
8n+cnVlz3SjXhX8RVRJIgG6lM/kcj3Em54ZKZ0Aggebx13/LffW2vjiuOpedjhUZEGz2XvtZ8aC6
7iLndFq9+dmWKvhx1cBs9U0CJh+jG5IWGaTqi6Pmqa3ket18bvVNDDh/CAOW6jKYpUs7Hd80BX0n
affGPsc299q8f+0HbeLqolXYZyy/0MCbdKyLMC3i6cEItR7i8ro6MNuKnZTnyP6C73aBkM1kLMzj
lMvSXBenbMVOSZA4cJ6X4TIwXX1DgiQ4jSGo1dfN8CZiZksyVqHHLHRw6n5QS6GO4Tjnu78//XW8
/3DebNVOcxANI0nC4dJHC6vSapIsE7Cm0Siv4rBxgpIrV9PmE47iTgIIGHSX8ZUFWMH9KaVq8dnf
f483duqt9IlzR8aiWttLwBf1bDww/2Xtw0MvQel4599I/jxWWwkUqYgfVqmnSzKXYbYI9Cwt1JO7
iQ52VyS5PlRIDqdyCikQjLjFXjdyW4EUzNmDvuBdeI5nVe9X+FrvyXydaoRtBVLtONJmXsfwTHTO
UrXGkBxf2ezBtgKpqYxQ/Yvx8DIvfQoCXxXL606ErTyKt4zXLMSjEw5Wguy9S3uou/6+mt6IHrfq
KL+s41gJOl6SdcJpzwBTvjSFmN+pp72xWLfiqMUYrkUE5XE55oNKm67Kb7UX7OJmyd4JJN/6Feh/
Q5eC0DqYHfLlMze/Uc7JTA9oxt+H51+4zB92ja1KKnctfLd1116gHckTDDyExstrLSGHI+gejXz1
SemivZkW67Je1+4QjE7tWeXcr7+/wlu/3ibTJYrSDRNm6RK7Km2k/M5V8/2qR291VAWd594v3Xgh
4QyTqA9WXEdWZlsZlW1WGBtGPaIYVzyCxcHG68SCuM//d7anGIpJn6CAEcfkCbnQ75G+zuWO/T/8
lM8V2p5afAuB+c0F2oU7Wfxz3VBv4ms/KvguL2vz6oD+vZufKOmv/IS38qmynPzQyzw8u8QhoJv3
zCXvXGDfWHvh5kRWIZtLv2hsPQ7KA1FPWTT5L9eNyPazTbo1jxSerQcDFVLn0aPAr5N9sC0rigy4
4ZWrLi7LWv30trF7HqCmc92bb75INHxYFlamuAzevzAXXwwLrtMIsq16ig0BqZVIgnM+LM9JRD6J
oXgnEH0jANpKp0zFJ+97Epw1a4YTWRGWRHUt790QxDtQmNaPVw3PVkSFGp2vVqGCM6iZqSrUPfDW
n6579CaW7pDntzD2Cs8q8b9sZ3YDvGXf2erfWOtbEZUl8xLzSQZn9MD8CoT4urTqPYrCW89+/fP/
uV0TVXPtNYZE+/q+cTTewRSX768blM1Him8f65DixRtXPxrZwPwz6a7DB7GtfqqFKbBtVByck6l9
0Gw4Dct1FGq2BUEBD5c4WeDRcjaZZPF3zYP3OqjeGvDNJ1q10VhHXYTXZqhDJ9UPgjvYVQuFbqVT
BasleOIsOHNZfPRl/VlW/p1w6c+vTbe6KTNREKBavDZbw5vRJMe2i6+6XNGtaKqFoZYwzeuI5N+r
djlLz99JHb310puPMnCejmWI8aBVsZd9NjtzuGZlA5H338+GKUsahNWvO0nxOSjWdKmv6yEDu/q/
j6YLiKGtwXC0Vj/4skgNK6+6JNOtUkovQx7DAcxdumCsU+nmdbfm3XsuK2+N9ubYXAEKmYbCUnhH
6o85WcB8W5frbq50q4zKczqxoDX0nAzqxY7Jiyzmq457ulVGDbKZZja+fjWNuveTybgPrlvaW1mU
q/KkGycsEzXgsthrA2KYErur1uBWF1Umulg0mo4vranNCfR+thsse++i/cZsbmVRJboMAuJCfPDJ
8DKW7X6uh+ugSXQrf5JyNbYq1gJqQyZT5qJ/6mm+KjCkW/2TNZQrol0ISSpJ+3E4rpO78tGbL9Pb
WRk5EnuhMESKbDp3L9fN5OacFLRyiZrxYPTRYIOtMjfIq+ISutU9wYXRwRZ+WM9jPLLU8nZGpyTo
I9e9+CafNBNaqDhM7GUc7F1oyx8Nb65TbCFK+O8+2EdrIYyy/oIPCGqtAFJalgIP1l83m1vpE3wu
xqkIuvIyFvl64pq5HR+vzBfRrfZp1kWXxF1RXWBLuaTMxo+Coh34qmHfSp9KolzpZr+eYUbC04WO
QUpNdFXQRrdqp7WpRmqFW8+O1bvIqU+M5e8lLd7YVLZ2f410QQttt78QVryoFX3vnYuvuyTTLd0p
6KSsqmqg56Gf5zKLWyvA27fjdZbYMDn/74JUo8FuFbblRZH4GwFwwwb2uhCfbhFPc0mCNtTCo5Ss
AH2su/nATPJer+5rVPL/U0V0y3iauqADySypLktdV9+nIgo+tNVgnvWYsON1S3LztUpAQiO5Mn9Z
p+Vbad0dNcFVSjO6lTy1tAlUiB7mS1I5cxfVIrgp4mZ4Z7n/i3r/w+Bs5U6ij+08T6W/AO3tdmJ2
zYFV0XLQ5RJmNI7GTDdVoNLQ9P2nlcv1OGENf5/I1H9F0UF/pTjg1Q527OpYjDn/PrdIoPCwzf0R
kMo+g4VOqPY0iNudNh0/rF3srwsBtnIqlg+kTzDuZ5S2drDsK9J2Luh1u8xWTbUws8TRBHiqHNbU
uvpY9O/1YP5b2vjToL+u1P+5dto1gmNFWFUXQ7AHZwbqpx3QjIM4Wehk6qyHPUycBbYB/g2+XycI
bEmdEaLmbEx0tO+KCDnHuLdkR0sZ2hQ9Hd1HVobBRenRHHM9BrsCXJOjQJv616GR4h4d8OhSN0nS
7lS4YGLC17DGsyj8PA0qP8Q0bu9aivqyM918A1xhdVFN81515I29b+t5KGBlMvi6qxA9RMFTM/Zz
SvtEXFXfpFvKlepMYZsOk8Xdz3ZKLsFwnT8N3Wq6TD+OfaLxZLjH3PPpa3GlbJpuIVcJjEtwQUB7
kuJ6h4bTF0ni66TqdKvmqgrYSaqYFJdmbp+TXMFYS72zY7wxkVspVyEILdFFmF9qOxVpL1t7hH3P
dZ34dKvlcnQWvi7r8rKSht3NoppBULnSdoVu5VzQKcWJyhNz4Vbc8yCA1qS8LojdirlUMDNXgsZ1
gQrzH0XaT2sYXbe4t1queoQBLDHGXDD0j4IgpSncfJ0pLjb0/25FzpoqgpGRuWhcStLFofhWa3td
BmIr4oLuPRTETeQcWfKt6JHyQaPMlRv0FnCle0cWvfbkzBbzherqEpXXSdvoVrplyjwqdIW7fN92
9m725qZxjD9eFStsxVsdWUqeyzGHwLi7D7wbU9vV1xVqATX973QOao4jEdX64mk+74baA+Ku1+vu
O1udFvM60jAwQy01NGqPJsglc85flyzYyrQ8gyUdQTr24koy7yuqZIp2sOerxnwr1Fr7Wq4zvqIz
0lb9TSzXdedael0BG0DS/w76UsmpHPJQnuXY5be976ebwCXX6dfoVp3l8gWoafiMndtoHrPKxiwd
8pFcl8rbyrF81YbFBELkuQuTIuvCdTc3+XXCPrplTS1adKHgizyTqpKpjcS3uO777Lo53dy+uxaw
IPgAy7MhLL9XhH0jvG+uXI3bgL4Py0YGQDXw3D6rik37Ml7f6/V6XRd/CP+2aiyZly3Y04qf0VUZ
HUTE8jP0Wc2uqtl43bRuRVlNHZJizgN+7uch3IUNXT4mc5t8/vvQv8FBg7fLf1c8W9eGBXkpzq3o
qPgWhUI8T2USpOVA9VMd2CHlRdUfxyoWdNeFy/OSR+NTD5fZnz3MIMpDFIPsqcqSHWLbTR8EVcFD
hDj1AMOv4FPokuI48jXJBtChb9B7AG/sFca0f3//N2KYrfQL8GyIZhSPz9Gkvjakeg4RmF736M1e
EBJM52uccSZluJxX2cyZ5sl7UfRbK2dzWnuZgCLXzPEZtBKHnsyGrxnlbfghNKO/7tDeoq16GsP2
ah5iJBL08iIHuexFmb+XM3tdIX9a+5s0eRXAeNDD9OlsUA3/UDR6vrHY2HTWDEnHsqBuQRniEb0O
Hkm3tKs4H8NobIr4HDNX34NJx+66igMK8vfp5m/8Opt9AoXPYazWJj5PiUx2aF9ZjjkjxQ4EGXPw
iFB+/P3f+VcG+odx2yq/gnAtejuhNkTLIRyfq0jaNqtbH+5k2bqsAoE8XVhcPWsHa5wd3CIpeunC
asAC6Vo4FTjQ+XamBb0N9+b+o4ln/bEoluQJmrKuSqNmZPgeXQBJyDqh9Af7+dd49kkGZf5ge6KP
IHtNH0vwa24G3+bdvz6+F2QMPq020vsqr4qjQzNNW6aSjeExWfxybBjxn0pWkduq5P2UxoLZtCpN
90VT2HG+Mzh/noStOs3DYLg0jVrPfvCgKIZ+3gvD3kmUvjHDW3Uaa8cWaYuCny02jSMgBPYQu6ja
u6KtP3Rmse9Up/7Vbvxphl9f4H+SAvnS2cYnNU4FsImDm9pNDcw+IMRIJ1gm7SGe8l+AKWh+oDEi
3hc0/xXSIkpDt5SpQRHk2OWLfEeS8MYG+f+kbZ1ugL4V4RnzKX7XQqpDC1ryP3+frz8rb+lW2zYM
C4hcQxid4zJJPougn8/McncbWVHtO62rw1TL5SwiOV2Xn9vK3dpgXPhYNNHZIvt3jjBcO3j6qesi
+q2NYpg3S772Ljo3SdSeDUwq0taEyXWx61bptlScBUvM2Nmvs/dpW+FU1JOkn/4+GWCIvXGq0M0m
hnxrXRpkLM9VwHMdZbkFn7TNproXAUsTIOyHD+s08u6nQRo18ald7Yy2emonApiNkTRWbboW2JPq
FHZw3vJHjeLWWGZtFw5jDl9uLlE2WqtuCYuMCFZGn/sKaMko7WeU8X7roUn0nCKLPaz3lhex/oHO
/QKZkVnDuCBM69VZf0/NVO7bJaFHDYo32XdBhQ1rHgdzcuhqlfscVImvvWraI8rIt7RYLKzwPAyF
x9rHQRa5PN4BTQgWXJjjjEl6tGCdGiLj2xLcvKfQBCraBavJp3RQRX4AsPe3NmT9qV4RL+XQ27QJ
kv6LErO6r3TJX1wyDw9N7oNDLkDlnlbl7O+lW9oqLWdeqocW+IavTsqAHHO0JJcPYuiwPNIOx5LD
IjeWpAULm4fEFO2uc4FNQQfBHC/FKHftEDtctVhza0KTwwm4qdOCl891sUa3CX4HAIvzfs7KLlQ7
TgqbFXZwT6KdYQ9I20YcakznYwDEyXiflGquMhX7+AGMcvVAlDCncnAhSQewqLNiBZH2tBYzrZ+h
NYZHeO6Sr8SC4iaF5nTHHP0UaRP8UBH9zZeiOtfWtJ/jROoqRTtMYDLol4od5MnxztVdt2ujfjhY
qTtIEAxRyGUKMLPasas/111J4UFR5nDZbPOEDqcpX2nwkJAZCvN8nJrpZFs1s09NVTdiTyqPnx+W
eH5Ng0a+yEbB3akxPLzBBFR4S2+hHL+pJw0wST0h+dCnBnZ29rPScgL5qiuSJd+HqqlsnxFfSn8b
Svxoykw1Zmurg0fjdBBlJTp6DkpXDl6uwxQNZNd3U6Vv+qI0+YOfh/ZgsN5vywWugQOrO9jCiVrs
fGdYGiMm9jtfurZ+EoUsg0PcNSI4+IQyfrDxnLRqV7sVV9IUOdyqfvCCDPIublSTfx6KMPH/tDjh
xx8KsVGQ+dwXTYEXaUpyROqKrj4zHoWMM4/8UB7o0k3tAf2bmn0f+9Gsj0R52JIYSNLrr3RcignG
VBWjU5NS5MvHtKjH0d9SGpTsdkZZxPwwqw7NbWg6/FWHIYmfYKISkHTBXMSH3MSeH1jXJvI0edXK
zAcK+qa0DmDiko3dksg75UWiXwR0n+0BKm5gYWSFH9itriJowJ/mqFdPsCAATQpCZj4d8qaOzC8w
pjpUknA/GPVDzbAOj3IYR36uqtrCZKx2BrfdWg8osvbwNx0fCznovW2JmqBc1s0o0i6ZJv6lZIzV
L80Ct8UnGbkYh2Yg8XVGQ1iz0+ojMf+2NCcjmv0m04AnPhN9wxywA7swtza/6Xle979Y0lp2JwNb
9C9Fm8zyhH4OQz5pF9WIYapOzBKCAMuiTIqpVp/xU354rJt4DUQ6MSL9vRFBNxwBWeTDPnJd4D+W
IpqHOxFiWYN464jYN5Qv9RfgnYYYl50yxzKGS0NyrIshae5Wpvv8lFjrmq/BKqm7W6K602E2tk0w
6BQeUYzfCLTb+5+tsq+9EhU6Jo42BIfjVM5u0Zcair/wxPMEwSM0ynO53syJGyedFXFcmV0fzNHr
5jqEZPziV171h3poanZLsRkt8b4ylbLnwqBd6MsYcQ4ADfcJpzBimlSkU2g5oRopsVW4mxm/k31q
0VdT7VWiuvgG/bJx+eLV0olzDmfGg2nzuDyWE/4+GNhrpfbg3cnmSVE4JJWpDQtanUQ4LpPbxX4M
yhP63czsD2siQfReSkzMPeERalEwOB0cP+IcgiY+TIzpb6ZqmPwvAWNMfqIVOvNSA0iDTruWt+2u
7ooy/Lm2IxmOLgQ7zaZtK8Yl5XlMdroLDXFZ4Kpm+F5RMQePvvSFh3M2+nQ1MEdh0GgkSTiSGF2J
M3FN17DC+ZTEzqh/0Eg6kQ+iCcPh7EGhmY+RK4W8DYtwlD9sRcPwUw+ijj9Yznr1lYXtRO+ciJr+
Q2SxSH+PlIziJkfxsAnSmtAw+icKaN+e2BqR4NL5cfZpDDV780uM47jkKRvhSflFUNOFh8pAEnxX
9AGfb6eGIT5Py1HL4vvQDyq5l2HZ5S8zPoQxTyMxdeqTXIwiB6smyg9ULLO+NRDHk6xhSxjnO0cj
BvIbmcixaIcmvmhaUPaYwGiq5ujMGUPb7ZShCdjwAc6S4AeM2AKzwz/kimL3+nF0S6YiFCKmlHra
BmKPGkhc3BoK12mTraBPjD9X13TFd+tj23/vV0MEbgiLXT7JShb5R1ZBpPBrKA1bql0rCR/iAzcM
2Yx939ehvAXAzLVP1JKgy08OODY5ZWhl7JvTkDcz06e+0ku5pgaOmfyriVmk9lAeJ86ksuR1PKd8
dSbmYP6i6RXBCK3JeEtlY1TqExUJHLZKdXWb8rZv43CPqjSX3S5nPq6ioxjGfnjpDKAx8XECkB8A
ziWCUOubHeKmXzI+jCjVukWhySmVi9cjT7kPiRzR4mLmoypl1RVHBZiDDneGJ5L4M5LDA3uiI9h1
U8bmhDffrfNDXaesCHNzrvJXgFIWmbB0a1rKSRToyxnrle/k2HuRZwlqbcHRegIrH8DSoL+4AeNw
KU6C+HD8HQc1F8eJGlIfc1yJ5S5eeTtlnXAW8dJsujw2h7ASSpcoCYzc77kd1+VY8qmgL0TlvtvP
g4x+21X48JdwIytO9RyiHoQkYFb2xj9SMscBskChjY5wFdXykmgazKeOxHJeTvEasrME0HnBcT25
4qBaMgafPCv0uucJUbE9ajoX5HbpyBj+kI4GpygKI3uUsHa1e8Clu3jMkhEmcXcmD0J6V80LuDgZ
EkUUYpZmUo/aaY+mZTeODcT9bLkhQ+v3ehoAqK0HAPZGtLAfE0RR7TeUJ6GbmpCdkNERFNUW2dbc
z4nYSyYhvEnRJZ74Y0egAhepsWZIEwAYnyQkQL5JEVRNkT8uRU/ph3DlsyYHJoJmPjteGftEwg4E
Nfh0UERr+HRDICIE80n+jyasaU/SiHMoo+omp4ApYYdNqpepTsDCaLq1MDsrFipv4rBrJf5f50mX
EuSZzD/FotBbsI45yc8IrDn72rc4uR6gMXP0g6rXoLgZe4kFyFEdR1q9t3HvjrDCbvAmsojW4YT5
m4unlcew2+yc+YmSBw5Dq9aThrvfbyG6fOjSafRj/ciAnB5uRZ0v9oGh5SZ+WGakFp8XBhXoCTI5
Z/J0LPMYANaSLcsBjgBd9SsJQxIfSt0H8iUaxDA9xwN0xs9Ku1b9sHjXnqeFEGv+TfUCjt3Qq645
f1hdYiu0BZZlH+A3C7hP86A00PZ30YLvt+3GOcyQNDRLWgWR0DcS2dWDnSvobcAqqs2RFqPosFfM
hX1QfNAEAWUZwGQRRXWTOAgW9qOU8O6NedCMYRYY15LnoWpMPe2RFldxfSpLWx4TIXFU90LJJM/a
xBOG4GyNxU8F3BhrMj7WU3DPxyk2N3Re4yqlILkeVxfZZ2Gdhi9xIXCNO1S2ioxMp2AI3F0kW1/n
aWGla+6pKsoqTAcO71mcz6SlHSaOaLveAZiZD1Vm62VJ8ecE0p4yzoenDgcEtj/oOFU7p7ozfseW
dq5/xmohT3yNcHl3oLxdPKL0fsWORtsVKaOI6I9YtcBvClAVp5tOIoZO0Sa1BPfwK5YoBaokTvQt
hxddhJBhrOSwx4PLU4E++vljLupkmu8aHArN41SpRezKoSyDJwQKJkCbYLH0+kBcwMWHIUG0cvAt
H+RTm9T5dOwGoW4j2aMlNon1ESGXLtD5EBSJO0IBzMKHFWGg29cU66rat+if7ZqbMa7iukFA/Zpi
ysOR3JnBNuPvbrK9+GdCp//niVP5C3dTbGaHZHHg3I5UzcOuBuny5wKHoMygkHXoO6BOVNZKpSOf
YfNh47K3E/pHmmM0IJnZ3Gj4CTfodCQDG/aw/Rvz+7zO9dTvUA/sG70j0SoZIPdDS4fHOOkm+ggv
VfJimklCrKFxMZAZW7wp5GdcjIGzGIoaFnbZMsEaVWSWtJyAkITsXhTv8sj3AFX1SX+Xzyz43jHe
5DV834mlakfHmoQidRZC9K9NGJFpR9jshwIu3ZMa75p5svAL6RUi2QHFlqCk+27Wqv4mTS2nfYEv
Iv4gmZuGc9KIKS4zFBz6nW3qZUijTlZl6gh/dU7zgLJS3HbrcvxesTgMj4t8NYTJxExa8hmbrOMt
rq6kWPZrDleOKU1aOkdx2tTA+Bx5kcf53TK3jJ0mmGAO8PoG0SNPe+2Q8e9W5N7jZ5jLFO2tA5WR
JiDeDThJFfINoi0qHI9IEZx5+WqaGYEDtJfTEO8804zu2iKYX8wkyVEgt/Tgh4WQHZnx38gus18N
OobrQ28be4e1wi+RLBKUQPqFZP1YsxvHlvGjnXn1PIi4mFOwuxLc1pBL69MwgplLGqC7rUo+8iia
kWj39S9mOzYhuwvBQ9POazrrhD/JEVcshCRAroW4FR4NdloIodYI7WlT8dixFjv8rFZ2NpVrL/i6
ujCr4OSCXGuy3hQgO2S8X3tE39N4ioO+Sc3cwmd6kS6DiLc92nrUuzBeu1PHYnUUWk1na7BByXCs
stpV8V0YIl8T5rVFwAZZloxUC979GuxF14Yp+HNFJimbMljuVcdxjOqXbuywaYGitbNKhHugkDhC
BC9SJqcvbZ8UuJZF+lT3uHGvZRfsc4s9Y6BizYoexuCygpPmwpDvgBf2Z5aPPZYcdNfYKNSeIH1C
MQZEHfoiaHFjqvqbhcw/4A35GjVqXNicwPuYqpizcO4Uxl/TsMtc0TcXGMJT3AKi4XfT8PBTXWL7
iAwZX8qqm7Imavkjb2v7yTKrbuD1p85WNh77SdOljDQ8czbU+8UwwENC7vQeomWETXnSkBO6aIfd
0liEdPB66L8Ni5VpraDetVApfETTEnLknOmDhGfuqagRBEL2Na9RFhOnAKjDtXmB8uUI7RK/UFgj
1GmM1N9RVyOHvStjfb6fVSQd6EkxLNSaFgEwLrfRY1NUBrd/Mde/IN0LTl1Elg8RmhqPlRZjAcX9
ikHTJt5p2wT7kjX1Dz9O8jJw3j3ruaZY+dQgn8+nOM2xGA5NrIF9tnV0iq12e7CasdBb50+laZc1
W5J+OjjSFHkaNCr/pUtnHmzC9NdqKnhKR+LcnuVh9bn0al4OhbMdP5ugKg7G9XzYhVHpn2Ot66c6
KuPvKqzNb9iJETgbcQRmiZSf1ooQdoc0Y/4wtl7dTDRPSDqDqrBD0zVigKUYqqNBHeJ7j32wOfEV
Wa6dzbU62ljBcC+qyyDPVqOWk0pCne+rgJApFUFhw11dVTFyW924tMgc2cHvChxfe7WqJXzp3Ixz
OTXlElzCSKz9Zxr3gOwn8UjMvsQ9ptvjth5Fabcm+T1bhb5jIS8GeIeKEjkkt/wIgsW9cFS77zgB
2AxzhysirpUj8gk4J8m+F7J9BsQLPMt2gIvHb2VsUWcBYqh7benMIWjs4WQtirV71CFCzH61w3kZ
KAynfCgbfY+CTF3crwh/9b7oI/0AVxOf7FYNC1m8PeKLTOKo/875LG6gMqsOlJP2t+qDdkXKc1Jn
KEtffY8Rq8YZVofVWYl0rM0oJM8PTEz4jKbx1UdLhDEa3MuWTPGBzrFo01YkCSConagd2ggta25K
gdNv7xxrXpnYtUEE6eKnnDYdvyNtL38Gwvg843BWatIQHrovQR0JrGIUAII95BgIUwRmtdqXcum/
IcbrvsB1TP2qmpbFaSiJphmfIoTG+eBHaJFn3DKzZUzGAR9LF3w11TTcY1MIv7dNPv1qURl6nCR6
19IgKLAmybT2dxMua+cp1/kPXvbxPwjZxBcfOIE7mfYjuSyAb//OFeK3lNbRYncacdL9uHb5mkUz
Sy6h7ig2876jH4oe0VsaYP3n6TqW+kIRgeRZYz3tDmruVn/QXTRWNzys3LkJX1MgAv9YkuIRvkfc
6ZDUKJu8zBiE+OILTKKjcqfjATJXCo17nA0TLPDu+zgowMUUNfqhHrtZYGeTEfa/x3UdFPk6I6o7
x+3c7wuw1fhuDWYkXIHeKZI95AX9M5CAgLgH0SxjuKwonTytKPedkPHA3QybYqCQGJJlddv0QdBk
wi/kJCDQxAZdNZx+yXWdPKx0rj5WIaBWu1X0qs0imNm0u75R3TrgOJi75rnk0fqj78EBmwPZRXuy
OP+BwQX7G6mcOFat7M1laBjCv7iJiu60TMZ85qth4y7AffZpAjjyl12LsjhB4LUOWTsjtXfgDl2D
kOOX7qWEGPcBvT/+vhZoGtmruMrbPXIWfMw87iD6rJGUH074ieRMIXDxRyZCbncRbyvMU2Aanc0y
aOs951C4Zv/H0XUsx41r0S9iFUgCDFuGDpI6KFiWvWFpbBlgAAEwgcDXv6O3mxp7xlY3Cdx7oiCp
wM4BxcFSLRONn3Pr8IXi/y1MkYrR34iEcrZQuCxQ3xHvuLIUgiHHR8s7+9myeZ4K4wYaFYmh2ZHQ
aQGA4hyGcDpbaGC3trcpsFkuKoFCYF+38c7VQ+sHvKk9KOTojM+NJzWLl+7c5hCH2XEJyTnCR/cZ
rBbI+4DB5JLH0MUfGqJnd077XtHzmNP0Y1rV1t/TpEUD+Nr7ES8EbrbEnAEeiL6eUgBkJx/sW1LS
VWaPjdgdfA1oJgGqnWxbeMPs5RZsCdsiymzbSYsVrtts1Zj4+/6NGpXnJ77w/idtidDP+RKK4Dl1
YeRKDOhqPwazRkR479Lwvm5j99kvHos0ax3gTMSV9KBWQhr+GUSKCQTZyjOvw0VDAkymKV4vlFC2
YKfdyF61pk1vugu2/6ZlbREQ1au8xoYHYAXOEj2g40gMn2zr4ir1axfhUXebqMYEk8GExUwdstyK
4wS3X1r0LQv++C1NL0AksuToYuPO372J3Z9YT+Rlm7jELjQ18kmTVZp7KmJyBgR5F4ONbyG6EB8Q
TIZPVjkFa98UNSnAxlGK+DjOOwSTY7vyXzofXFeQMN7OMlk6Wkbtzo8+QoD6x4I8/JqYeXoTWtkn
TTuKLd3uo6nYzjg5Bmmofxo9R3mFqXdSUE6rVR+N23pcySsWs0L3UVYrAJV5IVWIfoqNCn2Jwqxb
ihmTpSxoLJcXMSLMAKeLlUcVDv6viNfcl4NAmOlVR9u01HkOt+kDMzj6gfJmmC5YO87feTgBhjUS
GYRpFAtrqaj2xKuthg4w7059QrKkBDoaywOihqStRpK0eWk5fOTJbBNQHi5xqkhaIDZFSCxO1JiO
+ZVlwV4GNGv/7HHfb9gxWrIdOjKpFKWEO2Ye4vghica8K4IcVRzYHJABV3Ch5HL2o3amGpUTWTEM
qNCrpMmWEAniuj+na5zcgFuzqhtifs0aiuckatP3ZImAV2VYcwvEOjTynQfLzIp+zweMel3+/8Yp
2vUVA9v4/aNAh1DYfOWmsGG8HONx9KSQczzUO2PyV7OK5RDZFUu/mCVoli2fXtZJud+MrAzGbgkC
obQTRu56bVucBHDPZeQuEG7+NnjfI1+q0f1L0KOA6WoytJlgWbcIsVCgJlzNGuyBpYFAVh8VWn7j
Ei9eOhazRlZpASbNvShu3FoB08c9EK3A/4pFE72cCR/ST56LfvznY227Ausl0AKiFT6kETWtj80U
d1E5jnSEGrQRgb+bhDf9cVLBZjAhL/kTlOLLvVkRDFYnY5tlVQvd1FLtad77cmoMf9nhK9hKB4v/
G4i16UuHqUNnRxd2JzaE3RH3PG4mbuSDBC4Giw22xm9mYRO31uKZQhCbG9ijMFbMD65NEw0+DTjD
aUUV8F4PnRs+DcDumqum/bA02X4hkdT9dVhsHgDA46mL3f6GZCJY1QZYRbJD3xh6W7HanPFqtbZy
MTVDOU6wy2C7GdIYsTxxML+Fii7JMZFq0OdvgbYrQQ7Y60ghC3gEgTXmv93uQ5BxE6ZvHBiT/NJ6
cn8mLyJ+sGQL3zoOdoy3JjxDuJA8rjZs0G+p2XzcfdNiQgcZ87UkE54Cnu0hFByxTsELJwZ7b4Oi
UJbM2XmDl+Ats/YWNYxWktF+O2FAUEUXOYGZwix/c7XP2wVln2NUjwn3jz1NonNm4ulpsZIdBcnQ
fQtYTjBgvuhPqtAou58VvmgApIhxPct0xgWHaa6dC7nTCbAD4FL0E0Kmf4S4O/orDEiVYgtAzixt
t/3b4D5pcdRvfaF427y7wewpHq85VRUPpg0HjzXLhQV7+0/SHEMwQ7o5Q5Q/BcuS8tZe9DIadVJL
1r/ugQDHCcvSjx1XGy7j2bcAMHcKHthk40Mj8/DFBTEiOkRA6k1Hqg4JuLIOZwwOuhiTYZyJtI4j
wh+8XseDjfHHh2QRh7lVwPzyHpeMBMlTjGkmDoCFNS9surWmWoGsvfR9jk0MKY9g3ifSXHSrMPJu
/b58bl1vqmZiDLdKMMhCZ5E/NC3S68BZ8aZUWx6dbDpu7+m+rkO5oJi9gN8hvViZ6lPsmpGC22mT
GzYw0N0gzcpxYBNAgIbHv+ah3Q6L5PwZwoGsWpLUVrtm9ucazK6KwDi/mDQYbhJtHSVgTnUSaRO8
422HYpEgL74AGhYe12YitZ0BIOAu5MchXnu8QW2DtSRDBVopZYv3UvoRI5yD2yCx4jMMDcx/LFNY
3dr1Okno0LIGc28Zgto6RTMwADLx9rLGY1QAEt2xci4IAtwnOhUoWELkb07jyknzskEUUkUxjDxs
T9lJqmY/0RBk7Dg694Rlwx12vBH3jQXtqUsGdh4GlR2WQPojQi+Gp2VgeY0S9z8jBGEl/lNYgvTU
tMWqevRxOdW6SuV7fu87Rt5tq6IKxCS5AdQdrrqV4R887HHlqVBlHG9NU+2KgOXgES9ULEjRjL6p
m37rPmMOzDCWhJ/mNhRVyv2MUzwIPqF4agBotp+hS+QRjaDZYct2+f1c0L8pjG+rqD36WnjVoaP5
WaTtcgAiDVq02fcqntL1mC4uDYq22f5DjBygmW71Z6PoXwzcX4bb5AUmUfTzwtV+3TtwVhY4/Rvh
JAWS30dVG+z5Ocun4Dpb85lopeveCLArvMkPbpDBh59iXDS4z+kbkIX5CNCqfyCoqD9A92Zwkbvu
K6KLOgGHTJ6HaXmb06F9H0iCIrYVMwD8MXOD6LG+f0RwZ/YSDm1a+Ql4xCFIcln0YsqjQiknCwfF
TdWM4R/4pWZ8nhurfD5JyFeES9J6hGd0KiFkGYvcss2WAuIJgcsewvnK9FA1mX3h9z1of0UdErI+
hR3jHSmYKRkTWnO0l5Wr8ELGR7usuAj7JAAfczeuI/xJrnMUBweXwNgDVGpZuGd4ASTbfm4+38cT
xja3vwJK7RTIKjfR/IeYN/qH9U6JGxF7amoVZm7617rYL32x257pSszCRBefI833M2sNUQ/4uOGW
ZhGUBKC5Jy1uEWLR4yc/yb6ifJPRTxeH3jxEfSgHU8SLFeYlh6FpwrW3hbglyWBC+yNfJ2G+ssAm
xhWjbsMJglX8AqYNhDnaAuHHqyhX2nFgui7Mf6/LgBmaphm/gv7sw3raxub/XriujtJleRN2bWVh
52wK6mYznSsB6qYYLekC9TJuRPSnQsaoVSQ+nekpOK8moMlwbXlj3rFQasxIA44bWbaDd+8E0dTT
c95mVhwQ2hSSMh+MvgBUiSBn6Jte/9uCZhnfdMfc+BIi3H4q8xYX/46mCzt1RYuXtXtSszayzEOk
R2LvBI1FC1zL43gbl8Xjk+YeaG3ROwDW5WDDCVRDTKGYecjzmLonuA0b/rEEymU3TFukfXeWeV34
FfX27+1o8DBFEainsI6djX6BeM3CO5QoPf8nEG33b02hNUZ8GgS0bbUxkmGbVUAYzmpaw7gE0uSD
O0afhddzJoK33OIpQbYr7YUhECa0ad+gtZkxdDcHazuiUGxpgRsvbEOwcJmJbN1fFwFypmpniJ6C
IlXQmkLOqZZdgvYlDVn/hVZDwFeDz1OUPe2DQFvNnDSQPuDeX6YatbzB+tGzYLRfOSClLEIo3LSj
KDpakVO6lwbXOjBlXE8tyL951/xn3AVgxBFPEWfBWWoxZ7LqNNRmD0MExVEPMh7B+pfcMRmeIPeZ
3HmeglmqKp1lNlznfdrzYyq6TJsz2os4xiL0yfrfdFslLy2J4dXk4wqmqZISCa8/BKCt+HlH/L82
1T6na9IgqwHt38gEDT27orQiX78k/vi2IhSf0FawBoIBXQQB35/mEH0U8hE7KbbdYowQBPaXOcbY
fIi3pPWQ/wgFyOIRtlKupsPebsDAVsKT4WLAhw1/QGCN/ueMA4v968KFgJhM2sG25ERgQqQSs0IK
qRy4rR4/e7VEss3C2ofJOGJ3EkuwIJ3ThwHQhqPEl8mHM84TLHBoWVOR/yB8S3UVz0vW9i8gC5xV
14xEqSQVwi+M/y8JebJ/DukqejDcLhn+24EIrObQxjEXB521u9HlHDFvLtyDwEbccQJP6w54QB79
t3P7RXtU3YGA3xZTgg/l2IwQlUhgSeygwC+QChj9A97fpzXeviHbqmxx0wXC6GG8hAyrmTrgLk0z
lNquDPuJi3FO4JOWg/4PL3NHL2SJWlMYG1t6CLtF4O3vUcpabuGcIf5iyf9xQdrPDfPPvoDnEiyb
S3Rl5pIfNeV+eGmSGde1J2hRwmGSdGeQW5K99lm7NjdLhm25BBri1Ieu0yjvauZJVpBNsxpF5wyz
yWayvyLv+rzY487gFeUYKzAymiV4lzizVY2ff1jrVo7hAPd2FtdhQvx6bSgAnU/GfaJ/Q/EV/TXx
7jNACyBQAWvbjD4xkNTYOUBtxMcmmSC4ClU+vGS6zVFgtSckSaptINEEMzsdPgRENustx3rhShCj
qbkIhXLNg4vx/tY6BwlcxOvudVQaNMGzd6sWG9d5SPa5wP7gb04p61WxwcLgy64D/noPoHphB1DM
KCHpYsccBpLdPJrIrHvZNEMjTogsE2AlhUM3DF4eeAlVtL8YHlj6k9iE7J8Ezc1h5VYs5ABHN/e+
R+E2YThGJOGvLczVcbFQrMU8Sc95vAD2Y5CWllE/oMwmiwheJQAZHV70NgWCnaPEocxxj/lKqRyS
OeZFigR3PADRW9MzoER6CAYEoHfDfaaZSW4zpl0MLWJZ9xpCMvnQ923qzwkc1udZ+eQPy3ciagg2
yEeUpNsrxzeLWD1rHPJIZQIxaEqmlwkagfRvAmz+v6bB23La+9GOFUybQAZTglHwnIJ9pw8QJWzP
tKUOIL8cMxQLMbJdbR90/WPXC4VpI5brJ9V5vF/Jnuvf4PL2v7JJZV/muhG0UCulYPU4rAoBxKul
zZstK7utExIXB1pDADPiH1dMwqCa8GXxovXBcNFDltQjl9uRZeneIercAoYg3y+yinKwIU5Pv4Vd
/FbOoNNxV2yap4BCo/49mjf1NYAo/It0X+VfPWXmtwugfH/uUPvTPE5THyA/1wVbfmjAkE81dJNe
V/k4SwwmNhbjlTmkcZVjCxDlAMdRF7wk0HcgWcj303+g5L5lxt9w/Vzsu1qB6O9Cg7LrOZkaMDG8
i0vbrlDAMRfnCnVVWdzjQmWkuQHAhd2ogNy1n/+hR4mHtYCUBcMWyde8r0bmZHgM9BREH0Q1yrzj
rUrttwQfAJc16K+85YCxpwJfnEy/5lz3/7WhMiGeIb+KAzImdfIIDRmu6haNCdck701a+iCMTuNk
uhnOPgALy6z085ZEBuDmBKlCe+eRovwFQFXyAgi253+TGTsFWbvtQyE68BkGx30swwTnA0xB64yz
P1iH4IXj7Hqmzc7TMk03ltXJLnqoTlMT0PbRDjoefvZUjzguuQjYyWIBS095BsjokCaARw5QeLVr
xYmFREW6jNEz4wYan3ToiHs1+NV9KlB3QnEupXTM3Fwj/B5hDzHnJnqTO8Dd/ThE0sdVD9vYnS8I
sa8pVEl4rry0shToSAU8a6McwpUCoeepugnXi+b3wIaOPQEQ2pqsTHST0QIgkjd1bJKUXTKO0fiG
HqbpLFUbU5DQk8G5tHb5/LBkzr7p2Rt03bJoFkVuJFgHBYrzKN3Kz6nESX/a3DpbdAFCwAeCA+fQ
o3Yz+n0hHyX9q8KtBE37SB1+PK4BVH4wvypa21xT/DU2u02V9S1+iqRFumeyNuNrvtv0jeRJ/jMy
eJJLVJeR4J/btcA/s7H5ipZ4+p2RLVWHHQzWVohG77wePKDjMsBYlvyJcPYFolhzZFy8ZDZhvt6k
mM07ha88OAxI1mj+jhgz0p9es+154tHwGGDUeZl1ZqBB6Sd8X0PDHDiGdU0LEtBuBnCcuhlP/TqM
RtypGQdy20LoUJ+GZgmetISiBTfn6K4aNcoRxNld31/NIsCpQPkJz48Uw1CzNBBwoQ+LZ2DLQx6/
jdDNnVW4JPw+ykmUFltCobFMb4VlSX6aRug7tzEwH2ivmfNi4JG46RDBL3eGU1FUvlvUL2wmHAIA
QzF1KYA446WXw4R+LRTqDNAt9Z0oSUZ3HGJjlCOUJN4jnFGZ8L8SFyrItdi8fqvlo/swz4Q/y62b
1GuGPsnuPInBfM/+eFUK72LAS26L2cueLC2k1xEEfkeB6V8uRdo4D+0LsMpXbCS5qs0UbVcajezC
dWPOOeYFCC3yIIpfoGjZaYVla57f/RBBXpnaRA5vrW7IWLd8h2InBAcDRNA2M78SdFPe+pCMDAxD
P/cHbhuZnUa9sfYJIr4OAPFmluYfKIVu+WXyQau3BhXFrMAgteAb8HK+NABk6QES+CUD9Lit+MV5
UeY4QScvcBGBYzrlatnseYCy96VbId486Eg3QwVq2PF76BtQ3SKAGPMqQYYh3kSG2M2LWEXEvvhg
xWOve74sMEng5mMXENz4IcY2glCxw1sFnzabk2Js/GIuMeLg5Yn2XngQLAu0nMDI/XFWgTwM0Pic
jcVRUXSwW2wlBtXlOqNy+WHKEAgzKsWf83RWD8sWodw1DxKogQIH9dQEroXVDOWaFw7+q1RrgNZI
MzVx/IGJwiVlGlAVn6ln/l+n8Ra9WT+0l2GPzO8ZjhOOWnG0eZVY1627LEueQF+Bq2MpQcRC+acd
CbvHFeyQraUJ5rNFyB7+mkald9Z8J7F+S3+ubtDtf1Oe6GO6LwT2pCXeyQkKfjYdcutThNt5DMnl
+I3yPADLbIDjNMIfKfo0t68sZywt6WbDsVzbZTxDhjC9GBVQgXnTUZdXTOHqKiEDs+K+rR4qBLyJ
C1a1lPyDdEKWclFRX+MPNxR0g0nix9gEOj/P0kxD1fcSXW5Njx38D57q9Tf3bqmh84IbgSaNmmod
Suz2dJDRdoj4rDEQBvuNmS07dLzrXbmtKwKplhCHVaUMWY7Gz+ovJqy+3lhvnxgN5QGmvbXaMd49
rRy4poLn4LfNVYcHUveI4fFaVXRe5D3sGi2PQ+v6G6gReRLhLm8maOMaZ1kEznF322HCLFR0uc9P
THfujk95WWuMhIOGmiQhS4kNF+rSWPPDysEXPGtcNhO+QDQNv5IdFTU012sFSQWyRHe+QqxKpxyK
btWnE2BBb3FfzDMFJ6KmC2We/2Ka7tGPbgqXkB4tTETRxzR1LQL1Ozs8RTNhr5FIsp8NlG+8hMWo
2YosAEmc5p7PxSS76GuHOsoXJN/sRTBlT0PcQwQjPQjacfqGDZAM/ohw8Izjs5/iP7HqE3UAuQrv
AOjtQZbbiNj1M/fQT8gw4vpEGpbHGAki5CURTp/wjWEM2KcGwqo+NIjVJfTaoHgXr5emwXJgMOfc
duGWC/4nH5BtIVYDNnj/mgyQs5R9NvVh2YiVnDyD2qjmQx+ocoJeziMTCHdF5md+5jbYC4316wT5
+Pyq+ilugCklm3tJsxFAg0cwnCr6KQ3cFYJZ6MIx9AU/ki0GHW6n7fuu9+oYIshlOYLocns94kok
X4Ss3w0EUDr1JYAJaAxtHA++WrDnuhtwYYjVcLAYpuvAh9Ii7DjEXeHh61HHnYw0qAzYUfECcgm1
PWuQY7EoQO4ZDJYdyYP8oelEM0HsM2A7yqE4Yo/psoIhdbigTzgGIcxaRt1gwbRqu2Ofp5+5nhM4
jugmdvQWU/6eQNz2QNLA3BmypGhN/aTCK8bNtalCBYn8T9L2AWBBEmR1andMy3hos5PBM4G5DQO2
KBnWR9BiIeqqKni6VlfINFHT3Y9WNADz9tAA+Z55A0UHtLWvmFS2Ff9ty2HJGNT4hpTMNHiwGhtf
Peeh+UGp2iscKPwN3QgYbRHr1mL8bn2eoCEMlJQooNPGQQA4Eac4AQlwRTYbhi6w8luN7zj8JFhM
arFSxg64KqFV4JANgfPqMUkXk+2hPLEOCtvLhoE1KXGb7vMTgtZNdwghAnH3cDVzCNIE1S6H73MY
nS6gJUlWsAEqhhJeklDU3HdJcrc77MmFTvSe3HLJUn+DkE/YM3QR36n8BG/VpcOrKh+2lM305Lhu
sfuR3dJjrppQfEWwHCCtLmgBdQgQrrYgfZP9ylVGkzsaZWeKlzoQEZxGauBVIgga09a96ZNywaEw
lpNeYDMpDLRv5tktuHtx9PMBIqwSWYFkLGdcICAj1mYRJi9dDLHtU76aiUFECzA7+IHfu9HzTjGs
ryTOnuSkVHMJp3hoajvu/D1eR/EJdxjgbiqYTatpcgzwbU5ptr6DjaXjo7QpSB/AlJBtQs5qoMuO
zXzQBBt0scEyFQFXhQag6qGOB1g0zz8imHb0Qc5pS45jlm5fXOj8IBI/69MSY18oUALqDilUnxzs
zLpejVpWefCby6aX0a99ANFLy1GC0Ag9iXrLx/5PABJ/vo6CZ3NNae6OSRpYV1g1iKDovl0GmJcl
P7imbWEeIcFYJnuS/YXOjL6YRrdPQqVgQDMRYbPNbAuxifeLO0wYJfYSLhmi38Db4qMPeEqAwiNt
uCv4sMXNaVVaNtc48OTb7LmMMQTlBGqxC0U83vhL2bm9jeOYOhTiJuyNaVRtYkcnWfcUMZgmL3YG
OfHF+xQ+Lz+K9HX6lnGBoAOH/ECBaMtD1DEPOirY/QUPUohJurf+NM+suQ8e0spXiYX9TnHpQkMA
W13VsHn3T1HX9ukhA839G8MWEt2iEadoW0Dn7H+SXvuzauAG/RMhS2R9QYverA4EWg5+y/pMDlev
9NaeUxj8ftg+Z69kHtMF8BN26OMm2+4e8TwFq9j1WwtLW942vOQ9T90tCPQIu18KSXSJUDcZ/qSG
6g34vl2Gr9y2uvtPQ3uWnVgCWXECwLnFbx2l7V9BsLL9g3e7BcgFnGquILmd478RfrB7JCOEGPMA
wNrBQwkKr1K86vANtlw/3rGf2f0FjNgmD0hX9P8y4HfgkgxMcmcU7GnWl/0U/d4gcK9SYePsOkIB
+AaZOh6yOepxqgFCHfTrvKpFve3Z3G1PGMKb7QypWmcR2MFgnug7fc1jNIjUMEmAuoMhXblj1mRB
UONmhEvRhRm5ZHqJ/qB9U5mHFBgFhPt6FF9OWHJpITmfj5QRbu4B5NCmCEYkY1eLnHcsFJbP5877
+cPKDaP/BjV28wzudlYQ7ATtFW5F/m+PI+w6EmW5iNNeQcbD2eGTMxT2W/PhUQ/SV+g620B5KTRh
5ZD7DEXOu6a/wKQRA9OUMGdet9hsQb3PkKKD8iJQT/TW9d1LsIYdxmFq3EUtI+bRCC2CHMo1BgcW
24wZ7l1k5+kHxwBIMdl0bVeqrIHXdMhZAuCIrOgEnZbGgpSwAhITJPvgB90Stlz6FZKbOpJC64es
gcGoQOeLPq9Nk0mAkGxE0QMJNQS9wSZvFh/XVuKmmBXiAp17Q1+iY4fMwKaARjoosYb/s8WNjiaI
q9wa/uFJx74wPEOx4TY5HzoDceYBOrbAPeSwzVWNjuO/Y5qOuANAMeDBAO5Ri32I4H9aV/0zgMXU
VRnShzSktCjigKOaKwAkyH3QDf7VxgqAeRQFPrCnwjwaYRGPLSo0K/wSzuc0DjmmonRtDnRvtivE
HkhhQvjL2JV07oB3gD9LQJ7zTP3INtiq6mi17saXtRvrGXVKrwkR8WcPC9R/+0rBPu85uIorgVy/
+2ybEFBk6CAkzDFe/yMQo9R0Wgf/1SKP5TAvdM1u2RaCel6CYX2aOKS5D+h2IO/zjE2mFowYqEQW
nXZnwUFDKuAGfOmrZu5A07YdsnuOMOdl8hVm/DysZyfUBWKy4EeENu7tkI/UiINKQXKUPSQx/AC9
OfurRZOoozMQUxci23FYt1MkyXsfJkl4nFBNE5VuwKAJy/W2+SmBMARP2HVfg+Zhdtuem1Iv2Mpg
HWBh40rMBNY8QYjh8GHnExT32Di6jUEWjgcfYwp8dAf4luMOIyOY2P0wLQs7B6kz0W8JzqZchibc
XmDuS5c3azMuzl5Flj4jX8bvRW+CgdS47+PH1P1fgTg37gZ1QDY8ySbASw58r+nmK5tNt6OOEHzd
AV5uqAb3qaVZFWi8ROoQs8RU0ClGiPmfUqI1fitXbiWVEymxv6Df/EaUMQwFUKVrlcH4jhiBpwEp
QfH76PEn4SRDGCWkQUPvfmqBJb296GSOQXuNxoY1kcg6csfZO7x0QO57doGfPrIlFgAD+UwO3eb2
si89bso+AT8qG0L1XnaMztMFSGuWQZAs2cQhNUgh0IDTa5z8o15xoL14nHHRjSQE+sASjhQ/3eMM
ox2EcIzlb2Qk01LsG133Jyxk7pOpHHxhASn1elACUHheTA0UD9dwSFmChnkwyepEk9BW0RyA05F+
Dl9zREJdkj2DhBc75B5DRavSH9hXs58OJ9gReLJ5iAflnqc9hmJ3705QgPa3dUppaVJG/zPgR35z
iJwfVkNp7WiKyVGDeAcbA8V0MjVBDVuohRcy6e+hDEWJ3tO+YNkExtIuiayZ7DVS17pmBdOcDxcn
dPa2cZofqV4Y5Cl9VIYRDukWatIPjiMRsT0swAEmGZaOFH7tB4ruon9gv8Kym76Z1LkZIzAkyXAf
t0zcvQ5SRE6r8ZAMkEDOczcw7NvNQCsw19Hd+cBdsCz2UHF9W1IKFNbOv6YmBZssNBOf8azhGESH
88Hvi6u4TPT7bggkonTbf4JEnX4kEexQxcDG8HduYnvKYwvKdkza9Q2xTzNslO20l0Dcdjwbytpr
hIbBDxXDfIK7Os0PcZ+5R9SXD+900PZ3j0CLqRR4K2LQMPijPOyuTz6doFIJpXxf8MZVDB05KP7s
1/QZRqbwT9CiXgCGHPrmo1ZeepJ2vJB6X39KB2kg9NzqyDCIPWUYbU6zgZ6ucJCBf2g0p7wY6yYI
RDFaHSiOA2DS8BCillCINxIo/nsUNhxKMq+06kM08Q15HL5qMn9fWxnStSYeQKM9xubWtz0OG4cu
ol907yDPbhPPX3HTmgdoB321jXvyNwoIhktsV1mJrB7cD2aOHyyw18scRtFHTIf9PqYQsREoy//H
3Jktx211WfpVKnwPFw5mdJT/iE4gkclkciYlUjcISqIwTwcH49P3B9vV9YtVLnfxqsOOsBWkUlQm
zrD3XutbZ2nYhkDiqGLmmkh47xKJhwnLTL4fHJnjzDeSW58f8bp31/4H9hxMOSZWabks3I1y+kER
YTHJpdMCttmZqTY/cxuV14pqiE5BPYRYovNPCk3tUzIKJ4SxtEROklR4EBFj6Tvp2VLuS81wqhC3
UH+dgUhwrpGsQsCnFqNzc29MyviST7rdMJBishzirpR6tGjNGohiFo9VQct44jmZI50mw/hCk90R
R4OZdRvhP1bPVIDPeDOQBZk4U7odQT2o+W039cKibhxSuM0cR7rOqCm5SrXWHYM477qwX/J6Dca4
pUqo06qNahMR4mFY5XSAWEmjYoDitM3RfP+L4yVaGmlcA1mRxjJuowGrWY9CH3sUIRjkr1ugSker
Tr2o0VGznGJN4Y5jEn8PqQGV92K2Os+ym43rSTW1Gfn9wEQk0yQdVMqgoOjUwBY9qL0YPNgYlaqK
o5w2qc3m0I5kVToUR75VDAH72hCOtKiObT+NX7MFSfJsK0bpNG1NwUPtU411uK/hRo9En2lNhyTJ
zKevDD0BmxiUDFgLGEhvzL+8C0Q3VegQ3WLB6xSnEle8zAWFeo1ApqLHoY0yLm5hSazHrh0RnOWz
duLnQio0LpsOV8flRiHd7mM3Li8cFGcn4BpEoadYp+YUQU6vz5wHxiIZNuVtQ4Qto2JkcLE/29/Q
jEw9NiXVPY1UwN9LjqOvKYjxfWWY1Y1c/e6zLFwWzzItAZ2I+lDr7sbJyFutDpcy0R5y22/flsqo
9qgxaVKPmmwCw6VP467exrm2fWlhloo7OtJa/b3COv+0xi4DE1s5HdeSFW1cbKM2LFIh96k3ogeI
DY2RuPPck0N2rGA5X3eiKFAs5vahp4cWcR7Ft727LE9+Y9W09PL8iYrdexwqzAdMF7Oqisae948Z
It3XjOHRfQt9h5WOsP9tMtlDtN5C5IGZ69tqFysiBq9pAxdNza5KBK0GdIc0L2uZ5MGYj9pJZzYR
ykmfaNRLQ5CQapA0SU6vDD0DWdZBN5nzX9C5Rh9tzKaW0WppaIDSkJJ6OLqoHS5GIasjOLzyzsws
N4D+kgd4LZEu+y3qlFlLWsDVnlhfuRQzYPeZLmYUEMdcGeALVhpmNxzOy+dsseW91uHyxZLSFEHN
Jfho+WY+H6CL+SKit7wmFwUUgZQnW4orivZtgEhj72xz7n3C3qxk1A59qmiLO9WzPnnrdtdcrW03
l0Zzx0zUO9t+pvJPSatMUApmHsiyMY/StFr3hYv2WrHv4LUIsqxpj6uDsRFsDqbXyYasXazNMN9T
SvDWpZVurCGyMdkf7RrlDMIN4VHJp7qyaGyV/WO5DHmFGs+gD6m6FZoSnCM3OTh6Pa47bNxl9QQC
ecyDPkvkpoXw8+RbOcUZT3LdSVrYLrCU+GFccNfrwbK0mRkJs646fGr+XFnAO6jKv41Z3lU/VOUy
TaWJWpQXy/bqp85bdO24oJWpQpS0M8WzR5m0EWlqTZ4d3xHGF1yirsvSc2u7vfdrPbVSao5iGU+l
NU3ugZhFvyJ7jnckSDlmnSBVwt3o/ZMrj9i863s62P69JCf5UU3tbOyluyBy4JI7V1eaqobpEsNd
fleTY/V5HZ2lDMjFnbLIdKopjkoAIcemtdrLrC7oe4kabATTXxTHM0szSIvO+5QpidLfQmL0LSPQ
NT6ZDVf2lxwQi4MiHaAh+qhleV2oqDuSEab+FZEt5KpxMCzj0pZ+7B5o9NnxvkMieJUUInudMYE8
mNpifVYUFAwmkRlQjdppZp0GzOzLTkIQAD2zCOk90LWduoc8bgKG8GU0VGxGredfUrt1ey+ndI48
5PDzHrQVKmrG+uq+oW0WGWrVrxfM4FcMcGwm8EyX1QHTip9QwcUw97FPcAwUScy9JJ1+tMwlDk4j
7CyoBnu4yGNhD7tpAqWEqTf7PjiJrdNI9aZXun/5A07e6canM1SEnT1Ra4C1oHozGvsYC7Ood1SE
7acB/tNhdFPnsoqx7JfEfv0YWhp9h0RME9u0xtij4vWufeW5xqFcVX8tEFTO+9lBnZD7NCH2aUyJ
xmglxzvoI7Wt/cqMPOSG9gkVAN/LbtToITw5t2UUyXxw51GVI4wAznIwVW2HQ4d2Fg4Il1eWtql2
a1uxRfndjB5a0ZP9mq54FHY4WOeD7FydwcS6XMwFXV/aSUl8iiUDXeii42tHMCJu5kL508XgL24k
Kd8iW+b1DVUqrBOUBOWpyQmzYIgyXZdV0Z2cOE6v6yaP0Swo88mtNFGc8rLCPjvQBr72VOcfzNyH
GaPZj0JvlgsrtmwmIHHhnwpuJtA6luno5nPv3NZd7PdXtAO4yGAlz12jCbtlBt/ja6lLwMKKpr1r
41vMGOvV0rMw1eA1Ud+LChoTs2FoF9UJa6BFfVcj4k0BeVxlNNwZkihHfIEMzN04ztLqLUYOyvR2
ll8SS5WBv0FDgror3RfqALGnU7iGmLX7my6VCyIFEetJIDQ1iH1i5jops2ZanCfUWofGANild3b/
PGMi1i9yDlPukkMbDq2wj9Y0yBYFb6m8sHELDeBF6exRyH8ubQx/jug+V0YrrgVwHfAQ63So/dV+
HDK9/0bCrLyVjl9fsDaaB2tdzYc0hb7Esak7y47gCTfbdaTr4O8ucn7OksknvWxP2mgUq2/YxpdL
s58nUI+UOjsWk2BXXUxjDLDJQWVaACFcI5ga3QCdnneqxm6mewJ9jqufN8tH35iriOsQrYa2mPqv
DfiXM2gAWB9qWh5sAa0y6FtOtNFV46Ev1vainy3/YdVq5wawgP1AQa+daTtblwJlOLYPPuj6pCt0
m53Z1sUBV7oLEHcuyssaobIIZlor2dkqy/a1k1IcLbQFlJzJPB5ykC8HvE2c/IvEHEjo47BbMzUd
U3pJl14dT6HHpvfNhnj86Dn1TEukxiFu0lIOib1TQVqNnMjTgsMtz/2jQTwLDpMY+M2Y5s1Lb3eo
oDsMGTsbbebBlh6rL9bddtlbvj4mR68pukdXGsWTjtkVEVCtRYbWYovq8fOGEt1Buxt72p9Nj/Ny
rfX+HuqcffbE70PnyehoatES3DH7MqhryZu8zj1TIeKxARPEK7LcNB/hlkDKR6dnxepyzplQ1q3p
n0rwFk9kyIKgMJhw3CStI87z4E7Pfad/X1YzexaOSO9dlRY3jpN2YWJQ++nFUB6Z9DpXzKP6iBAc
B/qpF7fHNregpcWgVJhcddu+ResbMVnyJU51Q+0VdTUAwByhOkqlrbXOomSU96KLxf489YMWabOV
X9FewHgqhnLvmkjZksYbAV9BnPnOwet+czSE2QtP6g1NDYFk3h6m61STy+ugzcnlsKp8j/Fe4CVo
aGp0R+iXtBODKgNAaV2UBkifJfIBnueY1jNwx1/zvDHac85hleLumOyuJ3kCyXK5m4qumuggaq4d
X+tp0dA/KInRGO4RrWVWHoCXqMrPHmUP2yHL2ad3qKfQl1hdKCyqW6qo1YaLEacKIxLV89pfM/Ys
SnYCg6rghvMVt+iucUo0a1eMKwn7i1aQDQm3X5JbI29FPXSvIdlp3v57BOVf0Ebfxx2rZELU4JIe
asTGtY9ErcMf/LGX3hCk/wRVRaAviiRLxQkZ3vdeSHfHnVXsP/bi7yjYWvc7wVIaJ2twvlBKlb36
G0D1X0Bn3ycem1pSYNnAY8pgZkY3A41T1/H+u9uFVer4BT/2N9iIoP/09iAbcDJoiAbM2cIM0KEf
aleMf8NG/quP9R2sGiZB5U5La5x4MF+6fj7VUv8bKO9fvbT5889NgSzcsqzFCbsf9qZDX6oP5puI
d4BqTaC0KAppn2gv3fXbIKbXp/aDT8w7Zn2ixTRpZWGckn64oc/wmTvG3/CD/+oteQdxXWJEPkjM
+CgnDeNx8qAViJc/9Jjo/s9vtzPp6B4MJP9NFX+11PLFZZv54Gu/W6FM8NBsmO5AOwoAjdmIi0z7
IMX/PyUem1gMDeSXpxR9eGhmhglOxZMf+zD1d8BmpOAezihs/VzTMewUEUKejzHY9XfrsupaIAOZ
3dLWAH31bObL37zb2wv8F5Bp/d2alKLRUz1325ODjkCj20ccKldwFWWwUD+YWKG/W50WxFUbxQ1/
iCh+mG11g681/NiT+G51zsXg5b2o21Ppe18K2dyiV/rxsZd+vzY7UxUVPaoT95kbnfK5GT+Wm6K/
W5pzN8CSM7PlpMP19uZbeyk+xOkW7yOPAahluH6T5ZSQDhdaYsup8JPpQw+4eJ967LZC75hRzCx7
z7xh8t9doB4cPvRRivfBx2mPTrb3hunkTONlL5KD3uR3H/kohf9uZfJJrh2n5HiquecRhPPSu+qD
7/i7lemZwOyU6MdTTKjgHtGIvXe7xfjgO/5ueWajwLmNEOUkljy+ljNtAwjs2YdOTeG/W5cFIILO
NtFd9pvnuR2ctzi2P/iTv1uYOR0nrFHQT+0U45CvNdRllVX8zba1/f3/87Yl/HdrU2pVy0V+VRAS
kVtMiHgQt4kPfqTvlqfn92kBgbMircNFeJ6cpdW8fuhBfJ+ArCW9V4yJ7E4dhqa9WRburhPAqT72
6u+OTiuZbXDKQLjZwAEeaMlTPufTh44g3tefz3wyCVfDLob2FAuxWatcCokCLNDHfvR3K9QTrs1L
Ns0pqVcP6MN4zbCw+dCtVnjv1mgNzycX9CpOGBsKTOdxJDBsfvDF3y3Roeyzahg53DK9fIRUQgVf
D38XhGr/nrLyXzzp3rs1ih1JN5fc5o3B7/loaPmhsYZPyB0QdLQk1gmhNZv41r1o3fU0Nwx/+no9
255frRFshOQT5rziIrcZWbpx71NnbnMKisxA+f13e9YJXkTfuMHTZbB64i6WqFHgDTxBi8QnKRf0
dQOKOXsx7FO3QCqfxm/uTB8HJ96Ovot3O9V+cVPqKPFQYc3XOAuykwsYaZem2kU5WA+Z9G9yAn+G
afw8LylNwrVAI0aZvdb8sa1ba9OjV9dFpBw92avV96NC+ltLvr0rsErsy2QQV6uWjhcCHZLtmDs4
4MvlPLtJtFJj90+w7I9mKadmh0VJ+w7O1iVgwB5PKKNO3gjgA2WdeWihKp5xVTZ0+3KgqGl243dx
fAPbca8n/fiSLwZuPeWECzGbe7Tpl8KTzyu6kgtrKG+0euwjRiUavZFmfp19bgaOflnR4en0uHWP
QgMugz+Q3pyXbdRaKiggBfOImFDrZ0wKtUlWAtR9zCbWrkrjc5YMiA+bS9GWFzQN6ofZi+ODrSEj
cpBkX4Phwqa1IFcbodtZxu1om7ejZ08RBXiFAdKdcSZhbg5qRoF7Rm9D4OR++TnPrCzMlHYQtj7f
FsCa4Ildtz5I0KrJn9ay8gJuZ/USMYg/wt54bLek+rnGDsh9M/RLr1hCWMG3Fo6SAIEj4B45L0dl
52DZi9Q7Qxic9rlYzhq+QXxcdiCSOA48Pv3CNCX+NmYQ+IGd+RCDyjw6pkA1X7sRju3+Ez3dbNeO
jKQRpw0CEw6Dhke0ZxmGPGhSAaQOPXImJrsBVlHMVY4hLz2zd2ekBFYHMhhRgTKhi7fdos6xr64b
nsiNtrr3fLhzB09y1QIMM9lBNS5HmnznKamfJrUcROEN9b5h2OVYvlPe9+iKzoutX+WgFfc9+Nsg
dX08OAIW5Ag49RK7jgpUpz8JA5wJuVaoO8ucmYftVQUSNqQjLkJxx8O6aiUHCPAHhuebCsXjXW2H
Hz5agrByMRi7NAEvBjw+YceYeZc4KPF4FwDdDvrbaq13ShHlc+snbg+Xu5fAcsR8ZuC+ACiuWcfM
tw1wxzuxzFcL+VXAPZZuxfDHrJJprxrNUzKX9rM1DNj6pKc/wFlwzvbUMHAGxlp9nsCX8CZYU8D4
2V8eoLFc2TSWjKe4GSD3NxeF6ejnDEYpXbdejwbDv+20nGnXlJ9hVKE7FBeOiQrJn8eo35Qx+LXE
vrPlbrCKnI9gQfWXJQBfMOADAODBDjavCqaO+a4AbRNVU3ZShXnJjOOrm4zeNcxWcERKsryXtV2f
16ws8flnmX2AZW8EzUT+8Nilp0o3nR/g+heYCTBbSU3wUUQ7tputUTdm5tk2UFmExjDrEQDiKzvz
DS8Epo1GD7zUHg1YrIX10m7Xqy9pSkgDUkmyslFXvIm41nIAJN2nLNOLo+hrZrQYGM/jGn8qM2cz
PK0I7yx6b5FRNScUQywQaLL+sDUSG2tGUyagvnU427LYOiKbf8XxJz75GpUcGmwCNlEpdKEGgYuM
5Cwv+fWo39iQG/bztGiohtp42HZmVJMe9o6nFPvP3uulG3qFBP7iJpLPIsUttmR6fe6X8gbuV3xF
DsGNxj7e1nRhTVNDbWwkmDhxpp0JWQgFTOwX4bTHupBHHjDtJsGDEsVuCsU3Zhgzt2bQyAotk92B
hcK5xpqOu/V7W1tNVPRm8TAiSd9xYU+eBWqFh1y3nGdZD9qV3vhmH0yDQs1Q+s3wTUO6I8HE1N1j
LIc3rxq0S51e+WW/8FEynxpOiQZjbeETDTvlrvfcLNYIIU27hhqS1x0GhvHbaEmK6tEh40rDUaFX
WFoWq/wiFrWQEElyPR1uY++vKHFSX9YgyOWtmnCWFYp0NNNSCao4OfPJWI3jw7r2v9DXTY666rLP
pW6q5jRq1rgECjzxOZ9G3w1MX73IXqvPJmTs01hNiXsqem9hTuao1wGiRlD7akVEZtmP+GvRsykc
dQz2qxBeBxYpoLvYGWCqCOGBj4BTdPSR1hzWoknOYzldjLaQJ4ytKWbhzrotXJ3k7aLsL7RaP/dk
uuxNux/cYKmSWxq/BO6s1jChF8vNNHIIsRgb33EvNTDY3ReXqI2gmGVysFsXPpUvH8e0FJ91PlK0
6RX2IfgKjdXa7RMwonUIPabHZujlhvtcjhvLvNN177qr1iOA4eVo2SgVZ/IMDh16WxPGcfGaFClK
G8CFNaNp8wecCO++kYylVZl9N3VmoEEFTfR5WGr9siWj+nmUqtp3GFbDkg0ZcEKTuvmOi00ZpNmg
8DFkgBzyUow32oBmY4grcEuu8kxmecYjliNxkQBCwzfppk9u16Kgzitm5bVdgbm0ZrH3DVxVZqWY
6UGvu8nVuN5a+kr1wbyRDS1Zd7hSmZbqgE+ayGoJCwi8Gu1TQJpJuSOcpDpXeik5wRpTnDEb+Sij
27q/TNIZEhORQ8PdhJ/vsWFscUacXz/hAxr2yjaTTwWXY+4LQzupiLyb5YjOa25OhSDfRhdmapOj
1DMZHdKa3Sgvm93UUktrq4U3wUo1xB/+Pos7MPHOYoZTY11NMGARPqC4L6byyerjCQp/fMdoSxP4
cmR5MDhTueaBYTEH/gQUYUgNs+4p5l4WoIGtb5ck5zOsXO2PQMN//Tb/r+Stuf3j7tn/49/49bcG
QRGOAfXul/94bCr+/bft9/zf7/n5d/zj8NZcv1Zv/ftv+un38Lp//rnhq3r96Rf7miH8cje8yeX+
rR9K9fvr8xNu3/n/+sV/efv9VR6X9u23X741Q622V0uypv7lzy9dfP/tF27u//rPr/7nl7Yf/7df
/neZvMmMMu+Pl/rz+99ee/XbL0L86vv4HX3CcjhdjC0TbnrbvqJ5vwJDdy3f030mLsLcMumhpqv0
t19M91dk8f72j2npXOS52vfNsH1JeL+i5BSWT62CCt5xrF/+/Qf76YP5jw/qX+qhum2yWvW//YLR
/qcy2TVc33F8Yfucd5hPbO9dMc5HG8uqICliQrBdPEq9tyyMPrNdjGI3L8YESMprQYpQ05kxDCiI
vqQ+obzlr6v5O7DumjKvDX/RX5hlJybqMUZF+A7csTeT6hl9xRaM4FvZgvBMR/FYydc8HYR+57qJ
jo+0Gjaf/hfk9N1Yv6SyBH+H5sfAjbBboYNbTy7EEYDxFGo8zD3LOpwQNIzhzJxw3Hurz5WvZble
wl1AI8ZVYEyjpdHXhwXfrIkkL03wOeP/CYQFKwvolEUc5tiM6XdYLmV3aIBMpBdWjjLvLBwSsAKq
ArIE1j4n8kXMpGof8bnF+LB8AYqDS5VW4qaxarvLXyw1txgPklSuztE1Bif/ZDUGXsN9ObqTeEDs
CxmxLywzueqGimhEv/X7I+68gksTCBfIrKpmLMSn7uh4RgenPlZeqwdFNqoiwnnCz0LqD/INo24R
AnSqKtllIa5bbBBLe5xbn/GPR8wHUl7yrcRBLJaXIKAw6/Fgmb3jBNqsSN9h8DkTNhIpWWzg7x7x
Kl7KyobPtp46fFVxi8y2JfyOAf184Tlb1jzSLvm1IFME4CJIOvbrDCmrzt28rjesXgexNVXYP4SQ
/Snhfs5eaXHzmh+WVncRUku+RkyWxgkLh3AGWmavgj6yN9Zdda37GaRL1Upjg1H7i4n7OuF430TB
ek3OGM7endaIVQUVhhsiojTPa4+VMEEdEWrfFRFlhLvucZiCyc76zscvs/TddAJs0l93ttdrB32Y
LcJi67Gaj8iYbe+O9Nh12Zclh0sYI6vqgn4kow5CQ2WLwDeW+slxFucusZv8pS2YDAep4xlPzqrP
RpAXbnuL7tzb1HGNOmsx0uwlNT0PQwZInZ1P8ATKNbuFk70aVBI7URb1JwVI0bqAvJr8QEeTEwWC
EspD/J1Y+jnO0R0GZQ6TItTTvnSOjrcsZZiC2vPDvnG0Gwcdpb2b8ikTAVN0vz7ZbZk+z3k7GXuV
VeDmXNPxwO1apP2A6yPFJ9Kruf9WrDaxUCty+4LHtdJuRWurOgDERmOirHW/j8gQADesROt8ET6g
L7iiiQ+LCkVrDZDJXLCVcN3DjswRnXDNzAY4d1XqoEnNE8D+U+pqZPxZwnkFvt0/I9/SfmwdRe5Z
QNcBFblGOZEXt6mFsI1P8Kd7eNBRh8rhnu40EgmwN415buY5fYGq6wqsFauaAn3OsmRvIrd/1WDD
dGhrU7OLNMmOuQOzIQ8Az+Jm744osm28vfhb654IIVbrelk7Pfk4XmcwHjeEYS2Q5dh/4QDo6WqN
J6sozQzNJpCyHMmp5XSRg3x+OKyDP8c73W+V97qJMf2ThsQP+S2MK8F/LNbatJ9k2TuPCJBz/QY9
b1/eeaCWFNJQl6SYkBuKqgin8Mohfp1G0j7iIAGlgF41g2SUfp9R+3gsrLVbgxR1FCg738HNat94
aVaADsBOqZvHZEiM4nOPugdeoAbhleScvFzuoc5ju0a3lK6XVdP2at63c6u6hyI13TKUIzcoNltr
7CrsvFbNvs1O4a2AP2ffYCYwE768TBA/wd1ArJJ9BhDN7dm595jCNPfU+g76L6wjjnWA2pr615kA
chaOxvaWATe04+wrSAPfufHi0ocbS0bANIAd8Kz2YjaEcj+7maGM47bpMo0dPC1D15JjZUtQwbKo
YHusBMVsUUIaUkjcC2aUyrqFj+BZBSkYLTPR0Jwqi0bjRNjfhapr71Wh5X4ZIWNqD+NIn4mNdLCg
mTjDdLvMwDxSoga9sJ7zBRBvz6kSEJBkpM+YG/QeXEw8QGUxJiQwqQahJkwHeyqvva3lcRgccE+P
RFNIb09x4My7yZqSB8cYxGOJjoNizsi4g6dajXUT8gcmf1jMwE6IwUqWXUoKDNCMecp2Za5VCcMX
mGG7rjWmEamg3XYsxabVQml1xV1rGXCrTAwpTyP4QqgBs9VlSFbB/u7WCS0xSlhCp3A7pXMfAssZ
XZIvpOtWTCxBT17EZeNbPEJSb6mV41a82BltlRCg2ry92ZoN/LRj9WDTKDt56EnVLHeYXuItthJK
w86GX71yB4V1GkEk940dJGJcvWnalPdpmeV2aIPciXRrAos8lRwd3NJlkhzr1Oo6ZsqNeLSFhdZK
dJrpXIneGsifpbQxD5u5+0cFe88BVSbFF55j2KbI+40krPHMJjfDKCbkyW5FoBxUpfYKB8PypJUo
eqOSd7MAx0GeEQpvwnUUl9pU9Ps0tXjHdT0r/dNaSS9Kuq6pD0aWE9OBIw6brSrcHgWO3voF0y/o
4jaRb3mqy5vaUYQnOhVNoR1cqPEhdwjL4xSwxA/GiJBFaQhMZkgd2wOeGtoZzx768dsyH72cfqNv
FxHv7vi4VD0cYILg6geAIs6XtBOSJAubnLdAYXrHm0JfswhIeBDgcS3HNLZLjpPusRjo920tASrC
wCGRwqSd9nXF8OYhrorNOzG3g3ka6FSDWOVy5exHo3f7S65Xs8RNvXKehwa7wJYu283Za+l3Pdo8
5QkAJfjAkck+0fWX+YHKI/5GKgOtTj3rk0dFiwfttrtm9TXJJ93wrYFW9MOKBZ/smBpOGZCvouEe
GRwbYxJZdJDyuc/4WKM6+5hJZZMqTE/A2fLcajwwSSXKu9haCu1Y2FmGk3ZsuACugC8aONxmRVOo
nCDTOn1NSI/Sui0krjJCFrTcnPj1rG+aaVq1G+sXKTxpNB0eSSd5heKkNyH9Ccg1CfxD90LhR3hp
DVAWN6JsXSwdFfryBy3VenkQZiN/+CWAn71VG3GMU2hY9FMxeVkZtZVRs3YzOTl7ygJnIRGjL/NT
BqLAf81I9dqaiCBjbtfcLAw6Q5q0nwkf68tbw6PN90CsRoo3ejdVtF0Wbc8EihtBekg92TYzETd4
8pFARb5mIp1lSeppnuGlHdfE7M+xTPMf6EP1ZZfA4U0PxiLykiNaGusO3ZC6hmu+mvj/E+pCLXdp
uSBMRJRJL4FvmUpOxlNqShQLHqzY8ih7x7rioCXigAtQGe+01Uk/r2VR3HHJioHWJOYgdjGNR/3C
5Mlydl2PKDwYHcN6wbzsSVwcqMwwdTqkws0+l+igH1rvFR4YOluvURaomqQh+HtdKsiCnHPTlTuO
8mZgpJLs4liMr1xeljnK0rS0g3Wx6D9QSz663VroQTx0yV1RTsYcNpvncAeZayUCNm/WF7ZH6DuA
CPUKFayMo3jUQHlXJu8rcvHUfSbaF3zs1FoWoYv9pNm7AR7SD/ByY3toMaxWuya35KcZ87YK5qyZ
iRghGeqlE63+lf+DO6sj2M52WQXaIBo6k9OKSD3POwrbbRMiEQz9q7AdRHPeEC8djoZ6eWiqBhV0
mQ/md7eEurZDyq1jj3BamQVQxmjn0o/nxE+wA2BxwJp/hH+WSHJbrLE8FLoGmjkdCvm8NNycCQhp
HESOst7sLTR4XlU26285OLuRgAJ3APdc5lxcLQ3myq7ERwQCndIj/WO29j+q2K+ybxIL8A/1vh7/
qYS/ad/qByXf3tTVa/v+O/8/rNypnP+byh3q4iuni3r9qdrn9/xRvbvWr57nQyqzTCFsw7ToA/xR
vTv6rzaDR99F6kBlb25B8v9evHu/ooJ1sHJ7kFhcJop/lu6G/6vpulhEN1DcH1/6H5Tuwja3yed/
DP54HOlaAVbzBV5owxXuu1H3AFe/tzUt3ouanrtmerjjOXxgW56tLCW30J5OncpTOlxjctLG9KWw
cp2NmPAQAyGCkLK5apy5KimzHDsi8ZGnbEjAUwcNxlfiJ3B83mIdiEG1jhla6wkFZrlhnvuRlh3O
e51X6Qy3IHdkLhrjm923lvxu23K+XOeh1z633C0T3Jaqeh6VO14py/2KxHm4K2tSOHeCzbaGHbHR
3TDO7pPB8S86xw9H0EhFqGuJd5dai8YYBBNEzV2gSUiMBU8hcRwpb1Jn38u89ZjRuoQmUYam1w6n
1uOY6mVJLD2oxcDuJo5fLbt111kP7bjn4pV11xXyYvZY8zKNhy+oqZtwqCz0yGLO5Amj07m3oQfu
yDum+0BcEdFf0jmQwVTshKj3aW9ekrOXH0jzAN0Biwsnvq9j4Q00v8ZfPpJm8qlfceEsRohOf9s0
8wRYu7VwfAI12HoNNDgbmPnQw0JQ7yWacUX9qFfcPJDv50ynHhIqZDksMMFa9qtqZ+uu/CTh+tqW
yq96XpLgv5UAzYvYAy+5X/Q0vYHjRe6JVaL2xxVu2UHXgXKBpJT6dHawORIk5WTwZdLe/qRJSa9z
QvGbBqaOFWLO46A2jAkf4WAv06dlEekDLmdF/vb0iZ4FB4MzWFXEjppHg47txuZtu9VzOASAIJKx
vW1qXISL6IyQzdIIE+lE3FtecWHC7hO9frDxMjkGx0uUloM8jBgbqUIFXQWaX8xshsHeF0YDyqLl
kRlPk7LT2wT/uQ44xZymC/q0y5PbIzsIl6y97oFRQow4NcmEg85NEmsgRq1s4z2dGeDQBVwW7hS5
yWXIm/BzlxdSFZDSUgt59F1ZAbw+tanIqtAj40xGNn0nGdo5V7GAaF1Q0rLf0dsgvc7ZigjuX9mh
h3Y/zFP8xTfgh2VwrsldHka0+TaMTxtz2Eyv+YF5G7hHbQaahaXzUcSre5MPG+ifTaP5PrdOFvX0
FrCu1OQ1AZ2AEAipEQzktCZDqFoYi+RQY47Pli/ZWP2AlnJoxTb/V2fSrsOq8L86hTlHReuqXSz9
/8PemSzHrWRJ9F96j2cBBIAAtsh5IpkcxGETRlIS5nnG1/dJ1WurqjbrNut916JqUZSUzEwAN/y6
Hz+zPNI/bOBCARmyaiuqcCTwUnRpy3UUV1SFuiVO3nKYjPyXxcW05Ts9T8cbo2Na0XRxdJ2i2FJH
UdzSFzwwbxz9y4LadDspGTo9lgQmHhTpVnKcDMMzZ3xiaaT0y54olQ2Id0nao2GJHACeUk/hIM4U
SoHJ1pyujn0znHQ4JqdSFpDeSyh2cA16NweW77LL3iJ2s95oZZ2xzC9bNobdAMNZiSjbYWhrPkUN
jmknbb/NV0sL1mNjx5Nz7K0+vQo8GBSotE11CcsytjDozsUDhRu3DhYssMauU475NYQmbnXVjDdn
tiqVs3L9G9fdhnjGge33kswu97m5g8osESUpRrsacxgxlRnZb9pYkrcMdKLeDTGYNvY55q1eiyJN
zk30gTRT1uybmm5cDLfuPXT36Y6vrH9Os2g8KmNod6K15C4nvrdOTG80oOYQYoN91jWHheOcYEPI
mqwewhfL8rNwg2sXRJg9ZcmuqzTlxHZDfp2ut8znZtdR7nmjg/AWNzg3x/Gzy4DtypaSPN5Kvlhx
djMtNqgckONPcEppqYdxjsIzuiHoMFpAlmPZq/wOmH31lijK3leN3+7ABYKxDONm75bes/RaDsuT
8wwCEjpy2IaAx/UE1sS27rPqBrsavL2b1B5VrEigypdv3FGbYxur4ew7FLuJgd4oULAX9vsOB4SM
DRM1OZWgw4h9GUMqHTFJt20mF72mdTgguE5/jgjVn6iAu3f8qG6C2xmtXcFoi8m6Wb7t7qs4dq8p
s/hRUnP6PgCEfFl62/WC2rLepV9fe1g1QRFVY0BA+IXvtRcA1blaqLRBatpXtzHpVVqi+gLh7Vcy
pz8tNTK3K0N4dNNpcQdAzWUgC29HFfrAqfKw4GXc1ENZ7BPPfuSh5B3jIiMiG9rUn4oqfy44cDQB
5X8baYj6XHH04osLBx7uP3vzAHP28llWzRq5aF22JsCAaklYenPeYV5tjyMllKRK6nlD7pKgaToM
xDIbamLglMG7r5j315le7A19uA2RlfFcWvIipupRdyio27FF/XG5vrR+rdH8bEj5uUVQziUKaxQk
9hwf/LkRUhHIgv9G0es/FnMonrsY8HncWcX9Uls0BCQcaYDoNTHzb9z72bJym+JZK4KkyNUL90kI
U215JWY/BYmQJAc0U3JyjHhwfc5dBSgl72TU3CKZ8xPIJRZaMQfVlmh4/z2gpddbu/adYuW5tfix
9F58lAVX0uwkzBYD+u8ROvyd7yBSuwtrsEDR68zaQ5whXSUbOUbnybttKiAidNz3ncIIXEX8IlVO
RIGvDaFl2/qavAtcaHujMStB26f26STMdsJLMlVnv7aGdxVCPzpPrXVnNmny0Gbljq7BlLai4rtI
xBoiGaw7Tc4Ug0pRd89LTMsXJxv/DFeRZgbBUJhu5DRz3MmTcEfOPTlarfSfoWFPzsoDUcHzMKP5
nYcjnM8pPrMXfYzhjtAgPedRvQnb3H8glIRcGmsG1EBnY/YVml1Kn4aLPwL2ctV0q5iVILt6Dmzl
Gpw8v0dqsSNfw5CRFdgft+9XnQcynhxcVITPYTerX1kxXDXpPiR1CX7qYFfMUpyzW7b5CyfE8gf5
5oo6mqkFFk8ls/q04lFcqn7iMGQzhuo71G/RgI6gtSSgldNnKQFahrAh3Dh3nzQxzRuij41xOzXo
sbvBNsbf1GoW1I9TGIu1zwPQ7Wd7oxUW9p4wnALAYANdsE7p3g+AlAI4zOsIRMUZTrh3bG9A9Lgc
XpsIuayijtaYuY/eturYt9Y4muxg4pu2TicXaxwSIheKm/R8VGX1OqUC8NbsQgZb27Z4aE19JqA+
b6vS0SespMMW/RLpo/D6lILmiujhGumcYo0JPtaKo/9crQeavzL2/gsobw9O0JhAmrq5IvYddMMt
qnQTmHH2i94eoOqptO5i0aiLnoex5nActhzti8q6Ezw8vxxF6F/SqEqgrIZm7ALxUlVyjWg3aLkQ
5vBoS/vE3tva8SkzpsvcvszSiXZ+bzw1FL6F60HF7ZGM2LRJkubFCl3aQJY0+l6ieQ8VoFiLCQ6t
Qmahgpvs3VfP6mxPoNT8zQdb7cMscXcs964cMiYYRChaHlO3fu0qLGWpIf2PugY8sUWFjI8hJRDj
C3durz92kbaOBPHHTQk9/iXiyXwj2gFUXCdpOH4NhohfpM7yjxE9c+WWstvpgeJLsMnSOPilzD4j
grurTsyk+63WrNCqCjPZ2KbzmwB9FdPWWh9To6dsaQ7hh+0WvE/ZuZeKO2VSh+6y9sckw5o35D8z
CRriOFDBku2KsV8ocTEqY2Nqg47RagGzihmwT59NF6ZkMKucn/OsvC9W42giJSg4c+EFRJrjQPG0
Ac2hAlBk1yRhAUJPUk86F7Vd3GGEq2EFzdyugshlY6dHr+0QNcJBPrlJxU1DmYAWCm6MJsO2PyL+
zRldWwFWEmveWTYp0y6HOlgYPJ5JWY3J2mJd95UM+fCQ4Ti2t9HIiDeiVbE4QjOi4Gp58ofWqT5A
jDFQAzI8cCMY8T74ddV/LnQPmnuwkHN6pryJ6HMOQEn0yP+qcdL6msHm+5mqyEL7rH3mzvnmV+ls
tn9bIDVwN6uaDpL1PM2XnBRt+8xjJEeOENTqbowye+JjVdgZqPGkGzVfMoRYdroQPnXTtT/rCDbY
dhyre38Eiyuj/EU0c/vGUhyLBwAe79WxYNoeE5ooRh4TbXNfqTI9aR07X3lRskgb/M5+H2iahbsF
pdehhrYuum2OH3uVN4SEwWjBNolQ7DLOQysm4Ou0AGhkcuuIlYbcUbB3OaEfyCIlm0mtrMWg6RuD
s8lBV0fsQqrY2KLfEC82BR/9ToxpSL2yjTUo7oCjUDCAWLbCXA6grR6TBFRQj62MgoHU3nYcE8n2
DW1tb9KsBvFDoZv9Qxu5O6DezSixs1XkiNGu61zztOTRRqNc3J/jKKTZdwAsHkRNfLtQ8zz/3WjH
zbaln5gvDDBNs8KrfJuSwnRfgPq806wcv6b51vqIr1S8ugaMFWxpUeGfhZ2WD6lfOdkuTjTZWiXL
bWEKOWw1Wzvqrjma+YekS0ye+23lijffz4B8VGZlXLI4dPcsx4kVwNlkxRfF5UsRAj/cztQRXKGB
dV+NS0FNtUj9G/122KbUMrHYjSBZVwjhzRp7rsT4S8PjdjJrCPwTKLUocKMQCs4k6/ER+hv7P0qr
MewujmABW4rOY38J4u1CCB9IocFDmk1J1JYT1Ru4gFdyYNcGEUV7IT17BIMR7+b+le7m5tFfdE+D
O9UeezlwD3jD7ib0seAoB8LOoBEV/l9rN2jW1kXhrnmksu2YhSLdmcAG4WnVEwZany5trgFo7zuE
eQrP2b6m06XwNb2Ki+zEGsdf/JostM0cfdA5sFVMIZh5o3lZp9kShmePlkUmtWaS8G1GF3fXemni
6MnL5hLkWs0u+F5iiYCJY47ueDAGoaY9UklFoTuk1JL2PaCAa4P20ObYc7z6BjQ2Yq+LBEA8K+ZJ
1o5V9+4DQId20BsuAWnP2iR8W5nUWTRd5yjDhDV5hsuDcH50AZhue4+eBW1jEQcLa99hgnQPSC/t
Q0OrAvhioHIZ6/U3JfvwzATiHXwjlE8NJqWPLJxsZgbIMwFCONalTGp4EwMQ8vCmCQ/xysO0sU7B
TJ6HyhRMOSw8XTzkR0EbyH1s8zlEU3zXRWJc+0bDR87tYD0Veo7ulExIOFomxrIn9H77dySnRJ7S
esjyvQ+PcR/GpMdRpgasKVil/IaS0NAtHrwO3m2KAAsbERMBuy7/y2BHSJsnc376MYx5dW7Ywbj3
qjKcfA+j1Pd7dm/93tbeRlBvuEa2eoIG9CQ8Plrf+Wn0WryO1CAHkVk/T7RYBsJoHljXnRuRXUca
ynKPmkGYjcDuGPeeKibtAMvnRVf53vE8o2bY/dFBSwQ3c6yH/IuZ9dNI6qvfVo84Kn7lJhhTyCCr
NMk3ZTt9WnCI1rbqDiCAH/0k84OuvTUpFjNLc+fVkFyNg1M+NF559cz8HdLrE0TW+zGj4whtn0Jm
yGSzG5X3bN7vkWpOo8+XrAGd45Tlexll9Oqo2NnmVXWrvTBhDObOd+2m1s/MzDgUdH7EWSP8nGCI
l0V6NnzYOzD8wKQpqtv78Iazb3GOCihXnkFzZcoZOjDbTK9o39nnVfws8oZNzcLQybcdrhDfEnOw
HoEL/GDTf4yddoFgVgF1I+MahDGLqwP4gGrZi0SUMFi8MhudFx+rS72hMrTnJSgXqu1Lush6I5bm
zPP5Ts+0NfkSkLO/3ADl/j5a3EdUnEtpFgcqkTckAC8jNhaIohwpnLlc6yXdVzhzDqMxyLW2kq0S
08loCyAQ9KmRpQ4WdzBg9GAXzqLzSMfKpaDVhMGgvBcDjVCd271nk1yIIcT9NoXMdaCKi1cyVffM
W+2KKEIA3RBOfE8Diui6F4giDw31MveVDM8lBykoCm4wKX+qX+rO+W1lrjzfDDvHEZxWgEpTnwx4
qlAxpjtGLRxLNCZ5jYlw1olV4upfYYHVAsvip3RN7LpptBmz9FDGRnxuy/BhoG9pnKw7DID2o6QN
ntMHOyPAEf4RNxGMitIoAIXxbHIrJCnVezLg2FOdrJZ1s53Mbz4O7KriBfL0D5hbjxHT6grU/Qim
S+2mLLtrgM0e3Ch5LJ1WrTlD0uDt1vGZzWIr6bzgM9ccUfFKfOmpswPL5hw4x7ybZUZZS56wnbKy
ibIaPNqmkTwteYZuNFTzvZ8O8xedOQfaTX/0cvmIS0heuOh2Mp3vERPoeivlIz2NK7FU8X4ekngH
yRd3CNSRhOXzOTLtFicB3GbRAskIYZ7dO5NV7UdV7eISJzmPIb5O3L1XrFzbJ/6ZCjsZl8ftPL1X
1OJRhI1pxyVdkFYV7epGLvYudADEZetSWGN/7yGhBX2Fd87NH51Ev1MyQQ8NT3CmDXQBoSmyASfp
i4ubM5iyKux4X8npJ71/xf1cHEuCJ0wjWdT4GefodjMqojVtJB3QiWLaIoDcd5H3IXV9AufzUaph
3CjT829zEU1G5DhpmqSv0sibVRgvd55q+cKa7TnE9fbhR0MK2jk+1JkNdqT2AjpTOv8+Dymt3XLc
tvQmrvGZ7nE8Z84eYR9ltHDofvymXbLOfja+CY4uSv1zDJzsqS1LgX8hsq5N5Mlnd0mW81DcUiCV
ePU5ZQFHpQsIBCnoG+wcMHlbODdjlrWvE22jAaqY2oCZUsQGuvmxpQDhCHs55/KcjK0pTSdgW6y/
qAVFxgcXpJuCwEVS8aQZphs96WZ1sadwhfHopEZiTGFRm1uVJDBOq/gRQsaxTMtnL1+uUsnnkDE/
qCEGnYYmn/cJjeIZA6llW1D23AvVh2ATuKzWURzjbPJnd+smEDA5Ozyb6Q0F5UdghujAONUMKfQb
VhskyBMXLh2zPtesXADDiYXeLlJf+5xGRE4uCdTESuUbM1722I9pxkCcwG553yfiZa7dvcDzvbZR
z05pVNW/QMVPGHymhfJXSpm9xj5T5+wE5KLoBu/BgE/HNs/1U1j18zkME7PBDi4PocsBUrOTfquc
QuzrJbmzpNrT0JReZDZ2G1pJ0jNeQvc9rrNvar5ojvctmm49sFHmGD2z+xHrqK7S7eg1xymZml0Y
tc+NyiFnwa1okDSreKgRxvPilQDVFEx9+RUa4VfVFutRc6CHiNyRCxp/p1wkZcpO7Za3yom7cKdd
ODRympTIG5xI+VtTa+BS6lu6mUIqS2GEgWQVzc9kND5AXz9kjUnOyWkPANF/csDhAW+InVXne/As
b8SgVmD/XsIczx7y+ItL98V7yEp9y3ePF++1YbHyh/TiCfW1eKPzkxbDXTSpDx0Xr3hnDp5p8prr
2oKkUx3s1MVOri+DXn5ZYohWeT3m3nqMaW5eW2CYDmzActbgbIrZbEt7G9dpua2nOaaSoyjDNes0
fey5Tf2Qon9LOqfbeCDHlE7eOZ38lkt/n063/InV3TEX0qMhHQSdXq5MtBHojwg2/J1Pnttx4NF8
dE2zfNo2NyDq99RDrfCYYP0epAeW2zRt6zNLPBKX0EgnvQ29bsAEV4cMfcMQQ1ruFf6ghuMt/Bgg
TzHF6ze5Td2PuE0xzHJaoO3IOWNgxgNGFAwBRm3Aw5dvGXCci8+n/JO2q/bTNBzqn9uROp6Gpmiu
atbS9xgfDIMNI7YvnDvCv2PiKuR+oeDVOmi7mSAsj7wFtI1olvF1iIRB4X05h+NxCIsKA7unlhdP
Cvx2I1WUOG5CA/jqasqAxfHgAxp5T5gNahHupSXXHumMskseh6WG99ybNDRvOUmN0WNuWA7xnI79
zOwM3rHh1vE7RbO/CNpxflnAfPugG814enHSbBDcERQ1pbVsAXEtI5hNc8T0fOG3U9E9q/jYOWYI
tNscaYu0IpA/kg495kcMnOsK9z35M+9jzgG22hNKq4sPDxMmxEIL5HKCo6pxSpy7qbelahDRfajb
6g5g/CUnPvQd8117MFuw+RJ5pwHmufVHjdIMWqtcxBE7N1nU0PjJ7eauWGClk4lct/QF3xTpaT2U
dC5qqgcREPx0kwyd9dOxRjCYM9zAqazLNxwjPAT68Z76uQg2BDiiYPG9XYWRgvmbb1hXbS3fCh12
JI1jIC/9JsYEZe1MKN60XA6bshyZKWiOSBOdgferhqVlGigI+Qxc3JZYOSpdtj2qaLit6KR+oy8v
/UqwwsEjG5zJZAVSutBesxUg+H+kmf/ftvAfuEz+N+PC5TOL/zVv8OfH/+FZsP+yXBdQItqtw9LL
tHAF/J04MK2/LFtgSjL/xA1M75+mBcv5S/Af13Nd23GE8vhT/5U4EH+ZtsJmgN/A4r8gjPwfbAue
usWS/+la8AQOdtvxcUhI/ldhtOf//xeQkGcaXIqsfO12Es4e4z2PjwzJsnuTI6+MHQd2XvyeOLO9
VexP0K+NFDPfyfeN3t85LtzXRzlVlrrkSQd8XeBpGn5HLCRaRgE9bPxcVf2hzfBRM5lTkI0X0M0m
2P4hCoS5iEhvkUaK/gc8Oo4yzPKjyUOTQpe1SQuw/1aruNRRoOe4GJ+82nTSn944uUwftPhF7lqg
0LQ/k4gneS7ZLq4xRgJU5CroQIG6TYO2giXYvsdXFm8YnG51TiKx1TWOFgTXCQkwWbcsIPSzUKPf
7HqQoBQlG8/d6H+X/ngZFOOQbFI8dMDjZEzdDlm9BD8SS3+PLtUO/+qKw0XVXrzS934I0Xz0fmWG
hIm1FLjiEbUWoV7wglAg0WGLrOHObSqH2MTaSBYvp5m8J3e2VKgqNDUqrEiRKz3CC61mcSQB7mwz
OOwhp0h4h8pjuf3DphsBrGQbtaslnobxx8INNKNwpOyb4pBOpbzHkafPvadUuy2h9hwIXYcEGrG9
Hlq8hExydWM+U7dELDmKhgJHeY9FEaq84dPCjuvyEUW79FfcrksvWZllNH0l3oQgWWo9CR7YLOlw
3teaTpbQb78QiakR0cmirg27f9aQWLCyIE9n692q+/mTXF5zhTqKb5O454i2tiYZYnhBTCvnIzLg
CzqpdZhjU/4CVUchVxItY4u3c3KjaFtMuIO+7QkFkUqXNk12jg2b8VKBUcjZT/jDW+ySSKBzo813
6S2A9ZEAcph3ujZ1t066poK03o21fozyxLufOlMkMIbY/6tfcc++9Ve6KHd6SueuHg9z0/rNXTax
ZrA4DmXS4pjDIJp3O7koWcuAzeCSyj2FPkm1BMpKUnFgaRpb367Sqg5XxizGZCN6opKvMNkX9a7E
LGKSGNQQUXJg3Az5Hrs3sH/NUJISaT1fl6UbcEKwy7VFf+IF3q5WGH1Z21CgRD1QsknLti2/fD0y
EjkM4+qpmkjkvsiQHj2Y8VgQKVL0lhI1pLPqrn1oSXdkdyhHKiN9KURmwhPFsk9IwXNk4MQkjAcT
mnQSegZ2U2Bg1sEtx/LEcdzbpc7Q7CjLKO68mgEG4Dgy/EDOJe2T+QnZVX1UaR2eNGLmNlTO8JHi
9F+Ry0q/sMtgJKhTIuedAHFpLsu44pX5W3Yhxd4Aa7ZLfI39TgiFFW9O+7Jgrcm2XI/TckKXzgis
zEX67OHSUOjJPV/ftO9/zH3fnLjHJXu3W9xjkZRUP/jsspDg7qZKPzPAEn1Ml/AoMsX7/scfmCIY
84lSaho05Nnv82qSz94fMyEir70T3AmPo+fgM+w1lSmzMczb0JzcF+E0y5Wof3vMjK47g+Uc8EWA
gAx9Dx9DJnEYe74cXu2cspjN8MfTyG/TDVsvy/ShtjCgd630TpzNrcDPLLl1+64G9tl0X6Qov6GS
mutClVcq/5h5CwpEBiu2NxASoEtHHo90O7YM0ros5c0OGkBXgcYVVmscrCw2Lv3QPlCGyhvYkwgP
i7FcEWZwwJunHJPY99GoZdnTMzuFfk1XYH+amsnfZGM60hGd48Ae5ss8GdOXMxjj3nHq5rFrp3jP
xohGYptzOp1v09ayERoM2zBPdux1RzpholvHgFoZJTkxLdxmi09FH+Kc9MPNQeq6CXQPrMM7PDkN
3UN9chfnTnlOjKZ5pDsFBnXszu8kZ/DHutIwnuuo+rIAdW9pxenfQk/11z++ip4AaGDWc8Y7Mu6s
1I5OokisjccAzLIgp+smyT7DZWDTYvLDt2vAvDVT8yPskFD/23g9Tb2FBNdiMmlKfB6+RLuy0IFZ
pFqXKTLsNyux3JPtDdVhYMF1pPfgxO6zXS/sM27PMGdDnToKTuu369qhYA6arzxOg6OxukR6Jw3H
IhVWNp+zHpqNiYPm4FaJXrdIZ3t/6b4UH+HGiS3rsaaNhIrT6EznbbE3yZie7IVSreyP/1fQRL61
U4PTDxxO8vymLx4qmuafx5thGMsFxFQcz+Gui53iUFKq+WBGMya4Pw5j74/bmJm/oCPBuWIa5hFp
COvRsD0iw21EykZU89qw8uw6KPE0NNi4ZJ64H40wSQvHo9wyQaerOZUIZHYhX9HTnDXKOPsvZ6LB
qudeE/+xQBudxrnm4rWG5zzbw6rSiXwSqSswld1c04xH/WPHpcwiiYZA7mVgEjE+bmqcCXyB2H90
Iet2qFAsJnCXd3dwkXms28IpopXBHNxsGcjVlTVjfabiKvmNPwsnd/+3r1v/7fNWf/u+57Eyo67f
jRGdVBXHBI/nUPhG6V9jhg8Yz3tQ2jj1ocRuohB9OCM45sRpQ+/dkDVwWVGZI3zfPXtCL4luWAhu
iZF4EqSYWjEdRmrhYQHQ6djfeS6F87+AHrr607odWAhnhU730WE/pMWpxnJZF/52ujVbpnn3kdWc
RBXb0j0R5PiBmBwishtlzymhCW9nxGAo2IpJRB1/aMJtgdcUp6WXl48dYjfuAG1eEt9FY2jIuZGF
mGbs/O2yh7OcrUc2MSv0Nmz15NYDe8AwxBJBNgfSnMPBwIR9xkmX/yj6Kb+Ba1T5PVJWFQZOGUU3
7zaaLQVgWwxgL0hSbKJtokgS+W7F9jK5GCpMPgHgyBeDfLWx6Tqn3zbp2B2zcUn9VVUt7K2BTby2
1NnucXDn22lcboaembpHKyYMs6jPUVeMdQBZrpRi+EcP/8ej6ktuG/yFfG2SXvUHWpoiI7A9VTCv
WXbQpu5T1XoeDsGE1bEzG963NZFm8btRvdRO/qb13D1hiQfRHUeJurYWRob6dtMSRLfGgJKDbJt1
o9OdqrJt/DWrM+tptHVe8xTKimS3wIS54KiMPqbJfzLzyHugbJVrJuoRJucoeagTY3QCFo8aRVVX
+BwlmKG1ix7JOtLOLzeFbw/vprrIOeyhutTxjtK3bF9Gg2WxBfb6Zy92J2AzILMiY7HQ8w1nONxo
5Ovcqd3tuCxfhh85QTfgr3Cg9L1hEAFUq1mXsQ4qJw7zVjmxEY1NBwhMG3sRW09fXl061t56WYMj
YZPf448LB/cVXcD+XnLRvvCoxNDXTayunblP7yJa3NZ6kuaBEI75HM2edXGMMfyRlzr5SoEOTeuw
L6eXwRL1Xk357dmej9GmmA3rMofYJiIXHm1u5vqY8lf4WDcrWliA+D4XZlef7Fni6vXJ45JPWhhs
KmcGHOCb4cVu42nZLtLongghWbvOafAlpMs0wUz3c91+hO4A2539lz3+mmhUf+SVvjYGBSdJqVnN
o4HGpvXl1egil6Zum/l+1mIKX+uUXCWOT3PA3ju5Hkq4z+YJJyiN1NXFMEptBbYEYLOOwr4tuKNx
pCEympVpMhz9vOYB3zeT4VzMATFmE+ZSsP3Oqsk82uGoaB4dYMgEg+WlMJqdIdu4mk2LYWbZCpOG
3jdmfvBkzQOZg8IqaetXfq9qE45Dy8u+JRYMHoABA1x1yCWlUfgV59PYO1+pZgM64wu7st5OTnlK
bU6eYyTu2OtjBHZI6ShKytghMWSYRohpLTlFOIfZHtOd3UVxfnBV6B4cJ8eMl117CzExs3noq3l4
19SRrygpKNdAsBGinNHdk1FNfnOByqeQW/fKBtfx3o1T9GJSFUowzNQ7qo7cCzdTlxncoVWKJtz4
84asO1EZJj9FxS7tbhTl9A1hXS17m7LgiLPTNJqHYeZ8uGbnRS0LY7374ZimWFjAmODe8fh29b1J
l1j2Ckxq+hXC+YHVMgkvI3XsDvUhyjSvrKiUta+HUX2wGcuLjbS1z4I2j3txEDKjcGf2becwglVP
TkZccqZdcrNqNmJkY4GYlGAr7mn8qvcC57rc0EAdU6oEVkKgvwgPEBCBYPsI3Wds72dvrqdPnKna
AnPe62/sAiRyppra66CVPHoCD8HZO/fFrKJPWh1s46IjT+VXQPm8dV4YUkJIgRy3c1Jn0xGeFrh8
lvkE2HFAaLW2p0qC/mYDrFj1a9qDkrGtwqvpZEpfbIBmCFEDkv0qp87cwQGyeL8GjMLlncdZEBoT
9Hhn2yMV6T25Rc9eL4bBp22oyKYskrcvQF1ilYvMlJX7Rfqw16AA9Hsj6anHbLOjpolyI2fK3+KE
FuwqKuNtvUDKgX3dfIuliz76AVcZhhf31eiSZVORJt9pQ1e7pICawbSOIZVkAl7JKJ+yr3nQtKgW
pA/3tsisk8eWeFML9y1rHChPkVD5MWpa4xgSSto4ab4EKfYDdrf8MZYL5ddAKu/mT13kdx4P1E9b
VkYtzMzKKkhLLL6G03Q/52wpjwCY9VeFpMI90Kmkv07FYrOEvPU6IrXU86roKMAm/8epMBE48gyx
3HqLAO8TKirNnRVa3TXXpj7NZjjsMDBaD7Mols1YLuw5wu6HAim9VZlrboROm9NQ3orGl8I6e3Nq
UUyBuRBnR+O9+ZhGN4slui9ZGj1wnCbaTkQ2WER41k+j6ppThGjzGM4WKWpRe+NWz4pFisnTJiD9
keFgj4oJ6pbkQM8Fv3VylzdloeK1tvRV0jkU5JPUp9Ge7TXn7fSgItzG9Bvb/rnr5oROTe08ofym
L9Q5pYei5Q0B4qL7A5nVOSh7yzzMNAmRMJz0KRpLGDaWme47EzuOE3aYkIa4u4iM7Ple0yH9DvQ8
TbHyDXhw7gUpku7YGVQJMUg6IfAUR1bqvqoj3yHu2NgY1hVO6u7+j+72/xLkf1g3lPj/nJ0i7IYI
+W/Ukz9/4h8qpGP+ZZuS2iYfqc8VvkRq/IcKaYu/fI/IkiIT4DnKtiCO/J2cusFSPEdIUlU3tdGR
/8xOGSa0FEu4vs+u1XJAL6v/iwp5Iy/+U4NUUhKWsgVWV4Aanme7/4164iKwtaS0mH2iufnigIEh
rBd82//lHfkbt/KveJV/D2j9/c9I6Vqur3wH6fXfpU6yx63Gh03PAuuSs8FK6tCMnbkeRFhtIjWr
p//930PN/bdfjI0VHDNlS8e0LOlwPf43zqdOu2XUDfnAGhCG6OiixOHPErrI6R2K8tnojEAJ+gtA
H+RVQqlKW0X1MUYz8lIesX5Zs1dg+L02doF33TYn29/SjTuXCDFe5FugIfB0L81q6AxtDDQcJcRy
1rHnh128NmyOJ3o9qVkXkm7OrKEYCphRj4TTxSYWTCIHvW0Oq0b2ikCZqginj6dbcnb8Nk1qbXUw
8RUZAX0IW8FMG9huDUSI/HJWy4pJPnfle4ORLh7XdUwbnVpNQmDXCZw287ktK1uxuV9Zfuzl/n4q
8C0lLHAKqd+YR7rlh6rNjDIueAdS7JGu+LlV07UCrrBdg6xjyF0UsV9qhGjNRKwp5ltqTBkMSysc
KzgSgpIuE9a0jkOsJ/DEqNJDtiCur0Uj3YKH85ThrcWmz1LUCXgtPnhEw0aihNfS3Mr40tryYg4T
mdFcvSYWQOv6AZ96xvbU1kFOvUV+gkKSIehktXsIEz+NN4h9Zsmc7ygz/KCpOm8Pju/NFHSoJrfK
3zNKIxNlV1gHI3FJJdfTYjX0rcrIDArHHH3wj05oPNO8AZsgLMKiJ2ULYe5nGSZ4D11BF8l/snde
vZEj6Zr+K4u954KMIBnkbXpJpRJVpquqb4guR+89f/15qD44q6RyM1FzvTMYYICeUSTDfuY1R+Zc
gyVmYId7KH28y38MiXDkr7yYkRQB8jMbvAdxLrOHtpKGhg+JQMuIzMPsne+JCazwUEZTG4JVyyaI
C5jgVfBa7LQYARGYA5ChWiW+/zCaYHQ/lEQIxb2N2GdNKKD3ZW5sqgB2zTs55l33sQxq3X7EnSOv
PkzxxICJBuvufTrogwQTYYD/In3VRni4iaB4Ns8awVTmQJMHa4TSgimxntSj4hAB9rcf6AdW9tOI
g3Zn4PySl8WDFuPHiaUemh3tnUHijIkM2LPC3FMBsgnZsKzrF9xrLMoQTBR5enEI6rGZv7m9xP8E
KobZ6R8Ijm1QQjWCFY9obcSuJ4tKuO9rXjENERsnyT5qkYy69xbMUuOTCWEbJwvh5Nqd5s/ZCTA6
3ul26W5DcP3BPu9xgC+wFPTT/H3UO1n02EdTsJi/TBbWzEuHsnrEfXNAqxWNEBcrc/yddGDMzlxO
d2jZSPs+pkw5vUfWJHQ2ncIyZYfAXd+VvK7zHKa7uQLSahwjdD/UqYR2Vn9b9AOG5wA38lTiPl3n
/ccaIRK6nDrM9LiDqJUmfxdWnLUPWp8kzmcquAR2m2qm6O3vYGVXMPcnmwgWniF0wWr+gPAJ+C+S
wW4Miv4j1UqtLj+iFo7J3nvurKL2t/WARkv3jPREPnYPVYkRmPN9bkmp5rtcIFn1qSsLU5s+VsVo
YjUTSTnubHTkwTmhJgLvA34e+jq7wiUF24NyBKvbKLz9sCJCqQZ5J6McJDRxrlL3yXKMqAeKzebD
4FSj3tVsm0SHeZBpskRFtq78+ghpROlProq1GBllWNh7QhzH39WO5WunsQ2obtexhqKojoZIeWdz
cRiftUSrrGOeRooes6N88z5py/ohD7B93aEbaBLEagY1q9Q0xQT3AW9hSjDzXOaueSok4HEwyzVK
gYtmLUiJ+FtATbh2H/rJ7YP02c2dms5xgDFwqAX00RXMh+vvyvlzyaviSPjukJl11zJs+vHn7xg5
WNdC6wg3kkSp3mdZV0wbbCCjL//BOA5Ma5u3UljmSo2Zd19vUxOVmiJZkD5lWqLEsRB9rw9z/iz/
9yOJ3BkkbF5Lpa8eSRXT81E+w2iV5tp3czYC6qnumtqq35mh2YvD9fGWv/d/o41l+nSdPqxpoyZI
2rEWx/dBf4yzLZg+KNF4NSHYtpmBY1JrNxp8aWnTF+ak/5OgGnRj5ZYZWw1NTMAtIiWzZ9urlSv0
qbcJwoF0Wn66j4ckPbRVQUFPr4d/m/Gw/y9ryb3dJHykNJUwHYcHWix931d9XR5rK+sthjLa2n+a
QpG8o7sY3Pigt3O5fIiQrqmIBB1rtUU6sNiNkjPE5mGGL1qNJR/jZ0jZmuhYOUXNKzfF4QkqVvbv
Mv7/UP9/Lwf6WqQPSKvI/xcd83/yn81r3MHyf/xvoUMFTADE2LLH0MUQrMu/8b5hWUglLNoJEuwx
kTun8b/jfQ3QgcOdwumwTMNAHOF/QAeUwv6P1Dmb/CMW2kKe8E/ifWOJtF+dAzBeVGUdEBEkja7p
WqtzINLWhB2TRV4xTtVJGm5+WuidO91N44/o0pQgeFJj26Ezvq8HcO5DORdePubx1zn2f72avgtp
wYtL1frXkF6QBrloJgOEOD8qPNeAYd0+9ngK1FffLMi7iRPTT7JI/V8DWxx4Tpw9WuZIKG9ZKnjO
JgA+dufLYdeAUga+53T6ZzgWBCQj8Qn0yimFZIaCLzfnNIL42eZpPvy4/tNfTvH6p7su8RvpmLTk
2kZEJlUHVnyKvFRvXR0Z26H8RPe4arZRqjTPWYzAN9VUund5lPUfxgmNuK0M7O8ISkJvGw3xGRWo
8ZMF6MKCc5PWv9Kw8I8aFmfPE1oAv4XfRz+4R+bPUGbKj4kYP+hhr/11/UNWt9XLhuDyX3Yq8Day
s/MloCFT6wTikWeLIb5zAgzRMGk3btz8y19ZzZark+IChufmJ9s9H0XHAjyqWmQRslpLdr1pDJiJ
A2XBbvbPck2uXKREdQc4DfubWFtxzF5fv30SuaUDE9dDY/532gOib33x2Ggg/GvX+nx99i59FwDD
JYHXlUPgfz4YTEgLSQQz8nqnNR+g+k9bC2SeN0o7+yOrjX+/SxjKRBwR+BEaWOdDCZPy1TzXsRfn
YXQYTJS75qn6w8frZfZ4VxwYdlQF9PXjBUgcEpytx14aZPGB/0WNOzrF1OvT9nbTcZkhKMD7SBhg
L2Kwr9eI+sngj7MRe1xQaHgiQ3DwEVfeXR/FWKbkfNehCoMyjc2f0UHEr8oO7WhGUQ42yYMIru9y
lAAorKJyQfUa7aeMCayWts/kjHvo/yg2kJQ9Xv8Nq2ea4ZGSNTCgIWhVNlWe8y+FZU1OCefeG0Lx
G/pGfZSib48hMv87cwbh2dPV3rWFunXilm2+/naiLF4dptjh2Tkf2Egyi9q4w0LqOvpPurnNE/V5
bvt/sDC9ZUlyaTC6AkpBPAUj9wJ1exXyFEbaYZwcxV42lV/0yqXiEdL8NLRf+gAa/s+nlOdTGIRZ
FgHdKmqFoxtOjVnGXouszb7uW2uPsaa2qZwy3EnEc9/N1Gk2aYaMzfWRjWVfribVNSiXcasIqkrr
fduHUO8GH8EzZ/w7afpHGmj7ASqSg91rl2mfYMBvReBjYwDdWun7bP4YTvE/tJs2QKs36Antku7n
9R/19gqyqeG5DqGFYq+vTywdmFBYxRx6bqpFf01F1+9quq0HiJ318fpQxiKkdP79tuKJUIqUBOWZ
tRWaL1vhFB2tVp63BFeAEaVCGyT3gEXFtglDRRtSi7/pgz9sJcjAp7j2G+CwxfjHe4CYVy772+Di
Rbb5fHcPhlk7fh/HXhhSGy9LHFOTVh/3aaZjc6Tn5sGK5uiDUHV4Y+S3W32JtjnWkESp365v/Iwa
D1Aldt8YuijqTxGiEXaxYC1d6ymH0XNrzt9eYoBRiTSkvcy7sx4wcAr8NHQ/8mrsm34OTmp/KFzN
eWej/BBvs0FadOKFzONtMlXZnZZGh1pPqMv8+doTowr6RTz/Ju/D+ZSXUyQns81iT6HU8SDbxt3b
RDF07hvBLZbkdx0s54/xuKhjWTb+NRIjnDxJ5hszIpc783wXLlpfPO7SWm5Ua9mlr24b3JSntp+y
1oNAxPMRFovKTxGLotujmCnQikPOqtsObhGgjFLvbVQyyZBgjZbbwsymZluh1efB7cn9fQG/AF0q
eChwBgIbUpTTjJDBkIeJXOp7vvOupoj4rcjDEA4PGDM6PHn7VfXm+AGxe8SFR6vGDXs0tA9qNOoP
WWqDnRq6BiIwQNv6d0lHz76xHG+3IXEzSLzl34t0+mo1IrcNzCxMGq8ACLal3qvvQH7629Caoe5X
9IqvL//yXKzmnCK74yqB8jaB3GrOfRA2ug2nz6vQZj3NeuoeJj+99Wi9vcsIPLjDQGbrSOCs7zKj
K6up1Q2+qjN+2wiS7osKYF6Ca8ONTSTeHqslxtGXVwtQGfDr8000RakTVKhiesTwp1ElR3v8PiFK
iQIt7N2Fqiq+Jj3mUX56MpxvrTageYt/eGIcbNM4hHb+bOnVEWHonw0Ij4Sk6fqMX5wLpRCltylb
EJ+f/8Cw6kO7l0XrQR6O9l1NZsPZRsDK/UMztCW0hFyBxD7NJB5wfR0nsSAx70bTeuii5ft0zPM9
BYQ/Dy0dSSxEHmtKKXlAzj/IoQjeNmXUedTn7MekQKECz+9bt8PbgItRXO4Fh5ictGYVJrcEDC6I
nM4zOzBScRaAaGU738/xgO8PVs77Gb257TzYt96kC0dELik8OoisF04a599nq8qSapKdV+cq2wLh
p3PjpLfu4QvbwuLOU6RRC3thfURwYq4td6xrD0X8aeuCedppzMJmtKxbhqHGhS+yLOpVNAapm7EV
z78I2yCnp1RXe3ExaVs3R/1Qg/YPAdLu9wngja0vWvedMAHkaOjfblEWq/ZDUMmPKWXxvd2r8bMY
WnnDX+/CHNhEYSTfkmSP6+/8d01YC7Xs1JYIEGU5CXRpE5YpBOwcPcPrp9C4MBapisNrz8sn5NpW
ui3NAKCAxdlA1P0vBHXo4TSLavgWXOIxLIAD+PoMx9nsdQO0CHbyGXR3lBU2aMEEwM/6pkVZ28m/
RB0d+aUhCTzm+q+8sFCEBtJ6qe0Ar19NSIZwNT4+BUdLWf4G7FN5ZyGocWPaDcm8rh6Bs2FW+0Gp
EmhqyDAGdNeDNcngCbJsfbAt+Fa+JqDrD8rwSsvVnhRqQhvQWNoxbhIEsoxg3Ko5VDe+/OXhWf0m
FwyMWDRAl4tsdU3m7RT6k2ENXlloGMBn1EJlXapuBwFm+GEbkVUtStMNAIlKc+yDa+a1R80JT4mm
b4EQJ45eoHleZGZ0iqD+9EcfEQGgdLToAMZAzIRIqYlFLjA1ki0VmNKz4eRGN+77lX3hyy1MHcaw
TYdMcXkEz3e1k89jEBRu50WQ8fZJWMeHfpLGFokybBQAaeMnEv+KFcUtv1ncVNv7ITm2Heb2MeAt
WAkpHZqF61iXDuy5SVCWSlOBPY3ofw50sXd1kWOx09hiS3PvN1hc0wPMHhyKKBbvcn9ELCAeXKQF
gXIOYdPcaQJLjlHF06536+Fwfde+PVpcl5SvTUFViCLAst1exXGlrjrSc33wdK3RtmHr1l9suwZD
hMrH8/Wh3h4QF4i0SznIJHUjujgfqhq7HqMTNXhaPckjZhK/qqQ3Tv/BIHRRaA/xH7U+hZqs2jrM
29GjhjfsCi1UW2qH4saN9Dbyo5KmiAkc6nD0hlaR2NTychIzjB6GGV+Vox3scrpvixiatQ7M+/on
XVoik6CPfA99X7m2YfYHEwBY4Y9ESUCbqhkORkY/GGm9Kr1xkl9u0vOT7Oq8NlRUl9F4Ss/XyI3w
753wT/DqwCq3buDA048ScYB3L3Z9rlX37pRAwY1sgVRs0tsPzgB4bWM1BXRcxFtc1N7iGpCZOQcZ
kFWVQEJ5UWG7PikXNpOhw9ijGyj5v68zoaFRbDAeYU+CaN/qnQtQvAa2eX2UC7cttQbSbblg1Nm3
y894dTwq/F1UZjAfFS5qAg2tdEDhKDHR+mjiGvt0LC6+NOhRdJu4dPsHmZbNU4tM6fcqAQe/jXKB
Il1l9reqdxd2IIU/nESoafEAryuRVhBIeHjl7A1zZPzjxLbaaBRk0KmFlkH0eKu6dKHs4J4NuNry
oRPEfkPL3KMkrt9Ns5sea6R/kOK3g/spojVAYxYSk2qsD3x1eWjTFE6Pnts3bqxLK0/bTVL64S6h
3nW+JGGg7CbOxtkrrK49KWNCSCjqbs3vhbol38sBwN+KfJ+8/3yYNHIkHBhrpsyETwQwZowUAjN4
SJLaOSGqYu6FGvQjjBnjHlumEsdAI76x/Za3fHUaKa0R+lALRtt7cd56vftQQnVySGCzN3FiN+6Q
TY9FHpAXI992olE0bYUPbYbv+FHXvXYj1Lg00bhi2JZrGzwM66jLoK6OXrfOis/pV1lhRWcnprxx
47zEyutvfD3Kap6nuKhyMWiGl9lT+ujrOHUeDNGU8c412vYJ45sF3uKn3eKP0xgeAvaCGkOZ2Yhl
OMgRSGpsKEamprOZdLTbNjBDUH6AslsgIi7qH07U690Jup8B7h4+AYBf3YnfgaLFMQLhkKDa3bg1
3hxOcCVLk5s8jjxBrht8lgrH3LA06dVOUh38qNSObthkXmgGgIWcoZzcnYueYLSRoygWBSb9y5QU
OnKplePjHdmhDqEiV/0GTAvtX28H7WOi9cZf13/oeoWFg+mbLUFT0NR0JWTqs/0F1sye5rhoPB+G
BeGhnI+DC3L3T0dRpPiIjAnGQ6h+dXMM4Ilk29adJ2vEEiokPTbtlCLhcX2Y9aRTFSPlow2ESCr3
tbsaBruPzKnqevBARqt3AQkmdNnE/axFubrTkE77eH28l7bB650LbpMohq4pUS+djYWl/vp0lqmB
WGyT6h4+N+pHm6QJ3iqGQlK9y3qIRmmsqhINDM3pt/wN0UL1kyjIRcThP9EsoB1QN6gWIpARRl9U
1TWIfsa5O2AA3Rgo8FodzJCMaCbbqja0n4wsSnn2Kzv6G0AQcpM51JB4Y+dd872GvvWILYYCrgyb
dlOElr7osIPuxO/Bp24WYYYWbeHgWdCOm6il4QnnABYXkHMv68p63IVAphewl+vium2FFhJ1AJcf
I80BCBfHY/nj+hS++MifTyFt8EWIkyauueR351PYdQYiHbh6e26E0zcuE2I+uYOjvzerH1ootc9W
Mk/fZhNhOIx5qo1ud+jm0ZfAyTczY/deR+f4Z27QjYMX02kZKk4RrtV1Umhfph5Ey2YalA6Wfmrw
0gOrcReBtUFIuTXb72HolNVRqdY9sbysTDa4oafXdv0pTB3aCEHq2NturqGtxV1bQn2KJfLWPsxn
8JGtxFXUnnQqjBPClyiR4Qyy72Rv/oWTcQGzs4m1Y5ZYgbMp3TSv9kDPBhT1Kox2w2Jq/kJK2Zi3
RU3VYkuJHRR8A74QVJjTWc90/Ep3b9lGiH5pa4LwB767n4cWg5IIBbsWhKyq5wcNbVFxL3qz/QzW
kFJL3zWdA+W8isMHx878Rw0C6DPitLPaoMLxNzsMzA/0PISj8tTHnH1SVZhuQjikzjaBP9UdLTGQ
OoJ7Ku5y0RefIhCi0XYcRoC5mVsmiIwEADg3AN7QucqmEE1P6vybOkdcRZjkFFDww8naZLP86tt4
Fi6Xc+3cqCCuLzDCP0yJsIykHKqD7F5dYM2URaIrRefpHZw/I5fQp+hC/mHEwSiUsWjEkk/YtF2W
X/EqCCxT/AiLPCcoNuGG5HzMnVvP1Y3n9k3E8e8wNh+kqIkilnE+jF+0Gf5W3eSlTVOedBCSKNtW
aLCGkTj6jfKMxWgmAnp8cBqI8o2LWPn1A7k8tqvzCLwQk0/uT9DyLwadr77UrwAjA/HrvNkts22k
l19QfkXijZsXEwUN+yC7+Pv6kG/6ectncwsQyBPIEtitAgCkGhXSB1XvqahDXUogJchJZA6o36OM
+Dtvy/63G9icjljN9vvaltMeao3/BSHOfutP5XtM6mk2drLrcXiY8IJ2EIXH26gV6b9usv9PXNmS
/7+ZoMWF5aUMD5rifI2aHLJb3Jm9N/a9voExg8zbAmNOqKpsEyMod7gR4EXdqHJ7fZ6WrfxmZMrx
y5NN0+8FxvNqabqAYuvo2wjvurwkI55/O61sJFbBN+ttFz6Swp5OV8Ol3kYIvPrIFj2dsaAmUKO0
KLeN2/ew+aO5NzcYeFbfokDLxm0+VeHvNuqi6s+/lFO2IK0QLODWWz0Ksp+aQgeW4zUhQEiIQNGz
lfd3g7S5ZK9P6oX7A10Dg5I7zQd8PFbFtALbqWZqjclzBabcvERQRv0kunF/vMki2eIMQ59cpyqx
FEzPJ7St6parNJg9f2zHOycU5gOYU4y+VNjej0CIuRynZO+3AoSANeFsDTdiO3R+s89yYWxB2tyK
uy/9JrJHNtJy25BJrj4dolmE4zO/yenpaqgi/I026wh/NypOSdn+jqlc9U2J91mt7SeUQf4xHb2F
iYm6cOjG44084MLNw+YGp7GsBFf0aopykxUfZM7Pobey0cHZP6Fzu6h2C1p+shh3czfpu+vL//JX
V4dqCRUJgqmxo0i/utltCw0bWU6kOOB6jpHe/UrsCfB2mTTHYdb8u5pu5KOpmfqmjtNmP1GM35lh
6zyTMKkjCD3w+mjsvzNja8KaIGgfQAdph7qb1V2f2O2PyY2GO4nwJJxoJ92JHkO8Xjf/mmYZ7kOi
y50rSmPDG6s9iJaWfT8Pwz7Kc4xz8prjrSuIA22yr8Ym3Rn5JB/NqM/fXZ+ICyeeztPSsGEyoDqt
yj5ZpXcJizJ7QW3NeyRzyVJ6yLNuWWe7MEMZJxFVcEJo/dYSrKN2joZr6rQRbGhUNL5Wdw3WwVaQ
dP7slSjNPBrgIPd56xNjiQx9k7Aujte/9MKJJ9akwoslFjv/5Vi8ukZVOM+wD2PdCwCu7/QGf1bw
BX+IdKb3RPtrgR5TUQXEtcaOKxy4o1n0jJIpxfZ1LCAqeNiNse7cuC3fFGZexmLEBesqdfnyz199
EeoPROZNaHhYbbYo2AdhJQE5LmbD49h/QSuSS8ZHh+hDEYwGkjWppRYxa1PHc7OosfD88xl+Kb3S
grPog6zOFFpw2pRpju7VqNpshxn/HRgnt1pwbyqVwGLp8xGlUAKDmr4uAxWWE8tI5cJLrDnej6xC
uS9my3zUG0qP6NZRmKNgOnU7kVj4ATmlGX7DdxUxIvz+6CeA5Wt2thM27yX0qGaj7GFh55uYfN24
/9/uOX4qlDuwiVxu9IfOr3/UGKhXTRa1Cx3zvqLFjCDyUVq8Pu9vTxLldQB2Bppprkn0dj4KGbwz
2yhBeIhtDNtOhuH7Isjch0i04Z2ZJniS/AcDUoJdXmkAIOujxIsXYGo9Cw+7nXDnRIsRWmwYe5/t
jspO6t84um/gAsuS07n+nwFXO4vc38irTgovl5DF0MbfOXK+j0z1LsZg52AMhXPq4BYelVFl5Ku2
s8+ozR4pxyS7ritga81xvgsGy7insv1txAd6X9EduMvtWTtgenJ9gt6GbPxehwregvOWah3Qoy7W
yA4ummc05Nk1jLvD0I7JdiwRUrg+1MXFfzXUKmZyCW7mkaK855pZu6O4MB91nHN29jCFBy2L9Ruf
dmlLc7ptCDjEwtSgzzcb7m/dFJqZ8EppF3dQnUkFx266cXCWg3H+PL+cbFYApopu26st7eOSOUL1
Y4dZlY14TqW8HH9p/hvi+5mozS1AMPfL9al8+xbSAuEI6XBl6fA7q0Fz3ejxHEmk1874Kwxt+lsv
LedTxwH/ZODXsKFxOf/jR5q68bWX1hB3NQk/96VLtnqEpY0NomXE0hstJKS5tacdjd75PYxL+smT
6G6Md2l2HW4lzhOl7kVK8SyttSDFhO7YSzqpzkeROMVumhaFzYxWp6kH3T5SVvt8fXIvHAm2DDmF
IJUmz1zVzKo55WXAc9mLpkrfCWTU9zntlU2ADtGNfPrCFgWXCOwYhBEDruuBftSPQ4RMmRfLCgOj
UD0CZi1v5IMXvmfx0KQRwSB0iFZrhlSz6WiOMXtdl1Yn4rRwNwt6IX5RB//BUC5KFAvelnbgCyLv
1TvvuplRYxUze1rriCcHL66/8C/P3rUYnvz5KoFuh5GmBAGMWn9Vgnh7EIhc97Khee+Hfv+1bMwv
RRJJ7/p2uFDzcIlc2HzK0gHjrh+tCeFAONe27tmlPh8bxCefsWTRt5Xv6wfOaYiScGVAvnP6g4Xr
2H0zJNrd9R9xYQ35DVDF5BKxQA86Pweo8HRTxgvuOVTqD1GP5vtgx3iDUz3982uTcA09VLIDh8R6
9YJFZdAiZ0Ws1hMNPgDdjanT1fqNG+wNZoiHcmmPkRa6QPjAQp1/EXq7TtYvAQeGLOUPqaE1OEpN
7K0cM6RGT1GJa5E9Fmo2twgSN6eojfX3uICJJ4jKxmmYyvyQJwBKrs/0G67Ryw/jJpcExrCz1nGx
U8fO1OiZ7k1uF59QfA/fWUPcn6KG17hZ6o6GjO7TNPsigjx/p6bSOpbYQe4wPcBxYgLqDZUZnALS
bPsK/7u9hhkNLt34lA83ntRL24LFMoVNJ4cG4CpBdvIqmSjb655qnfqolV32oVf4teQQbP+6Pi8X
npyl1UjpDewMXffVUGI2fRvLKcNLsY9DNzpJH8caenVrx80W3hMiDTEq5mEo2p/XR770kTwB9tLg
XODNq7iBpKQJ4342YGe0/iaM5r8ba7BOaWz0++sjXchTSDH5F+V+/IGNtf6E47dzwuoLb3bK9wWF
/aMRZO13ux/zjymmEJhUpthi0Fb52xgL8RkBhekkVXTjWbjw6nGxkerqAul+AJfnZ2NEU7+Y6154
gajhZ8/m+3xw7F1HrWQ3x/Sm/MD4eP3TX+7LVRxDs5rnwQEvwru3/KZXV3epei0ZfUt6pRHVC0ki
TN+ZI/woZMrsdDHPSe6zyIas5hQw0zZOVFsKcZs0j+jGTImXV9Zv2oV1uBP0SPbupLtfkBW0v2ta
h09UqAIccJyopGbTqSRH9nPACAzBAVQz/b5Byw4xdRnv8R505g3KpeKr0WUQ8K0RK4Wp1exH02rC
e1VRpNiwzatt4mTZg58MADjlHFfotrtW2eyQIjbnbakN/QO8IkTb7Rk3hW2JA2q2Qx1ohsJvaHSm
x9Cwn6RPJ+zRUBP85oH0aNEl06Dh2lbXoM81+aOGqI4ujpay8wddy3NkN0jlsICOtCcC6Fps4EMW
x3l0o2JbtU7xRWqDLna5PzszNuVl/6Wcowy/dBn/9K0aM5G2CyycZMYaMbgswCJii5JIfFS+j83J
9ZW9tKlB5Bj8KContrtmb8/0lQDuNtID/vKk5tJ4h2DBjHzv2P2GRT3ct7APd4oW3rdc9zU4/GPZ
vDfmIj1d/yUXoh3SH2BcvNfQu9ena0ASU8MzT3rw/IM72oJQCJUTHP94lOUIC7irJN/Io55v5Fw1
SF5pvvRSZAMPjt5jgxcG3/9wEEFpxgBxg+4OEKt1biHaIVbY8Nlea4b6PizCeVdDNbnxFL+5+RhF
vTC3FWbqUHfOP2XCgphym6Gw2PJ/I/Yr3ielQngb+d8bI7253WlNcfAXdjFhNsHi+Uj4gZiyjRLN
KxRmz11afkh0bILKUej3fR5b8H7DcYfK8S300oWBCaxcEgpuXqilq+A0pbtqJIPUPJwLjU0StQ0u
MrD6UdkkuJ+zn5qDCn9sGcnn6yv4b+5/duOBMV8gK3D+xAIvWN14FbDOGYOo5NlpFEkpVZzw0OB+
/dg1iHjuYjlrtHuNun+ksxefrGYx9ouQQ04yiKJmoA8c6Uxzn8zWdX9kRaz+iuaueur1JDFx9cX0
5RPVlGjelMmUL+YEg90cCHqKfZXjzUCKGKK1UUuBRW7TjMV9ZQuBHA/Cgt2O21U9JYZqMTLt7AKl
VXj8yO4kYX+qZ9TxNoGYR4iRLl4P6ANGz7bmYjWXcf62E5ZJHgWGRUMlT/+JId5xb6N8G0B3izov
0ezkSxy+8BiyYfhl1zNaqXbbiF+GorKJ7A/VCZTVH8LCNJtHLlGUThpUfL+01hDIrQt0ITg0jQUA
lgBg/Dl2lvyZ1YH+u4C6a79r4gZf+AWw6e7bJIKvHJLM3U3ItFo7mKLNryRL7xBpi7n9kb0Fjdta
8bwITA/vptg1PyJdgkJMEKX2qRpmSoYbGz2jfeci8KIyIAcbrDimcFe3svvZh5BrthFOh/ugF7j2
6YmbN3t6UdHJwHYh2OFYuTjGVnThVd77B78Q+UEPtL87mSZfcLHPMtYGxtTLV8X3VPNMD/HM+Ivp
VA06tn5oxduuD5uvrdlU1d4l3PKcbo4PplsGd0gsJt/SGgWXTV928n1oQVHZhG1aoc8E4PyWrsPb
u4HdS9WBhhBrTB3g/MRCtMfVV8nomUWIdkbUFLs4qrIjWnbJrRdE8LfOTwpcTRiDXKsmF96azoh2
Db5XnZM8A8aIuB3c4B/ofdO20rTy1LhDdLD93rpLCprpYTyLk4RHjxm68aAaO7qRY74pQcBgJj2h
3EI7Fu72MjGvApVOq2ano/zxLNGL2ZCq44iFfv8uHgfE+Jo2u5X/Lbfs+dcDkdIhNFIVhXG8bjXG
xkBOpjBlLnpKSBIfxGOcwBBPCoiLMw7uD4ta8l5vu2SHw/vnKEunDyiCxb+u31hvnk9BVcIkf2ct
eMvdZZVefbiOp67joJz9rAK/eHCmtH+w0Yq6sdgXRllUKQgTFto1fYjzUYKwryu8CkwvoqBKzIPu
P9io5MZ7c3EUHjRKpUiSiDU3t6ydmcBvMr06o2MPwibcBCPOgtdn7O3jYlNVJBQA+PSyeuffYoVj
P+toTHlzA78CU87ThNbJMddpVQ49itaVoMRd+rb7h2xuYJdsTJvazsLqJp84HzifUG8doobPEy4K
YQBO/wnGysSxxp2Q2B0GOLF0dRSiWzein5dKwPlupai9wMWp6woirdXxaMRkORkCVp6fTX9NSWt/
Up0d77BOCu+NJDy2RTXdcaWEOxvDiPejEd+5dnpEQun79cl/e075IRRneNrhBL3p19mlbaduZ1le
4/fdkzWTLeOGU4tTnEF72ZZwJz5fH3EJUtafTnFyYQVSqgELcz7rvIRxmUXS8oDwzzhkRNk7DJmC
u2xKh6eidh7iMoX6G4cYJ5N6XB/8bZi9iBbCLqGjRh8dlN/56H0WIq0cERLCgCg9PY/KUx9MzRPS
bD4iRhOmSL1qvoRmY8Ybflv1DLwm3Y8ivlUau3S4Xv+S1RYgDdciJGUtvDeJG+jEwlgdzPju+ge/
3Prn043ajA1HD6Y30dUa7TECvx86lEq8Ws80YGFxmnyVdpz9Y/EGfLBKcKXbFvnfYNuWrfxKgIB4
k98mi9m6mHACL0N/CLaB0vL00A1oyi26yPNXIgQgbVGKEfGmAmZabuKoSU7EoxbWsmQ4EAzaSPsK
uB1vhYbW7Ck1jKHZJkBQf4w1Qcz1L72wtITFi4QmkA9QEtZqY6GZRmxVO7Y3jbS7i0bDdLup3ffs
5O4AqFdscM1AYUn0P4Ki/TyVzbxtDIHj+fUf8vZI8TsI0pfqqg6dfbXFGlEM/VBUtgeMrX7Oc/cX
h3k4qTBzHgYxZjeGW/bJeoEBltNkoDUI6Eme72iclOMp7AfbqzI80y1dNe8Sre034Myy/fUvM95e
1XDGgT4jgQGNENr4+VjWgqHmtlKeWWnWd8DqJOpT+GxEwn0SBW45AUqcX+WkNZ/6dBofsbp9aGNX
+wnFihBZZIG1DwSanDtdZL7n+m6w01OZRNvc6KcbUIRLEyPAYizcUa6bdTykMAAv8QGyvUHhWphS
h9434Akh1DW3pNCWJGS1BlwpS4b5gv9ZH7IEr1E7KqXyEnSMjwFyr0eNqupD1RrhXlSoG6WI9N0I
sS4sBtwFgg2X3U6Ku3z/q0gjT2U7xyoMnq2wik6AShg5yOx9iqHUbgoXF3UdA14a1/mtW3R5Gc+/
l1IwkR0NYq5x4C7nQzeIr3GP2uHz0ITPQs8wG++r6p40rtxFlTA3eDEhND357rPs428SdYUbW/Ht
IVt+gQWGb4l2qbif/4LCbC2Bp2743KcLzRve/LbEtxYLESw0O2C9Nyb74niE1mBMuF7oaJyPl+iZ
CqbUCZ9jWv5H6TTZKagyc9vXDvpAM43460ft7Y5aADQwkmzeZMQaV+OF4HtTku3oWVcxOgdot4sg
vitHdL8ngJWYqsbNjYvkLX6SNIVaJjTkBW0Cje/8GzsQyI3WGdGz8MfxI4IURbOpwiw1H3E7RX0R
P6HyE8RDILiJaHGmD/oiFZuw8idUZbHtpNsn+mHYYAE+PuMeJH9l4RDoOxv3qKdY1vkt4MCF142f
TPgCxI+biV7I+U92jIlelixxYJyUtsuxnD8ESSa+zmmoHfUcwf6ydQx0P2t+reOXd4msFGB5qX0k
T3ZQ8o7lyXYS5xQZndpPHfojhl92zwov9PtWTtMe1rOnB02CRUeMraJqnOZkg8+8B1dkLB7Y4SYn
uf3z/Ub/CDUIunQActY3rfANVSPUHj9L+R3keos9Yqa27jhG/8Xeme3GrWRr+lUadc8NzgPQp4Em
c9JkOWVLlvYNYXngTAaDczz9+eiqQlsplRLu63NTA0q1mSSDEWv96x925IqcWWxvLG7GIbB18ZGj
DP61MH7bSUzCHwAFsvwIOtJvLX0mLmMJnnHSX/ZLld6/v7TXpXuyeXA1eLr4xK0t8ckyKwHNK0P5
2RFaGp6teZNfN3pKtFnRdWee4usai/6I57fm8nEInIKqaYboycxkfkyseIEyN7r7OdONzfs39Obj
++0qJ7BcPw1I+EnFPQ55kB04o7OwVoZ3qEsImKmon/8/Lgf2v9awLrO/k+enz9Po+aOeH73FsT+1
g1DRuCxe5KVacDlM6TlA+I2tCNDc9cjooKZh5PbyGyOyfK5pHfJjxYa7RZPZbxrhpvvJpDp0Zmxh
kHqeUz69tUjWeTEc9l/CuZOLehTiAzKF/CgRC1750njEiMLden5+TnP+1ttjYIAD0upCg/7m5e2B
QNWjCbR69OMlAH6r/jZb49kv+wsCTx7ff3VvrEdmNrTrJlJp2AQnHWfajQPO1+zqjiHEDrM+dyuq
ZTyzHt8o0ziSV+NJ+mkKBPN0QdYx0dO6zUbu5Igt4Nz3X2pELno4FexVIdwJ50KnJNswRQbLHCbC
K8N4TAUcL8vCKW6y9R8kF32E5EjamRerztn6U652/Rgo+qR6Kubw/WfzxntAgME3inh89dQ82coJ
jnVUrAH0jhLyfpXZw06Z5BKZwTDvFgSUZ6731rtAKYTcg3ElafJrefXbppdi8yNbvyjYYV1xQUFD
WG885bv37+qNq8AJR8G9UoAoRde7/u0qpEhZXiud6ogbkc0ojFpsodH68w3cX0e+q1UJMM2pfaxb
LYbd4EN9DPS8u8y0hk/UJT+30VW79aV/1ovvjT1hvRhlAup11s/Jw6tmuSDiSOrjZDBPyTyxFl1z
EmojMZY+7IC9TJvpWM12cLCbNW+kDJyvwlT1hrYfa3mqi6hbynmXj5ZxLQe//UA2W7B//+m/sYv4
FMfrLAsAFkHfy6c/DX6VJO5SH/NyKK58XQVXi2zrTd9X55bvGy+atwzix8gJ9PGUkNH7dpWrnktV
Mvc2stYYxroiObx/Q69ErhT8qB/hEbD3/yoQXt5Rnsar0q1ojrqOEXxqWM5lzPJ6VO3462tWG6zd
u8vRcZ0ttU6zE/CtbzAFBedwnHYnVO/tPE38kILsGehO9ZYotnk3qiLD2rt8MnOnx1xRqG8J2jcy
plR6pi9760nBNGDGiVERZcdJ8+AMCXaGkMSOSpHpbReL2nRMIM583q+sRNYnRQlNuwr5CLnEyZeX
oMuDmxeIY93bBcsxH7O9qAT+ahrUzhIXd5E9pwUC3k1r9taDWhLhhZNtx1+ZMBjHcTbnewKcxKea
BITnuF66bhcg0z82jhl/Q+dm1oCGA9o3mfeGwHokPtdwv/WoVlh7xZJ/uRS+fNsqaK02wzX8aNlN
GRGUSnqv6qrg6f1V9dZlmO+tXsYoF2k8Xl7G6GuL2Kcgo1mTIrSHkr4+I+/y/aus/5STug8smeEl
kxBAT339Fb9thVa5VLytOj+6jcCJuBHzRe5YY2TlQbcP1PRzIQ9viHt5TzhCeYas8VqlsvLQfuF+
+H1h83tyzBtFq+eI4OqjtEYs53tjfrBSTKuQ9Lj73DKYxwhLzyNHbwjSxelzK9zR3yMTzSM3lc62
tq3mjAnsGwc1exOuYDYiJVg7wcmZNyR9kqYWIKNnzclX2fEthBb8qqfFHTXCv0hK80N98RNc4Ozs
Km+ldbAtJGykzRl6vM34q+eSzIyNmEmU2gR9O/+cCCAg2a+OcbanBNHPzR5+eRS+fJGwwkE6GEJD
V8S95OWLzGOCp9Bz0uJ1tryz2tS9L5MVGEwYJWCahH9js/HNIYgjD+XyBexNscf9OdOiKUOcE7VE
9Ra7th7s5ybWjZuemyNTfmbxFbM2wqFxhxwFXqw1WtTBGk/D3B1MOPWEm30cNRsBjSe07snIqtUE
3iz9iayqMd4SWp/f+ktG4oCw2klsDZTIxaYP8uXGGdKEYMfUnZHfkIVJigy1H/xyobnkMC4m0gq/
yxLS6DDf2Ci99aYwhVB0oSVDql+yE3ZkIHtmRQSnXx9dQ9pIZ6WS331UuoJfh30XrVzU594HjH2Q
okzwKJSj3G8NRiltSOg1GQ+9SaCFqafTV116dkFsqCCdRXRF/S2Ox+apJ3Jl2uImUR96H0OSqOhi
x0Qzm1glG/JIeAvJfZp+mU0FdiEd15aRweaNIW5MnEvYVrVz7AunNcFtk+V7gUSojZagY8qZ4yTk
YnCXwo0Zus7/udiCwemZT/3VjrJ+aqDbq1mvCzZ1srAtzXayvHHU0W0Jg4jYD7BfbBuhl6GR+SWa
X+W50TKooN5rAXEn97mjl7vRrLHDg8xhFFdM8GYRdo20fpjzHH92xj4emJDkSSRVs0bjLb0+AJyX
5t9iVHEfIXWbrlC663VU8gruskEqZ4ve0XwimjKtyOiRaLNti3RhwlbmK3PuiSvsUtlyaYKDwwVu
3Vc8R9RDo5d8OO3YCmsTl3r50cBeitFQvxTldoizMo6aJqvFtphF9WxjX2puGtPvzc3EF+9A7V4m
tBOlT3fmjcJ6mrO6u+ghUXQh1pbVsnfycRlDadvgDnPZm0QPgcLvvG6BatVYY+Ds/EGMRqghZeiR
ii+443hprW/rZqmIic2DMrJa3A/axEm/xyJpMjiNSVoSnmi46SUCPIIzyIlNf5Isl5C3s+SfjHSY
wSWlS66bAOaPbItEbcJfQOimSkEhg7K7oECzKnVVIFOut2v+zxM2sWT8kPybfCXFFNn7hCgplBMy
KAJGJkeLNGLLb1JO9uZD0hfmdJnHjj7u/QVq2I4Q+ubT+2tsLTFf7EKM71ZSCLvHSsDRT8uIyiUx
dek7KutyihwhvEvblMe4IwzHxvFgF6vlm94I48zU8I2l7SH4YsrMMGU1Y365+2HC3MrcneTRTdW4
axxdbIwGtt/7d/fWVZCIg/5wMNOcnNydh0lQjhcO8wMSHy9ZQMwhhTrHOnt9FdIIVrImlB6AhNMa
qVOkJdl6NR6H0lmizDK/lY0lNu/fyqsifPVVoo8HUPRhh56qA+Ie/5fEHIZjg63QhmYABSNzgl3R
yn9lWfxHUfV68rxcE6ClUJR4O+D+4Gcv381kdKKiLpuPNe65EZ+j2qI59K+8pSROayWGv39rr1nn
IMG/X/CkD8qtBk7PMM9HZc/GNkA9FwULUZRWYeL0wEG0N6BzPjgOJyLpSjIEUm/ONH9vPF8Hwwsa
HUgHJL+dLEibXKBO+sF8DKz6ZxM4xU29KIMDmLilM7e7rrrT52vSNFOLsl5o118+XzJFi9aR2nyc
TaPZa5U7XhE9yozBnpYrM/BJk02m/K5uYnlI+NFEYTKLICno3C95Y+Guum7cXlcFA6y7lz8kDQwS
ljE1PY6xoqPOC+OwAqRnVu5bV1m5djqkuzV37uTJ1mO+jM5Yz0ddaclloZmPTKW9M+3QG6+Phwmv
j3EhGMFp8Y3hVOYrEMRj4M7l3lVNVYZ918fkd+j+3fsv8K1r8VXQOwbwkkBEXz42zN8GMqfK5bhq
C8NMM63bKkm/pTTiZ/g4r5F5YBOXGSHRDUiu4Ha8vJRbxJWWJrZxnKCr0iLpXq3vbCqYOhyDYMg2
2ZQLbEjnisKxWi3y7nXN0K6zbiaRNueJmaHynOZjy/EzhWSmkshAVZqvdpzw+Pu4srbw3dxnFcfO
bZlxhEVynn7Oqim+sXcPy1U1aeoCUSsHnDcrO7tR8VSfw5HWPeXkm8DfACDWB9LjQFif+W9tjT03
o5Us7nIciAXcaambbCYAuDAW3iccy5sbnfyuMzDAW++RAew/OUYgfSfLXxuJ1FsKbTkGy7hsvBGZ
KoN+dxv74znp4etjFmwXZg7qdpomqDIvb49hojNTSC7HroRljnOUTr2RYF+pKf4jPuJPpd7UITVT
dY4898Zu7sGSYd6Mqgyd0sluzkBJOUSxqaNDjY49BeM26eKaVzQ2F57/1KJ5PaZg8rNkV1YKHLKX
d9q6pRw9b9GPAWISBFHtvVVZ/QWhyufotK+pCqtAaFXUUEnQSlknp/tQIeMUZekcFXyF+zhgcp4H
Pgu4bREQhSOOrBeNxsg/rF0izSFyBrO5SUQBYabtvIf3d4XX2xywPn05ZzRsBZ7Byxu324TgtdIb
j0VTF4hXZRAFk/nHtAgMqVfZLaDMCjJ4JxtCbQZZ25qtc5R2WuymUXLPJnwXo/fxBB9740xz/cZd
+TT6zlrcYD13OpP3idprh0zaR4aHy6Hx9YeyxAHt/Uf3eomu6BL0KXT4jBCC9Uf89vEPopN6k3fu
sZZOfVkgvTgMiZXuPXKB9h42IP/M5f2DAoeaELwVDvb6ok69kuOuLdViL+4R5N+IKsOHaqtPeURi
XnDo2+UcA/D114/UBP4QKDU+3Pz7y/ubswTf3DH1jt6AA1ZeMBGe/F67aA3zGZ/AedMNQbZPy+bH
+8/1tb6LPYfXB0EO/1ACUU9OKjft8ayQPFjylKaftt16x0Qr5dYZtHuecHcnGElvss43b1KyBREq
0+wyc7S36PCXD0bqlFGQW88dBRcmcWl99DGn3cW9Z4eoUeszG/JreInfC+cWswY2LOa2J9tkVxAI
NQ+Wd2xLrd66aFMib+jyp7jB8kufGC4E8ZRtiLoKPjhL4W+8Lsm2BtGZaM6kuSkmSDDvP0P/FUvD
QnXMJoENBx+BfTpohZ00Obltp3drWOMxaFsy2ct5gEJgiH762syxffRautNIgcn7uzzBVYbkW8No
8HKTU0FgodfclqZy0eKkmf9MmtBgXvrk3RzqPAn2aZ7D9vJjSTrkLLJkAljpWrVZnKA/Lq1DMJRb
08eFupNLm8gvp3rAwllduW4tK4zW0gBCfAsvYJ1Xqa2X5sUhD4KxevJwb2lXg4W2CEvPLbdgAs2X
YEC+Pcq0uAP6rb57SWb3B12b6vtW2kG+rUVm3sXK83ZU7dVXvW1SGU4qnityNAvvBxNpXYW4wKgn
0ypIXur6xfplTSMvZzHIeDsZrXEB6SH/ngkj1zlskLBGfmXLFk8yV1x1g8x/ttRqeEibifrSNqZ7
m7dDVWwaVVgfiKtVYu95JJbgujyPSUgcKRolGYu03JdTPUZlWrpRMbXgeBCG5n5rlsK51pI4haIk
7GmApucWRvj+eniFv9K0UsqyGqAMgc+cIKA4JQ6tV/bZXWo6cqtpvnNjVV7/2NkaLh7W2F9KT7O2
DTnnV6ox5jMI7JuX/wULMR1hHnZymmN442GloWd37mLep5BtWVKFG5Ho6q7HjXFI4aNH9pRUm6Aj
c/n9m39VpWGfSfECzxhOOja3JzfvZiSMDMya75gLyJu58cjVSV0MV4Fedk6cJzeIgrUzX+CrW3ao
WzlV+fwYZNOavdw9tZJvk2/KvKtkmnx2fR5xRmrUNpGlvnOaIt4JwqQIZBbNdwSb7ZnD4lcZ8aI0
5fq0L+SCs5fqVP0vr99L05j4BfYdFv/wsebBd7RtbjrT7ewvxgcjTwEUYyyyrNC1kwGay+g8WZ3t
d8gH2xGzctl0V2NSLdNurGv7gwwmvHzqSunTRlC24B+IUz3IVRDXuylPOqikWTqHRj0NydaZXTvf
2I0dXBRU+xSJCmfzjWHUAjUAsGsd5RIWNjzbFgP2xOtld+YNvDqfefRsgvwLEU80NSeFMiCKnCRF
xx02ew58pQCaCVoEfGR0tCEgZGeW2avzcoVrfoE2jOdwWDt54omGzzNJRtZd50r6cBivq3X71H9u
9eZzIXXzqW0m54kwu+5PYan1yiS6rHNODszT+UbpJRKdyWLdOdhbbcxOd6Iynn6+/xW9Lly5CsS7
NWeeo45BzssVVQXVPJmite4Iam4u9aCfHjRrQjeaYCNYqtKPmtKxrg3e7d8cc49+b2cXeA+fq7te
NUDr74CqRHtJZcJ87+XvKIU95FkyWHejMo1H0rmzXSAYI6W9ljy8f8+v6siTS52UQBRalW3nvXVX
+WQ+zkKrIuqVc3y/11sFvSt1MaAVrqhQEl7eUOYZOkY7g3uXLpaxK/SsuoAybX1casW0ou7bfWJa
SGdFPN42teh379/kayAL/gtoKuNryOKvuX+ZPXHeu7F9J+zZ3+Z+tc/SvAztvr2Cyvk01vqHTo0X
jS1vR+9cfM9bywrPMKb0qJpdprInz3icPE3v69S5U2pWN0NhWEesUtObkUT2DR4E01VRivpDYenV
37Is7+smW91JZf7HZRykqpX7CLMBGgqj/JevoQsGT5E4r93pkqo+NLxp6kMcOfpbyf9GeA9ugmFb
z8KK/M72fk7JcOjZYxEWTt0SqV5kxqZVQf585v2sT+D3rdzm0AaxY57vmtCUTklfXZFAP4ZWdDSH
JdnPunPtJ4t18OzGaogmqZZL/Fm7j04B9aLNK0K8taL+2iVWdu5zOP30UMygs6IjB6+ivDwlF8FL
zFIXUPVYC7NNN92iiWJrppTUQdEWdVRTzLP344OhrgOhpUi6q1YuUWIH/aPP/zfezJhuLzCfBoP8
dcsnhT0uJzvbSoUnT6jbnUtxQLueRsRo1NexV05eiD+6dpCEeXxroaFfg89PEmlg1j35nKJD2FuT
mEKcqMdne1D2l0AX2TWh0JhoWliQBFFTIwWLKrnCSXlSzA++tfSQWvPqisg3Z8PEqjZDyjZhbiSN
hbZvXKFmMMyyzgE9GCiGBuKRPzYgW9sb6oTVsJC1B4r7ctHpSV8bk2iLT4ldSPNiVlA2wj5NsPrL
Rr8zQ7b74sdYmOVnYlk6wCxV9J/MfrAOFN7lc2bkNpTcjBybsMqDJI10l/SQ0CDj5NwBcLob8luJ
c2BWjeIZustpT4ETVNNVOb91mEFG4TyUfTSOrbG36uyuyuYssrRKba3eyLeMLcttnMjgelmtDJnz
jxtjKooIbPCcx8arBozoDKYMcBhWcQLn4EmthZVqBrVHMz9pZDdgiX1gFLA13L+JG8Ck2t2t7h6N
+7Uy8g+O4hE248Gez2kwT49/fgSUfDIzsUtBdnD6JqmUNC1govJpYkIezQ2RhiNl92XVEdLZdNL9
VPjzHJqFcQZEfsV2obIFDiT2HeBqvfJJ/9kPJKF7buV9UubHrLzpjNuG4Z9vDRs71jY6kKqN6Wqe
37l9QGbW41LY0LRFlDg3lXfRSn9r10YYmF/yOt/rldz+2r/+J2T8Hxzk/zlj/P/WSVN+/T1anD//
Z7K4aa8p4RgWYZy1QsdrHNe/osWNvzgLPaorYCv+Zi1a/x0tbv8FcdoLVgd8WIuoncBFcLPp0//6
h2b4fzEFgtBBdt+q2YQ79n/+9wtkqTv57/+rHqqPTKn77r/+8Qux+O3EgQzOZYgM5jeChzLyebkr
Naner4XmzstNQsJkqQIGE5UgIaPc+xZm9RVq4k9Ll+E7kM8KoFQLGAObbbB8TzTXG6I69auv7YI0
DaZBMT9KlU63izNqf/eZbTYbc0qnL7DlWjvq+nz6YPdu6l+VQy8psYLRtUMDlfq30dZo4gMtD2b8
8GuiMVuNMhjW1VKKqCyG4FPuzIMMV+s37IXtZhm3I7aG1j6eoM580TOthvJjDPZn3GJ0ubOLNP6Z
FDqtZpFgqLgl8RbrZb0riVxd8rbZZlrGFbxM5J8BiyYQWM3BxJ4AppJwtngY0GpKfc43s1P4dsSm
gIYPD3h9JKjF6B9scmTnSwHdttp2nZcVnB8NoAhziGlKbrRClntPr0fcaKcFjkCFQ7WZZ9sKJkh9
Zs8+2bKpk9daZlUJg6WtYOjLFzkJoczFdS8yvcarQPemL3E8B3/oKo0T1aqrXE00Ldj96M9fXgVX
+n4YTeN2GgvL2miN3VYHMsy6FH2lyrIz4yWGufzzflueRPKwNlmVXNChDzmF0OlBizjOhmfXDWS5
aa2ifKwDr/qaBUHXHBQc2PQyaGoS7FC3w9Qz3TRoye1VSHXSORNX4HXY7qs+nZ5y6dvpJuWltd2P
sh98o3lMkgVuCh5Cyce5GHDy6hPIOHu/X2L/ylqMfgrdrlvYzN2YtZfMAaJDq4XlFmZyni8tObOh
xiSs0eBjHnODcYXWf+RgbL749pJZIXAAwjBFYB8bMpOyqNTaOdgManKqMJkyw/+MDQucxFLaVrVV
nrIoeHwhN6jYOtp50UtxKKU1LZde5o4CG28CbXfodobvOkLXx4W1VUSY5ecqrBd7TA9dpoNQK7mI
Q5s5mr93nNL50fupczk5ApuuqRgKBdCrZWPQb9tuVjPdZEtG7jhEjbnk9Oyp4dxKb8F3Qypz7jDO
UNVz0SplhwmazyrsUGLibmyJ2dsHqMM+kkHZBZeZm1mIg+De4d6TFsVzn4xJvXNHN/MjZXqFvvEc
I24jQtcryFLYAn010gRToKGA4QzZUmY2dB0trnblUtQm7QLj4chnRDLxOJrhQ0fKoXPt9tXYRfo4
xZedE0OeS6H/BlcSnpgZqcAevqRWgJXRIj1RR43P77y0BeZEkcPXf63QUFQXudSGz7J0CITWEmh8
O8gx1hc1mp0fxnLQiMzJfbIC0qrzmqggv3W9K7+Q4dy1U3/Za/7qJuQE8ydBKZdFKRVkFupDr9sQ
jWp/3s+GnTnhNCJxiFq/xakkk0viXeIN6V03fVnVm9SyZu0i7Ysc82olMrHPWzcVkQeanUX51Or1
dgCnpEBtMuOhSMb2x5QsxY/UxvUihKTdp3yNym0vRSKrC8S4gwMPvRPuhq1PHXpKvWs/yHBpUFIv
o045H8zcrOtLgXDG2PlWXlyqdrZJ2FuU88XCHvR+0nxxWelTvxVzP/2YPXP4AhLkmRvPlujVYMJn
Dfao0CBABaqhigToTLctzVF+RG61+NFUKoJJJ5T+JrQif0w3PVyY295Q9jeXZ/wl173mzlmBhQP7
iswjUxqFHy0LzPO9SiTSAKel7IniLOGVlGbmexsdUoAIpVlPnxCzVcNOWH6F5rdYCGfPcILbxPow
yaiEmlHs+snzL3pXtT9LdpkaS6l6on3rHXmvfA1CB9i1/GykxfzDGSYLAbHldhfObGjJnlxt6cCp
q8ofvEoY7vGSTB3iUi0VW38ZG3vTLm58bMrUyg+5EmMaBpXSuqhh2g4G7Wa93IwQPJ+hSpY3WNLN
xtWghP8zNTP71i7d6UeqoPZttdYiDVSn8dX4wGi/whJDLxVhN1fcp2qQN1CD5p9Dxc6Hn38VPwrk
mDkOKmD2m2QF+zn9JvNTYHfibhG44od8SVYSwtHMFri+wrtN9AL/lTKZpLcre9TeO38RybeaZIIv
VlqA0vWegi8mNbMMNsq3ekhXY8wiVH6VHTpLjcau0ZvgLgbuQQ/oZToPbJwHfu6CRTRGW3p7H3NG
FiGe0fEPZg4url/MgNywCaDbRXY5+te9aTX+8K2eseIj5ZFmNiTLwuFvEJ/716npQn7vmDYgPJxb
eQhICR+sEFN8u9lbTDBNdRWbqvejdOibJlS6o42X7WAwsy41s9U2zJvJ82SP8DymyoEHuLAQOqps
KY7mQhRpZLEXjBu/NrNbOAjEwjHQSW5mICdvK2A8/l0kekV411LWPzI3sZwdzjfLPf1HDGjgExYV
pb7MDn3dQXG36GrrTZPkJvZ/dWeJD4ztB2/jojGEECmXxdgzZCAnY2ppOS9Ti4JgE6dFA5Ugzhju
Dynjy6nrjR8ybv3vTgWXlalWkt4C9muP85ibLHLUMz9zUAEVYgLYDpd4IdqY3fIgYTIibMpgRA3O
EBnQvHn3FDc2e4AzNlD8UqJlEj2gECmsVE+2pd12THayrIWvodD/hNPczjAASxrZcIzdeFl5HJwB
2aLqz6lItG8SQ6CnQK1ZW27qfWmk1L/VcRy3YZB2gtrHUv7Ch0oAz6bsjKmPDKnTeIuEADJstae6
izwZ519yT9PsyA0SPHPsETF9BDM71iFOVk67zZjgPwNBmCYDmGWikFvolxlu9bcxm/AattNTadlp
butXTtU4D4neZ596FjwRt2QSgi2Z7P6i1ONb007wqcs920HGloIAbNKinJ4ESHgZDVB+8bKdYpVu
7EpUlw602yr0A+K3EL3VxUcsLweOniVonCgr0v6joagoNxBYy2+VVQsZwt7Qf7bjUJM/ncTffdKv
O8yYEv+RuISVDltrurtJ4yrpQ9Nr3O9l6nTUkjO+KyHhx7W5Jb7A/axk6X7tkyF5qnq+urDu+iIJ
9aJrmV9gQ09qXqJI7s00eANhxqg63YxjPT5Wdew+9pK9exekRQCtNiyLdi6vignApAExwfKPT1lv
flbG4hkcZZ35YeYz+7sRnvXN8aZehSmn7hh6rkqTTV5ZbbGpysIbr4XvlZKTfUrlx84P8seRVgAL
kazIDzUh6+m1Jot4ibwxrfGrbsey23mwv8stubYYundx4dXbFEsAEcVOW2ISgHuXce1Ys/L2Xl9q
/VWgOiG+LGg47WjWMm28m9M6GKNkmupPhKPF5odJ6+b2IPGeZEXWtjlLeo5GxfYcjY7dG6jDXekY
zzXkVawGdTNZnDoC5tApz9x2qZ1hX7S5uSCGM4FABD9DZ7iHUW1RXrYOeBUGUZ2fYIFTJ5Mz7YZ6
pGkIq0Kq7Dlz0tQ+LKRyzdCC4SNdlwLshAyQCsYS6bPJGFcfiQ6bxBJpq14pskrHwR2rLIsix2CR
2lWzIrfMTEzWsPkqrv0h0GIAZ71T6XdTOqW2qxDx4TEgU8f9Xvfr/fhxnWX2tkRg7cOzH/V1uItJ
OcRoNdWBGUHKQ+cjYlNCvWwRa4ZO5pNkFa2B096+84Y2u+8CNMXlJm/9fEAH06rmPhvSytyVpIPF
n4e8wuuCjUFl7o6CxITcF3SMPEOnQlt2zNIV1wIsdaR7lylakCRiCkQFjo27xzGKGyNn3Vxg4y9C
tsimuydbZwhaIi/IdQSf05S3NfQEEzMNm76aSD05Tjcd0+m+CYXmF16ODyPt70XMIFa/HVqiTOE/
ONZ0FGKMzU9mJ3z3BhlzibGatYwPgYarEAmbsc2UdSHIzfcnVZEAn9vWFwazy8/OkF0V6YUcSeTF
tqA81Ik1PWIkPMQMrwjhbN0l88OuiCeKFEtyHNZ+p33WqLDnsM515eK/X+UGZV5vJte564HOTTQZ
etQExUSiD1KuCMmD+Zgq5ibgioONNWBql4pQduWICzx+AvPSmNoUr+I0k/B8LR4+6yt22aN6r6N1
tRcF57+am+G27UvyPvo4H4stgJeYN1ml2eIyx+ot2+aYnP1soOEgy/frgPS2upN3ulNl6rB0TmVu
7VinwF+Msv84I/idzOYqH6vE5uz2Ym5EG7HCqyebYriN08raELZR3k2GM3yDcW59V3S/yaOmt9lj
KWRyTBpybjBgAKoPXauTc6Swy/5u6qOZf4wbmw3bMVOvDVniw8KtN8O2cg2O75ql/QOnPJGGhjZn
B18qNYaEYjq0FPpS0n/7jpwvoJ8M9zPOhw8Ox2AOi7/FzbQcM9cj562bjn7TdND6Z4gZhAFbDKE0
et4snPTauTVyD7aFHiTJZ1261ZOiXnLDgBNC28xktpS7NtVSPqE0Uc/Ky4ELxZyWK1wXgyaM+pzZ
F+ho/W9t7CXH2M3meJMLxZnKiI9okZI4RA6lvPJiPhFj/tdo5n+gs3+sGO1/xs52WZ79jpytf/1P
6ExD6fqXuY7Uf+Gc/0LNPPsvJiArxwGqEr4gIGP/Rs0M8y8y70EobKg5eIMH7v9DzUzjL2B3puMQ
0+FFACr8CWp2AkNDPLd1+DYMJRnkgdGdxn63fkkeotnZDwuKossgQXNt1VZDPmc+Bxd8jM4tPAd1
W6DZ3cSeP3yg07Yuipmje+419a1c8urzb8/t4z9Bkd+hvJPx2q8f5SB5I+wLC09mpidQnpYnKT6Y
mveAQ6Z10dtNH3Zl3lzZyoNsGBAvrmlNvVMUqFuItAk8T2FGqEOqM4yEl1DUrx+CYGKNwPOBiF5Z
I8XKtGK2AeMhrmW5TZO02yB5O5c9d8I9Xi8DPAQ6tOa5YMpzauy2lK5GAtYYP2gxvlZY0BYbv9JV
RLQaZ0Hc+/vZ7a8wWlaR2Sn6V4EfMqe2d+HmhEJYoHO7ymiH/Uw24catVXLhT3F8qMeAIOouKze4
Ec9XbqnNu0LgGGfoaXdf9QIqM9ORACxdttvEMs+55povh2//vDMfaFf/5TIIAf4lyuYsvVmNoLIP
HKlXYqCXyeSHxmDQBa9ZevXBYAbkLtTUDSbHKdMY3AXsAUyK8iglicHW453JIMusvcuqanZ57h1g
MH9CK8s5iwGouYCz/BE34d+/mgElqa2gyadiFjNOGmvqe/+B5q09cJojZxRtt39/mb9eXAZaID5y
HMiBIk+ZytUcN66f1f7D4gBxAFtzzHXevHv/KsYbrwDBEdNHLBZgeJw6WyaIqlOzNNMvOFxlx4GG
KNlLQYpfVCRld5Sd3eo7y8+BkqUYGlK5JnnDwSXJjy9ssjuh5UxqGyMsHENOI6PaNvBk/sx44Ncz
ZyIE5muvzCfoPy9XSrF6oFteFT/kQmjYoPa0F1QAZzhlb31qzC2hGTHCYDB8anY2CaknkC7ih1Xf
cBgbgNXW1MlRr52eHGDnvzk7sx63kTVN/5VB3/OA+wJMzwVFSkplOhcvku0bwi7b3HcyguSv74dZ
NX0sZXZqPMDBAQpVdohkLF+837tomwaTWYj6Tb/Dyxr8ZmgBImgUf7F0sAelstSNxOhoO9fVjzTp
vb2cCG/LBqofOxGo+kbboJHcK9uRBCiOXlvbzvQBUBIN6lM5L9MBvKq+0lB7/uH/xpf/eX+rcxiE
ZUywL99fRR6oPi68P5Xe9KGbeRK7m79DB8l3ro1udKwLsR1hAvi0Q7t3lVO3fl0X5nsFUcJhxLR2
g41ueuWFn3cY+VkOqx84H50BxqokqZ1/VjwWwPUy1HwxN9fbKdUSYGPVuHWjtsbbgDxYtrXuXV/2
Y/D2xOeM/A1w/2dknHSItyAcioik85EHYxltOCHxqXTLu0rz7A+Okv0kplW5GTL7GnHrnK/392gw
amkx09DkgL7oZ1qypo0gWGVekXcbr3aWAASOxC16+EFD2Qt+0Rr7tx9x7VGcfXNspNB7r6bBawFx
6dYb11QcXu25x0izrfsEWGxTGSa9A7OqPzuJh0GUWZ1IYlp2lpDiys7yYmNhdPYTnf/RXOeUPH/B
BPjm8B4b9i/Ah41hF18TlBV42+fXXDDNV96uTQsRuRES3VV2dD5UC0Uf3D/1joogYBAgrbd3MSSE
76Idkz1+dXeOdJ09t5LvrrfMT5hO7JdusgIvdn4JtWwD/E7qRyPVv45ThB90a36huHK2i6Lj/qjn
IgAaU3BdzH/lxKPdky/SbrQqJxsc3lxQp1F3a43A6eqsgqhlgz/Puhlqo+LcYpKchrPbNbfLqnGH
fRyazvjYFl5HpJAy+7JOy28z7TTYhtZwgwws3k49TGoP0s5GMxcjcDQ0P29PjlfeGWoN2G90nVau
1sX87x1rMgQY97FCILHVRdGGZcnVZ27L5bDYJBKIElTp7UFfmZEYA7h0dZFPMrh+/qEyK4ac2dje
0TBq+24SthFoTqXsS/bSmxpp7SZeWgSoxA4/RK0cryyIV9Y86lrSX6BF8cTP5chv8obBUmdjKHLm
SYJj9ljqw6MwxN5QMZhOnXG8eftpL1hoz6seNQxVAn3sNeF93f1+G68DNbK9OfGOdrpUj+6ojoGR
khQJIaj24RjJbe50ciPd2djkAjGCPdD8uvIjzjuLf/8IA1kO9TIyRzpO5z9iKnspFatWjkVdmhiX
O/Vd2WjtLu8wjYkcozvoS2Hc6bgM7ONp8LYjkMUehkdyRcHy2tvHTmaVlSCZQWx8/kPSXJiTBQZ3
nAhx35nUp76X1fV9Nlvvh0XVwrcf/JUJTsYiIijKS8g9z3KC315+NksTkq/hHrt0sjHDwAw/c2v1
TjFme1dkMyibZ/94e8wXNRuPZXIfW8l2q/jxYpuXhewWU5PusVcTO5zT6ltHlt6Vk+vlpQxCI2cJ
5nZ8U6bVxdIdHHi/2M6mp1ppMEZdWhEOuTHfSGnb7yOn6/foz6ZDXLYcamTb7xJNV+h/ecN92Y5m
KBTZXLkJvbyTrecoqiTYltxYuS6ef1xMCqpBB2M4qmS/Im6YxV0m5BIAWBX7wZrVHUjbHEZpmwZE
ZMhDLzW5a4dkvvLZX/slFtgc356UBUQhF9+gJnagjDEzODnYwLBvJ8PeqxvxwAU2+krkhQjTyal2
NTyWvZWU+aESuBK0VTLs3p4ML2sbhFSsP/hl/Bau6+evJJugPU5Rm54sBQ5GMA+59rHVYrIA+iKZ
ajSgZTX4HYrV0+CO9bXYy2fm4vnxD7HSgyUOJYfX8Oy99NsCQMkJOExE9Smimb2pGx3/8RrOr2sC
yFOiyr0EBD+1KQhTlC/Vro289oOrVTQrQZrvxkn0X2H3Ng+5qccfxlkVvjsAj/cLB6Ko+vIRwVIf
VDa9y9GOHF9gVbxvEdiQVmFpu8wbIcnnqoddVieCScuvCf5fbikQ5NhRVl3AuiQuVoJGN3KuNbVE
tRJNQdMV+s7NdBto2BO7ftKnzduf9OX65nZNtQo1FR6R+eK+Cm2ob5yET1oK6AKQmXcGaNuVY+rl
nQztIrjC6jWyXi+di8Vkt0UFP8moT7M908dqLcw5PbqP9TKFRjYbUHKnMVT1SnkoLRnv2rT/IVNd
/StDvn/jDmWxBdhNj7plRFd+27p6LiYVvG5gdgR7HKSXpRZqbmUo9So/6WlsBPDFkAl1tfGkNso1
Cs7L9QODlGKZYoHRXmjmOmNsJp3AjNMyV9WjJMHo+wifwXfLRgKM4ripQRrdpt5yTSj/yh6CLS64
C4wwdT02LwpKiTaS/Na+OAHK6h9iiw3CcCYlVAfUPv4k6+8ZTngbysf6xxBFduC4SreJe+2ayOnl
BF9vbKsr0SrKhNB+voeQ5JZAdLSqE1ryfKPRdvFtuyY3iQinXoXt8fb8fgnIsAHCZqA8M1fU8dLR
0dJRilV6WZ1SY5mIXVmyXV+qw+1gAEljkSOeWg3yMv6qaoieUd6PagIntEtvnKlY9ipBUxsPL9+w
SkrlAIeCwiaThm8VafwOEjKsBdJMd1bpzvTd6IF68zjd4ljYPTWtvCYZfFkCsInz5lACwObCHPH8
7UFmVCOt7JNTP8niY585EI5okAai7bwdzJcuWEDCrxVcKxRxvkRADoiANXiN/P9lulBZu9DCoyI7
cVbmhE9rzqGOhLrLrK+u/b1Tqy4slWy+zZZS3GcVvYS3P+LLTQorCYBCJPzPIPDF5O0HXZVeVhYn
jschMOeGZnfSXEtsfLkRMArcTeYmipIXCrS5VB1YOE5+MuEZgs1N4jbPGmdHLsY/bNszLufvgO+r
Q1G4onFEy0Db4/wzImyDZjgWxamoa9hYDu6sRmZgsWRfM099pbSyuZ+bKGvZfinaLw4UL1VsBaFP
eZJx7Gw18IGtgkP23pFQvYg3sHdjP35WnMbdzsM8PI75NMP3kUkIDz8NvcqT2z/9mitlhE2AEGNq
q0vjiRQHsc7MSn4R/l67EhwPypdy7bL+cqVg5OXAs4Wmu5LOL16xo0Xa3GiyPAkXmYFwBEQLd6qI
pkrKPQwzK1AmdAZvP9qLzY0EGxoY3urFCw3YuRgUszACbxN3PimO8XO0OrqE7mKGTbYYYd6NxZWj
6+V1jPHwt6Fwdg38jS+bGaoau4Oa18tpLIs0nGxPhMCq4OBxWx3iJcabiob7JjGm8a4alxiIxiyv
3AlfLE6akOzmrEyYnDj3rYfeb0WZvtambmTqJ+noWVA5YvLzKrOv7OMvjk76NggHQI9VGjf0Sc5H
AQ9qK1UxmpPQ2ZqVXrPu1GmWARmFY6g4owwjq4/2ejp9+JNPSqVJ64l3i2hwBZNxSDofONcQXo2u
13+KLftOG7OnXmawChLtmFblr7fHujis/h4Mv34Nqi4fFfvW88EwDhhKrYnHT+VidYXvDKR2KHQx
d4TDOJuh9uZd4Q520GI1FHqdZj7EZV+FuYNdcD3oEb5aXbWDioN1XDXMGy0ROOKVQ0dAZJrTW6i0
O6q7iKp3ruh1p9nOrWZ311q9tWkJT7tycpjnJwcPBEkdISKnFbgM/3+x+6QsQAVy0nickeUdyDdR
QlzezXcRwXSEUz4HXEocJpFlhnUMbmLoRr8XKU0S0yqc4+DoaYitSxNWLoaDrs2JmpdVflSdotqN
rezumdvuoZgsNxwI1/ygUM2Gbts6EHextcmcVLmlq/Frgp2+a6vIOOkQ2jeg5dlfK08o84eprYG+
nPxgmkN068Zwr6BbaCFGdc12aiVEMA2k8e1vfb5s/n4zCPrW+bWWxJfWRcUgtbl1nRHWWJaEmY3r
M2aEV+u+85NmHYaSj5nL5VqltWNcdBl0GALeAKXgOAtX5/lnmvZTZQajqMXnZc6FXy6ptW07xdpH
GP+tMyPdKRMqYhykiru+xAOsG+0hmA3nmvHYy3eAtRnNWOYFCxgU7Xy6u5HSzaUt+XHeGrau4RhD
C+xaEsXzqvl3+fL3O6ATjWCDhhBF8MWuXGVJr6WjpR5d1IDBzGYGaQ1K+FiYxQMdbJ5VixI3NIyh
2fBe2q+qrrj+oszjpsBu1F+s0d5EjasV/mjl9zQeZPD2bFi3r/OfCJa24g244QNsX4qDzSQVauoq
8IMzywq4pkGRSOG08CfExhqraR+1VrIblfiH27NM3h795SQB52AmQtSnbQG6ff4dmqhOlNqO9WPh
TtlhdCZ0rDGoZZksf2qEjYp1xZkxYAYtRYd1sY9HQ7N0TVEZR24W5dYctSigqIXQ2ejxO1Knlisv
dmUVXL5Z7tOUdGSD4NG7qnh+P54M+sAT574BaB+ZX+bSNG5UAikePK0vfQtIAafJclk7/caNoiwm
LOYy2i5jnj/meXfNhPq8QFin4nob4fnRgK2WxxcbfKLC2+flGMcUolkAJG75E7ch38gHM6hG55qn
zytflhm/yjDoMnJ1WFfg74cztK44bx3jyAYf3VIlMofqSbs3HbW89qbPj+i/n43GPtjkqvQDjD4f
C8tYoshH5vDY187DAkocCKk82RLfq8WUzn2iNuqJuBRnaxQFJCuv0zdcWWdQm+4j1FF6h9+NXV+7
IlQsPJ2S6arHxau/kTUGqRMWCGyU899oF2XSQDrUjlLo5nvTqKZ3sq+LcG7GeOvS/d2WWe0EtViy
x7fX2PqmL1Y4uzD2zbjQkHZkX3wJhfsT8k9PY6/T9a3Mdbklva+7+eNRTK5KVIU4UoIyrPPht+9t
OYuZI60xj9ipavgbgqb2SZFf+dSvPAvTd6Vv0FlendXOR3GmJPOSuLCOPdkooVlXHztTXAOFX5m6
+BhgMkSNq64g+/kgmtLVmitn64hVqn0Tq0q8N8e6urWzSn3687e2OuGxLNmY0PifD0UECQDZwlBI
3KOwqWheVkY5XjnxX5l7ALh8F2Yf7cvLtgUXscQeu8k8InNYBRKOsyPt1nqSs8xvZ9y2SVmhd210
nnrle5FHwxNczD5c+FzKc9BFWBgX8z6rMdoQhm0etXHykpB86jkKs3KIv8FvpdhKOFSMjaI12W2a
iuxThzjmPTBWi2o9df+iLm7fNYXtnZD7dBUMQi36plS9Qm6L1TwMTYEjCRq+7WCqdNmz1kmjTVVk
y/dyTjJrA403/7aa72shhM3S3ei5DUpA/7a584g0xN1ZIFwypJYTU9e43TeIo+CRiPzc20q4ZFs4
EGfZg7ic4jTYIEZZMDbxvW6w/orSyPnutQJ9V4+RcubHFqZBd0mSwuKtwDWDwhqbOtQQmrW3XQGe
vkndTv1m4jT+QzGHxgqRUck9HEFl2ORa3RZBnOT9h9mEl26YY2PS1aujx8jo3yU1jkMbkocq9aYb
TOcvrCPpxqRNL0MKRpnusiUGP860Pm+CPKqzWyw/pefj3w6f2kZ9eJe3EVFwLch5B3+4cr7Mkmnp
j53ubpMq1aADzQa1clSIfgn7YjJ6XBaM4r6lEts1naSEaXtzwfoATu9pyF0QqZaeeLKVLdKTjTVF
1belhC800CuLbypJkIAfGbPxQ0wDyBdlHZtvX9n3yEEhdxTNWHWbsZRIrtfEOgNYq8YBylqQMe11
dYw+CF5/4dt5JY6xUOxfHjb0+9TI6of1ngLvlxP9Br1Y94MseFiaRtnAW8cuHKdVAsnGT3qRTVXA
5WT41LSLzHeDNoyf3cm19pk+WRqWAp3zI0+K5c5AokXfuXEGarM6gxEOaZ0gRDedk/tWa6F/jgps
9E1jRsuNKRbUC7T+Z4JQh50zT6a+n7MecZM5RkZJFHs3fxaIz52NWsbaocBgavKn2hqgKWTxRFyX
HrVfdOYjl2Vt8ODyala7cZQOT8USbswvbKBA17S00AdfVRfjhM4vfx+Rv7IKXVPzbohVNQ/EDJ2V
CI3JfdCHJtqQ5ZR81kp8Cv3JFfYWK4EM4a3b99zYlqX+9fZOdo56PJ/BnPSQA2ilqWsX4XwnUxah
CDBNiHWcLZ8mfKgr32snBW48k9/PYXqFY4WZ+9vDvlJiW/TeAfZpl7k0zi5OhMLp4eRGVnS0XWm9
a9OoPXmVgmW/sLpfbWdF8EJGfJXo6gWNHNtAFGa0j0vdfHKttAp1t4GW0HL3Y0m6h7w20isn4+Wb
obG45rjSxsRnjR95cZzgHIZsCcXSMbdEep/HfRG6InM25kKmtJebGg5EqFDffi+vDYrFE/sxNhwm
WN/551hF2646loJqF1/UDAOsTU3eeKgm4extHVH9eHu8y21+fUgwQhqW60ewLslHosF8ZFJacYyW
dte53OynbMYvn/j1PeSgK0/3bOLz+6nCcOvFbW1MAoICM54/3hpnPRvCEke5CLklN2YICvitD0md
in3GybDprb4MDS/tgqHMon3CHW8TdYa+yZqsDQb62KRiFV7ID2/Dir7jRqnLLETn07/zImcO8Eqa
r5yGr3wUGAxr9fLcYbvkMJBN0HuJlcpjjup6K0rTfdQSXWOxV9peb5EWJJKIpT/+MjgJYHW1tnAh
nF+UGMAvshjaSh69tmv3s6soewHnz4eHKoNsENdCR1+ZCSurkIpz5cMQdnr+aUiyH3oj6acj8Trv
00zHqS+P0ZU23iE25z81Q2ciINd3QaHWWzx3nPPRygHjAGCq6dijyQ0RFcWIw7prN4xXnmn1tMI/
AcTEpBF+PgouvgqpVu10xG1JIhuay8Mg7fccB8MtV/Rri/fV4Ry+FSojovAuW2aUayr2hfp0XDL8
DiCdTKEFLfoGP50fAE/1ldW0zoCLxQRIBrmGKg3075LPWE9ComOr5qNE676FtFxvayfWPv3xPOR0
wIeEF7naFF1s1JWtoEgqrfmoDtY3qxgfPV38jOfppzOJKnx7rAuKJkZNNDhWz1ougzZU+0viQpy4
ztRAIDmWzjwGeo5SVCBvC0XWm7vZaZK9pOIifF6kN0KkkR9VxhQQoRBvcHpAl6OSr41twee3f9fl
zQLADXNqLqiA9czV523tt0uSlxZKV83aeFRiIbaNmxnBoKjuXq058t8e6gX8sI6FxedKC12Nuy7X
IQ06K00jdzyOlOA+5G3lY5tE2Z1s7CY0ekwpOmOCE+qJeKN62nyYzL7ZRZgP3wxU4rv/n5/DvgBk
T1OIhuj5Eio0XENqMxHgAUp7s+gcvbA15H2ZmBO6HbCnXtQGZHy4e4SMmkE5Lm0walW/T8dKXuFP
PYdkns953g5preuMX4uHi12qEXWJqaACPAzj+lbFJSuwJkpZD05CYOtIhMykBNAm2NUnk1zcTykR
ZKjgqGVnqW46xNfOMpQ7j3buxlVy/aHH4y60SJG6H3tCipZCx4tAB0+DCjgFY5Lk/lDU8gpbaP2h
lw/Cxg6ksD4P8onz9zp6pcDwOxZHvUCXVdeecZ+bXLGSZFB9NyFop6CPcGtm5vHtL/qca3s5MkKN
dZ/ibAEPPB9ZFUbHCV2LI1tHE3CvWz5CU6U8nhz1A9m+XtB3prWVVjvven3KyQv1vqRZpD8hZW9O
tUVeo0JJuDFjNd2BBStI5DUr7CSNb9dQFNQJiHUVy+yDsUvMrd0K7BltLDAWL6k/ucXo+iWLjfZT
ipwv6cZbrUG6bpA8QkSTKTdoW4tHRdf7XdvP85W67uW2acLO0unu0wjDqeaCWYKkFwKtTOej5c7Z
djFqycUzta5835dbBrZV3I/pg0PM4Qp9/pbnrlYl3tHLEWP1caN0wsHTzatu2kFe8yR95YF0MNJn
i7u1hL845VQbtoE1qOpxhNm56xfRbgu3jIK3581rD4Ttpr7St9merfXw+20PjGnRchPPtSPsF9e3
EEP5S+M9uqU2hm+P9PIYhTENHxcDNeoQatPzkXLD6eh/tKDvQturudZubK18ambrgLO1eWW/fbkO
aXRrsMPgZALwvdjaQXa1LuqNY27nDrYgs7opZ7t7p2rge9GQqfsZC4RToS7XMJZXHhNuHqxquJK0
2S9f6KJ0I3f4xDh6MnY+9rGJM4qq/lBSbwxwBZNXdvJXvh9FCdRjWq4A9+5F6d2blTs0WAkc1ZK4
XLVLnV2Kg8BGV+zx09sfkBnBJzrfY3C/WvNnTGYFKNnFJ9TsKe6IkHWOeLXd9m1TuWHaDfHdUANW
oRAxnY9TNvRkFeWK+0EzExUilT20mMZIuzp4egTLvMYEYDMOJkUvdyALL57SLVTyJeoKG8FUJYVc
M+JPnYNkY9+bWqcFhsn9dYNktgEbL0ssVDpXNP5QTYmxidNa2qAUlcxCgoaUhUPUNLAp6Ebz4Mjc
wZsEHvyoN57f02k8DgOWJzO2qKC9lKqQ1JV9gzXMeyfCehi5QoJPVtOK940sahvxOi/e18Gl+gBV
vf7ZrjVjghU0a58Ts30vrQkrGUsfcOEUpVJ8ycw8G3eYugDLxBylRVD3M6z6JuW3xVOv3OieanR4
3WCe7DQO1+FRHZ6sDHI+mMss9L3JEfaRMB7rBz1p5VFO5TJuXKeJPs1z7nnc31VBBgHsrQPO2ZRT
SSIiSmHCz32rI+XQ76D7e5sETAu7IrMYTGxnvIYuQ2qNQCk5kOsmt+WE+bcKMGdhprhiOHF+OxaD
Brexzr+QzKF8Z3cAgEMY1rCfFvZeyxf2fb2x8VDBGRkPYU/Pyq+whcBiVtzTwjdlUb5U8EE/dq2Z
I3OzU0IKCsNz4Qd1S/8J+FbChYdI9UFVp/gWL9hih6HO8KFX3eWr5iiy2/VJRVZjUpgdoJspF3vn
wvvMSAybhym0e5GYnwgha6OHyEO178smTR5gXaR/puRZq1dmPRHvsBZX2uJlP0MDe8ZyaFyOVYpt
smM3+yrP3e2QGMp2Zp2hqS60wFGzK0v75QGAWJ8uAYg0NSM3+fMNE9unupiIij62E+TTWcWDuzOu
qiVe7lerChbgde2IrlFw56M0hLkqoh6UI+XZcMCZrN/pkjQ/12qTsLTMa5Xwyw2L8ah/V18wLnDm
xYEj6yhxsP5Ujo0LiTmq08kXvXHfIzvcXtuvXmxXDEW7CwkUFn2c2eePpkXIRfGXUI5p7yS3iact
oQaiGajOQGunNZQgxoTzfTakw8NgDtWvuFktQSxpBJndKNeEamttcL57rj8HT0DIc/RXLzs/dPpG
ygRdOeKeOgdD0qaPfRfNBwQCjt8aUbtl6RMbasbWobMbQE5mN6ammFO9/WJem1iwQDmFuWXSt7ko
YjAywYJUj+OTVJQ8GM0FoDIaoyujvPKhOYO59EAFWnOV13//W2UBSt2l0hnso44lSeAZRRL2s67v
7GaY9n/8QLbtmKReIMBBQH1RKkWWPSt1NHpH0oPxAIirnAwvGOhvj3LBslo3AkgawCg2/Dm6m5fW
naUncULJ0fiYehL5Kt5ut4Qi9Vu24DnUPRoXdkUwwBJLjTjExQrsZFautA8vCLzPPwIujWWuzHAq
tktfVzLt8hx/nOQUJQJif+9U0R23nLncksRdx5AX1mNSj0qFrsjYfFqQ1jYHVoH7SfcU9CJvv5R1
E7qY1LC+0KCg29dXtdX5V25JayUNoUbm6OAxh4WdF7dbfWnwYMSIJjXCBptI9dC3sRf/8dA06TjL
XaBEbj6XYvlYx6G1Yt88Kpo9Bik9qw28dW/T5+WXvDd+TrWphG8/7YqKnD8t/gPYtiM8hL2MtPj8
aTNlVO1l1atj0GL8LCAGrzKHvj3iE6LAYIhaYdBC8HBxta1UJx6ygip2pbZ9uXwRNMNkhAcLnRHC
xvmPsGu8wFJIXseMvNXAHAgSNxWkCG8/6iugzfkwFwjRYkM8yTDJP7ZeQ6fKdhrfYeu4dVpde3SU
snjIJ7f7VJIUEOoC+29uLJhs5Gly33Q2UsBxbh/mNnOvXMEumKzrCmAhcjTSdNY5ry4/wthH2jKm
qnJUsD7a8p8V70wCw+HiJc1dYS9eiIlcFaRp2W2qeCwAdJfpK4ZiE+rkLAu0WMZXLp+vvSxg73Wf
g/NJgMPFxOhaL1piMa16F0PucvQpYbTWuQouEdjxCVoulSZ2g4tV3CS8h8aUdkCdyJ4/mcbGdHuy
5DxX/vHGyP3tuQvEmeuxeZ1PlTqKdZsOE20gYeBxNLRl0KDLu7IqnvH9i2XBzXEtVrgYQDK52ASS
Er0jTp2ICpQy+6i0i/JLT/VmDtNWK4hBTbRsk9BKDuLRWHDvi6pxh1HYiIMLnnuer5u99+jR7n1S
YIs4Qd/gtqhlk0pOajQ5V9Cm134u1gO8GMQuoNXWxcmkJRgwV7mbnQzyfe6XhfYcIW3xPbs73goL
BBnDUfr3fRKlB3wmjSCZRXnA1Tn3c9vst2RSNDvVRtVs4WxP5lcqRh+vwe7KQn9tVq3OVpQvIIY2
hNDzzzc7QF2JPrnHBjdUXylKGzxUb+9NRPbf4ykSP5KpM7+QqzoEvTZQu1v9BAsU6ePqnoF816rB
ccCLrhHXX1aNbLgQqWhbAXeR63j+yzAdGhUToxSkl7lC72T5ApEGbz9TiTZN7SVX5vELQix8GYwd
rWe01jb5eufjpYrRJt64RMdGdcubXO9iOr49AdWE0oSYS5abrC4jv0vmZdfHVrkbiyh+gDsg0THb
7s5wiKyZtE7xVYFssMfw7FCCSLxvRx2nO6qYT6J1h53lSRVWhMrfHLtZ6Dmjsonjsji+vbm+3MJp
lxGtZpMTABHjEn3HYrJWMVXJTzkEij3ZvO5Bq+tvbw+yvpPzVbmSvag3HZjoVC4X78w0I21SpJqf
kknHWRUDwQDscww6zZ2vldovD0YIQLRGmApsBBBxz78PjsjVTCxSfmq0xPbbUdUDJau6u66sh1Bl
fewV6qo7TDK7QDEm9eBEkwBWHDU/YQsL46W0H9BeaqFb2n1AUmoc9oYX7SxaZB9idbmqrH9lBoP5
Q1HzVutuWtbnvxj4toibaslOlI42pGeSoj+X09TqvicFiVpQTtoH+BXNyRo5jn3Vy4sb0fVkOyfm
PCL3MZttM9XJnYxmQq+lE+E4Z2Xle/aSCRTUWvKjSCLvSZZN/g6TUj7CMgNchJXeEPXlkHLrJ3mL
D54+GtFd5kUtrme4ycborfr0GxgnjqhpnDJN8Kfca7xjO/Dw7sdUVm8OLp7VuCeSwfWB+OcWh8Jh
1rqNPUxjAXKuI6RiAWsKrAcxPFRYZ39R27iCblMMRIm9Pdlee52UYZwBEEfXYvz8dfaWpRQcjdnJ
qrRk6+E3FzQgU99lXichY2fhn48HOx6jKNCXlVp+Pp4S6fTETCVDCmTbgdE2aeDil7Qxzc4L9Xma
rlzGXyn+aWuuTUBkFuxAlwz2elKchZyxAT+PXge8mV3vlIzO/FFIkeBdTdP/HTJ/lMAl9q/QftQU
Rx9RFZFype59EbmHQxYAN1YntPbpMngXC5u/EYPyVhEnwJXupjJV7NJd6W0b2Rxs5EQHahDrEf2A
6tdu/BdObsVdSsrGVh277mbRrDhUZ5aaN2mSurnud0CjWZjJ5Ss3n/KKp9CLbQiSI0cEjATuZ5q1
Wnr9fg90IZdPRTbgjFBSQeILXWNrJ8t/quI/cl97aH5WH4bu58/h3bfmf69/9K+6QaKHsc3/Of9H
DPb/+ZuDb8O3s38IK+7789P4s5vf/+xBu/6vF//6X/6//sv/9fP5b/k4Nz//8z/+qkf4tfxtQJHV
705p2nqi/8/Gartx/lax6f/9d938+M//eP4D/3irWfa/AOlIVl4DLVGmrPDG3w5riq39i5Yem/Hq
BGGvyNV/W6y5/wIQ0aGeIj6lFfvMg/4nl0D7F38A6gmKE2oi/iP3TwzWkKXzYf99/gCVobWkJiZv
caUdUxeef3j45e5KEkvg74pS81PI/xWXs5owi26yIw9/zmz5KnAG/7Q0CZz6ClvSFCiyTQa8GQfx
QaZsyFgg5sbXPnHTR1UH0/fbpFI+zvli/JC0KvSgj6tDq0bNe1nEGV09ZZJ4B2DRfksToFIJERTx
e/RBkL6UasmfxnGw7jQzctrAmzrrOOVpF1H3VTVCuKKRWFKZs1lwldF6fvASqx8kjrs4jZI+97nH
F/w+BWU0gl5G2rBVh5gncqK8/4x6KJKBCWe0DfVJdb515hg/tURBCT8Zjfxn3CdLQkBOjPUvDLtu
ZNENlq90ff+tU5Op2Myo5oVv2b1r7rAOczBpiqw4KHVliIOGCpALp8lgoabXrhbYUou/DH08vhND
XOR+5Hq40RJvMj8lWpWaOzuR/aFUXdK9y1IoD5igmsW2dwbMTkmAqPBxJDF08cvRs0RQGcUUrd+l
tG6aRdX3sEac5l7GCbk1sTU5XzRrwOvUdGJcXKI+95IbMh3pAY6OyMjv5B9iPwYxtjZ92/XJbiAS
YN/YTm7dsCl9yGsR4btEht1O9gYdwwa0+b1SwiIOWprn70x+H2bKg4P9cWw4y6e4i0gCtdUE21SS
k9hYHfq+PuDCPPuKmejwqeQAi7IoFe+73U2EETW4fH7XJgv9gpFrjYC3WFofrCGdU99VCvFR5qTo
+prZz1tUVi2suCSDjDpah7TKl1DKFNdk7tnNO1FKmuGodJjHHAHaL1chN4euM+oZf2y1vudtF7jL
oExVYCcWOogpYXYgfI4QJFbWs6I+ZKM5/6DLX/8Ui63+mupFfcCkCnJWVOkGnQw1Elivy4KTJM8L
8jN0+iN8snZOcVCWg8QqfZkxBHZ78VVMUfPVqWrYNfNoxa1PZMCyL2y7NJGoyHeLivluqPYVOYnS
zXAN1Jeu+5pJ7tY+uP0G7Tk5bJqJ2CBEe2QfrGHAK9yZI2fxIa1i8FO2ZQdyr1OxfZ9x57uPFq8Y
Q4z5+psRd21epChKM5zROVg7B5edxVftUV8CvbduNUxOozBumuajqZaGu6nSZEiIEbbbajOlhJRt
5jgvl13dZeKp8+YyuwHf87C0qwpDo4O/uN+pzjQgbzPVqMmEVtv3E6ZFo59mi3zQtBZzRJXr/Y9B
c/vutvOc5K6xMfb1TXWa1J1mk3kd4oalmptm4Vv4eL03v9SySn6S0BR9xr5o+abUfPq1W2Z/qYpR
5dupZvOlSJRGoT2VCSJ55Kxybciste+0eGm5maNk+ujqwso28PfFvWigGNPq0cav1pQZ3yQtfyVI
soQ+TCmr/KFaFuWbMwJqYBXhej+GZsIiJran/qOXaO5wY7D9QQXMOvEhSwv5xBwzekzx9Bxuw5LA
yMHB0AYRnj3MCCbDTo8u3tLVZiiZuH7X4pO8HZ2kjMOq1pvxdjAbTzuM0JCn/6LuPHYrV7J0/UQs
0JvhJbmttOVdakJIaWiCZNAGyXj6/vap6i5UAbeBGvbsAHmUSmmTEWv99k65xILE0xKEZcLUPU9n
X0b8OlwUaHVCnEVRJLPNdglaoQf/RfYF0eLx1PU0fqcE3nHIZXNDAwpExXyzmKYUd143lsFuKEaz
TNUkgu1SLbTI31tNbn4bFTkvcVaTFn2oa+3T5VCaVpV6zKbrfe+FsiK7qjPFrfQG2aab33kPqIi3
6VHqkfxHl8D1jKB+fOZPrmUU9pnNTppnoyfU9TzMjednMSHH1oyyVxHfv8ZB05ZIFgarHMGZZ/M1
gHMc0k1vhpHATKISKXJmOKgyp53vbFrZhrfAM6f6tyC3m8x/kiuWPQw2s3HYh+F2EPmMb8Laavc9
LJoQtN4tKQ6w+fq0WW3rGxGA8d3w3lcxpbGwa8IpF5OQp2Z6ISpv1Cnp7G20r/prvKHhlj49zFtR
3CGDJyemzfQHUvNsTgCtqgshWpF1oBle0U/B2tMnyyK7n/mU65/eKIZ72Yvqs+vX4KYofOs944X+
adEFopNlilYn5tAJBopBdPCLOrz5lUZRSQlOqZoJ/Xs2VxTcZsjiO7MKB1yfGWJ9Gybw3VFrJG/8
wQgguHQDvdZPw4gYt9cNtwRHzrzowiGtXnLaoAHFnlVtVM/SJ2qumvvSr27LoJyfbb+9+njGznuT
C6FBSbXO26uNL6BM0CLmORRs7qrYIRGc3WbCH74XaNB1Ks2QX2A/6Lw/W2WO/NzXmSj2lrIhQOAZ
A9pFsn5+M/0rYmbg9SYi25ppeat1CFNI6lz1WgbLSHRhQIdyPBFgMHFdVHxXlitxSzESPw/nsY+v
KNc8ZqW0P+3ZJeNYcqAQAlMLsgKrJvI+fVCEP0FOXypNmX434JZ3qh+tlOubZ1eUKXeZ6X9PYTe9
IDAjwrJx17oB/B0jbnG09T8DaUQnNUXjL9Tq4iHqZ8mB4Sobx603Rs2uI8v7cWvLSq4HbtuoNW/a
psve5irrt2TMJ4K7sW1HcObNRppbHv2x3M7kdGrcOyxyvrymmo/3Xms0xy7bJGmC6/TRsgsWKep1
+VKOHq3MeqtoNSPP2j7RGd0FxxA40EvaLBxu68khRXYoW2fa0XNkz6ml6+mYEZ817yxtNw4FCZvR
UnPnmL8gjPWWrl3hyuPmBdlAXEFen0wgTUFwrm2/sNK7L62kc3pPB42syHamECAxcnqTrbUKX6Yx
a6HrIzE4MaUuBpUBS2N+mK2vPiKzncACUJBeY/MdSlgAofQdS4U1U2A+jyeaaUJ6wbu6upvdvFZ3
qAFoAmHtzl+5UUxxqlAtvQWA1EuCeSDbF0SS1ZRtmBjrtoKy+Z0TzJuzt9e2NnZtO/ivk9OahF4y
OX0MqJDXlEJD8aIrs3uoMBrn8OqGOcZrLupbDvXia4pc9auBn//FNLt913MlP0MtNKfQdP3onFLb
1/ZyPmqECWuAHKrrRl5zP5seSoCC13GtwyzJZ8axeAk200wyQ4iXpZozkUawaT+2udI3bQ4Ksfec
JYrOXTBZfjws2WSdxjLrJHdSbr31jZIPebTJ5ii7ev1l2VYxpugwuxsrI74hHeiLU8mQE34WF1kf
nKa5UrRqWJV1XrSu6pQEFP+s27zRyVwS5ohVbAwItEfJwaVpK2oK5rzLDqGjrhXkaLB2GqNWvs8p
lWmhv1frgxkBsGKWDIlp2EfjezH5hqI1YFaEo+cDKpxxopQ2dsrSqI5Rhuc8MVzW+LQddPREfeqW
x+hblhe36ot3eaWxEoNOhIFodLt4b41t+R0GVZ2nrWB0ilvLm6NESKO8uXb6PBJmYfTUMS3BS9NV
NBdxx+d35RAOxJabHTh81K6rDYxK7HscdkV0pwMLhqriNWud2fhwWuIajpXhaCuR89KekRn3xVVg
7J1E77uv+E8odVroAdGxJGbgXjkUsyRLm0VDrDYrvxbP0KWTRDPVHH9f+/+jBfdS/hzkKP9M/7rN
/rWh/nPV/b+2BttXtOj/vwY/f33/yxL81//+jyXYd/7GjsljgeoPXTHFyv9cgvkjUjMRRl09dkDH
ABP/yBm3gr+RnMOqi1kBMh4i739ixq9/BNJsEkiEwg8ZV/CfLMH/5ofBrOhfMXL+xQRjoOn+d67K
qlh9dBbaqZ4i40Cb2NHJ6w1iuHeSyll+jrl1yoJq2K1B/ejJ4b40XVo2+vFSt8q+OKazrw3HpfP8
x1+/wv/oafq/9pyQLPK/PSf/r52+hp9T+fNfnpa/vujvT8tfSYn/gEj++u//jp33zb+BwSNOAp2C
vQJT/J/nwQi9vyH7t65Qm421KeLP/hsQevg72vG/lTWS5P6X1PufuAjc5TVK8YqVgt9dba3/Bt91
KHnsrgrx4RXzVo+D3ZyFsKIytJpz7uBPslYqi0mBaNjYpz9dMJaT+ZAhtsBEbfSVCPpYMjORr5n1
onHtnRS5MxoXh+KydUvqMJqr/hxsFckXd2a5uuzB1NsX3hCPm5wcOiKVdtfnEfqgMnba6AnEO7eO
3zbFXR6a9GPFBKMT0AZ+wQE4LMbk3ssJG/alyyrAcB2ZhXWsimEbfpkjrpUdhvpo+zm5KgQoyKet
2VUKh/9ubvLBPnQw5Y08t4gFKR2bstFgYyZIIUSH6bmNhebczSIS3Tu/Wno2nMKZTDx0jSX2ABP6
ts5VL+66aR7LM7HuXdiSh1L28ue4Os30ruWaPfHhRalcavagtKJFq7hko4yWdzF6FEeGeZ66xRIh
0qMwsN8VAd0Tj5Hyule+Q/sVRX3HgkkbFDY+p2gS32bcPVLWup1HSyNkbjETFIdsmNQvqiTwmmxN
4T+MOvPIbqKqCzW/q43yIEDE1MeEHu4EfG3t9Oi7XwIDfoI82S/seHNKn6uNCq7DmhtmMkeW9aaU
GiBM2YK3IBkE1XBHflm4UNcJFKE166VIhILAyhbljuepGOT70hQIiVDpiTTTTXCzRvPqJVS06HFP
B1eWdoK2gOxakLGzci/bjpU3TvqwGg781PPAOCDeRpbT6s84hznNBoZhOExLeRncG0Q55mlvGqSk
DDgo7JNfVnj3tsbJoxvqZHrxbc5uQ9OiZdPn1jTHrfbyG3VFQPLVj54VtUkRVXsbkbu4WbGq+sK4
nxfKokY7bODFgyBmuIScQlrzoLdlWChKKprPsFfFfpV25SbICE00UTInqtzwaE9ahR0w4KwDaEhm
ZATNbs5prefh3R57YpgRVw1TnPVm8dqE4/IQ+U5Vxh49Iy96YP2lc2SY1j+IC7tp56ETV4+tFwjm
GnrL7mlB5ePcYdAgeHHntEsGfVGM23HcEJykk7M2SW05k3VrDZR3F7oZSkCi2ueBgWlkghf8FTfl
EAz+jvjI3CCKlrB0jAvCILOn2zUl8sdkKJV882XTKpqOa2dvFqY+ZsvmFefZKCydtPaS2b95g5td
3rL0Nnx0xm1BUct4pGVGuTwTbHDxalcDvprGLx5W+u/Sfsic3Rg4436s8Ubv+s5VvxdPOu/w1M3R
9ibjQ82zQMOZaZnFbJv1ZSIo9zlCC3i1Z7ZWmjHA7AGpRh7OGbI1Dah2uhcAQ3zyRYuW354z7OIs
yDhnjT7wqnRZMKTuovnq6gyyNqfFIa+kilFNOrt51uFR02O1U2tJYHwGGhpe3M7KzUeTor8ynoj5
yX+SXDO8105Vdzeh7MP1mBtqFPsNXa/YzUWJZBAEVR8Xu2X7XGnZzm5Xlx5lTMnlk7Ws8r1XuXyd
MJK8b2KLUtEoz0w5JPLEGbCbIwmRVz3CJt2wAS3xhp1Fd9KZMhz3QK15/qBqNPmHfB79PKFlRtaU
bKDunysjhMBcqwuAvE+ZdnWNbyeG9N3vq9l5C9zRRmVOE2iAdUmJNHAaB593tQV3gZtTyjVk/rqX
swouDNhhn7pN2MoDvDkD6LwFWaIo/CQFch4AzIiJuAtN0dQpO4a9nzq66j4HV6to52290e2sa4df
okaju1dKT1TztoHeGVRFIjbJF1p+iB2CL8TGH1yWXnlvWcgZTqGEViPr+2ZbMXTneGkNK1Lxumar
98MeZPWguxyxeiZ8a0s8hntiSWAMs1sjW5tn6W/jbTVk67MMIkHxlLGiqKw966mgLen+2uX1nS9F
BA4MkhCKdG2vjifCt3OfySbY9K6wtzpLvUxkdtIQtzDV3GflOjPZK778bWwchI/uFpn9Qw8gQ2dc
NYxyvyz2tDwibKz8I8WR5KCWpfepZUDNJt8DhIeiYBHt/abqj22xIjFucz5EB0oyDT1lkBAvXMOJ
4pJ6y3WDrg1KerZX40Y7XSt+ZJxSZxYZPH1RJoM16cxMPvpetzUJqrApVaSgP5KC6IdJPXvuI11g
nOdht+U/AtqHX+XUOOZLSS13nbR9rX+PBJR9FBxRfYzpxuTDruuDeX2vchGFzX7kTRW7KixszBcT
j0qMfr6677y6M3fZWhWXfHZnxWWnlmin7GDq0sXTrXOM+lrSnS4DsOGwHLAz8ZWT/O5Zd/kWU8NF
jNMuP9pi6KzjqOhHiqUz23DD/FlHJFxLTVOMmguwKR7x9dQkheRr2UQvYBV0Ohe0vsbDELg1y9Tk
o6Yi55Kc+84csuawOKbU5yDwlvuwlCGFnbXRkpPleyP/opnj3m+7qcDOTcvkwiHoFAWa78nZQ03p
PSQMRC3mxH3QUEE8JwiopUXjs6XOuOJXm9+V4ecntPEsrpM9Neb3QiKuoJ+y4a5OrvDitue6tx7W
xjRqruA8WO4ZnzZOwqo+LHrit5XXJeNPBYP2pZrODQ/0Wm0dNZvgdpRwtpV1dFrwD6AsUGGApgyI
umxXo36lsDICCjPMGVhsyarErTAR7D0+sjtjacDik27rfX6oFqnZkJWiPV2DFek/DPglHLh9l5PR
OxJa33DdHdcTH1MECobDcQIFTYRdjMO5hwybTp2nAbp7b3V/tpYe8mMeREMnk2qb1BO9ukt9IVhN
PLTRlUNybNJJjq3pSA+St7Yf7QIAMmEl5hC3qJ97xww2WQklJ754zcRmvpgdVFY8V270aiJBDpOg
rtsnoOvwc1G18aNySggPuCpvuKc38WpVIzQCv10FxDxpLcodznr10NPOxr0sOOjwJIigfBfUFn03
JQVudBFd8yM2keXu7Qxc396E2rCmWA2Dx5XVwxHEUW44v/ib0EN4a9k+hfgt18Ma5AwoaIndD7kM
pgkzZU59lXbm0tZUk5kaZIG4jRMeTa/dUay8iaTAiedDLS6djo1IV9dm58797GbiD5NhzFdjv5jG
2jwpB34s9ptwXZ61PSy/qLrePjaaDvBeE4Ux73EkUeAZ1GFgxkMX+Y/K6BcPG4LVra9bNWXdbvTI
Lt5T+llF+8zJ/XpfLUN0y0eMb2QxhE+xYes9akqZvla/67JdqWzLTKilHiZEfqLn32fQqZh6Sxsa
mDTcvuTBDzjIS9dV/i4EoXIYeaurZtdfGzL9GpoubgYTuXp/cLTWPoFl0ZLJQ93ZC1IZIKqXbXbF
rzEYRyMhrdZIx3FURlLT664TRKQd0/gyhc/Kngzr3K6uKFNhmq3cq7bqSN/FG+vcbTpjSqlHhOnI
R8LhIusclowCx2y8TJYrv+ZB+Iwj/PhFsll2/q3EkE8PHmqq7Ez2h3nY6il7Gnh6PGLIm6D76ica
7eAv57DdGZiL+qfVx0r6CCugIZH0KgxQZJDmyI8z4XivvV4IYrC9obgZvTwIE+XXW3Mg9n2FUhia
so+LIFy+s5ZsqPN6ReOTjjy7EvBJRa9TQdfpXlmtfesxfTmxrigTBks2ZLWzYPFGhEk9VAqcGk2q
PveS2Oe551LSh97wuCnYt3NdzsshI7gA6hFXkGiTflX6aVrHlZJwyKlT31om1hfXJDTO883S3JOC
QFxMUCnvlohccikNMEix71XZ/SlrYQTxsvnei7zeq3FE/d9dNc9O+cM3tOXA97X2ugu9rrAfRKcD
d5+HVA2eUfqE3w1OVSrRvSw7B3VT4eUZMH3tuJvJckAEU3w6bbsYNy0/cMflPwTjA04q5/fAttjG
zNHzpV9ZGU5BPwXzjamN/GuVXXGj1eA/NpVhlPv26gcmWmcpL2yg2JX427FoydHmtdgkO8Gp1mXk
3tpL2Fo3W9V0TkrEl/GrsyG3z+FMM/G3Ww+t+oUmvJkJ8BmcQVL9tzB8Ln7zvVXLdiioFr1Rg1Oe
/boomNny/Bt6+ArYj4337qzoeHaVaRRvsDW+4m+RzaOvyuCNn5miSJ/62RoIOKKKtmtGheuoEQE5
95mcXpWJMPpSexMVMJxKdEnnxtA4Fysi/HYflGvdvy2OP5YvYnaossa7YImn1dyaAZbcxxjWwfpB
Ibc6RO+15rBdl4UUxHnXrdDscUN9j6TvyCk+SLwZ84Pru9uL22qTmBrLWOhWpMVd3dkoHD5nm1/y
TqHhnEjamUE4MdbaIKSGDKr192KSOPS6+gJHbKNXi/wHTx3Krc+fZh2Yb2it7NdG+fOpMUvdvbm9
odPBt6cf5JUZ4WOF3H2OSUVaeKaRj6ZzRXNnnFkhNqlwkuVwkOgDwlMeOL2BvKJzE8ib5n71c3EM
hjY8YPNVu8wtgsMwiexirVmZmBkIumGSVRPbY+Yh2mn7kUNnVmNcKea41AuaaI59NrkHX/tWuxso
E53iECOOJrK9hEIX/kpnbi9GKor9KoguTLzzD4bRgpJkv5ZHs9+222liCopbgghoIvUodN1L+g2s
pA8HP0gyKtH7hEuQN7qNcEO9FzwL7aXzLLaLdWT7PV4pHcYN36temqyBz68712YnXnzSRF23gmAf
11NDldlPyfhPeVzePBO1lJl31eqPu6CM/Pt1sfqLa00tu8TaIBNpNjBvhN5N9kXYI0uM3ebjvURt
QVc11WVnT7rr3WLJdf4hnS0/E7bdn+16w2cUQtFjohv1L+3UQbBDlNfckfmmDmuU41GoQZHxqLdA
QKkOhH5qUeJcBSLllf6O1ulZUHeJKJpoFAqcWy3tZCqK8Zf2iuE1cwLln8dBFrDawiT/Astn9Opn
dv48F05DJx6LDHXyDn3QpYu8dDeTh/SFQ8R6NhaXuFqEmkk+aPIXaomDRMJ4sn4FMOJUchZ/VG8z
mNmVvkPryKeqQwJkYaLHjAnTd5nZ6pxxeEBpBje4VgqdSrHcb2TRHCI1lOgIysnY801HOtuL1dlF
GijhdkZekSUldAR11Z4tCsjoxkpQCpYL89FYp2Y3jkREFVAhH7gh+fDgBIcwFSVLwKPVM8lCyPhh
9rtVKHHyxWMFhdlpzuinsW8CEb9Ylqn7E6Pg1N5LK4dTqNY6snc2TuqzZjofCDVtup9XjV/wMRkK
9WA1Y9a6xYPYXRdX+yLYYdcnLjXvs3cq80RJPFQUEWDNRxvJcDsP1kBFd+lFj6HtEoM2i0E8h9ru
fawHpEkd89GguVeXy3zjoRbg971QHQfSSz2VxprVx91QZg+5xp2PHHNk84m4SxiSufSPOlLh6xrx
fu3Gxd0ogC6CSZ3aLTCCtLIN9eWtnnNxKE88kFHm3Lnlon5q1+3qgwRhIl4pyg9BqXDlwFIizrGX
jQg0K19vc2V5x2mQUifwIN5zs9hDWgbYUnELkV12x1Qc7LnyoaKJAoXWFEHe7CnPzXKGU3cdHs2u
XHoCeQajfCZTn4fHQvfjLex4xcL13PvefCJIbrovqF67zD5qgufSirrEWpfC+UKtN9wgEQqpBa8A
4c8W0cPPjsn4wwtTHWwvFyc3D7JHzwjDB4xY+ZLSqNv4R8MUIp1wnZ0jr2o7YARb7tdNilcKwJtj
08x01Oqc7Xc/LwEmYI94uc8mC2vrbfKDxb7pRkBhzguXps/cWSbELIKy4bK+ghNJV0Uh32pAeMx1
GT0XFX5ueDaCImIx1/oxm4rq08g8jtwr+HAZshooIHJlPe2NKar4n6G9joao0Vf1S2j8YKpqmxOR
2e2vjvssrdu5y2NlD6zthjGcC9deqcrawCQZHiKZnQm4DqhGJlr6Yg6hm+2U09hFTQZs3Q6vNG13
873Qxqr/SLmsDyEX03ZX6Q1szCdzP1noM7/D1Vmo9woOc0u6YoH7DEyj39FOTXVTitp6GXYFSeTj
XVCRL0CKHCBKN3lN++oUpdvHPnnKtPdyTvkbU/G4hVcDsw8CbPvD765tzM8iGkISagazWfeFO1oj
8WlC2NGjHilvpj+ahN0H2bnTlNLKPe1zwZ4bu2Qqv23UT9whH8T+PXjK7GK/RO2GvmVsb/2mC4vE
WuYsccAsf1VgLvSCBqzA+2XWFAvLKopumfO7o4/Zb9uXYNb3vMrba5NlyxMKNRABjpXCZTcPVFqa
xVbvrU6SNtOGdAj7hUBUkBkq31UUx32sgS9uRTnzLHMpzGtibTwgu4Ue9vDYdQtOlRVUaj3ZJa9a
WhZL/dHn1256ZYTTg2Nv02tRo7XHDBK64hQ6WxclvZuVL02BaDxet1lF6aCtbU2HofHVbXk1KHbK
ND/p7qYZfGoJhKP6eVPL62aF86fqwuZjkeaUNIUzwo3WJvMqDuCzYSIuT/weiUexTRyZ6JbMbecg
WjmWPqJg0tBHIsI5TVv5mAkjGuN8KwLx6NYRYJyRR5zda9SHX1UB7ILQaSpzToG6u7cFFSSN37Wf
lDfnt8a1/bYqCHOKpo7GC7+IAJqUTzYLWIh3LAtrRYUGMi5YmgLxa+5pIwdaKyii6g0o48kgcR7H
p2pn7+QPlnevZGR+imFRt/xcHS27NhlYhfZuKoje4IBbyJgPODq9321IJDAF0tN2nNEIHTYny3/T
zOO+0vvTFpd2lUT2jcuWvdMK0T6Sp1kds2lq2a+jYTxbo5OJJLeNBbI80m4Ty3GBjW+NEkzBIcJv
jIe1CH+S1u9+98IYTw5g7an3rx2RqAWrvSO26q3sXd3aCcaAqdpbvpafNtA8r1Egrcch84ryDMAp
3XNJEmuF1YvoZBoTSitMG+x5x4nIC8Sm4Yacyy4i7ewnu7PrQ+1eq9Ew6oxOWpPHzv0vJfrNnuiE
6CbbHP+99TPDTVZXL2CAdmXczpXTB7+BHZuRCzSMysSwUQ/uGzEDRFPMhsJJLtGBzACuCGPt7vK+
9twYcDZf9kil8CZeKW6IBNfvIV6Mnldu9vNHVc2TnXOGqGWHKcov2SQmdFw6tOsHieXhA0tb/lL2
hV9ybBXQEt6whH7qWZs9P7jFXKUhRjDKuHXnNqBsNTLZB0WtyqNXcF/gW2oa2m+RQJl/OPeyj2ug
tiT/owovqurtB/B2PgKnMY4DHY99igfTL+KrdvfslV3V/UCeEX7NXlCTHC+DnSdE/4FQQIxUR6AC
jDWxh0fLaZYqHZg9m71arvilOaI3OnLQGLebGMlCtOps2lAkFOLe12H9iNF+g+/vQySUpd+FXw6v
t7WrqRnilulMytu7TOyvmuYU2klzgY+GGySqbK0RkU6PAk2QCsDd0royRPW5jCIe+d/X5ynIxaGB
pD5vfT1+aXScCW+pM8e484wwjQoDJ1lkRCoNMV3eIMGVTQqjMX4WU4hRfdkp4ir2Ct+BlQoMn6eQ
rkcbKeeAfpVsnt/zNdDTRlYJsFUO4DJs2jO60GZq5FWvtX2HDDm3pTkagL5Gt95bBC/+zO1ZHnVv
zE+cK2u6uDWR15kyslvPNqp6h/S8Lw5j1aOG1i1Ywc7rsLOKeuuqJ720RAYpZxntfT+YIAW6Xqtk
Dc36dZizMW0w8Pwxq8l8yvGhvde5LmgxVlH3Xk4WTjvZGI3YmWvjPY6hYUsOEMv8M7j+dpnE5Miz
o2xGb78l74HTsEZz1EeoRnF0gV8m0Qb49gg6QvyrVxX5AzliYrypt2hcbwriIYoTs8x070SGHb4g
s3X6B8/qpox7PzL8B6IhowOIhxMetjLo2e6ltyCc9GwV000Q5IcwV6SOuCUjwDp7rZcOkDDkcExD
lmPl5GXhEM4gv3zheXtTzaHzo4jWPtgRNmWVcYVVuEulBYEfixq9TQroOc1OAlrh3wzAxOSBBBGd
aTFYJgmnNNp47mVhRP6Z6bAv7+pBLfLkdlRJpazE4bUfiQeRI09QuOr2I3SMoeZnp6sUoR214afs
lCxepWtInu8NmshXonouRIFMqjeExcxbhSr1nYGOEFhMVcQesJxOw0bS8As0V3l2jC8ic8t09Tfs
mZ4RLaVKNnwtWNyLfjksvP3PGh/shBBbgU9vqh2GhAivnCdZ2N+RU1qIIos++OBr5ycUpd1pDYFf
YZrmL21P9rsZjdtLWF1JKzfriVPF1z7NRIs4RCDExLW358rvdf1WL9Fi3IZBW/SPnpvDgdrlbPvQ
dr58MUTnP/qDVO1ZVC5tw1qPwe2mepfdP8hk99hGoRGgj7NH45A13TUqhMDh+Uc2Zrb8dPNRN7/1
iLCNgygAAXCtsmr3vehE/ehES7hQRx5ZJbe+mJZfAwVVKtHZ7Ia7ZZ0pOFnh8+A2vaY3kAZH2U+g
KhAzBpblq0OEGBwlv07U5sFyyTwxFXfb4qPM5qoBmJqLmRveGYlEDq3Nq3/4Y+9/2dPGfoZBRxyl
kQ3fBLgSz+RWczeiFsdBU50GkPL8xCrunOfKnjFOkPKUwxsOVbqKKbjUPvk4xB7N3shCreQ9lINp
HZwOYOSFiyYYAHr8gOzcyUHXSvuFnF/RIWT6bBLIdvA2tfp3+dRFkJYVWVhN7OipUxfbLv3ohPR9
HMlKH6/wOtDHa0kqTUrmsZr/rJ2t7fOo0Kif+VDdG/gGS8VoyvEhjGLSbhrVXmO9rL6S63mRfX+9
lTf5I4OnByr9C3O//ks1kgB7nvYrgtbluZWNvUPBsX10jWAx2kpnLM41p4U6rX25WCfSN4qT3xub
D3cHVOGEzSK+wdeNHXJ+e01pTLSxRcxSXLTnkD4y292SinkKrp8C6/wAbnuDmc162vyaHBRR8FaH
gYeLoO7d3UxizYnk7k3G48qKkHV9ML6ghdzC3VyjQb4MhrXUJ8s31sRblbVbasu8gZ/t3ilKJMOH
pP8t2uiP7K2LtQzWk8BaqVLJ+sAcjIfMT41iHVNzcBeRmOgUX6cVBSLSfJldvQgjLhchvPxjlaK/
YRSHQFvdodpo7UAB/2qHm/4y50Lz/qBfeOPew5sYQVI05S2pCKa2jgw35mLGvgsc/ZETh1/um9rp
/XvNdsViH4xy21dymMtnNtXAjqlTidxjlgPr0NRGzp3+HEfteMhBy4ZmpXxem3nHHFFF/m7MCra4
22a2w2sq09ApY9xrC7FldKikH2U/gkAtbeoZYpzc73WQhhMzsADDTACe6tEsuCc0fvGxyU8ya6Nm
/ubHEkQjDdg2OP1z15tvClVPoaQxhqD19lTwZi4fwiPc5EFKFZQfPj4OUrA1QkYUHbwZPmpebZvG
nW2zWaej36vpQENxvsVNWQnzgAgbHXALVRP9sMc5klOC7IGVN9ls1PRE5OGsPHQkyhD3nIFN7xd3
7hDkVOswPvdwMFSp8GoW1YvliDzLWKBHYPuzLDpDrIkkrWbaUtUtMjcTpevSKFJ7YN7rDxG4dAHU
6lnL0dsMJry7tnIC+d3y1DDlb6uWu5IRAdElHDVwEo+L6y23dca0AIYCX8aKAIzdPzSrV6wPShRV
0yd9jxQyLRZEOkG64hfEr+6MuKWqmIgcPzga7K4Spbv5Xxydx3LcOhaGnwhVzCC3HdhBOdmSNyxf
2WYEAwDGp5+vZzNVc5OlbhI454/NWJ/ykmI3rjzweZwYarXjuQC1XvZjMNWILT0MAk+cHJZ5GooX
RlDZunJ7CnlMh3uKj9GEu1zg0PB2Hipw06dJaykKv2bN0pMtRHzFJP92gdTyw41LP79nkaX5Z6Zw
Mz/UFS2s+xIUe7sbMtrRip2Txa7l/QNi/tGJStljDFbVHqH+OdzaECHJpR9yt34ES/OXNLF6ni80
cNns1DVZkvzVSHgoJEfPFHbdmaJb0i2DNVyTEHtaeBMHdXnBWn+Ev5rlNVpuPZ9obQSwIHRxnjBI
FEvMpr6sDSFCZ1KMCnOHnMziBo1YihmdUZOUfzTtdzfC3msNXchbnCkvPDWLU4TzK0nwubu9JY72
wxPCGkh5JiUbOCdkxyvWlRXBid7lyeCH7U5ixSEoWrbVtLdxYMe7RQwFqcgZYi50vHNuu7NM8mU9
2ahz/KNGvV7vB6o+gKMwEpP77Ogy0tmJs2F2zFk7S0dUgBhghJt6FfNfWJhGk7sfUymT8vuF+lJs
KEte8EAtzr+Kbh7gbd6K/r8hF3Ar/8JysJDAQdsG8FgMy0Su5L5X3mLIZI8jBwQ55AYV+KWEFn/1
MpjuEM9+W58a1CYo6YvVmUGFQYPh5YD1EAivzfjoN7i9T4Wni+U6xWskHiuz1t1+2dyafAg/ablG
i74WIYHS/Vx1b4OsuuSfMBENz4Xune6+KRUTaphZxNiWKDfvdxUpB74rAs1y7/LaCA82NdTyn1Fy
pRW8dFp19MCXTX2oETePu6FZagx1XdC+Ox7L8p4GiqT5r1oc293K8eKwNjug9wYsCedYnbvdZVtQ
JLwT1agye6wLEVYEfxI0n04DXMFxJMrBOYmu65MjSrEx/+wahqBLUIhF/LrRBNHFcGHLL47H3u7j
uenrH5mQq340Q0/cyk4ZN8cy3/T5doeQ2swtqDT+rHQsOeu4LcZqmW7LROyl8ZaXFB1kXlxsaWJy
Jzg0ulkFV+VWLL/jyOTelwUMDe8Bohied4nDFfDWBJFoTi3Lg1hOrtubLcSbYqqt4cSScMkQg0kC
keqg/mlGMDGnp2IsUqohn6J1YtumcnNzKtdHxt7kCpbT2cvGfLx99gF77XUQ2Sio2CTwOjn009ov
F1Q73vAwjUEY/+N/VxYtJ5g7+0iYLsfCBWiE5Wzp3Go+Km/liWT1yeLqMleK7voSLCxLkSrWzavT
OflejS1bAmeiwCHBSrVMbBV+M1PlhOdhyx9bGKzkZ9R2w5rsx2hazXWWua+uBvVCdkJB34vnJeL/
nKVDzU2Fm9vQI7ALhi5mxkoKRATPduDC3G+BzjWgzoo39RLNeUfM7ExR8xv1Ia3/yvmBruIE1b6p
16pWRXNYp9JynJtGqfU+F/HkMHtPpaKmTcl2/EFan8AoqJCQ/yUGbKxfOZE7yKg+MNmBZDDPu9fC
DkEKUEmQPStYnJ+3HITpt9QZo0pKkYmqn3jI5+FjW/qkSXNKw/XySu6tDe4bl7S1IyMmFNoabaWL
2caVq/pcyw4ide2qNd+u20gMSxpYr3b/BQQ4T+3OsfELunfOO2iWJ5lPnkFlUoX8kE/UJ2WBIcfR
HZb2ouQ0LmlkraPbI3DgMP2eeiwpGdt8OGY8T6PbY/MIV4pB7oBBimlAz4Wc+mndYr6n3YbYpCy+
67jEvPc0jd3SfHvYUiYPGKrsbLRvJuZ+/96N63BhegG12pfDMGpaRRy6+dxRRuJYT/kIHeW5tSuO
TaUC+xrQLNF7p/nG0L95dRf352LkJkWOszQNEWxtotvqK5o2TF1HEtvRbhK5WEzbktYOVM+y5+Md
/Icc/1HwyBalyD50C7Qbz8Sh8HX3NRqu+owCpW+ojQDB/sw8j36XY2/VmsPqTyZiWJ0oOVhSE4z8
oQnyupdqGsnPkCWG1T2kBpklw6A+wsBd3Z3ejP+nmAv9NZUmeFECY+jOL4S9HwfydQ/kMuBXbrVT
JY/CL3zku7RcxSPCCExdGMvCeDvqWPms2mSZjfYYOZqaFuiLqXilFkG7aZLZWv21E7DfE6Iub/7y
RipDuH+wbUncW5I9b5dsWaROCChHHtqtdt2SldYJVhw+OnhcVFemOhvWGcJIIPEsa+RzjpvhOjEC
98dOuIF+bk2WnLN4gEbXdijOW7vpxwV9mMLaYe0e+LA72LnGvdUQTfAaVNgLCwNzBRUzVF+6rqJT
Ofm4V/FDBuCZ2r+4oRBfURTwr2cChAcPWf6jH8kUKolx/824GZxMHbp3Lt/G3pn6cN0v3ETp2MH7
RW0YXLVDYqfYqg1ex5T+czup6YkIO+FhNBudZCfqLIJbXMPHfNHtgcYg/yFZcwfuGAz60sUEcuBA
9fbR0spXzyvEbtqSW1eMcbxbUsSK0o8T4kfLZkxP5zZ+SkTF+64s25NUPT7vAbvcnOHcrrjyckpu
bfTTyXX/xubUgqAJFzceTS7ZvXIHkex7j15CUMfms6pa6GXZLv8IrY/WJ/idnDFNN8G5qLPijzH0
D+yJCWpuR2bhfTfBptc9uZ2UbUer1Sn/PHrPvJC8GmH5GGN7+6XyEYWLq034gYYWfUawRowI0+hf
dNTeMrWL7J7AMnBGgX2Lqa/ELUu9q7vnkO3RX3YjUprM5nTLoOU7FH2ljmPYeOfq/3JdsPUE9H9p
vB03g0OZI7vnbq4z+Vx4xAjuu3rW744NkfLyAxcPfr3M2IJLnsZcN+qBjjY8xC6qElJliI+HHCWv
Y+d1AiNYrPV2SMS6PkZ2QjEhCQjycso3XCKxWDw6MJwSMNTHINVWewQ/cXBu5yE61WucQ7lJFN4J
hZ8H2GHwbmIGN0lBTF2yri8o5MNiCpDigpycdFQEX+BZdYqtajn58RanUGUghhjwAAvmqrwsaDOe
Vtm215X+rBhWPdoAKRG22ntv411lw1NvjYC8BzaISRKUQ9jc0cjIyju0MR5W9sb9vEEZ8lwrtF5R
PY6sNuRTQetsC4KCmLCDNPMAj/YhmSVH6MKwfQSW9O9mL4CqqOmdPAivj8WBjb45oCr0L6Vf07vp
1Jp4WRDaS8YBdBmt7s9yq+2lGIAmm1aNdyV/8RM9bftGIHzzQb2tjxEYaJjFIS7OpfLnp2Guy/uM
2PMHZ8tm5F9JUj+60wwQ7USRfKWTEmkZCbfBuZs6cc3kEvznAPMQqEuYTB9cVq+rnNRH6PDRZaJ5
d2rbfXi0V169RXvHxriwo+665WdGV6iNbCrC4t6O8Q/ZzEyaW7ULcutu9z34yf04V6aDw3Hd+7ks
+ocSWcvnrSPUO2pV+8dWkWWxv3ke4nNgE10TPxvWVxwFvIouycNPurEIi2JumiLgcd+pxS3uNbKW
MrWNaw7LFI/jNUD5smf6K6mq0ot9rKH1Plsfff8iw+7MdtymWNg6WNTEG7z9ZNsvnuf6rsxMvu4r
Ro6jFklN1VYmye+xVfRouaHQeEJ2clVATJ1JquR1i1qbvYNHb/cja/on7vXmCrWtjx2iUsLXOyDC
3ENbTO/cdMtYw5NcYf6kS6rCWFjJx4A59T4hyfAQbLfQ+tJlen42sx00roKheutkPD9Lvoc9Vzc+
c5cz5++KprU/ehsL1oBk7jdDWLKeW691Dpg/xSvGSnuOqSDauAAjU+23YSl/Vly2X2WzljjOa5zs
PMBQbsT8zGzWDRlyh2m2E3R+FH73Osveil5j812YXoBbzJB4Zx/qA4Ntb6blCB4StAcJwfXM9jSz
FITqwyAcJvnDT97H2LPhzSu5nUbc4N3TLdXe3c1JsHzkWes85jhfYCn65AUfoMHGqudLB5vQ74Dv
YzddMyc45YDOfxFihuHzshj7BgxpRJqXw5gcYqF777DOkvQEYYrqpcrcW0qcbEDScoBNrLfEWWSm
mQ56UO3f0N2mSxGF4spkUOl3XSk/OUwlEaKXyqDiPfayj98lIk1vR/wvNsalLAp+lCn0vBvRFz0S
MWF8RF2u+W8ikPDjJpWIMdBsBUhJoY5lTjDUyRmSYj3lXuZsn8reUqbnZeHfP/NtNP4BZC0Y/+RL
4UG4NSUMIZw/UiBn8XCQVNIpL3ZFTX0UQdLcGs1QvDAmFomp2iebVdMMdJlU9UtGKMv/d383iwif
HlcWzAyrsn/HRTgHHNFSIUHI1nFmbBKIWQzy76Y8OEHvoVGmdjYfvX2XoJBnllwsaJq/huV9zA+H
SAEGcYZK5p/+idZcMcfU4zDeMZslhLaMkf9Mx9nYvYikCZxUyFjHlw7wK2C15IC8cjUu+yUcx5lu
T+wGB4LdEuYqMS+Im8cczFvklCz/KATlr6juUNinlpNo29V2JCubbDWDUDFJzFdQSlbIuPPDVFRl
b/9MrIv7JmkHe+VAE78dhpDhsIYjv73oGIsMqlDeuIGTZVcPUz2i8MxXmVIAIYtztszbFRqgfMnV
zViC5dgGX70dhoHEgRKtwzaLhAJMLYi5IVMdqpbLi+FYAt+WdyPizWqXVcFNlrjQXDbclfls5HsR
8DGcQm9Lhn9qmmqBqIDPnyl24C44J9YM8hco7oz5PkQRq6RMCu6Xvql/mLVBjZvM8LcHm7dhmiMA
Hr7x3vTEzZLJ4L72GvjwHlpmbMEfFiNd8hA62V1WXOJRfHRGS1LQPlx1SI4MuOM766pXYA6p2ysJ
mnWBcN1xzXOxtDZxsdLPHXqrgaHgh62UpBtsxczwHboaILOWii9kg1tfwdbywPY77ZXJmcFEkNIx
0fRB+Cgx7mDI0ssCqrIlSGWLBSPDF9cf68Wfsyd4U5GGVtffGg8mWnbHUb/zjfQWODPQFbLYwkzj
t2pfKeRa9iuB7hEBH61JzoVbduk4OvVyL4Blb0GDNUXrmNLM/E1sOME9WZWpu34JKvmSIcz5izp5
ri6RVcMCl8etfbPR4c/o8vxbmcDwy9HP8dguTnQOwqj6WwkzX6HdouhsE2e9Rxr81zEy5vSqZOm3
X9ui8doBjIWKnApErP0+DzZM+HsJH8ZpOIjCeUR71RG5xAdI8tcWhOY0CknUzmGu4GyRGK6KcrW1
yKJmP5AOiTidZS9xzmPAkruPcD84qVJBRi5d7k0LGzJWKzRbdZw05XM7w0SfVLJZ9Slsv8LPDTrZ
6nRaZLn+KvHVyl3NQN/vlfImXF3eMPDcyc7+3YhlIHFCtcGCO3BGqgOqviHlISaZ48cfQWmW0Bj2
QK3b795xi+UO0bTEAZLkNhQfuEESTzHhzFPyp4eW3B56svF4IOYSdcuKNqx+KNqC+FdnyusKMHOz
pjs5AfjMkYhNCtEFlW8JDDWy/OVcapUkdr+asP1v2Cww33VeEGxmhznylLmGQpHsujeV00kKoP0N
q3n41uQrdWR3kRQafIVZbNy8w5CBiSNboXZxeSwMrq5uD3UYDBJxjw0CPD4g5O24D12kwmCgTnOI
ym39GRnTmzd/zAnJo1PC5TFmpInKHkZk0s2lrm3wvfFJNfxRjpNTPzVw8Xy1GkECxYyQ9xo/gI/c
Sct4RdJUSJ/ACjP3rT0Wk1Azr4QK1vbJ7YKZP3b0wsp9sGO/iBenKyqs7cBYVXR0MMsnpzIAdmd3
CqxGOr1iSyZ5psB4dp8jYbYZ5W6kSf6zdeF63y7lL2zW7YAa2JmIqvIRu78Mjcr9KysxdQCeBPJ5
8UyPWLXzfGe+W0o+njcNTL4cA2Sx4y7L6uAS1oijdk53Q66GeXFSVwOdIp1fFFRm03cXgTfrjjMp
38cTrNUVET/ywj6fvmv4xkONSsk/eExR2J7m6iqLbHZSnbRB6g/SpVfVwW+ne8sZdDR+lek0LMbZ
TdIlCAyXaIKk9QaJrMV86YnnEHuPn6/GNCGiP1vV4dXZQl39ksLa0zRvVKR7vpIhIBIQBw/pCuve
aNJZbsIK193nazwRWDSPKUFXegEH4gs4hsFoH3SDPZJDoWtf0MdmV68Pu7cV3WzGnqmXR0rWhk9r
IA0Ondch6RxzHL9QuP385AvaS8+rjlyEUchjxwtKjO2u9n0cJwh1G1ILRq5JwGOwg2k3qaSrToOj
NX+p3uxFN0X1VCeGzcwuXvkM7h91dxNiNfeobVg+EztY9NwpFjZuSeBSfXjSaQ8iaJyndoRdvfGh
KNlrVuPX3p1i/LCN9vcbQj1vlze3bqYE755DuFHnxUeFYWZIW0KZqNPMiv7QS6/86btVs5+TMSYH
tKih1xpE6OIx2hpzolCIU82tZbFeBgDYfUmW1bIzscn7tA3cYnzYTMA+hwWOqJ05qGGmsBYt/I5M
ccnXQorTO6FIMc2H+HU4/IbMbBfl05tx4gaZf68d7gNcOYh2+mYqPrxkdbq9Y0WLyAxXkr6bEHTh
Et2Sw1BP5XQgYiO4gP36RZqZlapaUcC+VbDiP4gKcWKcx+P6twix894NMpleVTGH5iLDbXp3KYYB
cxFjdQp7QtNTsgtklyppgzNxGAT97pWrgicDsPLc1uVwHYJ5CB8HafW1anAQhgXztVV6uThbk1xm
a6JLGDXhN0VvxOOYArQ8COr+eSiaCquzcFmQrmU2Kn2McHx8yzGvzgrD5pm3pDiyvczMXgYk7lqu
7HoXF7sIXs5ab8lDr1EOngeBTCZ1/JXRTRUC8lQgd0VDk82w7YoKxZMcCn1LeQ097stp+GvzhVWX
nT4CDtzm7eAOZX9XAdbzIvdWfCUFXM6bqxBAHbLJgIIEWN3wdRRwyVzRJBdXLQW3VpbzYZ4M/K/N
qYnLptqrjl6IrgD0IBkv3eiGBKYwCbzppALq8YcMUEzJkcmyVwOTvOckT91s6HOGVkJXUPrRy+pW
ePyWZSVYq82dW9abGJ8zgpzSrRbquk6ZPhLVgxhpJCtSYY3cC50jPWwnbR/Xpsbvwhs3sIE2cj64
U6UP4cDMAYksh5RUNPU08OTtfVDPAykVZX3VdMseXMS+Av2/mHEjgaQXsMjW/xg5kwzwqgxORSzQ
PJXlFN04+XwEFvYbpEYAPx1Nw7GtxCESQ4LWgALk0wYndhXodRi7RzzCKRIZVM+brNYHr6y7bq/w
K2JpqjyUgoVjIZm9MQrXc4lwHEv2PMYMGF6QHFxohbN1Zjet6aFfd4WbiT94yYtT0kTFr1Aj1N1t
meNfvNGgkmkpzZE7D4gRzMXPfgX4jX4EtSIzWSOluuI869IipNGTUIuk+rKkIb+FXlhuyAagLn4M
wl0uZghcP22hkNgUS7LzdzwdJAeEZdH8EeMYPQ/ZJpqzwiXs7FtfoBDu6/lbDfgJA8yQLxSe1QeF
xLnd03SJ2KEXqt8P0LaXAYb3uapX/Wyt32SvJVTpUz9CyqBxiFijiFa6ZbW2BJ55E8nRx5Z1sNuV
Lppa43QshHOr/O9obtfsd9t22T0UA+9a2/rSZ//II/zaQF5nWyFlUzuLFvWJsDRb4YtHHyHWBR6R
M6F6Lwanrc4jsVFHF6KIuWf0DjDMC/AZiumK8Mi3IHRZiC2WLdRhain/zdrQHCcKCIBd4+ccqpha
xCEeMR8SIrI6qYeY4G0lg7jaAbA5J210nB+JtlLsNxgwvgnTwybmTPF+cAfz5FQumdl5x+GxHyrR
goowbTzgPybbBlgzo1xP6B/z4PALRjakpYdX3aKhBvHyWkYNbZtwP0f19MoSXMQP0tr8ojrt38ee
XqprgsciSYcOQn8XTT2uJSdQ3vAT7qRiNoW605fF10ubYihSaHvhXOOKlHWLggGXgPOQ8XwMZ+QI
42/EBc2dkWt484lMI/bvJJQHL5u6KY0GMuhEUwWPCEDASYtgAF3Ll86cZ1u1vztf1fMOLH298Lf9
R4p/EdLyLQrvKkGl3YceG9vjnLjFlcA9dRZW9p+sra29X4dkWS9zP4XA3j0XKC4TGcy4uOSQA50T
AXG1tz1V0RKOs9Y4U3Uxy2yBo536X2laFot+ofZ4Q7YaEFXGA4v3McHBRQbR5F2pMai691lahxkh
SPIuOpL+RdwUL3B7VdOAQAI9ZXVuYl0/i6AL8pNSNxfm7M7Yq1wcd8OHIfK8dHarVRGSM7W6Yf8H
M9VwRwiIWffYM9FRGkNvxa5Bx9ocEXYziDhUNgwnnG293JFKUDMHqtGcIfUSvDbkiRy4tWdqcQKt
PwOw51vKZOl3l5ixKT5vwZRfidZbfkUG+HjtHYV0KMk+mxUn0MsNVJ4/BxmtuNSgfjui27z6q1qB
LnZsrtuHi8yGJxriF0ljxir26BXKdQ41HgeUc5FfnrWS1KAHnZ3u+BUJaGA50P8IVMk+vM2lu5yi
gR4stvQC2B+X2AKUmTWpbrVn5UlClGRkypZ9jnkDPU2OPRHR0USgWwR+un1xOJYQOyzkfg5fgasW
Fh4a9JwvOKlPSZiRnuW3E4q8eHMIpDBN4JvgMJCil5zozNT/edHYv1iECtuOlEBASB4F5AANytOX
Onaj17YxVF6jzT1YmkaPop/6I+dLdVi9GAGvRV62vIcTGo1wq+wJgV0yvMatk9NXJOmzOPlcABUo
bL1ulzkk5eOYr3iBSbxW3r1RUFcCv8yl8wsi3gLZrYDAM5ROAhzsG34xAijGpwz93TUHKP8WpMx8
6mLuLZcWRV79GiO9UXiQUof6MI7NgrgHdo2ggwYqRRqZ0ETnpQqmIy4qTp1ZeDT6EoGFx4SUGEwz
ZECOiIFHPjtawtgJkdhFU8gv3UE3HMZ8jFVDNO0iFRMlMTwCYz1z0wkRx/pbZmY+62EicoBJlgic
4OaP6lBC/OVFpBMO4t4+slHSLzDGQfOaIJb8MxPvyvME8LrTbTOdtm6yD8hcYHyJ5d0IKKv6pw34
5RKSYHYalq1BrTt2AH65B6N55HMRb9bSa78rNiSsVYwMAFTHdsfJRnyuDUvA0cGy8OnkvJv/Vqc3
zi9SyNyDZzfU3+5aMpDjV1aHSU7DE0ak+GJcB/yoJvaPBSp3iPks88Qgmd0W4BpKCCwC7zfNOnM2
QzGxyBRtdSpBiFH4U79I7o/WQpwb6TJXDCE+/lRgj7OHbQAjx3Yd8c2GJg4Zn+qNp4y/jOXFzHx8
TaIe9dSah4wv/B4xEcazJqPEk8gTjMbFqjCtDbRc7WRs1ZVNMzjiE4n/mDHEqaoNwYpIc3R2nI0D
dUomR4I70MyoOrEfvIcq9PsfFfF/UExEte1qQJXmHMoeg25dmIZzIcZAD4Pckii+k36Zp70bECzA
RkOoPnV8ZfPusmHEsKx8e/DzsA7nyZcmPrqSoPj9aP0iOSug5e7YkOCCHkZCteORnaJkcNF4zwWm
IY+wFRhoUvxPvRgc9xn/6Tg9jJhMnlRRs/LGM6D/syMNsn6UkwFSB8i2kyvyEpyPb17sYmytAxEh
dtlXVbU95cts+E9EuHswWv9cIM/emTNROAZBEak7tM7lfO+Ma41qbx696qR6G8dpF4fC3JOtmLj3
eqO1CArTQ4mf2W44h+A2P1GwVr+WpKa2EFEcilnuov5DC/Yoh7u7RNyHWM+c5lYUJCK44QnvLLhj
CG2KJ7ZfUCt61V1NPuAXFeLyjx8H0UuTJ6FHcKiayzu2AtSN3O6LOhTACGCuwM6PLXE037HflE+G
r/MFXTutgwDUVQxH5i3rtI/GwM0upMN4/otEoOwffc9qchvAyC1BNDgb9tGMEAYyo4EmcsqsG3YT
o7cn6ZTJJmSHOaPpojPBsJ4sacZ/8G9DeUkHlS6S/Eh/9sguoF0sjlVB0U1KQw93jNboTn7IBQ37
Kc5QwRylkyQXsg+p7AiK/qkbh5IQzIrokQM/jcVnhGLvYtp51ft53cafxJ32/6J4WLpDs0ZYnNuI
CW0n63F9yjuUBvvF2YhR6JBF3csIxOlxybeZT8fvkKHKTkMzx4UEw84ydO0PW5w3L0L2jXwQm4+8
JeShlScxF+bqbWI9dqsbXRs/zr7pLpxup3Bk5F3YoWN7IBaLLFPyHAd5QNPbdFdaHp2npmz1AQoz
eyE/1LzX6IxpT8zQgd11zBcxoUpbAGVH3CCUNQ1fmE0Ubby7rVZAZmQ3BvOvceQDam4Gzwzdezg4
6gw1Pz/lVZaN2IMUhZZ53Z/Dsa0eusVzzgQzrd4nDH6M2LpmciiIY8W9bO1gXwUbfbDPpiyOL2sV
bmdYLgrhiV4K3tZgzJInFBNsdH2H/fchwZSxofAT/oEY8fLOLAkEuUc7lX+dhROklfBQWu0FYXfR
V+MufvWuW9Mu8KQtGUV4tBKP+bjj94VCp5Icd9dQuO9YfDgY0D143p07JvFjnU2k5JZmVMDzEQQI
Xr3oDd1/Mr4g2Zes6m7BMRAD4EFSEJE2vCQBqfF3Ljb7KWDHwTHAt6Lrf4Ryu8EHxQOCgEZIpTnZ
2cmJ7+Y5JwKoKzpkFlj1reGkjTNWxJJghj9uMJlUUkoaPoiBQE/S5HND7vluVBu01g54iFYcCjWh
u2DhfafcDXJcH3hRhmMYGmKMmiU50AOGJr50xvG0CcDEnRoCgoZaP6mzFAlHeK1W5nFS+qN7hdsD
p8Xq5y/4eXtEBy5DQsTe+dBkXvSbGO+BbmbCZFX77BEVGp/JlMJGQCQCBuFuN6L1b3BYqq6ZHmqZ
tN5RYo7ShwmInSgId53L+5ENojgp34J2VxPIF10MPuXififG/FTZQd7Xt4bjX3hnQv9jwJT1ewj5
QQut2irtRw5BzNGUk1yHmUhW3pHoiAR+lCkQrrNdgsESb+baxl7diHjS3Uxs3f3o52guSeEJoDja
ZQ1/jcscuefcShZuBFCQG8S0cm846B3WP2tc928abmslYWo2KAypHq3B7FeKN+W/xpIv+xPuwcnP
KB0q9X8iHAHJEFFUHrhhpdO499l267APgoNpRhVDt8vhEjBRwFB7vVFbqlF58epTWXQfO7NK7liC
t4nfNd5+U+RH2NNY6p8ZhFT5LOdQPgIRUZWoJx1rcnogvm5B0aX4q2atXUQ7Ul8hNTnJ4ArFfSO3
5Yjus8FFKpE90x1y1qaODiQNdWSCoGonH7zsAu9DjApB2BQoSbQsWgM+t6rKqy+TuAsk5YrgbVwW
BuqIVyPPqM09kzvDEeJ5mJt/ILRFDkaSF0dzSioU0tEB5FYeE2fexvMSeqRM0Waw/vTrFlgFTJGK
XoTDGbontd3XID8kfw1Iqw788h3m3CwBlxkryHCtefnwYbzWlDOczJSrnoy2GViid2fRXSbD70nw
PxLN32O7evZFuDJDMxlFJSJSw9+MSvemg7HmhZd4eSGiyb1Wk2qew3kmkLtzsvAbWD9+QDpuD81C
ZQimFGZKct1Qe99yvkz06Q3jDQspb+RnseFguwIGl19+n0iKB1bXf+xDmHNAk0XV4X9Q/WimMgi1
XdUF9ZOvOomHxQuWX+SSJA95jZySPPt6oXt4c9bTEjAvnBYlsoDYln4Ij3S3OT8M8noARVrmhguJ
7bU984pJkuP6olRIlZBPqOsWzuZ+qGgW0DFqYgwm+dycSMWZ61s2sdI7spza141NeR/ORfOoocCX
XeLG4T5DIkKABFI1iYbwZJHtHAVL/l9efExSwnjMXS7mUHKsxji79Mu4xOexHuDb8YFtH/02zcuJ
8H8RvNa6grDL0bI2e0pIb8m99RSBwccEK3zhNt94VU0eJS+mAr/as5L3P2N+8IX4C4ezTTFMXKOo
yLDKFgIANFgM8cFTbLYvNPb2N+sBZQeDXYmOyxYypWQIeJijXks3Vr83t6g3kALYBCe1+M2qo4I7
vWUdoS7PUt910MpVLhpT2JQCCTlXZphajqb+pc9liRDNiaq0jdvhYXG5+F5wNE3eQ+I2wTVQgXLY
wyHILijftX9H9yMJTAl1KL8qciuoxKBHusehIELVpwVdEcVjg2y6+kz8LroMITpQMq1GI8lkKN35
dbKu+og7pr0myccjZE7d39Vtt1UHGZFssxI3FTg/56Jb/stUJ86L6byCQut1fW1EKC0MM4m9tCp3
035utPae8Rn4Tco4KpAINpLMp6Aoi/WYZ4KCQqaYB3IUIAoSPzADCCGKyUusxuwoM6CqJmX7ZNiy
8az6k7askejztwCcViTOS+NuN7Pu6jc9iqp5CWhkHsurQnR/INaMKPPofySd13KrTBpFn4iqJsOt
smQ5Z99Qts9voIlN6AaefhY1t1Mzc2QJur+w99rptJx1EgTuIUGgiGCq4llHshuPzTmtp/jkNvE6
4UeFBKjLriH+981v7CZEYKCCuuZt3/03+YVrI73VUDdSIW65QjU7SxW/C5yX0yZTCJN4ujxzq9Gx
XxpmlVsgJD1+zoZZ8wMLGgyDtmERd1mj7PuX2atzdE4OJJTqi4xocUgmDJIU54ngnxZAlvaZ07LT
oBNC30m53rTXKRVATXOD3Ucx3XD2URAv72UxVv+K2VgXUQu2Gkp5EM2bjmI0Ju4dbrVl4uectcS1
bdrilQgy9MR8+XDPfF4IHSSiI1bFFuGL7MF7b1sTuNgXfZSNqx0DtcAwhOeaFbR6VIjnkc2GXfkP
VALuicybGIO6IlyPyJmVGBC79meJu+ZxyeflJ9Oh92rFlhVeATnW1i0Dk5yXhRWgy8Cjds3eF6ht
Xk3uRVxLTFVWUJqebtjWh+0aNJiocwVC/Jwy+wsOs1SLtSsxaBy5UrOUs12O91zC5H4taVwdorKy
503R2vIYjhDJCR2Q4urrgpvBogKC98gTZcFfjOsfhsPgSNcYUdQP/Tr9yob+tCwxQ0ShgUlgvyzP
vJgkP4AnPHeIP71NGc+Js0+IFYmBWXVcghDPcM4QP9gEu548+Iy9jCt/hTDZHgV+eOOy/KeC9mKk
vp2ToozrhmDXVAqvHA9DyIYsifF4R1BUL20dhwBuwB/V+G/x2FCysUBjQWRjnDpgHplIcoiYW5op
18+yJtnqnhC3HpxUNlCUEwkjCbnC9B6MYnTuoTIsztHuqj4j9gqvBmStIHtpmUMDy7E7ld1SZaS3
BOmOJ1illA8c94vYeG0c1w/siZfuHu4iGiwYeX10JU2apV49V8q9NKzSeXZBMiLmslI1771BN+pm
mecqR4RjkRKBAxb/fMKWa96mgYuxelBQcbFXoTHcISUewEAjMJXo71On/lNLVN8FXF9fruyjp8ny
9MmzDOdSkaFrtgXUeja+MM83Hjr/O9mUqj2gkInuB9+u3xZfFmbfamWemSSG2RPxl5ypW7IxhP5M
FztuwI1FMVuHwFbMNIYRB7v2mDj8RXlaeV8eTcafKWdcqp0k7ydsnHybohqJcKh3IeulcnQf3drv
fP5qMy0vVMjuemMxqyl3adAv4amktWpfA5003b9SR2n+Q2+R43YgTKm4REuHB52VEDdvyKZvQTdb
Rt6hjNZwOhVW0V9r/PjNTzN4Gqy3ufaRWPBcsFrt9QtjQN7M/YAp4s63INzcIz5EkripxMymeM4j
/z2ISu9xoihpTlqV89n1CNAD09A8e7lGTSW8GDdjb+BJqThpSZLJu/kiWz/6ahVIqt8aY8ZP3XGM
ssYM6u7X+FXc3iWIK9wzdEO/RmMG2xlcDTcT3lsk5+0XDZ2a/+GoagoixCPnP2U7fvUQrtAPwRbA
RRlZJ0N97JAI4RiPaCU3bphEF8nJe+ubuQ/AgoTOt3Z0cHJjF2UJKQnR3k0CnvJ+bOutCENjI9dw
uz28AVqvZorx0MDEWM4SKdT0oUYvUJ/gNxxJnTOn+qt3lDHcynnwjsDA9E88KXb3BlZQgZKY4mGI
thPzP/zcTfHAGQEPpjMZeo+eYb0KOuIYSZq8UVTgA0g0G0QW7rfRO1XFVGXnTDrpHwr3kNxdFjEP
lKzjJW6WcJ14x8NPoar2o5UTHgyZpuqE4WN46uEGHNuoa781GKg7hViif45Emh/rQev5fnAxLCJ+
JjuGOFMGuN6Wqkf+MIU3dnIYJeoUfLVuVPN/k8/+nu2on8B0RfzHr+ZWvvmXLLkL0bhBMDjuYgl7
+5OTm39yoWBKmPok3h3LUn07UzkRM+OxTkHxtAj2LUbYudj5wKjfSDXGi+n3EpIF3pMw3PI12p8U
eyFglqxUEroYDmOe6Mkas10Ib9gcZIo45QNPg0T5Z2lPP0IG5eknmsAL2uuIJ7Dd1f0MosYfsv4Y
y1AzKmsQCu1wI+Y5/K4eX5YX6dp+8HNdUooPzAKbzqdhWPIysrDc9p0P0LVvneYsyNf1UcG207+h
phwnryJi9Ks7mV4nbBHfBG8oL92nLO0QpgmH7akL5XQ6ll4CSq0vl+yRDh35U98V7MH6aXpMXMja
ZovNSZwYnbI7qXEGfDdRly7Pee1V8GARcxxdxdKJ7R0HD2y3ROyMo2Z1yrh0kTDzRFfDV13Uwa3E
mVKzLmxy/z+tZCW4UMlPExvkpTwzKyZSJY94sprytcrhOqJJsCt5mJ0i3ZcO8OJDmpDosK87GdcQ
KYqk+hV4+ex3N1hsci89mIWvIzaG4j1CfcBCFPVskl2gWDrPrPskcxYyNPaFCAl2azi69p6XsJGw
26w5kgbRbVu6+eoamgnHdY7m9bGye/JxQmP5D8y9k3xf2KBtfwcnG3lAYIsGw5HSBvsJDEbaXe2c
EwobZ8fCCZleNHWZtXPjEdcCEiN8mH4ebgSmz2Nd1u2ZqtJaTosTWdYLz7/XH6MxS/N1W2+n18W1
gO651eSpm94w2b8deHrUsej7mDrQYzC7S9N8uPL8Lm9gt/qSO6hFlqwGZCZNINaAPTtXP9nUjcVG
ubUscHVkktci8lx9FD4sq/082gYqmpzxWrj06ICM6vncTEJOkMucch8jAWdshsfjTDgLGoMwGtmi
VGRxE31uJ82+c5v0yjpEPld+ixZEul71FpcwTehwmuybPVaKmdcTQEmMRqSNcJPfFjTJFimkC3OK
dJ6qQri2+GX/VbRzoE9yos8v1kj0fQh955CyrcASW4bADmIf4N/bCj6T1M68zfuOWifeuC5bUJ6p
xun2aEH1DgsYTDJsF2CYGC2ta3gYkjC/mnrZ2DqI6ntG8Pj987JmEB0h90IM5Iuc+YmDWatmSuDf
uxm0TYLlFoXbodfMUpJgFv2epU3Oqon8aMuA1cWV9tdyIAFybZliPMMYtPKnIGds8cwKkYogtmG3
n6g65uzVlaa5hLG0i62TZpil6JzOFetEiDSJPvpZwyqdXLELynx4cMBHTzM+4HajiEsZ+eJ1iJlm
fZ2FgGd/5EbMfbIPkR+QABR2cFpQj0zmJ+KLnK/MYBcobraNyw3xfd2zZB14JJ4Xnt3iPCBHwBk3
4KBFKRtEr1GZm2+YKW77buGvwNtQ8zFSZjqXOgjDq2RA80d7maBP7PqSdfxQu28ycRL3xHBbXjP6
ZZrUwu3SBxQqDkKJ2bCbTk16y7iIdZlM2ev6eMM2TK895nva8x6H2oIg6duEBQ8eY/E9x5b/gWzG
emoKB02o13sAeEGR3E4jNJQMyisrctM23w3Yrpu+7voDvRcOJk9Uzkkjb3jJMuD5txGe5x04CUtA
LPNyb4vEpbzPFEF7+LLxFG8L27D5Z/Xl7lnyzs2eP1A/z3S4L+jiA3EMsEHyNZmiZSo+FYQD+GFx
6X0VWoemTcL7QA8hO805RX2IusAZ3rK4an6NzQAa33HXIMwTQXKTh2vgJNsH59Vlj16fp2ox3Ur2
6fMTFITkNu25AXHIreOzDWlfdbi+cr390YQAD78pRb34fkAs2j1P6ViENxEYy+Uliru8/+wgiR7q
NoZVG9tN4e2cheLqfmHgu4vsbv5wHPye6+7rD/Qh6iSh4NXWATqrZOzaL6+aKTbaeuz9bd7K4go8
ORgf3cllbNJQ4YDB8gVqSuF3J8y2qXPuOuqNMSJPmzkp/8UN6W7dV2st04dlYUYHc6UwJw36CGjE
D3gaVH3WllMzzfP5iCzh5kjdhZFGbrOoUt7aEWSaJ+gYTgIgKXBOXBxLlSJ1RcKyZ+oQfAowF494
OAsAKE3MPGnpHZpGxNW7iqIBlo6Vj0cQBjT3UKCL/7KYlzSKNOHvZqir6VvJCHndFARzCP1m7I8k
3pEIpktIwdsROT7JY5CVPlXggF5tG1zkpvQjd8OozrvnmgifS1pYdCduhgWkjoofuLXqFs731OPo
7t0H4MZyV+Uc1nvKieXZC+NiN3ehVR9dHP772kswmib2XGA5gc7C6SSOgor7NTNY2IkN1N7nMOMJ
pxvmZ5po7ne2RdNHA2nlb4LsgmeMDu0D2q9v1KjmB959dpog0DC7L8pLiVLm5AIYZALvtaTC9cY/
h2EI/Cdfbc2bSAyi28JiNzd2T27rfrCKkHkP2X6PnhcF373ixEb4k3WnsqpDgBij8+4wUWBSNCqH
42FIghORPOy1vRXtg0qBT8mkOPsj4LN4wbk6/0CftCBe+InLig8viyMQUqOWzOP7yYj6uedjf4K0
7R4oU6nHPBBCmNRE/lhq439L6bRYA0Id38ZCB/NN6mZBeMR8i4tlIi/xaHIaQARKsLNCTDp3nl3T
gVEu7L0MFf1WKKi8oFjRjCJ9vHUQ21NuAoJmk47CTMdZxdZKpMvOE64OdkiK8vcmU9lbSesPjK2P
77K27J/bNgelRVFTvI/h8JF3pc/XVaBn6Hu3vrWTxPtsgLu8Zu6EKzIcZH4KiKE6L+SCtllkjjJd
/Mey7WRxinjx9i5XH1GvvhPeq7pDdRPgwbuOgm58b4ZgxMgVwLlULt9q2A4fFCHzvsMoc3CaNJ5+
/K4SwcGCw3Jo4AjITapytqMIvtHHWmjken4tok5inZysqSZG1xrEcxR75k6snRayEZ7fzICmRFoc
3ziVTJ4E44TN0kblzmPpxWqDjJNL37r5mSH9fvYKc6iykGIL23lHLmvWRhet1QjmxHvUUwYUzpub
izXm6dusg2ecV9bBgdl3K9A7n+rajh5CDObHpWxmfSaZutlxFrU0DYik6x1BTs4l5/eBasTywN54
rvFYxIw2tYZX1m8zx/AFBB6/LYsmgj2bLo/eG9aYy8lDpfHocVmdZJaId9QPhFsgd2anGoICCbpl
LHbG9ciX42b9Rp/Zv8SyQQlUBvIdNaZzrn3QxOXoaBf9PbhIxN3ZL4uibJ8TAL3JLeRwQc/nqif4
VnK0UUzTWe0a14WMVYQmgMtrmAk7vijusTSMO51F8VPGrom+XucpqjArYGEvvTIjyQeiF3qKSpyQ
ZJl/emqnb1faFTXt8IXccNo7pZkQrFZJ/GZFCWK11Hpc1r8UDWQzE5bBO7JSYTBcVGHAXgEyN/xe
2tgROcDQ6VNBCM8WhJ1zg5qCbjQKp3FdeUqxKacmv4RYbPioCxDdKkfFIRzqHVCo214z1vbgVW9s
MjYe2E/BkGb4Iyeqps4pXI7DtCMtoW/P4BB6kmDGoX+I0+XEdx3vW7WgBgzJWNtgs/12UAbsOltb
lyk3F2zWjCzbYJB/EXl2G2twuPx6vtUF6HLxvMxxFO3GwJCMAgWhx8SktvSgZGtFQLo+UpretWoj
8HzdCFEjIpJ6IGQj+rR6/zbzlb4BIZA6lzi1OVRtyNZ3YkTAP0CC2uKYh2qKqOaWYqm89afVkB6g
tPhJWpvv2y/xHsVFFBzIEulsiBw80ZZt/ScVyDAnn4Ev4jA4MHzRbBxRgpXKJf0aqCgXcRRWBCGH
BezLonTOESPnzyhUzc0UjtjSqYl/KN/r36pq7svVcMmrm4T8j4lD2gjbsr9MW943JGl+RODNNwML
0fskCqoDwHQ725gU1OtW+rEWWGsaLvXc+6ktu3zkwpouPpVWuzGgejZjR/rPSbkU0VS40OXcEIQI
wTzrFVpyY725qTA7xnvkFizxcGJUIZhC8jEXxQBDzfl8QdiD5DqT+BbQhKhdVoaMEChwN9T18bua
UkwEY0PsZFWyKZIljltZqpe+7Ok4iQzq0R75K0Z1Mfm+CfycQ+b/b0Sly3/spuJ6782pfaf0QsQe
ESdiiy4dCL1y4XWZvP6BwjK4pPjJVe+qhuy1SBLnjqQX+eSxNd+V/RQBJKcJmLYKcUi4d/slk7uy
GjP61rRlOwvHgaBkq1sri+x3SpzhmYb/s03c5NhLSMi47KkQ2JCSTFCpL/bwJqfwa9WN7mXkbTOW
2PACmNJ9zZB3sm3gt7W+ET19vxq7f4yIk10fuQbA1TS2T3kgIkhUMRGmJHsjAArlihsdIcHjGHde
fNcQw+N3bfmlpJ0dF8T3W9l5TLfhnTXHGbrZQ9rp9olWhbMk0K3+R9CH3rTjgpJA1xXzltb3sy3n
QkggD9Cffb8E2XBY1QpbWkuz1RYAoWZWyc6qLOQdxFzuW6egAULKWrPSCMTFSRjwdti0dmiJ+32j
c4WVocK5KqTutsE0EhQhm0gN+3xpKWUbxFVkdrW7EYglx8n8BoAO+aNrrGHbmxinq3lvs9Rnjb/C
OxA7wcNJP7TBZgpZL8bzi1A5myYN5pw1e8BxhpvCtl6cmd2N6+riKkLX+WBQk33qULTneIgDfbTL
4gg1clUfFfw+uMWd7CGpmYgdQgcmY6fw7GzJI0MZQ35p6Br82DJXZ1Bv1jln+9gcrYEZoafD4LnE
pP0cun62i3G+kdwVw0ULe+e9VL34sEC4WccyF/Jn1B6KG26t6rfwe3NLRGkcw3wnyGvrMPRf7eMU
+wRzVJwcY35XD0F545mo2yodMe+HBYGVAyBPMgT0zA1GoTzRvbfK2KGX5mN7ymWEWyBn31WFqYfQ
b/ovndBF4ZO8SIHPvKE6RlAlP5i+8I+N8WM1sD6Ni+qCUyDetJHp3yWQetwp08x8fSnS/lUX80ua
rDWC5E07GqTc6IA9fzfDGdoHQ1SesZylD4q9w6dM3DWMowqZba8LB2fKOD5xN1FywWI/smlgtBGJ
iuwd0d51ETRQORfqxcCs2BaFdrstugQCNpFxvaxSvzd8D3N1SZh8UE2lGbHeM9jX6wJdfU8+Sv+D
HzvWbLTSmgMuzhGC+aE707s5lrtviZT+bZRkgTnyV/z6JufJyqtka7U2/H8bl85XqwtzUzGicY+U
QBHIbhbhuNB4wNHb5pXFWBdZCazuX4gU0ztDFHGMythXRGH17uMYNV12Lmx22od+8TwsPFjgyIbG
oPXn2B5X0YSWdEfs5/CPx9eujxUL+1dH5qb+ElrX90u3tA8hHIgHg+qE3k7FNkb/yBQrvR+szRkx
m0fuVCwA+Er4nGbXA2nHxBM4XVA90Th6HSOPlhscjat0TqFbr2S9pDI3ejJT/DXS54XopHrMG4iW
rOcF1e38T+W8AksYQp9l5IRKZFwyYIeLlvVNPkfcvPyAUlaPoRk1YI6lLS65E2Zw9Jr8Z3Yym1sV
abV/AFLjlw9YAByzNyDG3smro9bSWN8OWVDXJ7pDJNJyrMN724DjiwZP0tiS0PycpYUPZE6j9XsW
zH9zjg0YN1QTo6vHPaqHep8MthWTJA1OazuUlb/PpS/2hshr3AYzTMMiJxTwQOOaMa9DIUNKLORN
PyBkzeM6RITfxNclq2txHPTk/cfytLkU7pDTAZL3YSOgdsyVt3DFIJNNcIBk0v/mqDXvGeUQ8VPF
nodcOHGRZgJ4YAsZ4S7SO91pxkACdEFChTHZW+KHi/ngR+HyieTG15vQW4JX3ZdzvUtJM1b3ZsA2
Soxdhxh32JSDD0LQ73K50uIcOr1sh8lVkWc44z69dYHl1S9ss0hB50WkFfkSNLHNR+YhMUBn0LJR
wVZB389/vXUwnPqTVVFyEezUb52e0ZRCyJv285legY+JQ0o+QzjJWtJahGfz6ViK4mzMvCKALQV+
dYvdp04e3bTIUrlDW5VNitKWKXR+4miwUpsxqZu6TzHCCszCyCOzV9iKMnlLqlHHnwbP/HDRBjU/
9pXG0ui0NYS6xnAbkWToHJEIDOaU8a7KikVPpi1YHQ3h9bdOkrgCYDWsJwhvEdEQxblI83Ai6GpZ
xJpCrrqJDUA95CUlHP+RRHQe2BjZKTfSBC8YbYjO/1hJiuA/U4JFMXAXcum1iDrKwKinrExUgsiC
/rjwQeTBg+kOzJdBg3PxLE9oQ+LVvkJW5lMshdWfVAJOiGwVrpMNTZiN2a4V8a4KVP3EhcXLgkWW
uVg2pUyR0Uj3nwVx5SynSkff0uEmYNYBYVCBYTDxNkNHBvdprMwyHHTsVZ9kbIjqbBWEF9jYgcad
I0UhT3TTpCsGs1nkHew7GR5nFbrReYK9lqDorKk5gcw4F+2O9CiQe9g++XSvz+B6oEFuLK8dhptq
SJjgIM1varhbUT49YWtCOFzrgBba4WYf74phCv1T1dWxOURWvqhdPDX603FGmL0bCqbJu9K9mFOP
LxI1ftmF3XO3wjsaew1zRPJq0zivQmCiGZOcoSfShn6LzSMdDjZ8r68mH1GIeCAbuWsq33kIM39e
OVoD6qY+IFDljDYsms9d6wakvDumrK78k4EidFShx+U4CAg9tYa3zprDR/RP2rwQXdTfB6H2+KNI
p4Fb4rrqWPeVC+guZiJjO4qG30ddRkFbCsPZnjWvFAv1+DvCAfolvQ4zlMOGPMJNhnX/Fp1C996W
WQvulon7Y22Nw1/sYQ854XZF0VqiKL1jjujKe085FD5uNO157LJvzBVhf7aYrm6CNpX3kuOgPGpT
ZsWhJhfvJwiIz9nlGBFJvmB0mZ4KWG8ZBtCczwmTuLoBIhaQYGU5ubdbitaZ/xjKj09dqprxGM9d
9ANFTuCmJmORMaM7UEMHsDbELkuD5tx4svnXwxphriQIU4/7xYgbwartCyfp9DRPrfXGa0soFJIh
gs+iUY7hufcT+87QtXgH0sGLm4xdG5pk03LU88tL7+CpgjVxx8AAxwaGf7YYSsa3JXQ2a5fiyqBV
5ASyb0y5NG8YdAIm/zRKiKptJ8fQMoU2fZsTuDRJBLd1d6QjyJBkpxb1SBk46jshmOPq+0FyGX1M
5FzYpgCDYze4CQPY2Shwait4WVJcHfx/YAIhTDRtQC6NdnglYwGrVGBBE1wNOplmhFcG1Q5xm1+8
VbDSzakax+qHwG/NlJbZLM9sPtm4h+AV/XgSiyoOejsJX+CaF8/8ojWLga7sL0SBhB+2Tw93Ygjo
IETqNdrjvI7GQ1e3vnWI6IGb4+IyZN9hTKH7dIXnTYeuNcwLeWLw9/W4vT/zxSTtTelDDL6ggc3S
f12XVXJvDWZI95ZRqjwnABtz6LFks+G0mOxn4OfwuAMWfmviJ4XaiAfwMexGxUDETlgSlCUl4cbw
ZYIPbUGPc8uZ4VEi4roRUDjzI5HY0zfxivTMLHGDJ6oSIKe6XD/xMArmFbVVk5LjyxI/vBljVhiR
oHJwSzkhLa5szm29tE54xOYCzZmTEl9xz8n7iJGg+rAbn1Rcnl78BKkGmbQjQAw6G1cikRGKg+is
0zxPX7qZ0fN+BKk1bhkfuA85MLFmp/gbXlINsWs3uV66BSdr31pDLrCmpEtxbYaa0qtn6Fp9dr7V
da+MU+urNSwmxb5l2vxC2+ftFUaN4chkjWePnVg9gQWFHemhxr8ykRMXO+XUsLNEf9tVVOKjKRdm
nzYWOlZCM0zM9ZlL67NiaYiEhtQzGwUlFl+5q43TvQIRC+Z/TlIRErKpbEZ439LVaBUoPd3gREGo
g03fCRvJNHzm7Gkoar6NYrYNoUheMMXAeWImSdPUxP1+Nnj5NzYkVLMtrUrPR2GsRB51HkXucbAY
hzmKZ2fTGjX8RDZL7kNQtuZqo8xpv1vmyQWqhrQbzkzHrfTakjYaHF0tg4AKqgQfYxguPJWTGyFx
6ii5cZZKSH0BpiHCTli9QTlhJmvzVQc6NeLEWmDIv1jzjurWC3CanxzHa/wnybBZbEQ3tsupbHqi
x9zG1P5pFp2MztwWhoF4voJOh5R+GAqNw9LUFWDWt6Jtw5caVyQxVDCi0u9Bj3V7Sbn9/whvYU/D
j909Wx0Szl0PH2S589Ja/CFMnu7H1ACabnOYLvgebPEwKwvb02TgxVy6xgn/EDOwqgs8kYfbEO1j
dCGBZAm/FETR3RihgxogG1I9VGV+F3aeFnvNTWzRF+GFs1H1bucyCy9LFJOWTGnFBE52GaA/OPC7
itRJDoO+SuyDFCw9n134a+cSGA7lg6l/pxBN9EZ3A0IS7cN43ttpzWhg8EagiXWphvsOYggVZaUp
iXOV+y/8Tcnz5AtQcdzZsQA9l5DxJKOoGR9z9IJnubDqX5lq4g73e3ZtlP0hFPve3QDT8X4xE8QV
IvLUxgffsleNWHDjW+4lAjyYclAHCN3rKLHfsaMO8nEehQ+vijn41uHcZQ1iOfchXCGB8bkKGIQ1
1oONBP0qmacW24pB36G1JDmFaxZEV6Pc2peMyc9oJjIYI1MVH9GOsdx3Y1l9LJXG3lq5JEkdjZ6s
4trNLmolbQMQG1TMd6GTZLH3wNNUy54rWcoCeeyCG6mRzn+FwhKVVRM3UtPUazUVfa6UmDs+g7qD
2AYkxGXd2qJ3Kgtnk5sGtFldzV+BW3XAeBeMKgJvysVz3JeUUfc+qaIVYqXtC/IpeA1NFX9AjvkH
5cgDzarNA6JD3n85LrwEzG39+4km6gmU8MSBx0T1gPIxfRuswTsWEY9hYeaM7Isqt+HqZ7QBfuuW
t0AMEDzN8fBf6w/FpW5FwNq1QK+5j/OiusZOUpz6UgZvTVRyB7LNxnbUQQ/eGIVhHMlglMkNd0K4
z320ySCHknijhtiBoYZ/6JiNZFYjBMc2NywdQeGFacLb3MbiDEwDBZvGK8MmBT6J6y17P/G4SSEa
3OVFFtxnqN+ukU38ENNpuEUhI1MEl636Gak2xh112/yiFxcAEpV47H03jFddSl7+sO3kOoymGi4L
BmXtseQREAeE60nDt6e4O+Zewd6p22Lq9oMz5tOZda5IdrqsBmC0VBbYYHg3nnmtSWFktFy0Bx1m
o9iFnmqL72LW7BF8a+LIlXC44AlUJBe+5MijEN20GlQZAukgA9tBDhwEAiRkZ8C9PkPqSTSeOtg2
r9+O5qOaP3rRZvXWXvqou5+sdDBXZi34OgIMex7Pfoy8YZMmOFKPqbWyLzkJ4FW1DFLcbekYZAEM
fWK0lMKLj16ry5VrS/IP10vq3wGnWNdoQ/ZfnGIoAx3QzmsoECcI4Yho5gF+OAkJJQfW5+TfIpqo
4JbFRKPRc48cyW4tNCF6DM0IuesrhDJ6DkL+eJvuc50jo1na5lmlZm6jyh4ZXwFAQ2aOanpXO2n4
DEeLTRr/vHxXdcNxNkdx++UmrPm2EI9ibhAsvO1Tj82Wn3cisXM/IeDF7oUbGVcqdlmgIVHYjwc0
l94zHLKY1RzyjRSxn2zzY1ZQ8uw5s1lRyiGLIyi6CfL6kPuI15ysZkifmTagGTOgQTuvdrz5hDXI
6G1XT4N7xKLqxEcXuNG5iUG7oO7ItGZ0opS8Yo5Q6jgU7Fj2dt+SUBEHfQsgJbL6e29cMzMi8unf
KqtFzjfgGnlSXgFvFsIg2mCpo3zmJGmFOBItwySRJ4ko2pygYvemI3LRwclVd9kvvA7QzHU0J18C
gBmak0HlagcSo2T75CbdiyCr8HeZe6DaZD1x36PabWjwQ89eP5uOwrclHbD+UHWWGOo6yLgXNfc5
4YLk8rmHZl7IEKIV8eiYHCo3Xlci6g5wJ4dlhyyWFhGNMmUgob962cHydsD1ofOYTi1ciz+HH/ar
Zuwb3daztKYbDk3c0STFefjtaLAeeb2xs4ZTF7GziomAoSKIc4vwmmDFA6BceIwRPAOjS9jr8DyJ
4mwUIKyt7uf400ocy9mGcrUMIWetfXinc+ewaujbTzSmINqoEMRhpKUgHMdBjUDsdRcPBw+hE6pP
N5obFBhjHzFvop/ZD40HqckpgURtxqgEoaGVkxU3PcMRn8F34+cnNm6WOPtOgIxPJ20F41DrKNpP
7cAjBD0mGLesuBqXvU3VP/kSnfxqHjUCTB6HH2eKi7K4ljXtrU2NH+1YZ3HilLZNsE6KzTGASU1M
7p7voSkA0yStd0a84qbPXoS+7p5Ve0/oht/406dvu406wP50xmNRRk68RTwS+Oxl0WQRyBX13xkX
Sb+DFBCuI1fC97YZ4uPnKS/Ji8TCN/jHNLCMv6cI79zXHGS/eLFpuSyo0WEe42Dg+dwhRCmL64gW
EBAShfClCKzud3KHFW9eTfWRQjB9HkNcI/u2sbGVg6eZoqsI7Dyq4FTrEkyDr+t5H0wNDNoQUSDL
+WGVqlKRBn9wiFnmUTn40WWunORv8kdJTlXp5r9zZrfXikxrRilAXvjdF69MiBVFU4kkKEYL1LFV
ZckCYewTLV7TM8Z1oB3hdEWzlqWWBSgjzL+ZGWjNpLZFrJSo4FKl6LNwVbTzM/9Z+Bijvm33i4uc
7pAxiHa2eOr7Hxaxk7WjVFH+brSyfrxnbFtkbNKHGiarbXy6yR5V0q2TRpX/YSU4ec5zIRnweJ0m
/B045Fhsp0SOV20w+O9mZCf1nhFTq7YpRr8nNBF0v7KDzWdlvvdWzv580yHU76HKtuED9Gbiasjj
UAMRkK7hoO1YtgDRQlsIhHLMTiQY9H9ibOSP1efUwqZHS3l28BfbJ5/b+mWGZPkHpShRD7WDT3bT
OtVyN1LE3He99O/qtGUdkXCYwrIxjfWYzm1jXateld8ZqfH/eUNKKJhqUcgyGGiJaiAW1NvB9A/Q
5emekMm4s+CpaeH+rApCXlcrl3cBC8V/wI3sX4Tq9UOUzijUJF6/I2onILYidUkVY2EFA64jfwTr
X74iteIw+B9H57EdqbIF0S9iLRKXMC1DOZlSyWvCkrpbeJOYxHz93dzRe5PbrS5Ryck4ETsG1mh2
zrzmCMEwSwjUfqfMpc+2jM7OU6GAnu/zysO21hgOq822Ae71DErTanYtjsOfxuReTjmF2bwJisjk
lsKMtAsTS73lHPF/LR89DgxaIr9IYlPi5YosJixOYhUOSYrHjriwNuVOzknCZpVUQt+UwXek0hYZ
Bb7SYs9MdYofUrGtCdPG8x48o3NeAWTe8np+gcJ4LdJsuhrTTKdDO4k77GXQftokfiQxOz+0PFUp
xOspPxUYck+epXFd4FpOTp3uvJAXTX7ElK2eKf6Zbyz0lz2XPNorJ2l8YWQ0L9T3ckRbg7dvOqq8
MtBTofC7+T32+pexckasC1m2tRNbXiYiRPde1eF/zn3jXPmTuTM793PhWdlHbv+sQNbsKqh72BMo
vMPMU7GfRXxkJasI0wQy0R8EFt7Z2ft/CiJPT0YPq4ARPz0mOCpphC6Cr8YDlhQLze6sQb/dRHVR
cLAOXTgHjvflglV6N5JqpVgNVnmthDTv7TGJtji6viKfzhpYkbLButrAgEANUXfEnl4WXvrk8nyY
TIHR7ghtZJQdTumf2gQtN8+Dcc5pUXkqMxgNZtHOV/yDlGa0BkVDvt9e8GOXlzwfsp+micF/ZGV2
bKkKfDT0sLx7fC933GQlSSF3+eLWPp94hRJxSGCOvk8p2UWkffefbMz+AlVpJV220Z+MYX4X+0t7
CZSv7ixSSUTmu+qIj2t4G3CJsdvt1GOgJBfsFlSkYcr+paVBDpAGyRPgOjP/ruqHhzHY9m1pvZqY
yLe+61kn0Nz20dG9/RZlsfdvIOt2aC1Kg3AhiKsluvzVdTP1Ybs+V3yrFi9I6tXZy9zsQH2YOizK
JNhATnpvAEXxGpUdRNn8o5Ol2gOSQMcrUCUuWoMLj2oc0q62HQRfXFyHCHICMRino7WH1qPDXGCS
ZVrBHmbjRNvpPBf3hdLpG1SgAtM0syO2kiEchNcfXa8a7+G5QvkdPDQAKorQEgMERlJ+rC9QTk7w
D2a8L9nos+WZ/A0Tc3Dl5eKVkK5n+TA6/vNAwuQ+TxblsWVuvTP97fEnvtwbOZLm0x7I4wTJgF22
nk7UNkVvdR6EBjrap8uN6DJ3pXWo8UQQMUWwJUfXHXmAruSFP9KO97MojOGXOCCpVa6NhTN1V465
T1kt6XvuOuMOMi1qlAUFqqJ5EW5zh8COzPU2pQDtk4oUEBcA92A5inMBvCB5VbuT9jaiVOlWAJLS
oDTKvaiD4ghMWF2pJCMRWo7ytJARCgvRnwjdmRhHmiDb0QfOva3v3NcZW8gnv4qRIgbjuSGi92nk
3BrwT1R39MVRXuNgq4HgNxAqqiiBPjZW4hxdkGwUf4MpZM9codzE4/KnFMlMBKDX4SIUcapxeBeG
iXucklmPhWwMGyEaB6RK7gK84cZ0fvYoDacZ14jfvVZF25kmv5dcJ/SELq6SP3BQxsfcZhG5qVp8
wnuycYjyWEWtn7jr3J0H0Uls3KbPKAGI7eZracqnpHEBC3TenYI0itumpDiDPyMnO6bMLb2t/XuW
VPqZ34m34ZUtD4LcOxqzq/+ajhl8yBEvZDIBwVfKLZ39EmPqj+GIAf3FN7Orlli82LMizOFahD2t
ijZUKrJvIqtxY2dZuix4OWX2yjWkOfhWOe2KpYCRh+G8OXkxCPOiwbDg1IiwHkYGBRnzsXBNNqJd
vXyaE/UgU4Qxn32hdWFD2+/hIHJkWXguJPz1k4qCj9GF9d9zgbqlsZ/+ontioWhSJAAzr7NQpp7c
kTQg88FYGCG7Nv2PJdGtGXqpvUGcp9hHSZB/tY3bqGNWJSQgCIxSO4QPolmA9yp19hOsN7kXcP1D
/N62UaCO8Vj+fyclm8G16D0dTP1B3I/xnZ1VfeY0Tr6K2LMubav/mRqDAoS0r9QR9kVZFGaP9AWE
Edi5regtDeOjih/YYhEJtVmb7zBskewvzDk0+756ILMCgCJv2aV0CbnROvMqRWSa7RyAPfXdZ5lz
n/k6ehTulOESNJKtObhvcGDjNzQYttCY3h4No0g/R9SFp0m0JApLqPEKEOU9bQSPlBnY10JLcWjn
Kb3ahtDvVoEft89FLxkVnDxcC77vJqPVhyCA2MssaJP7AirxQMCEBLA36C0yT/1SOyaG2HxU+zqI
rC1kJx0iuXnXlO8EA3NCOyKubVJ0i+x+8wgMGE6f0b6xoImIkmtxVGiDO6voo9tS+MAaYkrzsCpG
91rSOsyNmtIkvF72N1kw4jXT1DEpOgOnFSnNC5wVuDcYNaY3YGp1vPMCLp0b12Tb1se2czfPaXNP
ipF1voit3YLu/mDEjbiDM9ldpslXZzIV6l223CE9IdUeMXj+auPkCVgkZtrYv8LG/TIdt8GKil63
KS2iOl5SWbcI8EXYu3N3sa2Gtw+vwdDzBvsk5uK2hoT39FvBrM8tg/VJPx7mgA9klMWgts0Ycznz
3S7YaExgjymxyrPG4vAs3V689n3rwZE3ddfvI1Kf/abyuANfeCV5R7+rzBPTuzhOc6uoz+CGf+La
ZDJ21Nant9jRKSfrf1YLt5+ATcOujTy9H/B0CJzKbfs012V/rNJpeiezXx39vgLrxgcrYQyyE32e
VLPcBy1bdXMykksb1PZLZvn8tH6XBShL/IJXpMbwaLS5sc2N5GVKoR1SJGBh3oWY5GxHk8oIElsV
0ouBPZvIH3t9BzUSLquTfKsuqndijKIPbfYPAMTcJytdSWaljKKL3XnJY1EP5Wu1uPZ5mmgkJ4Zi
PYh6IZjKLYaKxHpHv075jR3A2XGXJ6OzEPBm+6hTTvaaCgxjiG5UfrBdhH38Qy238w3c5TByiV0d
CF3+xWkM6APDYwinIJjI1otu68c9c1I2lrTqFJptZ1VGrPtxFp6yVBuv2DHUg6uMrGXqrluC2lFb
bkbHsyGZpxZJTJ6jbFtlwp4xYvKOiRRTgr149Z8k0f3BnXr51k86/YNfGMMFiK+dS7z8d64EvgBO
kHbT0yl8SKX93o9EXjfB7I7jjgx6cUM3yUGHu6bxbJFP+RwqrbFMuEYUerUbPaSjRzX4zL1hTwPy
W9KrnkoNz7lieIJExnmeM/9NFS0CDuGMjAoOwjqsbD4iihZeuKNijrP7eIdd0Q/b0jUOcSnEb5CN
YD9W9jpNAQmTeuS+OHTAEw2y1DN+5hbaYDTvkQ6QrcqppzKYIh/2iMXAHDu2NyI0yxNwNYPr/iyR
+opCn1JIRMx3s6TrofF31A9GWDrj4du1SzOs7aa61akXpLxPzGQXC8GtI/apQ6ijmmGhTRMAzYF3
ogs7eFBZ3373vJjuxkLKV4JZw26Oe7YE3MRdaqBsngbVLnmwQV2utxFy9nfeUDHPbmq6E6jLx5TA
yS1LKFLc5T39bfjRgvFK2DIJqclk8Zab/bVroDNYeZL+aSwbX5QxrBVbkXPBwJc9LMFEteVsOG8V
bthd3ZdDGAeCDrsEEfMdi0f7yrIyOtl2Gb3Nanio66U/9xlA/4pqnJ+Yq/Se7AenyNxZmyTjyICc
ImDv+HRFi9zoz5glu3+y00PIfxe9GL7JBVm5lNMNcPbPFpMEdncaJdJYzndeJKZTFfMaX59rB1HS
6h9SxqSGitkVz6XLv+NcDQ8VSL971yVUhv0Twro5kTwsyuwPHgAO+zQxVryuVt/DRNUsEt95gp61
Af8c/0Pbyh+5FTSf86Tpr1FaVK+Ltt7I2KFndDQUbpue2Tto5PAYQD7O18B4ddFtCpyezvZrVkbl
s1vo4VXBODvyL1/OBJ+iJ0ca47PVaPXA8zrt3Nznj7FahsQ2px/TcxN5zwas6naxW4s3DLncQHvy
6s/V/3k34lfdbfJjfe5BknRnShWHI0005X0LIXTjjVy/NoBze/hkRWVwHqfxZ+4OnCgE1bxNEU9F
mI4xN0/U4je3azkjgowVLvzWWw7U80BDmQ8zylwBycvYJDvui1YJ2Y6xzYuKft46qsadPJQAxoVE
bM5jJT+bDpV7k4ECeqJPMnpawDyf6CaabjV2+o2eUu+cYhhMMNqP5ilhBf7PVll2B4i6fkB8nUOM
48ETXRXRM8QOxsWFvzbtzHnbI0Szh679fey02ATN3AbYOpdooVwC3uGJmQxMaXWBXcIUxVPg+XgW
I/00oXJ+NK6eX+j4Lnd1YS2/8bpbaajP+seWEUZ6M7vPoBeAT3QJVB8fXupu3TRcs2Qcw9FauBs5
eNNUPNkHKGjdRSsDioOaNbtcKA6bVmqa3RsFLV5G44s3ZtFlka1HONKe6peSdhM4FWzTcNHGwOy2
YEVMQHFRBRE47uoRR3ibsI7mIUK/c2lxsayDjzhGXkKMD1xCmVxYfj4Zlg05ikR5sM1V5AHoK53f
ZuJWTja0Ke448gKUzNpnhh8mm5srfpLQSVFkJ9ZKBFdBoahiTEJCIfWx1LafhoMSTUjyCcQRs8Cr
kwWkRC2T3A+RpWvUSYwlmOJPRK7sk8kB904a0TjPg65uwLZcAPVu8mssMr6SQCV9m5v+OxZc56tv
krfRT6yTBZxzO/owIfpR5b8Uo1ePSZuwe4mJimz8vMRqqJfgx3IL72T063BVW81rTDoaO4Au+xCO
JAsDuh/OC+IysLOgeMhcZoFtnLEq0oMYzoHq3Jviw2Unogz44EyHBx8gyJHIVLasSMXmaK9tbdCI
zENDJOmtHyzxAPtTnONxNvZNiTWnggqPctxVoTmTnUlY2n0EyO4fucqsfdnP41/GDxgHxVTQ4G7J
nU8vF0Zn2g/jHUpxvR9xc0lUl7Z/pr+UGK+060+z6ox1GHVPM0ST92kAjIN/ElMabRKvC7cfDkiu
DE/K7/PHuVlcTkQaPnxlikfReXRp67J6p7ey2vWR8xfcV0dDB4TXruyMb2OkG2iydXqUoNXWEEP1
2U0W+4y1rSMqEw8pz01+cowwbEYq6+JResnHa6cACkjgATGJJYQ3mB7XKMFBtoGi6Z1i7dkwjqrs
aeWRbXRC65Y38hXNRANzhNhZRxmAVfhXQuX9Cxnu9r7iwkvnaR42I7bmwT5SkiDDgCjYHgdyfKuJ
mr1aeowAaixsP7JAE0FZ/beVX3+YJbTUubeNY+5002OZNfQF8Ogdiey1Z74sCU0xLE828A7Fb0lM
a6ckGpOVOSYsroCbCr7Iz6BqBWMUu9+pp1+tbPJg4cfPKZMJcN5jHI7eNNfQYAOh7p2gCTF1gwTP
ZxQ1+oEg+Pi0JHF/qpgOKmLGVLA4HnF9G0gJrml4GSyyRn9P28USDqVXHNIgGl9dBqAL5eLlTaxt
LjBOHGzELMy97SJmuDk2yYJszwvIIYeVi+ipZfF2l4D4+fQLt7katUnWTauu3ZqmSwS3ARq78xb2
X91AsrmqoZZfPMz0IrQMvAwbgE/LUaglOQ4NBGrmH+dDe9Zsb12rLV/gzvE06iQzHlqq6IjuTKnL
aqNLhz8gSoSF785L+CVidNy3dYpFKpg8ekXWgE7oYEF7r9YSgSfUfOHtQe9ZZ8x8LNjQ+EuXnkXX
NYN9OnfDC4tcNL2+lKxW04x2vB8SoeMT64VYhEk9UqExYu2ZLnbSYZimIzDOrtiaLNqquDn+sT1h
2tuyYEsFHclkTUerBwbIeRwknntTah9nQoJ3QOSTS9505s/cQAC0qlCnLYmWOSttMoH5CG2SvQMJ
h5QG+Tmi0AkbeMDFu18m414XK8LHWs9pvPi0YrGvz5/zwOlRCkVasvrKdZZQdpRgEymDNn4aMXvd
4FThP0lyg7j5WBl7uIxcqKRtV8cG5wzzXlH5HfZH0bI9DUBRnUpDrHRSGSz/yIUQy/KXfjy3ehHL
GVJo8wLmGtxeixcAQEW9zrWZFJF/BaHLU05IjdHDSeA5gYDLDZg17kg8NeDmiq5YERW9WOSICeWk
fUlhFNN/cdQccgnfa5BrBGwboHrw783D6HXkf7Iq/xjxADNkk0n0Vss3DXy6boLLkrb8XlKTo3Y0
1oMbzqGFLIk5AoMy8oIsA1bK2kmgqSgDfsh+mn3zX94ZdMwQRTMvKdgF8Why/AYHqxy1H3bpLKAP
lq57HvlFygeCUA3HSCPorjYNaVxmoctob3miKnct+JnmUopAHinAM9VpzAsYg3JKxffKjuUuodv6
13ZHGZYeHSObjPXNC5vtbqHjBzJFqCisGy+pMJ1fUw9cC4vEb+4BbTiPlN/I95jmLOQBNOaXLuIC
uhc4u2lSBgV3cMsaYFBQwDxIR+MTlKx5gv6rEbGtsvZDPK3C38uSffUOSRHDCwVSh5EX67OFlv3H
6PNXmplB5MQBOjW8AAIjDnQaPX8Dbj7jacbyHuXWjGtZTc/QbPwL10WGtxjZ451sAs0YASRijKk0
i+Z6H4A63RSW/c6tHPFGl8aBe0vwlrbT72xnaUgpDRdpb2Bv4ZTBUZFioNeAFAmbhT55wtZC2y0G
j+SfPWCb4csAFtz7mTn93wFnnV2O5s1Eu3ltj1dzZCHuEsAHvXclg3rz1zRowEROrPnd61ysodPY
UiMPdXhfYmPbicEjFQlRkobL2AoxqJEh9prsaHVdwZvXHw4WPZRAPz2mX4yI16ZnvbGN6EADDzGP
ITGeD/yj4z07AfOSxY08ma4vPpy+j85QCKkO842g/lwaFdznerWiRc5LMTCbDWaQ/p0RTQ4mEXZi
y+Bcak4J+suy3tEbK/fv/Mma7gU8x21Rmx5cVgKCWEaSF8U+0t04PfZbCJM3pHvxhtjq36OF1n/i
SOirX3d/oja6B+0EHhSDjH+RhWgeDQ9o4gar13LkBdMQ6I1vkyX8pwS2Ligu2BTl2pw2tk0JtWBx
IIIUAMVAcL+XfvsbYFsIgQdFXzOoqn8R9eeoDtq5uiAjwzxqpo3tG0eWjawUSp/3v0n26W7wBIk+
r+MdlFb1a2y4TwM4kZOAXxO2VHM+AM7I2VZzRLFGPMY5oZ0uiIywsqg/yVgGtLsJZP99pd3yQlsf
+qZ/YwWbYl1R3gUGc0TWODGTrbOMz2IpZmfjt9Chi5Hu2IoTZ49azz4HI+QB/w6Xb1aDaEkDhs/Z
/WwJnWz6wX7zWd0xVLHrhQ7wKJsgejAm6z5j2tsMRNpDYFR8VF3R7+ZF6nCegmaHyl7tF+4d28Ht
mh8wiX2IW7gPO8d5T2bSpjXqInchsJ3M0zuiSisjWPp3WHe9s7vqHa2gm6yNsDPqllC5pYOXIobL
R3Mz1B3vZyFdCjJTV/ZF4lM/VUniveM4uLgLPnzRpiml1C569SA+51n/tVR+34GY6JS2bCQSU13s
qMwOtvROmIGdnee7NXpZlBxxfhf7mPF249fuHNZ9a11Zp/gXN50vgAvR8bkmAC1yGK2WvU6c+YKN
9SsRg2QeaEGPYwYPsZR9Z3Bctpg4M5auA0gO2tNW92ZM7nax4vE6mOhURRKQvYjMM10nmKamRu7a
yRFEGO3ZURuZVOpTYOkOR1XDXlYjpuwLpajS22rJu4FvBshbITaTj0Oa5Zl7gDtlPanVOlLGXrkP
5sLZdxq4x7iyCDmeMKm3tfegsNZi9xfJzqSCGMmSanjIGjtByJywgdUfuQjg/BuF3iS6+FfaPD7c
54xby1B59s22OwLMGbetn9Z3kd2/wgpxnuPWRsbLcJBqWl67yD400p5+hOmWqMb+nURd5B4LlgmC
SBvCtQNcRhbyCFkqf+gg8xya3vjRoKE3+Zj1eLCJsvie19FDwlF0lGkrfyhzxISTF2N94Sjmn6DZ
7RWB0A9zk9yTB6fa3TW5hflzVe9tZ45OhTSQDhjE03NSDYhFzshMIU3BeoiMSDmuJL4oU1QG0wPh
EGOmrTwTlEsa3ieh+b7H91e44EqkGEIrwO26gZ/Wk88V6YOC6hQC71I7FTTpayKMH1D4w3j2UwMw
KeHzX9zc5lMpoIIfiFTU2NJTetWNanLDpaUvGFEaiY8xnfdgbQ8XiEHGMZNDc6XpJvtEHcF+liqH
zxItM23m+krRhryzbB0G8x+nTh0Ut5YL/gpxg/Ox7Dq/JgXqeZZ30gEiUGYO+dUvbHcT+JZx43WD
L2j8VviassOE+Prp2L33Vw8+1iQRz/NWZ3FnnVitY6lJP4fOiR493koXNNsQr4Z/T4jkzrUlzbZZ
5cTDjn3Me6XJOfCGBQHWc+tIaVQqpwKXez2Q0OXZZwH5N+2YCf1A5Tv+T3A2k6WZL2Kp4vfUoCrc
jyy5xT/v07rkfc/2/E+NWj+pBLnVgfWyoa3sx/S5WNTJcufnsf2oGqx0ZlzeqVK1bJytHG94bu5L
KpG2y+LzMnNdvwkZR/1XVu6EZYrBmdnfDsYhs1reSkoGd/7qYRhS2rSprVovqbEpLs3U8gJs3PKF
3RUNv3ytJ8eswaIk+Su3NQ4ktpkkBTn+HcQNmbns7xwyD6V8xCLxGK9jIwi+4j5fBnW2q94KyTzU
z7ShR3SL03e1s8xJ77yY/GrJuPaFXY2C+KF/bQ08h2Xle5Qm1jCpGsksZbLBV8EKc0FDuE1Cn81h
evdVHAY9DraK7NIy2RNiRdWw4bfKv7E9Nw3NKQZAG8lIyIbgvk8z+ZYv1OJMc/Zouh6vLNW652qM
wqLNfzqj2C9ghTn9QXHO/DIJ8bmujv92xjJcCEzBtho5r8Hm6AcnCGxWIGl7mJN+/Rm6+NGzkvXl
59nuneHH3SEWaffCq3Tem2MNZ8Up++JDep73x5xE9gdvB8CaJK33GeTO30hG1zQla7Qfhv6js5dH
7WXdXTGxIdz21C4ki9fdPKs50PD45cj2J8bqvWUNmJFHm8zj6Fb6jsXj2tm98nJyLphjovcuTtEt
r5AfJrgz2NfpVC8cNA6p95PVzkRypj5ON11Lu92gm3KPoF0d3MH0iekN6y6peWXD9uy1eUTgJu4u
uVnlrx0Lg+sgNc2oaM6arWydv9Y256o0YpLEcJWPgx8cgN3/qzJvARTe7YuRJyzNsa+moNNPfE2c
+9pIDtNMuG60qyjbda1Uu7ay4IWnw2iwYmdn5DavLVanDZ4EqDWCoXcyS0CoLq1IubPW1xeL+0CA
cTQ3GLG2RdR9Bo0+Qjkp2VyVNSSf4JpnpN1khLuFrBStZ3JOT1QSZhfGr/gwYUi509UHTilc7sOL
QQecB7ylIdSF/cPmkgU65hDL2mfwrjpNBR4UVwOq4WEYcXNWY340OyVCJZ3ySRPH3NfpKrxmJf1a
XcEwXHqPsZMdBflIkrtT9008Qh1sx5hDahQZvi0JD3EYmnu9JDcfJYGRBF52CS27WZcKlnDrHyLg
6Z8u7575AgnqUIvppXLIE7DBdv+4LXyXDbKluOVN0d5bRD2pb0WIt/zhq3VdskQbLdJbMlqY1L0g
XqVihqgcqCns8nQbeWlzF/T6EYvmUyPwlM/UQW5AwvwEuqovUH7qfT8nTIt6LXrPWcpfWqNRp95L
g90UE/CUFXNbGv/MJRubxZmcEBPMSyKqx6ZpeZUOJX+tk8TyODIO3QY2xcSwJkze7PiKEZG609J4
Jk26KuF4ACz8z+t3X7zZKwIwCxhzcMAWR8NNnhZWZ7ic8noXY01/MqL+WuSQjBkqzD3Sj7lvfJX9
NfFocMzwxe3dID9MojT3nCAtQCwcYHv6Q93tpIzhKR0GTYlStxBlowEauQy7HkkKL0WoJRJEQdpa
oa4u8cyaGMpCqPk5m8aRIXkdbnoxqGMuwKDNUdqc6thmCYCsCISP5/9GXXLnYFWHLsvOIPe/uQ54
pwW4y8EabReEfO7vVQtDeeK5qCJejgBixB5LNFdalMF+DJvIH198N653qetnLzRLnJVS5b0tlf2P
2BJr0CGLPhBxxhVnCGevGfw9+8q32DcHQsxcivzNIOYJJ1S9sJ4IxnlktYjZemeuQ8fOiJha4R5Q
XB4H8RnM80NgOCMrC1A7uU0RxXkhdn5f0E5wlgt4Sp7cRn4FpexurWE/NMAikBfZc5wIVGD/TII+
vSQ+fQcWA8eGyED2uORsoYaBzoaMb8crC750OzWi+1hYfyJ/UHcO9Cc9p0Mce6cSIXNXo4cwy5v0
mNAmNX6DRuK6aRWJfSC4Vuz4rtUHOBItgSHYiQ51fiCwJV5w5k76qAC98qFMk/EIJ5BPxi2MD6ZQ
qgZI5m1xoT6sZE623FZ5brCcEt6ZeTVeLDmVz84U969aueqhzmMz7JJlfBF0LcTs+8hudx46hVvO
l0JTV1RbJbMhxcu/gMIDxslxjaxJarN2uC7hi5VxOhQhLVbNg2o6Oxw68Z0H1dn1+/GP5g53IV8p
OHvJFk3sDu3uN+GDLg556XjYNpUCu5BmS9Qf6M4Y2VxH0RV3/HCJdexltwKxxglHFzXo5ImOY7/h
ykx+FhVikzRdJ9hz1fJNEU7ZO5RzX2Vq4PBceoz0+Ekrh3dA3j1J6f8RQ5qgVbX2oQBXtp+8Gct3
bgUu7GsPxZSrV7gwSBxQ9jGsDxJA1URGK6ZZiXiAWref5gRriFAz2reTL391n6rvuZR/56rzDoVu
8z3egiTHplnyXUZvOy6QeZ4ytzS+/KaOKOha8QC4s0nw+hZFxxClFRfTYtgA8P0LH5n4qsXbZoXX
bXOqTQ9cnPqt6qnq4YcHNpKs93ru8vW5q+MGdAG5fSemAQ+Hem9tlyA7uVWKEVG1GsfxrO44MkE9
YMbH6W4O83s3WDX8JkJqHJb0hxYvg83i9yzHMcMS01Y8psDD8IL2rJJiBAbad1I+kRAzlCcPvjl1
p6LCfrX1MOcdcAW2LInTsn2jc4fkNMgexz2XgCXq8UFifWONbgw6WecxTCmaRHGdYnI0h7sFdzhc
G0+6+6WMPpm2l5tDTN3cwACwjkhU+jRAr3ghEy5ht2C4fFNS04KAzbO8mXocD3kS4Gjt+c9Ns4t/
YXwO+4Ci0TPEgS+CMdVxIR+wGhWRsEs4kgjQmQtqLDYV6x9ZOzem9/6ST4DdMLYh4AVaxI+R13qo
2DyXJAkwvzQjaq2VfdDC050TFiZHLrgtaFgZ/88wGM4mTFeMCuiQmCpK8xQZQ4LFk7JDukjI8/wQ
0SOKbCe+tZE9pigKOLY+ISHENRSTDZpDfjANYWf7QmCKISuRiFcr12/ZXCFDzjMIIagKNoZIV/12
SQlKFRBsNrHkHOX8mFNgvBkSLFx8f3YT1P8HfEzefYsRGlA0IEzlsEafXRqreB/8Te1BhFE5J3fc
BN5iVl+bHIwfoB7ucCe1LAP2miaPUOW0HM9JVCybdNHFClMS4jKYLFM7BuEjyRub5iPor1QCUFSk
4KthDBzPk0iJwUl47oXrXhe7XlARjqZiIVAFSXLsfUWYPYWi7hRdsGvRYbDwcvJ+MV2RFYh65zVK
rHc+1VUDx/q8iY3sbonk8l454CHrbsQu2FrmlmhYdRW5qfe+nrGrZ+pG1ysWiAh09tonIlhMSg1q
seDBR98TcAcAffCXrLsGJG7eVIBTQd5ITl+enrnd+S32qMasmZQyEJ306QV0H6rqQsfLQOVn5O/6
qcv32TqJRsAgKR6ZfJQWUgw7gseb2s6YIoORTi5o7I9NJn/ZDvzr4SSQVwL80hs0iuH+KnCy9g4G
24Xe+33vSou7k4uvFvwjvNM0q0PLr1ZX0lLxBy7uKxE/k74C6aWfvEieyNDSYSFgBACEZ+CnMm3p
FbVcRnSbQa4QCJn76YH3r3qaCL7OJxL9Nkk1/mfGsTFzaqAB9hTyONfMEuceV/ERUbU8ZllPAYtF
BWI64SHsCwIsFOdhg7bi7DL1RXbzg2mXwG4+SNOGalaYP0tsHLRq6QgtgFiqsUDfSqzgaR7prpAT
lS7F3Jz8hqYvDHbGR0xLMkTN1owggngLYEYlvqpuSJqQ7laoLCM01spz+wNDaHsuF2x0FI82j347
W8c2HVdIBlV8gaVJadjBzaV+/lLRwn7NAuM22la9cyAN4z020HCL0ZqoV1KkCNqxg87T01fqr0jb
+auh1Y5aAyOAbVoCs1kTJ/5XbWt33k/ZvJQXE678s0Sqrc84L9ArdNuddFmPAGNbP3rQPV/bRzBo
dbGf6hyQRjKXwxi63kLqeMcasepINZXWZWrXw1tp9Tzl0y2zTHdnKf1DZmtqtrPGyYo+xOTXLLRs
ApYnc4ydaMZTlMSYBF3IDruJm+GxTAN+gZPp/p36oDlH6HRYRpH+Wr94NQyCnfGMjm5itUvA029a
eAIxiecp3+bTFKNNFtU2ys0c74pZgH6KSFuj1rSiuPgL7bnuXIx3uVMA1RMyVtui8UvettloWluc
H7Scz6P1xrFe/2MKWN4bLpfTvl3k9IzWqp+dBcJ7Rsr9KFAkz4Vhvq0U8j0VHt0+Nq3gBWt5T5Iq
GTHe233HxtNszp6p/BPDBESRfJJ7rPwIdhYVOFeAFXNB5FtlxM3j6M7lrZQ/GrYW44XepPkMuMbD
Fuc3/RHPyhiw6lDVNuOeepQsRu+FWCB39zL/mMvC+26oaro5S2G/2eAGN1CcWYRZ7BD5FmmKmbYs
q2IiOBEF4yWSQAA/ApZn47SvGX/wuyrqJhy0s0et+I+zM1mWG7m27K/INC5YwQG4O7ys3htE39w2
bktOYOTlJfq+x9fXCtUkkyljmt5EkomZRAQCcPdzzt5rM11d8EHv+IgOx7JB4jFnFQ+Wk9JBfIlh
3d2OPow4emKAyiBwJtMunif8QPko0/Wsh/aHX87WutU17SdWqp2vKLJLnl0rj+doC80DuH6N3e8A
IbDmGaTEIxUYtTihvUm8gc2FzDz2542NC+cQ50bflUv6BYJ7uF1wa+M81PUpUs1d3i7PJSQwZ2Bk
BPOK8B9raT67kO6h0eWqahQjwFF5mgljnlkrpfIa4kYk++u1noMizj5yPKxbU/c1qrbYLHiErXTX
N4F3sGFoo4fNyrdFJXsvzh9UFP9MFYsAfAPM7l2C8YMxBPtXNdbX6BGpyV6PrWQdRiCpkh6qcQhu
dVu0NNDwT7b569CplFkZiHP6sCywDcqwnUXZf7QHN71dBmAGLd1nOjcMiqrAHJAopIeUKkFjIJyf
ehUvD4RSlzw0M13gvh52senkmfYNpbPO+32JWfwmhN/0CaJZAmyGqUU72VB+oBy61/NsDgyoHfRs
ePyXiRF8q/1PTZL6mYgljhxQ7PcsOQBwZcJN4DXe6YkzAmrhBZOdKt8rJgk+Ia8LET/dINey6cWh
9J0XYaasxDKU1V+mMJDYo0tGi7ss1s4jqv1HgjLcU3ulUQSOf+dXlrxDf8k0k9EyKcAiJRggCh4j
ppQbYkNRUeBS6Ehb6V2zBbU5v9R9J76HCoG142M/65NS3Fe94HxTQ862D4Vp1EY2ZX6fm2TauBjH
LvAipdnN/HGxal13gEWOYuzMkLN6daWum90wRONTOmTO3ZIEPK5unBwwnmYnzoJMSJSD/x426HWy
zuGW0RHp2aOFxEHVWTdcRi2rb10Tel84x3SnNJytfTWI5GyirlP0OyxvD8NMfNDEjz7tWWAmoEme
zW1xq6fsdvSG+5JBEqQCgyN/zOLsshR9uiMz5Zpng6dsbUblgjq2iAYnCuyYU/HyH14B2pucbqYK
hJ+U9WccQ1tyGpZ1GrFseNAImBIWtHNWS1HA4B3Fpakn/hLe2dS02btI2no3Uq0kKAtGIASeDna4
7wlpIyUF9IlBMMjk8yirWu5hLVqMQlS546j7w3Cn9niecHePfGCsX0GKWXGJzzEqt609RQll6LQ8
1N1YHsEqh7D65sgBFsFZ831hCo8oRQ3jm7bkcJzKerxoy7RPFoAhXCHAf+RsvjeGHqqTQKzGmesD
A0hmjeY4oMiY2vk29JP+NTeuRAJb1B8qTLyTE0flzyREgrRBMsr8rxMjrA4FxBcX7ugGmAfFvNfW
8kw4E9GoA0iVDQmz8QEfMJN/D2gQ0j097UUbIM1eJOtTPbb/yjfGXchzz2QFEav4iJie3sPBINK9
4if5GeklO/bZqC1mTCy7hU0WzHaUsNF8pIFnoGRmx5uQPcy5/DFg7twGAuR1JKFV4hxpuJkpGw8e
+VkNEbdazdmnkXgG8QUhB+joZf1MqpDGfCeycd9K6+DIPMOlWTy61Di4HbCt0FginCOsIqQ8EOEY
TQiGMUJZzt6t6uCGjOT4Cax+O6/Ih6JLW00Qxxiw7tBhwkuZClT8alDT7YItm55ULQMaybQekZrS
uXV9AxCtUOUhLBljoI13zfIsuzZS26bR7dehsvOMXI58jjfB1Fv1GuMjLz8qjX54hZmFhsgre/tG
k5V+MklqmScy99RWixrqbgElZ0squPNT4Pl+VF4Y8IMLep4DAof3qAWtuEojz72tg7kjXw9h/y4x
8RLscTEUDb2ofLgmS6IWSKeOPs7ktF38RCE6uVvop7TVi9rPN601Je8yctKdSzWjvtIXGPujNVRj
svPslsBZsGm4lRS7x9mZ4/qxbKCQAbkO9FeyDnT+ENFI9Z5a6THfguVRRo8Dm1K5NYGpinuY6pLy
k7TwvjoNeHyn3SATS16bedFNGxPYWY1x4j4xX8W+5Nqh364A3pA0uaYeCndxgC+ddhFx4TToHGLA
qyW7wQ7sElleWD61xiTnYaSpQowzEzMaKcfc0ymdF6SuiLbLAVhaTPK2X3kDzvuMWnClq2VqzrNy
RPY0Qeix9l2sRztYiaEu6cuE83cy0ZZvTU4G4dnzrO4bTmRnlxUyXO4R0ybNtgnacH7hyAingX5/
XHz4XisfOXzmep95foCDtaeR1eayvbMyOxVryEqjese+Xlb3biXksmcsgcpmtQh6lOs5AqlTrWh6
9QAuUwivgRVg+Isdj523JPGtWluTl028fh0tc8o+mzMgMmxDhn3pHnGkym+elxBeb1rOp2xVpPsG
iejvYgaa2U0IlRhFD3q345I0uYcAH+ryLbkYxYUiNJUHCrGR5T+dsIcHAprsKor47KvUB08GIKgH
8Tmybc20Ndi1jckz3lbPIVKi12UlNmh14neOqS7BmXaVv8xN2tdv2vBbbaGc0HQPEmb/tfZ1cCIq
zhbHPOrC6YZZ/ywJdKbiW5OhEL2VeVOy3AU9DqWBe36Tx9IbTxUvewsr0PUPCNJa5xUDN6G1Htmw
e8Xx/AMp5PDKPKaWH/HkxTej7DgkS8a4W/A86QlKUXefjaI42FevUGkTOrayKrr89FTU1bkBBumV
pl5K0mihw+BryaF5fFTIyVm+iA8Hh+CR2FO2xbXiznssaqoN4vHnhKW9RJoZ6XqHBmjqvmfWYMLv
CTH248l2Rie9yTrdHwdF05bAqCa70gbGBo25FQanCtGTfUFrP13wm4J7bNqBAHSVL8QWkHcUUYDd
oZ9yEOPFrBSTG6NBW6TXxzdF1VjJnZ07BHSGs5OcXDwAFfyhyGNQR7k+ZPQwieo4FHaCcFvUYYpQ
xw0v4WDInpBZg4q4zzNiQLtkvrFQ5XfMvGX8ZqEjnFdeQfz1fe0GVgrOCUyaIs5d3ybT4r/1PVrw
lTXlhhCvNn2tq0puiimwL35ZFUcZq+5b6BilIdg4Upyo8RiBmgWOcBxDMIZrOA9FT2QvTRda1kkZ
7+nLkcI4DqGNINjFv8KajpuExYYAn64J0OCjTy+/uirsXQ4ryYCnc0IucKxCe/wwKmKnTWmqRjga
s37awoanJduEkI2uyg8RVMegrR1UZVm7oPC3a7s8JYBXQOimYU+/zxse84nJD9RwoFDAENzFWb6L
XnbjKyEjYbtLpjK5Kk2imKiWeor9ZN+Mtnfb0A1YLq5Q2UMKw0oXK2xVErID8UskWA1V/RDNpG0g
ZSObcSV6i4CnoqAPtR0YF9MGZrzQnVur6z16qqH272xyF9i+Rex8KamnYGlCLBT7iAC1U01bffpC
/oT1gswZ2gSZLL0P0fdKzI7WjWBiTiXZOmCCT36K66Kmi5WQmJ4lIcoGOyiv6eWigHToQoVGKcGu
jVS0fk5rCBqyDTrzWvWNa34OeL/7e+zEJYkBcsDLZDFfRY1zJ+bWpqNa2jqTJ5+w3l0ZYEddNz18
spt47J2B1Ay3iI6Vz+Hg0CM12CKb7F7cJgZ9V4Ul9fNV63PUHkwOS0ERmskr0x9UIO2WiD90TSH4
1AfjMD09VwL14KVTV5FjhxAU8mzDdHWlNYFPd73IfFz1MR5/QtG6TpMSMeWOW2KuHMxRE8pTHwdx
1SbaVzHPLqlM9JMMFOHf0TFV+R2aTw9OihF+jddb0PynG5pIjVcvGdl1dGR3YucydtX3rgkjhjtM
TDYuzqVwwzk5nW+mjr31wS4bGm9oneqzzsfyFcPOxCmpsNq3zHbqbRrnlXiPtMiPMQcTht8yVGB9
rLppXyrgARGzHxe9f8NQdO+EAZw1FfnHJG+CH5owBtr4fXUGhB6cSOUeb3QsclhIfAKPyOrWbdCY
dvh4EkaMsGAlioaWWpB5G/8F9tCNMogQephQlim4D3gi2mnjRRL0IzIuDwWb6zEDxowabUOBD/xc
5Ca6Zpp0/eKflecg/x97zEgdzwLexlL22b4NatxOGAHtF7+4ornBnNHddJY436YMSvO1qWcCETDU
UkpmrCrrZKh1Rihh464jju+vca/NPV+T0SI64v4qdZ2je818zVk5vdtFe87+LdlwZePK+2Y07tHy
mQ3DEZiQPQK1RW4X1tJmauLOr67w1KsTDeIx7VMm9+M1c+LWb9ymu7VJsyluO7pAwUfOkJGVw9Gs
pxAHyS87UOXS9KTdRRhXqOPMijcGl2yYsU3w/B6sMXbZctDFPIdTrm+07kYrWZFRZGW3s03ZBX8s
Av0/se5Xqza39DuHUmE94rQHLpkmHm5UG3LsHs1V9trjmhw/0AdDuGNDd6N33XE+gV3UVOOlSOaI
mJ9JIypSWDc2DVEQ1yBn7WG90uWjC5AYx0hDEb1RToeFrS3xypyXPBkQol3ZvG+91SRbqvPqwpMR
DDfYMZ1nMmYImreTzhxjxrya4boM3zOA7PMGqZ7hBeOHD84BvFDsulW9BfeC7rwYLb1226nwGHc5
MlJ3cqBSO4HbzOWyApszI8yqw/gKCnEBPLzQYQmRkLsMBubA4HK2o/yHEj5/rYMac8tgbXQRn3GG
PmBbMUciDjq0BrwsW3vu6/DsThT267QKvPw+qRWMD3pqHH6zsVZgLTuHeaJjp/BcSq1aC6mZlBrj
pO9Ievst4mAop0ZtyetQ01cDhvbOEvyGzoYW9vjaF53lFhvcIu07THSi4Wt8GqDTmKyfw67WJzoV
12Kvi69dC+Xx2HmJ12A7FbBF/ZXwPSc+Sg/ix7FIYk34k8W+saIZjC4y0mrc4tpbbuhFL+9hK+xm
38+1ogfUzIQ+9Qu5ZVgOxzUqQu+mAIwIz1FGRYKZ7UrgypagtV6RnQZHXyNoP1fgydxL6RT19Bhj
6i2TdQaFCvtfWoe+3IlOVM1jHs0jMxSIt9ShEi0sD0E9gJtxhyON4eEGZZhDMvYMQ8aS8kbD+TEb
NNMSEklStuJrTYSA2vQNx+Z1AoNmRjcjYpOBGtPFeBLmOiwrI4fqeVNCkTHU83qUc79JRp5JxnDE
i2eErfNSUIDtnGvQSTj18nsCWuHW5yk9kL+uO1Icl3K6eJZNWVyPAcD7Dm8P4Ogs8WAoNEwGlGum
ZiNn+IFZUyPuRd49fmdaFUUffkW49C1W+Ax3sUMU5M6hoxogB03atHuMvJ6pvtv5RbaH8STkhWY9
KQWjdot9VAd4Z9o6wCbBaPm2GiAiHJSNhXiblEl5RsmQbYfa1odwQv+6yUsaYf2EdWeli0hf2aIh
t3lpbkmd5jAdyrFttyj83B09/RHxFyPJGv5R0ufP3eSn6Q2WobFEab/YP0xUix90jCA3l5ZrBP86
kMmvNS+M3CwNwKJw6sDCr2KVM+PuMu8Fu663wcbRg40rrLONq52jHU3K0tpUmS8K2H9ZlhFuDlcD
QZFTBN+WqR23AyiW3gM7Fy4QWrvCck516NlX+ymD9h6T4YvKrEp9s9uouUWZvgDXqso9OglSbphn
JS4CpLnfQZObUB2UPQ0kqJBexP1InH4LSrKhrKnabidrtPK0T/3xwjkuKV9g9CF/YK8dNJbQjrNN
JWf2gnrwlU8iLCLSuZwQuJPsEK5LolIRU1fWnD6SEr74+6HnwHZsOy+QB78MRfWMsYs1YkpABX2b
hnmC/VhAFEuuEu6qOi2g6PD8a9vpqQyWMH5Ent54j4DSRhJwiOulGjeRBZNoVeLiG0/wM6OGKMaC
w88zjEAKqY2jrsDT0lhyK1XcM/Rd2CNbipsqiR78jsTJVT8gakzReqfliGyLWRiRMOSPtttKj92n
l10H8gk9u1OjfXhG1KTEmzld/VLGodnHUrj1LnRE5KMok95zPrXmqevT7lk0JvqcIGfYXyUEjivS
3xc/0D+OyN1TOTxwdI/gzkS430Bj1yPbeQTGqeFvaU1JB9fqwujZ6mfrS+H088XQQAoIFPHhGINn
hPB2E8ANfAyo1j9r29AtYi1Qz2DP/fR7lo79fJ8BwL+tTMeXh4zhEq/rDXm49araY9hQpAbWSTBB
Au1VVDbbXOD6XXsim8/4rRmchLUYnicMcN8MgjCxQ3If5Q9+ZYNMDoxvF1ta2axt9sSZIkQM/QyM
1JKn2fP7iTNQBoYdipksC8DuKXE4DGIYHdq9MbeYb6qKLN+aiKhckYF0zlEEZ6TpkqyKCSbyxLYn
peXsVMzDwfURq85okd1vizoxmB6wK5l3jCnZCxPycdg2DNOPOlckOoB/uiwOk6AT5anKTyGD2O+R
3Qyvvj3A4qDHO9PJ8Gfizx2QsCYUY/eVINN6rM5LTWuoRNPFjnUXDwwiCYi2quELkUboZdAULUzw
gEoG2GmNjZYNqPFCn4zFHZ69jz7HK636PBGYXK7RCTCZivp2ZExJLBkJztJXDWxp5ILT3SDMcD/U
nb5z4jJ/UpArg3trSokkdoJhIii70p0Rm0JULWfAoDLl1uko9AlWqOND3FfyNfJIJjyiGdDtc8tJ
Br5A5kRiY0gM0pTVFazkFXbVEZqQRTCDmOzkEDRe/F1Gon6RXgPLKBnsjyzJzAlVTv2zi+3uJol9
71xlYZjtHTMQh2XwatC1G/P4Rz63V0ivu4QD8UqWutMBs7a7FgeUoU7keHyepd04N0iw2/rgDnxj
BGRevDZRkVJnTn5cw752lPvVGzrrCE+hHV/xRxubKQDFKcj+Bkv5Z+lzBLjPvZzWM0OSpTQ/pNd6
yW029gmNJgeYG7ERbCzo/gJ3YpcRnAA2BYnRYmXAzB2GYYmHW0oQxN2gECgXpiQBWEl2bbWQFb1w
6jwqlSDRHefKEG0/D+GlqUhp2vazSAHHL5Hr3qO9sXoUshz/TxMBKVxjTvDuBK4/3g1sEo+OXuZ7
EqNV9UC6VPalKEI6q6MJFXCPuIrXS3397cARI5wqcKlv2rHOrIvnwDYpDiIkJgaQ/9yY6hFwItBr
K5FgEld45IRTXpOgE8IGZGSgt+hAlohk9UjFsGKOO1qAWio5QXLj854CuLaEdciqz4c3iwFlhMmu
q/Cr0ZWKp/CwYLhXxMgt10G0R67tjV2zBqGopC9HN2mOXkMQghXogHJpNoz5MfjTVpn0i0cAHvx3
lCwYo02ruxg6JHyhasXGZZobyQTsTQUT1JYOHEhG16QMKfjzmWTcBHwHhJDJK/Gvg/unypQyJRum
wy8p3vK86UBLzEMU2reUlB1KwgyIMDN9t/RSLBv4WFDu+d5iMRxIyNeE8043lVPvxM1rS3XIRYFx
JGwmi/hDXx5dpdMWUgxnE9i/MG7U09VJXn0CRs734SirvVtTfn9q7OxoZoljOWrjMCjF/5p/TInr
JBT6YtkMpNvrDdHtPI1jX9NvhY5xtWmMmY3YqaQUuYstXZX3jmP19a5BqRauxVB42dFqJ1tdnMor
EPiFKfpNshfxwZDQdJh4/oGguqOyP7GS+tkeYx3LZkKZf1ZjCDM5TrP6Hkg5G3qQVtNt2RnQyKum
C2v1nGEF9Z4wU+QZ9lI1WVuUdqgaK6Bl6A/N+MZg0t0QJ2ij2qd7FCItqSznNuMA/iI4ieSPS1LE
T4rGLXUc7eMPYlk44Ple2DyKtknKDUka/rngvf6C/3KBkD0jGaM4o3HEaFVM6UpSgExw88tcneMy
5A/INIAkScaGD5a1tZrqjmlfDOk2WtxavSqh5wPcCQ8vcEEkJY09d9XrBJ5zkdbH1q1S676lEkJR
Ilw53ZespwxomSzky2ZqdagQ4Rj3OQb8iEArNkWGgT9d1hjFq77ajHniNLeIe+P8SxEh5v3qKTX0
RFaiwV+roO3GdRrbVvAQWfiVGPR7nBNw+5aOei+xT2sLk7brOG94kpjZoTEz6REtVHXrTB78IkYO
8pshDzDAIUXYNZFOrEZqby00MnJqHXr4t5YI0uDTlPSwwNKxKANR/lrxi6oDr1XTkVOR26K+dVvC
r18HSR98l/ROJfCE2lpvmY5h5Au7cdliiiBuWjMWw3zeeYu+8WeoFrBHFn1bkKijmQbNtEHMNqO3
wxgHjOkzva8IOR1jWY4iPpQFjFkupVSJJ0On/SnxUTAdWdAWdSHBvQ7h4FhBy8m5YqyZEdLo3meL
W6yrQKCw5NgYFf5LS8eKqr3K9fSDLjqqWurPGREFrccqpSVJANo0fLqGb7gWXky/wkx9+5xmUeGt
czpD7zNrMdNZS0U557B5em45Yj9ky2DxZkX1G8gk71BXol9uaomfFil1wQAIpEb44gl7orGxiFT9
oNLw8NIx5XKesqj23xYCQcJw5zgLhJaJ1R+mixYpCDQvSJ6LsgyD+95CIUxACnj8Nl2eepHw629s
B+rCizdlItqaYYaUS0BdXXSPbDsJ+uscosObU4e8nphyoi8sMf57O4+a5ku2iACLleM9CEsaG29E
PQx017IF/UbueY8zVYJ97AhC+Vr6vR+/oXcCVjfJJiU03A/cy1AGDralOqUwikbv3bFDXMz+jMWX
U6sMnzvQbP4jUbTUXLw55ts8TCCkXOHfkDeRnxtxdQDQMM3eOMbOB1rBmDp9V3Vb8rkBYxLj0AF9
Q8Uw3+Zybt7wbcTTU+pn49zApXD4J6/dUhqQHHA/OkbrVyOBIuMMHBGQrL7C51fkjd4u1M34b0Iq
wvXSGTf+DMCL3kwzuZwnkZiSkV3aqWrv9AvHUACM1T6K+4TZTFPro3A4uuLqZfhFJPikvHUxtv4d
ieAcvDGkMGhOy9z/wgS8euw9Z4CeIvOhHbbcfsu+KYwemy8ClJP1MmJft9YLBrRrKC1o+cnJqCSL
UlsD6RvuEP3QnE+zYzOQLuR4PnYiGttDc3DxSw+QHNIcqZZp0+reN/6IOY96y5I/6UVJnOYWJIvq
kiHhLrdCa+yRQFDhoeN2HpmySisLH1wLkJ8dTyR7bK2lrf1LmDQ4XDnDBGsmnUBdoLRBKIux8Flb
0VS6uq1Gu0QO7bMyk54BiLIMKO43wSL9j4XJEuncvAUvodO1yD5SKNvYOyxiUjkVOtm6XfLRbKiM
HPe7KfATryFlMywG8QSUBAVrXDNygs+wimyMiTQNmJQ9uZ1FKEnNMHSLtZxp5ejkWwmRrWe0pKkD
4K4hgXGiK5FY2x3OGLq84W508YwP4GrdtctQ7hnJvp3uEk4n14G9PfvfCvDCcECAlxY7ZtMBflqC
f0/TWBYvedc0DD+Sfg4Rel4hrdS4CAx3EQdUDMc9wBzoiWH2tWcFm+791DjpWSR93LVALiptvVUQ
1vSXqjcgOLuQfecEYA2xYC343zT0aKU+L4pe0WvE4fnemXo7XVaei6rs07ZVwn1jYTHgp0HwLQfc
BZ0PZIef+J2nRixvmBdUCCYpyaP+qSQj8okR7hQSmOGHP8Gp9+ljXfseMHeEE/vM4h5yKtbIr+yG
v+Ur6V6CxAk3nr/NHWnWURYybMWl6q78OUQSru2QEoJhBZJeEYbJbdWH5WcW+IY2gEDLgHs1Vjvl
D3ScrlPw+YTaXDZvTTwFn0zy/PLbyEZBRCgyc45HVtA0z0UQueQE0Am8BLKmQZBCf2L/cPzlG9iw
Co8eBzt8hsTQk1BUsejIHpXsrZrs8ZAtdnVuojHontEeTe7lCi1o9p3TwVDYVH09kx3TB6wjXoSB
/4lwqjx6YtzkcE07xQLrWmQT7WdomJ/kUFGOJn4XMWZK+l1tfH1fe0N6dHRab2uR2N81LkOs/RgF
UMeRYlTfqMUhlYzmGHqxhVdyh23CttF0xctelAVFUM+74U/QNgitAiUT03YCF2LL5bGxUH1tvFyO
70WYT2afElM6A+YKDAkZbkJPYg2AvyB4ksUDXgSZDYEzLe8FAzF0q6JYkhlXBnv7mvmUunJOOWGs
Bkf61TPDOn85hvhRU4qe2Yeux7pYHyI5NIyR5uqW0WTR4BCShfvRR6p68a1eeECZ5lEu6IAs/sWu
mIcHVTT9DZoifSAfycJKlDroLooRMsJstLm2/wtYSqYYlje3q2IIZfY0vtnYsyV9Jtyq9pDzCMfc
V+/AYSkkgrIwTwybuMe55ScWC5mRuE1JYZNYhPNElE+hARhzjFniUG72JefrQLHrI4ilxxjCQ8+2
HLcW5BjGq9x1iii42Jc9E9EQSbQHDR+54yFXk0x574dGfkHsWSYdPYekpi+wLOg43YOH+4ErJLMd
+Y8IcuPbpc2zEs6CP1gPw+KPxNfVRtn3Uy06+8RahqeRKqz52pB09JDaVhW86qq3kM24NH2OUeA4
uxpfyCm31XzneTPzWStWtzOlVQs7hHnsmn6c84NeSxm/kL2xvNSW5tRGLajXpc9tfSQLM35pmeis
keVW8gdziKU6kZRqznlPitIavK1hJpUQO4WzmRyLMwEL6QP7Ak4pSgLX2sa6Nkyykxyb5a7N9YKj
Zox5RadTDR0R5LNH/5ecQxJwyQ0XCpxLW9EkT9Yi4/TgoHcZIts7pJ2tdLIJeT856uay10/JSGUJ
M2UZqe7d2Xqo/NnC9pxf29o3C+p28GIJxiFCs4wcvgoIm+nz3E5pCG3QbmlLyNHg2sH3RU8Z2BMX
twaSVe21S3hFbq16r2ImU/skvxBdUDnBPFzwJoRL/VPbTT/gohyqGVcnLq1uontZIqMr5s1QRwXR
1KCRE9LeA4sxf/scu1ARXzu/HKZb9DpWFf4wHLaTYMcsjRcMCTr4oHDv98ifydPLcRjfUesthK54
2jZhBlcDLsWB9BicGHKm+ryjs+8vm750yq9xI8phn3hWzTBJ1K7X7xM2sh734IRfqVjrHEWpe2B0
FEVfosFjxTrMJMXO1U4UyPVk9/Of//jf//1/P6b/E36WD2U2E1z1j6LPH9CCdO1//VOIf/6DZf36
fx9//Nc/KUMAkkoNYoZTm5G2uv75x7dLTKIf//T/ctMw7zCDVd8C1dX1hspn3Gd2Jt6UQz2B+RDb
OD5+Ithb28xUL43PFH9KmXHFqJR+/2n0nz+Mo2l1kwxisJgqwzT1lw/DJG9WI/v+l1Sg+tgIrzLv
AotNt3WGfM73xObgTq7TiCPFf3hlGAFSOrZ2lUtGg2P+fBscj0mQFVnjG2fFdN/kMyE8Cq2e1iq8
6UfrQwRFtf/9NcX1L/3DvXehCbq+8Oicw/fT3P8/XxT1FK0kVCoX4l7G9tZ3ewUjtPNkvmI2ywAK
YhgJBCv8U1I8SAcbLLEH0mTszi5YMJJBeuYZeVnaB0WzNqGJ1fQcCohTvcolLcLN0ymphqdR9IF/
CnMKm5vff4lffjLXNq7HKFoaz/EQXBn3z9/B4QYtMhzsy6zFgEqpmr6CRhy2rWODQnM51LzPjhMe
f39V/5c7JxxbOD49s+uDIoX7y1XLpU0jGajyKSN7GQtk4ec3Q4rREVfz0q1pCmtmzeQLHyOfLJa/
eUzlv7m662mPp9XxtGu8P3/nHulu07Z2+RSUY3dJc1c+he1VNQz88m8upf7dpXzpuOjzlOGKf75U
67gWYwGvfGo7KssCEcgab1Oz61Mz7Rpt+y+/v7G//pzC8XggkR36kudS/PrVJPygesKNcSFjFBtF
ZK7DFvoYa3SmxYG2P9MjxfH491f96w3lqpI2viccDuHe9c//sAjR4+CLMoK7lClH9NViqe9RSweb
2Zm1fPzH17o+pkr7UoC4Fb9cyybqUGKjCy4qGmFnuAkYFdxx8Tkr3Nr+z5YVl9vpuZ7QviM8xq3q
+vP+4Yt5eNIVretrDNSVLgAd8Nt8NQdBJnKw01GsEyKaxWLe/v5Liusj+Mel5f9f2Ff8iqyj5tf1
jLCXOEWTE1x06A9wE12QyyF9FsLUW5II4nFpvuVKvHnXNKZ12nYkSgTAMxpWWoUHY6SWC5brAHUe
SnH7+0/314eaLd2w8imljQAn8Oe7UkdVOLZANC4zsMN5FeWKfhy+be9ctMR7xllZv/3+ir+utNwO
TeXLL2ADKZG28+crRpTJix9Z3oXfS7y5BT6Gjm4AOm1laONDszp4ymJ4jw2m28XkIK9//wH+zRPO
Qin4HLS1hHJ++QDpILCr9KG+qH5yjpnX0kKqsgAx7tD/zaV+3dKvD91VF8QCi6pNsq/9+cuGyRSA
hK/UJSois6nw9+5QZVMMMs3fF0l1rjjyrfDhuhshAoTkZYk2oFnyw++/818XacmvK/kwNt/c9n55
+Dsye/ATTPJijcaBYjz54lhl2Tuufo74JYDdIbPnDV7d+H9wZY/91Ng8X7byf1k1zTI2Rlaed0Hx
wQDUkpPeTDSedv4C3pNp1H2TT/Izrv3q/Pvv/NffWbIlsR2ysHguCOE/33t2JR/bQisuTsLpVSRj
OcGdipaNG7fD999f66+vkdLaJorQc5iySn29/39YXIgULyVn5OBiI2fc2a25FnGR3KOO7taFPSV/
d175y+ag0Va6mhUNU7Qt/vXg/eGCOVqLwbdzJnuhJaoz8ZWJe4D2atEOjgPZ7FQHWzYnyAiO1RwS
ZEhmJxRUYguXB3rRy2tc029ntlXobK3LvryJ4gbbe1VFyZ2JpLn/j+6QUkjZHagkDncIK4X6ZaEZ
2rlvlkAUZ2cplgPIsuZQWrnYMIDLLmFk/92r98svwvVc21H8JIJgNM/2f/n1bcRGBN6nNRNJQwZx
MeKdD2rmkP7IkAJ4vL/7/RcU13XjD+v8v67IOVIDFPN58fUvVxxQSpRIl+ozs+PuxXhWvvc8p1ir
yJ6Osbu479bopST9TQhBqrxL9wvT6o1NzbKVjjM9/83nub5Zf/k8mlMCDyRoRfXLM4kdJUSVBdEJ
pUyRR6S2/j/OzmNHbqTZwk9EgGTSbsuTrW7Z1oy0ITQaDb33fPr7pe5GxSoU0T8gjBalQTJdZJgT
5zTi3zGpgui/oKLs5jXRJGmG1Cw5F0BlII2eU+WzgQSV4wv0bF//hw8CfOQIAYERjqJ6fUkoz2nA
JTu2JMyzYQ/DN/AEAyUuDqeZqO8RCAVETDIWPiW0OGdxMntF/S+raGo5DLlBdfHxF60ukdwxzXZd
FyZqcGAYi+sPclVlxNGfuieNnP5JGLr2GQ2jTBJWVPC7L+KXqpEpejzo6v2Tg/IeaK5lAXfW1fX7
l/ZIHPXkN55qyLDzPTQdi/suhLUvPFDfc785BQ2u5MlqgegMee0vKKkOzcZh1eV1Wx0OvFhBdx5W
xNTdlVlu+wxpoDZqn6Ipm70OOUJ4StXpqxs3L7j6Bpxe0fsSjeJ/c1mpIfgVPE41yXILkdwLsljw
xlPVmWD6xYygruX8Fw6wPYVwPu+CyIo/z8K2L7HIQIPk5BcBz/54vJLrK+4QMLN1MFMaSNlxxK+3
rzVSVRCzZ17FpyNrZJkw6djxe95Ae6/pQnx6PN7qQbEchw2DgASPyXAQkZMG4A+bG+lNZMPyrniO
4w4qHaeknieqjHVI490uy2de8DeeUMeRXhnPF/PU1JvgyqJLgUy/0/lGp1YXm3w32i4z5Emd0e4t
s56OED+WG4djfUIdRjWJAvCNTJVgeG3IHHvOgXwiPOHYDnXDnFY5872VUSy51GrVzCfYxxTFm1qt
6ijXg2rYJz11n43Ji9sPcVX4T3ReVZMFN1YGo1AB9jQ0fvloAarjO6psUfcpB1ie84Zbffu30WsW
PcY96b4D/NsT4uDB0E3zF3uIzfZdR7lV/Upe1yQ9AruxGn8bhZRFAtYL/edLAtAv/VRDDxIcVKpq
7s/WgAX0qAHexwRFfaN+qmCQjfZh0cIrgjpoDpzZsboIN62aoQzCfa801WvhKULBKTcmKqZzUioy
Ao3V2B/7vB/Q6ozB2e9pllLCL2KEdPo1AWWffcC/hhtxgiG713cIhTi59/jM3twRInPXFIJja6vE
risHVAeyFwcxACWrLSiNpsFo7agtQs2jL9W/ZFScjU2Th+NPw8LZp5ym6hp/HMzbyrCkLX3kyM7l
vjpO3UeIe6vPjmuHG6OsHWvuohyGoFrXEEO0NWna/7iLFVQyCcjz3AepgWQ3KUOvMURIGw2VmIDy
nafkED6i9R69hJX+AlG6fbajOd1wMleOtfwO4kkTbIxG6sXVVzZoSgXcm8g++KFrjK9GncWnAgVy
v0BzcdgpqBWhSF9WfjrU9dYayOO/WmqdnJRFnsAmuPid0/pjDTRYAssq1gqfplpJWJ0sLzmcSsdR
nsKJ7g4PsI/N2U3TowoqeZ+RkPnw+Hzd2kQZ2QgOF5kzg5zs9T5Qj3cSi3ycv8wanFrgQuHFowHX
cwPoqh+Pdecs62DbVF5NAL0YheuxhrHsbeTn2fOFRkUIVyfrWTjBbJ7CZAz/At2PrsObh2Rzbdgb
8aMcsX5ikjaaqiiPIr81EEEyhvaJXkLw9T0AM1NH8+TxcPeONazQxEn4B9j9dQq4UdO5oyoW+aOV
8aBOaYOlCzAj05SeIJ/oD3QOwPwxJ9W7MKBKMDsd7NJN/XPjQ9auEefawPKTj1a5xDx412tN6pI5
IsbiR5SIsRs42BD2wtLzk05FSKdTZ7ZgVqZ8BPg4y1GTp+xdSw2x4QsCGHr2Li2c4rMOliPY204b
PyPvjbgCisP6T5hPZ/X4+ItvPBq+2FRti7w5LrjlqCt3dzAmYA9NmPtQ0eqLN0725Ph0G03p3waa
usuuRldNfJ9a4IZ7QkA9Plglae7d4phK+C9oO80gcUn3Bbhot1ksZUdNxhSHRnNDHZJ9POLET2KU
QF4WsFTD+1qzoUxwVcii2n0e9K64lIXRAB0CEQzJ6eMJ3jn9BFD4bGSnLYvAb7Ujc6nSe9vGPtSZ
iwBOjXKwEdrtq7noTvncUXX47/GId2ybxeZD2IRtEfo6eTFZiU4uXEn9cXaHAxJPJpBVO/aToohP
ldDbd60IkZyswuT18ch3HhFLQLuKaeUN4f26nmubaQhk1XHik+iGiz9CA8oAHeJmH98+jq3jAxt0
4gnc4OtxhAlcX0OtxE+FM3kdfZB7bU633og7d0km13ClsF5ktVY7B+BajL2bpn7nGKX9PlLIWBxH
4Eif9VCn9jihHYm+RDkFGxuo3XkhuLrUk2xDJ/WyvhMjohasnE3Pq8BNDgr1O0rLGa278DiZVgiX
2AwBVGQP8MvAV7DPjdF+ebzE9w4RT4Rqkf/BsdRX13IBteN2Rpn46Ehl5Pj08tzBj3yIHE055C3t
rTRSGftQX8bzm0eWJ5eKGrV/6f5cb25TGWJulCDxK0s0x3SEDnQGcv5umhLr14QkIGIcYUn7iaur
1cbbfPMsuuCKyaCrVPMcmWu8Hht8dxg7/aL7Fl1v+5J/9XHRA+gDEzXfiIJuThdCU5QMNWp1FAqE
ujpdJsCLoq1V3UdhW6dlDlUtSvbuHhV02PErncZ5uCPe6lbi7MhRccAA4ZPtuJ5fk4Gpn1Vh+xl8
H09EQzBfocW0K5YuPncUKDbW8/ZhJAwiHuENpnhLKl2uwh++jm7nnUyemFh38P20MqLnniT/1RbS
BekM1r6Ic2ZfFRC+RzRl0Jqon8oJnpvHh+rOaoNys8ktUbgQGOLr7zCsJDWCMDD8tqvdc9sBv4RC
ojgYjS2khrf6paCVbGP2N3eIyQtcTQPnRyWTszKHcQCN5qQGws/axIpA2PYLiJYRt3rn4mH7kCLC
YG2buX1pwJdu7PWds+ySIyBjQ9iLm7m6wdA8l7mrR4bv0OX1S9K9n7thgJ8dqC00Jo/X9+aVY6oU
L6k+E2bbJGdW66tqDc9JYvqmvtTJX9DXQVsDu3f5AkorhTwjbOk+eDzmvT2VFSFNFtkMcz3BReGR
ycMBtw6ROFpU6uQYKKX73kGP5RxKLjogsnlyeDzqvWX9nUkwQbNiJVaBEsJFFWiOzvBnNRcqdFkt
ikhJGJCq1SKQtY9Hu7uu8FVyXzm09Mxcr2ue2X2iKIXhGxVmqEN0bE8ZXzvF0fxDwLboPx7u3uQI
CyjKklqjhil//+O69nS4xbBTCZgk5nzf6SiSwWKsHAu4CzYikHuXg1yvwEGxCcLWEW6t1eNiUGOm
5TAw9gadDbAtF8mpsAuB7NrcvKpLPx9IbsLc+HiWvwuUVxGYTM44mELiMLxOdTXNBmKEUIeowRcw
w+cOeOelKvdQ5kwNqn1A1GmNmVsMEacWYWWEmw0ubp0s8UVfkjaGkT2gn3/H/5tA4gkP4KyelgJG
ilfwFoG+ARC4dwhsWBYwpWRgYYm83pWgC4KwiWkSXhxgiQNwUHg07PxSJAQ3qDEpG+tz48axPDg+
1BaBI9u459fjLcDyq3oOYT/Pu+5fNDzR+DKDfMPDuHfWHIqJlBRNl6BrbZI7Z6pVtTH8rqy7z2hA
5U9dB/1U3C7GhiG+HYpcFFk4DNPvIuZqv5FOMGFWSm084kHdB1GnH/vagIw6HsSG1ZWG7vpoMZTg
5uA04u2vCzxNaCYYhtb2EcjQAX23ytHW4+4rkPEBfUDdOYKtDw6zqPoDgmrNxtbd2kSGJ60igyoK
tu5q6wQsTDBSFK4/R87yLquM57SCiZe0W7DLBEBEPYJf4PF1ur3JjAnWyOaM4o+vg1/YIotwmCWb
Bem7T+oywbNmjwI1Trt4MUs0tttxoDG7VH4+Hvj2nEpHjTdd0wBbaM7qfW2dsapr8EGoxOeW8VwZ
LQzu8DnX6dfHA907PzKul1EcQervGPYPszhA9lXPAnsRjcPo60AR38VW9NqoLO3jke4dH5bRkJlc
FcjK6tFOo06NZz10/CpqFDBtVof2aNwkT9o4wmmXFvXwMc3s/NvYq8kvEhHiraEVXrP0WEjVWDqZ
89WtJBtQKUo+Wz6UUsv7AP5ClJaIo99uYwgQ8UUdbgruwhqnNiS2odgwKviJsTRI7JqAkC4pKcc3
WxnG4f0knNBNDNrqjJDSXZylsi0fB9v5bhtL8URzUUPkqP77eOturTTuAB2aOlBAavXOygWyjQid
c+6lz9uhHANVy0/UMs2vCy0Y0i0qNnbqzrXT8C4xNJYtbiM0Kj4SJo6loYE8/waNUnIwyKruqc71
3+jQyM+QDfYHoGVbVag714EkJcUwapRAMdbhdxkjQIh0mu1HbkE3lkKZa+6y9NCPTnx++6KSobSI
j0ggGuvtixJl+N1+6dNCTD0rdJUZQuoB8KkxQL+iIGX4eMA7BpRpOQAneWzhaVs9Fa4CT1VVJdgU
LYTheTC93kTv1I2FCf0JmsmTPmwMee/gUFgnF0yRkZhzdXCITMYaljbhuwPM3yE42idDp4VBtUsD
2pnU3bAx97YP1APpdwv/lYfx+nmHp3tRZ1ELn8opgANgGFCSLcikjM7Px4t5x0BTqCWcpmCJv6Wu
jUk3T3WlDsJfStP9Sxui4eCYU7lxxe9dBHg/TFJProQN6NfzsUBqlfQt4bQq2Wvt5spXBAqKQziU
ZEbMVm/30EN+L61m2vCW75wVXdpoB0/ZMB1zZazh1E9RDcQ510D/FjuaYa2vben+pWsgrY2J7ohG
xn2P1/TOadFJG/AISYwvgKjr2UIkYUfVkBLWkRo7d2EaHgy3DL70EJQcajo04w2X4t6AUCOqlu6y
j5B3Xg8IUwFt3CNR7NC1BhLm8eDphR54qCVlJ9dsXx/P7waPQTWG9CDwGGq2mJg1zktNmtmM3V74
0Px0ezNMoLuBquMQjyPNCRP+wG6IBeQbgwFZZjk0z6Vs9Rm5y9A8RO24seB3nmSdDAbVIh4s0jWr
XbYhNczKvhI+etS0sIsmkqomLaqizehWp5Y+hgsq9NmnIKvNd/CjqVtVszsXFoAK2RpCAMcQa7Cf
ESxOEPeNjj7PGJxjqur+VDftMarLcGOyd440PivPpaw8gjqTv//h6cAlKEzYE3U/yR31iVYTaFr7
3vpaEvv8mu1kfu7EoJ4fb/mdFQZiR7mCeBCjK1Yr3LmmPdiTafiFCrswNOduvyBWAZ8LQZcbUAOG
ZPAl7Dqt2kMYbz/Zxhj1GzM3mNnKcec1BdljUhKT5fvrmcNDmUDjR9ADWjP8FrdSAXyI9OXttwkk
jUlaVZbrVX31vpTZCCdfqRH2BjY1DPjjzmWFtrya0pcnCiq+j9f23tlxMb7AVvArHXP1uKDCPKJp
S+2rUbT830kxLD8wGuWlpAFh4x27M5Qs+OsyosdarB0g+PxCpTEyw1dJjO9hfp1Q0+wgdQ71CEL1
x/O6Y5XwPcDjyLBD4Bpcb5ebJssgKh7NHLj6F3cgktvRBYj0k0BYAu1Z1wk2hrwzP9K1xFVcQp60
dSWHvpiE18zRfTq41HdNaVZkE1v4/Cy4Th/P7s6NIHGHrZHeMVjr1ZPWxijNBUmA9pQmsTom/Bsj
zo9Gf2W80OgthumbIkbrNMJsQFg5m58ef8AdO0CnnEP+kNtAHWIVR85xZhdxUNFgCcRboUleSDAc
BDiQb+iTBlcRCJ50T3uWU2/ckDs5Y6wtjU5ArwmESNFcby2dzHVbl1GGF2TaM82CAdRzqoUk1II+
OIpiigNjXxylL6OuJXsq2frRWSLnl9HZ1vHxOtyxChZARGgiuaskkFcbkU6KSiStpk8AFLRfnIx8
X2WJ+fHxKHc8mKtRxPWMB1iJeij70ydTTYKD7k4GWiRhsOucvPxKneTTEleN38fFFqj73jbzsNjc
JGppWL3rgY0CaKdL6/rTSGOY8TQ3kDl8cUNT+0zpN/veTSrEgLaW2dOGz3bnLtGLgRtDDlUWDOXv
f7wzSafoFlSVyRNEEM3FKVr9nCQaQhphvPV+31bTXAJZHF1cChvL66z2sBv5TSC/8WQ3mYHCC/04
SAnFeY7oRl/1XeUhKdgHpxDtSsSGp4Jn/lLXtB0v6FnTV3R6vNu3pgskJeUlWRTgTK29YpyedAnm
PH9KcPtrdEubOd6zRNrHuTLH931XbPX63K62IIjCWNKuAa59jfagNyo0VSVBJzea8nORqfGxNvP2
AOA/25jc7YkSgPq4KxKAhnO8OlHoxnZIH9Hcllh1+yPS4gJuT64ovD5FR+d5pOcHdXbhUXy8qHem
KAGFvODkEoAWrd6Dwar6BHHbwIe0CspUUl35M5JURbmv0hTgw+PRbi+szM6YRGtguG3s5PXxFXSu
ooUC3haqW+clgxbtGFQ9AjYoj8OnO/d9t9criVwnxR38fDz47VRlvZDiLPO1dZyI68FL2jzsEVFM
34xzsnpZP0vuz+wlC+N6w3u4NX8ysAFJQEZRIoVWnhkAKVjsEAnyu6AmZ2pm+nkEvnJ884Qk/AOj
jwuo88ReT2i0dfh80VT3Z8TfP4wVhG5U+N3jgEzl28+JafKiqWRpbNnisVo8O7azCrTT7EMyVJyi
JYeTGhZwGpXTrfLfnX0iZpL4ee4Rj+jqSCZjoSAjIAZ/7u34B9pf2YciUbKDsizJxnm8PxSkeo4l
i+bOagVRCKlU2K4GaDrL6QOUIsVFL43iCL34Fg5ak2f72lEm0hak7FRZWNTXIA9ae9VotILBr7uu
t2CyNAdkTqfgc2nU5je1CbRzGIFq2zU5SQwr5Ek5VLk+XvQMMRqsaoVULaK8j8/QrVE1aeOQSBvc
avummuC0A5KGbj7ChzDmZ1hnm2OduujDuA4mAK7v4+Pxbu0cLwkhIS4aI+KJXJ/ZvEGrTk9Q4ILs
AFoNfQ6Pdh+kfgSZDEwc0xmKUMN7POadOUpnUHZASUturhyjHphHkcHP6QvYfP9WADV/neoIAk3o
IE5ai3je4/HunCq8ApdeXlpFZU/G9Rw7d4JbJ497v4U02i8gR/ZI6S8X22618/8wFJB2QBGE2Tdt
JmNWVTXoug7x3qx+6cww8IQSoguqBsP/MBRmRqbxASOSvLmeFYrgPcxXSedPQ9x+cBTNPePral/I
cTgbC3jnkNjknYEQkZuy6cu+HiqGZaNSa5tZ1RP080rjXkYbhVc7Ssbnpp4hq1rKrWj6jr9Drs0i
WUE2kaYNazXB0G0bx87Vxi/HBSzLAcKTgIuoIl3zY2k02hiHOuh0tFUjjUwGdMaS5Vxkwb/ws1Tt
h8c7e+fQ4nzxMIPoscjryN//8PT6PkN8uSkBg8P2O3/sED+IvKKp4aQjylEgRO2NINs/HvTOyQX1
SeO07F7joq4W3m5nMg2L0fq2yKfzjBjYKYYL5mIo8Cc9Hure/OQ6E4e6uJf2Km8wIrUYqdrcUMhA
prRY4uBYaEXhdRFklRGiaxvj3boeZBpp8ZWlKFk3Xz3Jej8QOEZm47sYABj66XSfkc+4VEX5Edmj
+NJKBTFoftqNe3N3ongDvM9cmhu4BaSFxaygGexPrRl/4TiNH+g4MUEspxn0ilVzfLywd+JAUtTy
8uD7Um5Y++0J3kZVdxXFEzqzgJolKfrpGSJn+3nsoJtpGwRLwjl2oJjMl4mQKQ//SRsl/c4ntRu2
9/ZEcaNoNwLQQ3M3iZTrYxzNkJxDS7OQeavHkI0dlhd3SOv5rLZauXWobjdZ3l8MBp4XQeW6ijxE
TTIbWa36Wl1asGSkcMMf6C8SrzOM4l9cCwJuxLCS9ND0abXRW3xrtagL/K5hy7IubXHXUwXNpM1Q
LKk+RZJ6b7dJ9V0bm/hXWSiwy7hSwdjsEufH4+2+s8Dg0XGpeUx1nOuV1UqSmk8ZEQsONcjljKRz
3he53h6csM03TvK9oWj5lK4tI9FLfD1BpzXryDBJT41lKr4X9jR7kKdAQqhCwvd4VjLcuXaW4Afh
0BAjOHSsrRM5IU+l5Nmf/RD88YliqgmRc2FeMgCGF6R4gQO0intRkmqCbaIqjo+HvzNTGzVXtpMX
wSR9vJoptLy5bDT13RwC+pZgZDeiVbKDXa7fcEFvzQPgbWCvgpQ9rXlr56RVFYELmtb+YEAtA8MR
9IKoNp1yJJPQsWri0+Op3RuPplSJ6oD2gAD+emoNWSBUq6fKR5zF0I96MWr2OYQz+q+84iI/NVyX
cuMtu7Oc4Ay4k6AcAARb+vWYIGHRBYzQpAwb0cEll5lF+6GDLe9n5TZj9sbWW4cuaLwuYeDTyyux
Gq1DJFFForvwc3es8vNSq25+EhII9twVdantSzK+G2bu3qqCx5L1Vknu8Nu3+OO1JidYDZlDFjpF
H+4A6X+KqmKMXJdV/Vso7hbc4f5wjsSqyAd0fT61SUoQuUHuN7Von62lrU7dpOc0YdX5eVTaLQ6B
m24DWJctQxKeSGy8SbfG9Q72hTvYSBsvHloyoe5ehgZ3NN05SJhkJ1hgG+fJIVmtvhYGDE/kf5yu
QiW8WWCH/tYjE6C9jIvjoHJt6bHyTYEXqjqJAdbeo6LSgXtu6S4Im304uYhiR0GTZB+0PrEhli9l
e8B3xwVY9qlFABj6tziCPO7xtZA++Z8Ghxod2C0J3aBi5+B2Xk8wFSiwTtYceKoK6ijhxd5H1px/
fTzK2qyxjESZLCWZQ5AVxsoJUcuyiGgFFx7qXe1wqWZ4d/e5aCy4vXtYcItQo7MvN51DBBDhODrT
uGHZ1ieHL8Dn4g82iydKrDZS66FFtibH8GYtK0O0BgTiqMgmR2H/knRq1hc7WWRUNyzAjVOC6cDC
Ycsp1tuEnHJl/rggTY208pKHuocaU0cyvJ6K8UtjNmN4okpRjB+WMR2dU6C4QXCqIF9Bhyyr0vB5
rKhRHCOI/uMNeOCNw8834W4JiW+mp4yWj+tvikIrBGVczV5W1eauDMPmaaIyvTdpOtqjFYl0EJ3C
eweRLnKgaXiu0KvbygvcbohEeZMU4/ARqa0LTRr+kRIDMPZGzsvRdhgQhfjJt+3up4pC9YaHv/aQ
5JxlToVTToaFjVzN2ZhRjMr1wYuscWo+pLmb0dsVzfDSnCCIjmI0EBugs9EeCb14pmSMwsTGYVg/
B3wDUDvyO5qKvcQhv/4G2P9jBEmMwUNvUP/PWubsa9ZE2UvTRlsYkdtrTREIm4X3zTN7Q4uwIJuo
tqPZQzVY2Ah31O3RIoo9Pb7Wd/YQo0h8gRdGFLFO3rq5WYBkGAdvGKr5ucloj4b3A52fbFJ3DhyB
Gz7DnU2UHDa4KP+fz1htopvQ51poS+8Jdm/8MqQl0UyfC3q5kI7MrcynQVAPkJtEjXoXZp2hfnw8
47Wvi7kkusAR5D5zbNfgBqtKbbjbw9bjkCXoPSRGMWcnmhNpvklrG/6wQol7dEVzgTD7FjXVrRnl
FaLQrlH94RCtjYkRuzEI4nDy8tFIfNRgen8Zkb6dOkR0WiWLDnGptO+aIhEnocXKhh98Z3jeCurC
MgsCW5w8dH/aMoSMS93oA4DXcPvvwranIW5R9QDJIbUxozOUXOFIchlQ+NGeUt0AQ5qHnx9vwe0h
AG1IkwjuhkHD87pdLbLLYpLpXm+xA7pDuW2AsAfqTkuUBj8QDQwPaZj1LqxdVrfVq3574unyIaAh
hwe2BeD79RLAzVdBdbO43jRo6AWpZv4uqZ38w6BB/Vg7jPp4snfGo/wv15ohKZCsTzx0t0OUTLbX
pjViy6UQA+qnDa1sbaUQArRhveFF3uBpSHIxO4nLlZ1cAIeup6hVIg8CzKInOjIxH1BhX0riD3Wm
TG7XgYDGso5KahngaeIY73mOgSZPzdB8IN61HEhpob6A8CMJoo1I895quJTlLNncAFx5fQAzaAKo
2bMa6FL4Sjh9gUK8PgaDmj7nlRK/2WcwKJhYtOmBbQUQsfKNxiKxO4ShTC+cknwXdfSGlOFsHbVQ
m3azSg/q482+vV/A3shgEMvThYkLf73yk8G6IlgT+n2JvsFuqXSkSumO135YZVC8qwfTQv5rNoZX
aOERLHLRMCkuj7/h1sBh3BgfKDrwVPzC62/ILerKgWiBa01aeelbFOXTOMpQbiBjUoTQHmbYpzdW
dzlyVHclkAggM6WC1a3CEWo5/hA5o0Ku6LR00AN0NsuhRyUxa9234lH/fzjIJxmWUHeNw8spsZGg
GEMfRj/3kFOxPbulXZygF9ji2Lh98uFA4qA6ZOFlGWk1M61KK2SOdIVEuNJ6gL2UXZFb6bcFH3vD
Ot9x67DLoCbpxwN/QBx4vXVVIBAY1XrU3ExzOYkUhc/CCpddpcEp3oyjsU8m6FLhmUNznWYk1Hnd
6PT4+NyZL4EE8zRx8slErdzdIFNCtRpc1+v6vjyNo/nRmZfkXQAg5fB4pDu2gDwJb7EkvcAgr8xU
nLnmYsJu4w2sx9nJC7XaNQLBhH0xZM0+C3N6iR8PeTs5OH1wV8kFE9Ezv+sFjhcDwv5RgVJt0vRn
ABAmbfpafaGprNvgm7izmTKbR85JVs5kEed6LD0ccy1EXMFbqna2j3Xdqr/Ij2h/W0OKXkqSZx1E
KVat7pa5V58XQ0n+QiTQ2DBJvw/NdXxIlIm7RalFcrOoq7RJkneFO8J0jCZKTG+ZVBhXSh/icNv6
sqAZMcH+H+SwiEsKmXPnGrXyaUK1pH5njmpa/xfUymz6Vjwr1qcRNVMEZpo2Fz/spLdC5HNGEfFW
BH2ce5M+V/3J1cYCFuW4QWxol+g6wptoBKLEu0M/J16+ofwTqa+RixxBddaauo1OppEOIOjpbtC/
qWi7/YQTCzFEBypv+5iNSZh+cIoyR2cPoowtvsnbc0iXAC6RDYsO8cx6gapy6QQd5bU3VYqDnDzs
4qFhK74Lih/cRvb18Rm8tc+QGksTSWVE8ESv9qMQpc6ys1pxWwVntOc/LWM3XSiS5Kd2BtyrTsG0
4YTcnnvcXlpmOPH8TVPs9VlUFAMJbCuF2RWFx0PcUGJTC9PaqTSeHN86PbBT+Fd0koFrIZt1PRRi
l3kRKXnmTfWsfzUQtAgPXeq00z6w9X46V8MEYHlpsKYbI9+6ldI889ADKSVvv0ay5m6YNw06Gp4F
LdBEo3qoAkVRQjRdqCOnJ8eIEZSsB6RdFyzc6c3zpv8cbgLKmSzzOpIKFVE3pNkmzxxyAVm3Yx8J
iycgDTNSLJmzfCxk2/fjQe/sq0t1giobeVj+Xi12D266LQUy1bY+RfVlKOgbvKh6GcGX3b790SWd
zeNOepI6OLm7652NQwQhZq0dPLVWzaPVoiSOe+PulkRs5Xpu7ghvILAem3sJ8ADYzfVQNjzO81RG
nVcBvERiM6uPCACOL1Ooan6RZCkyq+kWwPRmMSUaRSYyqCMC71/7pjY5O4PiXut1QQgT/hLX5otd
z24FqVoVvj7euRtPEdol+lGBLoEulaiC6xnGc5IsDVotXt+O7hFR2fQlHyt3F8JbdpxpXTzMKb6j
0xdSw7s2Nt7e29dJRmBALmkTNzisv3//IxJMYzBSKCDVXiloj4ck3z0bxZjBQb000Xs6xrL9TAnK
4AvQGz8gVVzrKI0kW+ix20WXW01On1KCrLOtXuTULRFYdrTGyxcB9UTXm4ghoBO+y+C5/fJ4zeUB
vXoJJfDQJUNKhZwYZI2q700d9s2yazxzFsBaC9Q0kx0kfiliq1iWkxHVgbZxQ++NCcAcP4f6GsHI
yp0KDWg1Giuovbo1q+hS5Vo0vVqNgt51SY7jk22nw1trQIQ7RIA4rSZJW4g8V2sa2NmkpL1Zk6Xq
y18W/VR7awmt17mH2OPxkt5mRxmLh5ODjGclo6zrc1wlcWCZeU8rNzuc9BRqqyIL91nTteQflWDW
LiLS3fzoVJX7aqplZR6jNNbbTwrKpkGya0VddqfHX3Vn0XErAWEBgSdluOYcg8Gl6xC9zr0Eqbe/
wCcO3wn0I2UHhm84k/MP27dvMxlZwkxKuLLyttrmqlhMWylF7vVZXrcUqictPkTotS3fAyM1vooO
IckND/N3x+TqPHOmaDumg4Ijvb47ajqK2KQE4S1ZneX2buHixNXeRMNwhjJFliD0KKvmyBcC9aKP
llUk46k2yfS8zLUOh05nzmP5U0N3R+wrU+vC39qLCXo/vUU6BKpL1e2PY+S6ENGhCjaau6hCxOyL
ak9Tc6kXq+o2gqA7eyepcvEhqGXASCCfhj8MU1SK1i6mOgOiW8aXQjH1S6o001GvzNfKiZKNVLoM
qVZrSO7ToA2EfQO+urLDVZ6XWhUnradS6vPTqWufCnveqtGY8hqshqHVDxwFTxov9ZogsYlcqKuW
evQQYhlsj5RAAcexiuDIqXZs6t2BArDfOkwKuglfauhUNT/EV4NjWiDO+i1dEB/5QL5wDL6OWuRG
7xMDRbj5YLqFoBaq9CHqfyl++R7h26lCpg0pTcszxwmbTm+oA0/8XGfiaMZp0J2B3FPjcyV5+a5o
ipquQNAH+iWujEFDILqyzV26ZLP9EdZbFT6eIHOX712Jei26mAh9/VMomhod80A3qpfI1eL4mFG1
Gfdxi07QIXPqZfqaGQYEM7GuD/+hSJHPL0uhdf1TNkeKgMVWRIsW7+aoKBS/cWs4hnaaDq9GugPi
Ybov8CAGzn4yZoSJHhuIG1cRgjigAPQHk5mAwWSVI9FbRZUspMwXleH8HwWB9tY+5o4zJt27ajKT
UFIOZerLkuR5y0tox1AwPP6GOy8fHbWYC447cc06FgVawzoQ93gdfL/Tpa30CQXxMIqzPT087a/H
o93MWKKWyZbISr0kplmdc9rYIT+jfA4BppWU86nUR0Oq6gFLR+lvitNfXR0mvXZQoiavDlShtfq/
x59wZ8LgxJkp7dIWwY/8/Y+brYxNBj56rsluTMVfgh6PvxqkcBBjRfDlfxgKiCbNQrgVVC6vh3KL
3J6tuGg8xGvLYNgjy2ZXhxjhuPbvqUl6461FBRroCPHBC0m+Q2udJBr7OqkyGpc9VOra57xBpI6W
Wy/Tmv4ZLVjonVLd3DD/tz6yxOVwfKTxx7KsdtRIID1CLAu12mYu+oPed3qztxQjfx3CVtk3Vonc
PEJjP964tLKZTXKD87CSUr3lsrQsKsC2BbKuMJ5t1Lj9mOorOpvdlnNx8xT8HsrGSaX0CiP+6ilo
kihoofGwLm2k1D+M1l2aI/Kf6Qc974SXi2XYMAt3B+TlkTz04EvW5T1RRi1VA8W6WMbyTwAj9/OI
ithBc5Z/c12NXx+v5K0PDpyaV4eEKXtIhka+TX9cCARzFmQvbeNSqkr6UetN9ZvR49Eck7SwIHQs
ihL95mTsAk9X7E7bqQE8WQckcfXj40+5uZoS6Q+CAAZN3CZoyq6/xO1bKnEx6qvj0tJzLyL1rJtt
cR6A1HhvHsqUXV6yrClP7upqooSLtj20kpeJ4lxJgijKhPUZ4Wlb/6FDW918eDzejeEjtSN5f2Qj
ENoGzuoQJRQ/50lV+rOVWOOxza3on7lDW4osU3OOjIq+bacLnwyjijdiLP3Gt+DkojIAlodcLhwD
q6GzYnEa+G26c2S3UEBiN0h8jOgwKyKojgi8VQe6XeH30ezuFFUaCpp1QAUwQ4wRqZzYs/oSdTkD
MlHq7PkBPjzIw/Kq9DIInwnN3BoJ1KE3P5rVGHrqiPJhFjT6i6El9oa1ubkaci7IXdF+TjWaaOb6
hMSAPkIDEcQzq2U9RXVde1mpJvsEdYgTMmfxxjG5aTrABYLowuHVkl2RZJOuB8QdsIqxStpzaBhR
dZqLMqIiLII+g+JyWWo9/DxB4tn7jR2k4fse9H2GrwA25J2Deof6xZ0iRzkjtkmybafAp2RsxXa/
3YQrr84ivCLZIxkBqC+Zq2ujwB1sdlPfnFv0G3ytnfVd00TNrq1j1N7x1n4UJIGP6jKK56kMCDNh
fTh0NQy/eZUkZ61XnYNmhChURVHyEVlu49SaZn1olzL1oPtP36FJiDQoFMqvblfpp7Q20wNpV+1S
Ra21MxFbPYGAUC6ICM8b51fGLDezw8CzB0Q0pAlWO6A5cAiVSnPOQ7s40G2VvfutIl5WjX4I0r57
nhyzOqhd373Dl4o2TsCNTZKLS8KJdlgq5jdveNpohaZMUXvOyxn8aR0756ipl/1gia1I6tZGgDSl
KiBwGAgG1tzQGi1/U2WJxKtz1W2Gg5YmdnAazWZKTmIpg/LF0a1EfA/CqFhA1JMA3EpC37zmNtQj
vDncLbwI/nu92LGZjmpG2d+r02x6isKy3aMm2j6bY177rcVFV7pl+T/Ozqs5biTb81/lRr9jLrzZ
uDMPQFkWi6IorxeEuqWG9x6ffn9Jze6wUIzCcmdiTAclHmQikXnynL853N4bXw3KgEGQiW1/iUYY
EI2tbTNIjk6ttn3kwas1Yk+T2zBk9VXz/FeiqlmceHmi182aAPnVC0YLiNUl2iNAgJGnvBzyNNSl
Wiiyf5AG5MA6A3uTrLeSLZWmZGUpX4eilkgPj63EFCSmxVIOuc6YUTY5h6Ix0wNFRPU9ghoW0Ido
3N6e06uNUlCROEkFwMSwEFS5HFUw4YosW75z4HGabYBa/cHuVfM0q9PnOlGTlfbOa+HQbaCHRmYi
w1G8DJeMBR5MITSTlHLqVhZyQCl6agcpxDpLKq010Nczg+XFrgADgVYWTTRyeP4FHOsyINQ32de1
QbrXRx1NTb8qquE+w5Em2YVdb1cUEDMryFwKakHt1pZc5l/xAB7kfYJrpHmyB11GVBYDE/RlYxoI
O5LYbv5Wci39m0sl1q3xbABgnrnAxlvdTMxpbwANmJsNflTJ/TgksrlTxjIJXQdDgMrz23GcMMOa
/VF6cCAzPyJSoneHeILD6KHKTc9D90E5HKy4NMbNDEo52Eetb2VcwjNl1tZAH4sNBZYhUA/RbQOQ
KWBGi4OhN7Cip/YT3Mup5u/ruv7ct4b5UfNHy7N0OHRxbwHTnPq1ytfiixbSTIC5ABSgo4KW8FIh
U+EO+VxZRq0sQFdDVn7AuJEgxrXqUQn14SC0PXa3V/wrMdHkZI/WxMIHIne5IjBQjkpjtqv7MbDN
QxAhX5B3pX2qY31CvztINqDJVuvGYgov1iF1TTYPpCAo8CG/t5jibhAO1Kk+n8qmAq9LD0976nt7
VjHvadOCVpoyhT+L2h++Vomk4bRcNKnuISFuPgX4HiPqEMO996rKbBp3Qjf0Qa+qvN75WWhZ56AM
7M/GXKvBlyLOpLRlOwaghnB6Gmp4l2fhVD0WLfNRuk6A5/ID0lltvOmn1rI/yjjw5ptKLtryvWaX
s/K5Hoo+u7ewFEuorPhTUnh5Cr4aCfPZ6ViOQkI+QCawxtEC04cBJOUTBT40PDy5MkswO1bpjNVG
CZq83nS4Ep2aBlLbjrpg8qUvkatzaZ4PR4TpZ3kbcXa+G7ux/5lg8farmA1zrd+22HqQmSWDF+sM
jPjzu7h87w7tkmaEnHoqu3p6Msq5+NqqXX0yNdqZjhCzu73OFps45xN9GXGZF1JdcN0W6yzTUAJS
xzJ+KBo52BV6nJ7mOYTkUKO+9sZQdOr4ipAv5t5JLX2R7c6JX+Wwaf37ipvgB7keYc2ZYfstHcc1
VsNzMfrlQgbrgVgB65iPCEX8ZfLRksfJqDKUJ1mvWgfsQ+6nez8cladOb0v5CVUV6+vQ2GoAra1U
lF0ZS7m8QUIzKzbRpJeJW8+FrT3E4WDtShnCm0uObKm71szs5KBNRZWsfPJX+5tAUaDkx9cON+KK
8z8HBfXfqtdOVaFP38AQlHd9r2H9LmvplmqIup3U/IcU1+VKYUdM/MvJ4sYoaBgUHyCIgSJbvJg8
acxsyPnqQa/0pwGb3/PQmtXK8BaZr7C8ogqALDivHmu6ZWbCeWSGRZgPp8Su+m2mF/PGmqU/qzLN
DkpptI9BF0W7KZohWVplvLL4rr8rAezmWsEqF+CmRWEnnnCrdWa1P+nDPCHGgW+01ye2sUdvNtjl
dWGulSJfG6+QChI2oqLbKp7oRSFinPK5kHLyTtzgMSdX7QGEjJaOkETRuwyqVG7cMWund3KAo08/
OWvr6erTRltHpKGUrGj3Xn0DkoK8Pqwv5dQYc7+REtN0uZj83c7OGov7laHSVuCbRuKGmEugWguT
McnTrj2FUlBhfUHjQ8a+eTP1UF0SgJo7Re7rh3y0vjmjuXZjfC6zLtav2Ddh2cGjl9HNuJzpplD8
dmrj9lQ5df65Ckap2oK8Dv0PmoZrggsKRP/TUuY6dvtW7wu3dTrdQe5U9TVXHMDKx4AOU3+ourav
NnpnJHd2rUpfOFmcYpu1AlDstJiEmUoU+ACqaswyLBzK6QVRaY+3VtZ3f+q5KSceQjfFe6RF1WQn
69NUojHc1dneHEPF9Lp29N/YYWfkrGYSfgwRBZn9ikQiK6OhVLV8MvBL22cIdbq95fcPtAYG9/YO
fv0RgcQUXD/hqAfdaLFR1E2vGBOF7VNh9X/nFTdpfwj0ZzZ77BqlXPx1O95VEsT2jVQe3yxYfRRu
FpcZH8zcgDku8o2pqv894vez7ezBCXZGpJ2tLsg/qeUcrdQrl461Yilx/gJopiZLE31ZQbQmzY/q
wtFPBpLKmzLXg6OTZD+x1wFThZGSZ7RVdlZKRRo8S4gBz/NkuQDAy++5PdjvazWd91oZrqmILEub
zw/GuYYDEOmBgcba5TrP6AoXUylpJz2wx7uYFN8tVAS/BzOJPg5KNXzhyv1om7XxLiRFvPcjw/h0
+41c7ymcUHT5AXKgK8j0XD4C8xCnuK+bJ7/q5m2I7csx6AZ7G4zRvHJevPLywXE8A38RzuL1X4YK
jN7WA4XLjeYnlHsQ9Dx0+hh7VYkShoz6/ndbwjj29viuVzjgGMD81Meo/5PxXwYtnHBwZna5U+Yo
NaKvyo9p8qMHHab0YYpibaUA+MoYYZmJWgxKb9cNpBp2mT9CkECy24hPjd/rbgTaCG25tNrNnfEz
d/i+3jZEUiNSfOhtaAUyv0uvdzVDS8CcIDdF/PL4fd4ltrJpYDL9WYZhWT7CVTDe2HQQVq0AUkhq
hAYYoAaxrF6chbM9Gn1vTtUpSvr0T1xQ7Gwj1W15duK4a3aO30/f3zpKTj4Bn5DZrITI7mVEa5Sa
dBp9rCT7qjirzSwf6FDUX9CV7NBi1NbE5Z/Zzi8PITFEbqUUCzAsRJJr8XEmmV0p1PubE3+ooDCu
6W2GXvEgfdekWC9d+IyQ+4rYGh+rJDF0V0Iq0dnXmTV8slM1SJBWwK3u0NpAC2CnI8lWTZ3yhZNN
eSPrS7wOECaIZ6HiBb5t2TQkx+3VIsP5MwBQH3DVV6J2E9gwHI5Fjf+Wa6JM+smcS8kb1G7+8uZX
A4ieijdABK45y8TINnLKYGxXJ8kKBmU7tlLcb5yudMLzOBTyNsYW3X/zokfSljs8AVkXAPsul4Mw
3c58y8DAbEqLz+PA3SrSevN7FKm+7Ea21DzdHuRyoyRrsNB8E2BUUc1epkSNbpIoqNJ0EpTcQ0qj
f1c7oDa7tJn3t0Mt9ywR6tlhCR0rwFBLiF3pO2qDTsl4GkpF21a6XnjF5Mj7IA/+mil/ruxZr42M
LA/yHHB20fG/nEoBJRk0GPGnHLHN0Ksh4nebIdTb70YZvVXo06KFJsYH4lvgClDsuYzWO1Ok2yC8
9+k4D3gAZF8GCMKbHim/+6Tv9JXDf5nJEo5PQ/At0HxHFHwRjvQPN9W+qvdDJ9UPQROHYIjlakeW
kNOWwWlnNCmuKrme7i3Hn9zbr/L5XvpyFxHxAUxDMaKCjCXvYqO0ydwGwLXVvlCGEO5trDnZQ9vZ
TuuCM0thjqlRuR9LDDXdIM81Wn0SUkaHDO7TB0FOC1G5LPPErcrMho3TqMN7W0nsL5VUN6rro/j6
QW4cKffyTBppbUNJtD2Ms9NtEKNtCnKvGn8MRTZtpwAlQS+0yuzT7UFezjEaNkKOEp1uMDsoYJHK
XL7SXElb1abPtZtGMzn4aqbeTdIQbzXKOe1mkKQS6bco3+eTUX4LEnlNm3wBr/v9ABS3nvtgJJZL
NXTLqJwgAVm406hy7HIVjm+szPJTCLZ4gx/zfB5V23jXqll/rJUm2FbgSTexKZUr2cbljf/3g9DB
5G4mWHtUKi5nIqvCTnJmW96ZrU+jn5oYipUBer1d1XR3fqlUj1VnBTvYI/rKpiFS9f8sNHYKUUQl
r6IWLJoUy/vwjA04aIpQ3SeWGXxM/Nm/b7jQrKzny73iOQriQRzE9AfIcp7fxItzP42KWe70Wdub
6eRs+r7Ijsqk1hsn9tdKPpe74L9DkbZxP6ErfWUo5APZKqxQ1/aR1anvIqnl7KqV8ZsfjPZunv21
TPFqaHQGuHOBg4S7jL7X4tJpS33r1NTy9nXfxA9jHP2NmHJ7Hii1eLe/l0XXlqGJUPSxkAtiZ4Lq
erlMFKOZKPt26r5CyfQD51gMCd2aD1qi1RSEQTTLet4f1L6WENOYrUOamzVtUane2toEW95G9vT2
My26tM/PRL4kPBoAHVE9XFwFjYC8Aj9GdV8bbfs4d52/USTbdtFMUPZyG/9MsrDEhbarP/uFYrqB
Edpn2Y6Sj2aOzZQRqv6utmNzV+UwZLFsNY6TiRW8asXRg9U65b6S268xdoIHI0TYKhoQtq5hW+77
wM4gNAvrSgQRtrnZVe9vD+5qKaHlShkWqAq5kbAQuZxvP7K13G41dQ/bRqEa2IDXU4d7eMb4FnDe
r+wCl5eA31NJngDoiDuAAI5fhivMeYTcrGn7edJlrtWKeuKIqrwEjuldm1ZJ5MYl++PtQS73HhYV
HwlHHXQA/u9S3iwJ4ZtAX9H2Jd/nXaiAiom10Hctq5w+yFokncJmVo++1Kx1u5b7PyVGmA7wSdhE
BUF+Mb2a4ddgYKfgkHIp2oBd7HdajD0hmlOGa5b996yQ811jWtUh6bQ1Tejrl8uF4LnZRj+RW9Ai
el8aeQ2OLTnMDo7QZWEV28LQwnNik6ehCLZW9V7Eo3UnXBtE/kJFGs7dIqNIRx2pm6CEi6SVqKDs
hkQiN8u4utoOesvjjMoqd4f+cPv1Xoel9kc1iCyGRQVf7nJR1VaEqLNZK4fM1yRMJm3Zw7v9p14N
4y6agzWQ1+KdMkrCURRiqOT2ZPWX4aBVdIGOovUB57N60zhWt02KXvui5VH43ZCc9pCMtrlhpmU3
440fb492sZifw6NUJ+j38INpml2GN/Gj6iY0Dg4pB/tdl1jYiUfSsK/K+F2UtfI2jZJvgi65ux13
8emKuNQoxEbBUSBUXC7jBrkcOU2gK4e08qMvNraXnp4MwSOCa+p+1kiwaDNnKznqq0Eh1QEYhNhK
CnUZVI3Q4bOdTD2MtaHtpMy0EdbhONCbEOI/F7pN1SrZynbxygtGsQWpXC7V8C6WCPIAdLE5Z7p6
CAGz7bFd9N1YUaq9FiPnYHK98hy/aw5+URgbuEDq37cn+no505pQNO7zsNAg9yzGPKA3q0azZRzq
FPpX2hmZp1pDvLdDI3ZnOXybPSHKgHB4WM2od2iiuLrURZkiVUuGKjEPsT3anlnY9kMIaCR35wrR
S+/tg0MKh0oFdkdC9eXyhaJilEtz35mHhDV8wJq5flAHAZEc9OFzxoezvx1vwXH4PTrIhNA5aGyD
Ulws26qYR5K1yDrMVMndKtbm+3IYsg9q4deuWivavg7NfK+mOmZyICP3E4egG3N33fdZO9/Hvto/
NTHu7tyIiketzLPH1oKVQict9LihZpFXy+RGgx8M2dtySvFq6CGhwsD/AgZZcqkpOPda4cfmwVKG
7NHoMsPTFESBqxpJztsTdb2tsG3TjNVlzizoeerli5l7X8kbq8fqu7Djg6PCwVGAvTwOjQnUAcqv
V6SRvYsqpCJvR15kl8+DhDYnwKNgy1kal5HNhlMytAvrgHGL8XV2eAC30io0a3JF+Xg71ivflv4y
lpiFF0l62YcpzuGtdbACBddvC1r8ZHXmnQlrwav13lo5mhZSGiw/QYUXLBS0fiA+LrU3o7nsTJ8u
/4GjqXuSyv4xV7pkozZh+3GonfBn5cQntSuNY49giYtpMw0kUTxpE6laSb6uJhpkOYhvEnhOS/NK
2s/qsb6WoSgfRksyvbjujTuYoefQabQPt6f5OhIcTzJm9BXo07C7XE4zUDf4z+Tux8lBukGKZ2k7
lJZ6jBLVXFm3yzeqCa0KICtMrmiKLTeUzm7nosod5aiaVXbK2/CHZJc/o3TMnpRMnlaOhuXAiMaJ
+8x7RMaM+9flwLrO8qU80vSjKZQp6saJ750cg0hprpXd7TlcHn2EorZKD1mgzmhALZZqX091b40s
jEhuJrecWlOsidnLWl/ZhpP2Z53p1ttuAxwAxKRarot6Ob35xe5sTDFtXL0xjiH6/zuVbuMGH9Pc
i8w62rYz1bbbY1yetCIerTWh4Mn2jGjh5XQ2KRYDObWpY2A31aZDeMaTR8CKG6kzZU8zTemhl5DE
l8fMmeEE9nyvt5/gleVDeIWWIvkxFMtFilxkpdE59mAccXGTdnlfq9u+VdSj7JSVVwVWtXIeid/3
ohbxPMMMF1kVsV6v1DFkP7e6fjSIF1bj+0xuUFjxa6zAbg/rlXVKsQVAPigEYNBLjQA9L1UzocZz
LMbik1wP/T2id9OvPrLstQL7azP4MtRiBk00fss2icxjrNnBqQaG+aRDR/Do1fu7kM/l89uHxj2D
wbGFcZdcfIJUlyD31QO0lYqaVdoW2YPFSbUR3Is3bmNieVJEB5kGPpJoizMxlofctwFOHG2/T2LX
NwPbC+gZWW5v5vlKqvvaK+OcR2WcahWZkfj5i6MpCxpdS+UQ0SXcKPZBqknnTqVUkACCfXMo3K+f
nYzZoMUd5jLUNGmdEdehdVSi7GeaatODHM+VW/rl+OYZpC8gcgq+LXFVWgyq6we7KazOOtJBCN/B
ytewSRmEqCGyJbfXxfV+SSiKUOLEBQ+1LDAmHaw0P9Cso6Z2d2Yq3JntoQUIZwOKs1AB0EJz/nQ7
5vU7c2hRA7bhOqVQXV3sX1M362ptz/6xDWoVJGiO4mepx0dAomvKa89Xncudg1am6NTTxqSts7xc
6/2I9lWqSMfY7AO3ASXwE7+l/r7uhs8pmm9HKTW1HcRlbZOVlaCs1dXeQG52M/mhetcPY3vIx0Q/
qHGjHZU5eazGGcxllQZI2tuaRwex/mpgD+gZ8Bt3ZoqinCSZwdY0YvNnEg/mGTmqZFvq+nCW9ME6
5mM2HvqycTZGjZ31EFtrPnbX26UDzZ5eFskh9/tlLyvz+3FsSIfuSBzMzZTXwaOlJ9pKhW9ZdWRX
JgyIHiHpQ+tlWSXXlCA1Jn0MsGV0sr2Vpo3XzGn/FEnT5A5x1j+UFY0KCz2zp0qPYo98fAi92VTB
1cNx6mgqq9jXv3l1AT4A5UOpQRzI2uVnWphZQ1reSUcwqONdGiItOMW5QZ2sM/6/QrHbCZUBGuaL
77RI6kY3ikk6GhzHDxDckbYG5HQX9Pnb/KapQ5kC1gEGk0YAuPNlhTed2zpBZCW6s/oGrlIsqUcn
bGTXChvpqNlQ9HQdeao3TiVBgdLTYqNyw2G/2PHg/LFxaGN8h7BZs486o9lrdtTvcz1eO+GXLZfn
ARICLWYWLM4Ui03BT4amMPw8uZu0fG63jjYHW80u4glZXRvF2baJR7zf1SRysOKpnR9m00ctF+9s
/gswTv42k73fEy76stxD6C0Cdb5cRpYEvyc0/fhOagvMeEZzPA/q2Hpjk+UrZPirXIBpfhlqkT92
aW9MxmjHyKrZnVuHSr6dQi3csCD+DAL6qLff6gKI8O+hQfygjQgnkH3/cmjOlFG3r5BC7LvC8HKp
KDZBEpZbdZwnqAN5cD8YwGiM3LJ2k6R1kBykGYg0ghFqrOTvHNSFPk5BX6J8w72oKNPgrRk1M2Kx
XSMkwXKH1nP5hL6Vl0qsoTfDCZS9izvjy6gqwbeUmDtHT4s16Ubx+y5OCeIByuALprkrjovLeJjq
BAM+AAkmM32+i/O5fojzDlWW3JJcFBsqyR3UsPJmEsfcHfUmPpkY4a1kuVfnokBhUp0Uyb3QqFm8
FwBZ8IBKO7nrZOCYcwBvEY2AbGfwjb/1CiFCUddX4I1w41w6ztRt0ccF1n93ZZKqD0GWWi4GvvE2
VKzhPPqV6dn4LzyGZiif/ABvsdtL8JUVLxhfnB2iN4TBxuV8j8gIFu1QpXe50o87u5HDuyKWm205
FdMHg47mSrwFMO55yfN+gVtYGlCBK1W4cZj9ucz69K43R41VlQzgVua2cgcHJzX+OzS8GY5B4M1p
p3rFiDoPX8Ka5eLVzY1pB93DYUlRWNSmLsftl7XTAz5O76zRGj+MQNt2AU5td3rafeYnwxdNclLP
nJrIM1scgd56XhFeOD6S8OmimbxYYO1cBZNfzumd3qU+haLGfmjMMroDOLFmBniVV5J4gP4j46KZ
wr8Xocoean4/OtmdVIVsKjA1PvUFnhOSjewf0m+e2kXJmszxVd0IRB74dPrI4GnYNa7AeYoMoFhx
mruxsGxPjpFzbOC4Q44KC+BUOWItGXxDuXPSba9p3R4ZHPs9FHHji9Xrq23Z5bZCFiIcpLjn4Vmj
cEO5fN2jI2U5aovjQdLRGHYrQBqHlLa6x3or0SGZs4eIeThOZa9/o9Ff7cPWlw5v+9YogooKJcQx
GmroBS3WnF3HRjEUcNM6zRkfFGwHXMMqwhO6H+NptKq1wvjyzVNM4jYJhENAt2DoLpIGLJRJvHJD
uXP03NjoMAc2mlqThKmy9JihYoDKcG7ubw9SLKcXGzg5g1CXhDdCJsYevpQQMNDX7XwI3PdhWUkk
7Fb4KLVyjzR9p3tF2xuHscAcRCL1XPmmFsN9jswNinqdqMujybR4x2NAYWiCmKckhnxXBI69x5sQ
yVIrbT/lRo0IPMfcStBFgk9QXiTsbEp3YgtdFipiNENCCi7ZuQErtEl6xd/FQ/3GxqSIwgdFE5Z7
qGDWLVaO0VhN6+RzdkaVpDuEcqu5QTuG57qRZy9RZul4+yUuzr/neNQoEIfmdk1askinM9A+Q2BM
2Tm1rXhjMneHemzxHp/VtR7vMzD8csGwQMEO02bmXCDLuHxtXdg0Dba7+RmWO6LLDRC192mdmlh2
NTrM3wQcVxunewz1IImVTXbEgUD+oMBtPIOHbcAn6Kgaa1RwgtI2P3cF+oYWrHRt42eTsr09M8vz
S0wNuFGV9+HQ54ccdfm4QMxnCWZ7dqZ/olleVMPVVRop2idD+5EbgfbISKuPpV47Z6TPNBcDamUl
b3zl9YCM5NSgL0N2pi92s7wo4zYO7excBLT6aIz7luVmA0qyvjzna5dL8d1cvSDhyMJ2Tjtv6fs3
tQzXmohmBPN0SozpjDGW83feSdVdh+8foDUy0zJ2vrSO5cteYFAgQaw332RIB+9uz/8iX/k9/WIP
p7lICrEUlY0jXZfwo8jOYVJMNhJN0oMe1VQRNP3UOoX+5Xa45WXoOR4i0mCv6M6Liufl624HhW65
JOdnAFE51YlYQTA/MD3L1+X7SCJZacHHfa/sRv/UFLG2LVIt/5KTOK0svNcGzsGB9Q94RyGocfkg
eDoqiRoN+Tm3869mkxeoXc3mXaSCuxsse2WFvbrMX4Zb7DhDh1OeYWb5OaKRvMtHtfgWl9O87fk8
vUIPfzXdJMFrRSjF9tMW+a5gTRHg9RFTeBOQJeF6cTni3EhAGg49G0NdTictcPwPtEeTrVS20oau
tpOt5KbXBwgqALQPAEuB5mTVXgbUmkE0n+z8PKUI00ZyFW1GUbToEb86yBbi9SbyaJvbK+z6vCQo
5RG6MrBEiH4ZtDbjsqMYlp/rqCrf1SFOa35kdvthah9RR4+2OmiXA/7za+o7rwYGhSFQnYx4WZpK
yVAUQF35OU7TmTq0qR5RtusBY5jl3qj6xPXjVnIRMl/DJ7w6z0CSLVQhaZssb1d1ktAImYLiHEbd
/CGWyuy+bsPCs+oM91I9qN9HpbmmLf5aUJQ8UCQgPxF+BJfz7I9KjHBLlZ+z1FF2eKl0P+XQoTU8
pNH30TH8eyyMh5Vz9NXtg42T+xUEFeHAdBl1hEeJgmuRn8vZGBOP83PaNlXcPDWK8Tf2reaD3Uhf
Kuj6Z2VW5s+K0rQbhA7W+ikLohSZIMfWywdZJEfAE+xkmij6qzUi9Ti7Sx+qzkBSoByiR0DbSesF
lTz/yPTU2AFBCvdW5Ey8kqI4+n5R7mj7hve8uLWSyyvvBew0TAy+O87TJcOgNGmxdmYWnjPsXjyz
s6eNZdTaVqm1DMVFZdqhHqOvbKZXa5+MQyjnA+QQIl7LL92XyiBL8LI5N30YYL0FlNyVu0JuXc73
7EGqlWHXG4GzSy2neLr9wV8NmNgAgURdlNsw+kiXS4K0Imi4XIbnyLKyD7ZcQA9DJv2Y5sPXCLDC
w5ykK7v5IqQAJcBxpzIMLIhtbYlCKscm0Ya0yt+V+HZF+9qH+pa6gG0Lo/BoH1rto+y3Xbpz1HYy
398e72IbJ7io/QqBE66ggtR7Od54DjPqR1b3rqjm4sTl7jMpTbypxkZxkVYZVxLyZTjSISE8IlAg
gvu23Na6sjeNQjfaJ/6zr7sp/DYYSbupcC87gGbUHm+PbpH/g8qmOsReJupEgpi92FYaFOLHOCj1
pzIvi02DAtX7oIqdj7ejXA/qIsoS4gRwAIqSFulPjTbHW6cf+2NB+/tdKwPIH6k5rxxKywXze1Qw
VLioCm1bMeoXvTxDr7PMMBv9qUrzNHEto/8ocevbTbYVHIoqdU4kS2uXnEVW+3sqkTuiXAA674ob
MyUGXed21J8iRcbjIYLjb7agprU4slbGt0xvnmPRvaaWD4gLWt/iI6wLS88dbdCfZLz3vFHNYy+L
UY0wEdUjbZ/GbaybSC11dgI03Rr2STFIH26/1OXh8PshYGGL5htf6NKUEzeCKDdnk1nuy87LFbPy
8BBD/14rpg1KysHOjOt4l6Il8rFAStdTQ7l+X8El9W4/ySsz/2wIwW6kUHpdWkIljS2MCWLjKTSD
fGt0VXSnNrDf56JYE4Z5ZWXRoBHXPK58lHfFz1+sLBDwpTKj+vrUTXFwzHEp/1vNgniTDzD9fX1y
PBOa7Jv3BKiMFPbFHQYo07IEZgZpBRBtMJ5UZXgI4dm7miMBSkn7BJSWNVZr5OvF+SLeLHVFvChh
ugui/WJXwPtNixO1M59woQNX6sTt0Rk7FLeLVj/PProRSVEAMxhRF7j9KhdqGrYIDXxZfD9c14T9
zeUE+0Nbo5muGE/lBNc3NSuU43XU3H3k2HeTLw+bIgmirWFheUTXvNsNYdZ7Fua+KFRH6VadVRWS
ETZQdBOQ6MlL+dAE9Rqk/XIdsOI59KlKggyE1SP0vi4fU4mTMOSUNH9SEpedE+XQVD35kVxXzsbX
NGDAfd7G/eesKwLjba4Bz8EJK4jDZN0AvhdHUjho1F+xqPw5lla0S7CDuGNOw00Cjn3l9ize9H8u
z79DAUxF0QGnQgGkvxynHk9Tamuj/bONdMeLZKD0g5pOGOEWymMXS9mBdp9SujbOZG6Mo+qbTl/q
pc+oWAiAnIRYqy4/bSNVxo4CePyrGLXCPgyaWep/lbbqo/1QhcrguxIqC/PaKhSr7OWw2czIN/nm
nqFYgPUuh61GVT61eqX+mptMgrrmhGayRQ/LrI5WWpd9Q4/fkLsPGmRE+xFwqBw/TE0WNq6u+gDh
0eLwt63PBft4+/u4PEl5Ijh7NG5FNdx8djS6fLB6sJw+lWL5V9zQ0XF1QDfbtrEjfWM0WfVVjkjY
37S7UuRGBABqKbcsgca+kgKwJUQEe8sI/4buiiDaNA6f8PgbXSXLwp+3R7f8qp5DiVSBxFKcoItp
D9uOD66aor9R+ou0+9hhlW1gP9npR0WNrUdsIjH241uzjJU3fhVZpJWC+gnoDmTU0ssIRGbb+bMa
Y0iJM4kHKNY+lpVlZl5fQiKrUbjYmGrdym+dXG7NaAYCfsBVUZDIL99n7+NMlTkhfqiSRU9eClrD
K4M0gApaBPvbs3u5q/Mi0fwRJyQVGJqD3F8vY0lsZAyzqgM3Nkz/UOQZIIC0GNypVKJ3w2zp72o9
7t0G/cCVDP7yhCY06FtOErFyhXDIsv9fzz0FMWpUWKDr9vQQOJO/zbjEvFMreoW3h3kVSyD3MQwm
KxFsxyWQq4mkDixI7jPMzo+/z+boS14uUCPZ3DjNytl8Hc2kMcUXIgjDKt/H5aQmSkxpfU6GkGYu
3RvXNJPMbeLUcdyBg2sl2tUr5CpEawAoHPsTdAGxPbxIP+RZD+ZATc3QlQNdHoiGcqmL8aOv0yBJ
jUTgfCEsOMZUnLVJt7/entvlcSBuQyR8og8lGLXLlgyS41mq9Zofum1BG+bB0jIt34NO761dMTpY
jNVFEE9bRa7tn6GN44Db12xqK1/rchfkwg1RAuAXPUgaQ8vlFOIyNlvOYIVuZ2nRvlPT9tQW0LnM
yspxRprXRCWutgeWL1hsPh72QarnixMXjxOrtrMeBsOoxdm3KSufsBXWPhW5rHozBa+7vMbZ9vZk
X71sgoKKpewiymu0ey9fttp3wUhJi6D50DZPfRaO20CLu62epv6RAnL3PjC1YWOQBx1uh35eti8O
QCGXQH1LpNPQQCnUL5Z170ecQYUmh65OSt98kKuhGTf1mE25xz/rHzUzHIvDmI7qN7PNovdapnb5
DzNV+vsGVcjBNYpk+mTIeaS4o5VN5X0U5/pXgPrGWbGa8bHuQijlUWAM0r6BYzp+Zx8c7lsZQrLX
thDKHi2kKrrfG+5//zX+r+BX8fh7DM2//od//qvAxToKwnbxj/96V/7KP7T1r1/t+Uf5P+Kv/t8/
evkX/3WO/qqLpvi7Xf6pi7/E7/93/M2P9sfFP2zzNmqn990vVB6oKaftcwCeVPzJ/9cf/tev59/y
cSp//fOPv4oub8VvC6Ii/+PfPzr+/Ocfz7zK/375+//9w4cfGX9v2ww/2iiPrv7Krx9N+88/NPUf
QjJFHBHCvP658DD8ev6J/A/RrwBHA3+UVFdjU8gLKpr//ENSjX8gAisa8wINwffIOmmK7vfPrH+I
i5JoGT93jEnl/8/DXbym/7y2/8q77LGI8rb55x/0YVnu/1mSAoEHmItyLw8jQKbLzpUW9JpaspfT
7g5g25Uf9VHqJ6G3J01Qg+fZRe/O2jpBrrtdF1MtavLoNMRV8jWVE+c7RPvpL6RWGxQLHDXeWHZS
qceijN71HV2oCecoL8Fs1Bvi8AsOuhvsv/9ExVDbGbF+l7eAaDTf3mZ9vYlb4yOxjH2B4C/3vR0k
k26DVf0pVruvXV09doFmepMdhht9VDE/6bOPWkdzCZ6e/jmTzGobyvGUboK2zeStL019t9dSuw0/
xpnq/6wjZWy8SEcI88MY5qnqIenVq66epPaHIkvDLW6gsStLRjB5VB6rhyC3KAREdfsoGRnFbxVH
ZpXextAj/dYbVfBZLbS8+6hIDTrbUVVP0RZ9Hjv6WQCOK+7Eh5R7FPYkeDnAaowE10olBL1KD+lc
hEp135q+xChTM+m/dLo2OVsztsw9pBKQAGWJW9tWrUc1+t/MfVmTpTjW5F+ZP0AbINZXlrsvcWOP
eMEiMjIFAgSSQEj8+vFbXTZj9dBj1mbz8D1WZ3RlBaCjc9z9uGd0nOmtDsLlXKsWohj4xMeZHMlS
FT4BE1eOsPN+Xr1UzBdi+Lz1qxj75IOb0HMwLObVr3RaDmnUn5fO2+Lvvs3hsGbxgNQRal2Cq9VR
O/j7w6DVTculrfD+RiYyZ5Dp3nFnmK35qtqJpMkXzAicNQWd610Au8VNHY9tsYg4OKZhXUK2lAmX
YfesfRaxoGNWyafUwfZso9f1FnstfNac5g1OTfXZh8v3VjYplrNhhevzYrKBO+bC1tJ7Q9hh2r/U
gLQSmU09eroC6QqTLbDSQcTfqsL/f3Xsf2KFCtA9/ecKlc2ybfjX/9p8qeEfVer+f/t3lfL/BTMY
9HZwLbnTEX+Rav+uUk74LzSX0HvCtACbXhhVMdP9Xaa88F931zqM7OjxMa3fQYW/q1T6r7tJJKZp
F0PHvcDE/1WRQi/0jyoFX7x7GAyWdNHyQmcLV7d/XtpdW/ce/DPzeBm63Ju0WC+kT8nvyUG3gihd
KElWwBkRT6Mtzqn/wSnbINNw56Dpyf3epH4mQPvXFaSrEDzDpKSeszRx5swbYRa2VlBB0a4tpY9v
GexDsxu7tc/gsR5kUyXdAvpWeNMGL1JOB7uIMe/8GuE+CXbcZ5VGx0Gxp9pZoURVeiwqWl2bAdvD
UxptXKkyCRX/eXR8USbeuFwTHYAwvVcFz2k6jnc4PQJ+pMVoq5u19q3iumBOnE8i3vR1tWwir6Jv
aVOhUYg59l7qCET66hYL5NrvvVH1dlz7Mfch5C5WRZArGQkNfEe99JqF12Xyyb4jbp/FUf8HesK0
rNB8PLgRW/+ETvOJMt4V/up1hRpalN+GqLLHX3rFuBgcYYvX3gDJePu+JkiiTZV+aeIeU84MDu0Q
VhBLlQBVwseAYqlS0PA2NrCPHKNPTNbej2FdPKGBN/1ScG90b9ZwjTVnFVSnBO618C8bgvUsppWc
AQ7xoVworCVoXyV/AEggHK0mM7CCKUYVSMeefgyJ8mlGjK8eaOvHb9jfJkk2N6t9ABTdXwhORZ0h
tMdmIY3JXoXJIh4Ucl3PjYz/pFOHGF2EKq269KfF7i0Auy0sPyPbZJDV1M02onC3ugdHJbB9hJgZ
FvB8iXIyM08XC+3Td58FiflWCgbFjhLudeyJCvJJd773LFzqXrSMbxzhM2WPSCcBr56unTKHRTCw
hMclnp1oT0MDcTg0AhxZxtjvOxgMIle4JnUFAuHGkk7NesUu1QUqsh4aNcLNBdgR0jJEbw8rjV/j
hcM/vfEDDs+hYKdx92bY3rAbyv1PXGoFnFHdfDJr89ZUPi3WgadwiqDZ6IZbsYZQxPjxPkmr9Wol
AlZAR5YUP0LobXQDm/Uzv1RLcApa98RabAk1OmOTfYc07Qz7sZImzZHPPvLRk6ikNS3nvtV5AyyD
cGdXW6+o2ZiNCXzlaxnKDNfmGfl+V6JjzDhY6WirwvTqOWY0h9q72xrXl1mrDXItmxxpXRMsrIcn
EUqkpFoEmP6CGVhprMXzdN/dELzp3M7XSlcYFsUW5WjeSFxpbuUfOxlkrq3OlPDCDACv0dtmI/NL
BOHpEs49uwbxR/CxaPJVCrxVJz0mzcj3eFUbDevXbjQ5OCV/q9vQy2djvXyJyJ41tTroIFwfwhp/
b31nrBwEQpQi7sYnHJuTxx4s9bPE/WzaBPcXuoA13FpcnQJJ1gTx4+nK9zA9vfrJkI+AnK1ckbcS
FHXzJ0BViY1X7xVpzMsiSQRcaAIxJrYBSAroTGRZ1fFL3FVNjnizEHVOfQLM9U41jHJz0zZ/hq57
6NioEEQKreXsivdRLD9OlValwGnc+8F8NKYvZtNduFBfHThAuGOvu4l435a3hp67u+nO0qh5iw2N
qrsNyN4s4FCP5BB3HaCSxPKIa5HckvjjZYL4fmBDQ/cK+myyYWPlwNC9rY9A8KyT9R2T9IWmmmSx
k24o7u6pbgsH26xWdU9QuP9uHPebWzwqr07aW7/Cv1xjM6cCCs0j5HKxeHYeA1upH7LKR9dxq0fZ
Vw12lHwHPs96ICUC2bTItJvqcwg78cIfHblbYBISZfHc7SkdvVe05SobejW8OwPXuR/IqkRoSfrI
GVNNBuXcFzZH0nNAmg2t/CmPJ38t5QhqMhkiRM+EwRnu9k91JTkCnZP3zsFegOmY2S+pRkandk+y
Yc2hJmN6SGgy54HPxlMFn6qs7hBkNCa5Gvtnr1seOqGLehpbOEBM3UlUnF0rjhxsp36JLU4G6Oc3
0Q+boP1qBpKHNX2KG+uja3N/I4lkR6PqwLFvqZt2600NbhUSmSMFd106rfiFpv+ctPOv3qAPrxR2
XduhvUnP+wU/sS5fYBeeUU/LbG5HaLwnXAumhTHPGoywx0/dsu+aGsGH6P5Ty5MMqUQ9SqC/5HXF
Sdav46/Kc9tNN/GDcVP2o5cuQcQ9/0nlcFha6W5i7F71YZBD3w0+C+l4rOovtm+uQmAQZtLGueZ1
2cY2r8RYjK3OePDqmdd1/VAhye/2OTWesuTA1PCxqXh4S/Vy6iRusylg5TSbXeh8NA7fkjamWeSv
bxhDtsz5iKTazWI5x4F5pohaQ6qf4AW+jmyFH/8QxtvZ5TfZ6U0wmD3SQHEMsMwdxPqBTuOV0PnY
jHrNMGV/xzGa7iZR53uG2azg2soDLG9151QEL5Wo36vAOWg9H1p8vAMEzXRiRx6lOYgXnRPqflay
vkQ9IsctFp7j8xrPb8gPP/gOeXbAS2Ro1y9xyn+v+kmouN54umqzZWxopm3wJ6rCkrBwW/lfAZbt
EwazN5fC/NGET0C13q3608fdTvf0DHF6BidlVGAg6EMHW4dKwuk4aR7YHGT+XD9gpQiu/zVsD0Lr
4nj70DOpaZMk9bkmxwUxdHjzvwTSliiiSX01Fmwc89l6Kx75sknNZ5MkOcFrz2oTEhibe2coJrai
d5x94qp9l7SIF2LwGLGZi4+sVohxp0di3+xSI9aebpBOkTu+12XYSB0Prm8G4Bb6UYt0p1dz07Xm
+Zrycq7SHxzWolZkW3UI4kKOiN2HgrjwlHJ+onHEYne6wQPL8Wnktqv3Q29xBSZbLm3JtFO40XPo
yC8JXRphTrGiXGB7Q+DgyUsFO1GXT4++7GEG3GHfRuytxjJcn4J6RLKAIA2GKC/3WXtOkMKJQNH+
A0mESRddDFfvPtQos7C7AIG5sPtHaBFGwY4Phdttl4ntaayTolvdPg+QSLKVgPqehBsVaTsXYVij
RMGKOvBP1k155nr0Nsfzy4CMg6JfPsCKFn3UDTui+/holMPwi6b2MPU/eJX71sczGZCBNfdnHK3M
KGQtwEAnUlWYpbq9SKQtAOiKb5EG5xjPd5e+OTyPsWgR5RyXqvYf6YhkdcdXjwINhp70g4Po+tV4
RVgve7nWbpa6qvAXtYVRdREtc7YQ9WSAFxfYEuE4E4hGVFA3FkFg9G5VwXuaav6secBLEqr0mDr4
/CLtutlgnPDZkgbhJ8/pai7TSJ6GwRSh9jezM93qRBwBFZ7iackW5aPTDNIikOowWS9DwtMtkP4j
dtx2mIg/Fzd5mOZ+46Qn2LQW9Yp8tqaCz+JQIITh1C/JM5A4vVnd6edeyDd90OMeGPQWOrc+l9OL
4FiKX9vs3pNu2jFOMxe3dVpXpUyCbIE2PkYYSWzfAlZnEJl0G96EWEtIDt3As0Q0Ozgm1KUbN15p
wxCf+pgUIetLJ/V/UfnNa9ts0aLX+JQCUgLNe+Wk//Bs8umDzDog3afEphFKgId64TPYLfGySaM9
4Gq8txZ3BeqCXnmaw40LN0aDnAwSV19TqPNZdxcy9Bm6kjzmTU56VVZk2ag2gi/9uSfVJaCXqvnk
AxqR4Nq1cH/h2IZU4kMB9ugR/CH8MXdG95PQbtO6DLNOnS10LVt3KENYlowrdzDJy83QJ8VU+W2G
GvMl4DrGjC2TBi8kdJ7jZd1zZOyOUbOFdf/OwPSL+ik+nmVEppe/RZYptJMDbg0WlKILI5hLxdV2
gq2uCKrHWHyyPgHqlPB4swaPJOkRySqcJFvaZFPFJAMVnOsm9PbMTUBMxycMdpsqpFnTzm2edO2r
0BOc3uJdqobXmi0II+m+U0/lgfel4uDBBvG3R3/Bscxso1p4MM05zN4bGfyvsF3xzZDnRrb1pl9j
3NYxzJEc+9cqmcgGLshnXXnVR0IFLlCesL8Wzux2lRggG38YMiHlkzRx9VrD2eb+v1F7VvC52EzN
iN4hmob9BPQq6xWsPf0AfRWhIcwfONyxg/bbCcn7gvqcUVp5GXXun2SE/TbaPPiWfPcmhuq0EU+e
ASMwLOshXdQb1nQfF6hy3pjb/rD7XVq1J8fpM99btnJtbqEFY+6PzaWa3R8lECfbIAk34khIa+OC
VfJHBEtu8QmlJjlDNXBBNG2putbJ8RTjzHWHLW7+UlPnRHGVPrAUY57vOe2ZY4HoMqZIWLIq9NGV
YuWzKXXH5hRaaNbLCyZcZ6Ohp9nPSxs+wTIUNtEJr9+nKG4/K2etM0QBAjQLfHWCu6TNp9FZP8HV
iXzR2imxFZ+c9eqkO2xZDEPu+WCIM1Ut0WbqVucEd7xuKWBA43qg+RrEfiA5PPijx3rUWcz4cmkZ
ma80lPBtQBJPggM1iGjNqJqpQNcj66bw5moZSgXBtHca0N9iH5q30GamOzaYOSmqqaXha+/2ERQb
yJWTW2e0zhmmCc22wf4UPFxXnZkGS+JotK1+GBcNqsqi5OaIkW0uaUNgoASGcD/Jucm00pxnbVd7
h8RHFFI+dbQWiCppG8gMh8Ar8LA8nYH6oUOpAXsA2kBj8Ybl3rTBe/MxggYdwjhXkmhk8FJsUefd
qhiUuSk3deZRhBYUdRdEcKpDswGtuirQnE67iCHH+BIjr8PPDIua/aqcOsnU3cnPylgeUyj4n4ce
N4EikcPRkg3rPWcHCbhZ2weMIxx+iC/VhH3HJkodvEH84W5G1wtCqubnma745SGPGm+AjjqblIuC
XPuaeE4YbRDEvK7PYdA0bWENfPooPLUQeAwjq30vMKYVAZLRX5ExU5NNFOAsSax5oO2kNosgEVJw
u3ZxgcVxBUgxh3bU8X4luJbd/RQPbFyzIUaEAtmxtXUFyRCq4I1nRxNOYQIJ0NbsK57y7sQW45oy
ld6qsYS2ehpzdQwu6tLZCWHUMOCMzBO2WjvvNwa3Ov4No3WUn0Xx4FCHVWTe+2YFqTIF6w47Av2M
HswsuZFJs/PXIfIeRTDLKkcl8I4VVC+oTI0RdgvxSldtwymRTbYE6KwzgWqCejby5MxgJjVmEcKC
wgIGAWyBnWyUoCVIaQ/WFcqzHoH1TJ0jpTvoU2GbI5GA0obfMOULaM6ndILnrOEhhzrWVnuYy9VV
TgSAaoQVVuj1LEzqvWyY3fg6mgQpheB7ncdIdeQ3H9P52wcVe7MAyX8PEzqULm3DYpJjvTXcqsPo
6uED8DVvMgNZ3rpfXAuibk6ruMFlYv2ShyOfttxfxWPdMKTfsIreWFUhvhPJ11GTRYYiU7sxPtKV
YUcQirp5hxOyOsIHAnyPcrEn7y6xzWqUAZ1Fa4X5oaXeb6Dk6T7Ubfo0TmHyiNhDeMJPyPiEgi7E
zMYX7yDVOEuI9ULsnCwsvAm++Pdxm2GbtAuVnLJIKFgf9JbZQ9T34/3tLxAnjE2YPmBuCnPjMLZX
HoLaRB0PQRZWbRxsDNIN3uCqPv0BAYtvfalcmzek5k8cIbZXDt/3jWitf+wDinnBOzUuLH1U3KKH
6L2x30erRaUz0iVI2eio/9SiXL6DMBoPzBvoUzVJ9CPBolJAWBooW4hm/NI3fvquZovbG8kRLIXl
haFfnHf1VveYiZlS3q8WeVNdNmmvf2WtDQEvUgdGoGM9XFbiyd8e5Vd8R11GppH9cVji4UNdVj1s
/UnhisFzjjZR0lzcDmrfkqO+oGkH1/DIRO8tGYE74gcZFHzlOmxQJqcJ61RvyJlDN0NjRIRBPewB
8vEwvsE3ZBrxeUFtn4kQW6sFnKuWF2Cti838xdU7L4VOoh0CNMnBlcDMJ/M6EmxHl1RxRpBrsJmN
UjvAb2QfGkTWgeauMKyRYU/Wz1o+LpKyvILd7gmIp42xpRtr0hwETuGBRCvZNPE0hNlMB7TPjtf8
9toVLY7xKnvwOxhtUJoETwvhGBCCVWU+b9SzcWsE5QF6Vhs6h+bcwQoTY+v4uLaBvXihqHC4SHIM
NeYrPO/pRlBh0HZIXi7mmbRABnxAC1jEF2CTpsHJaR2qLJKAIvEuXHNsiQfcJZF605F7vBrp8XUv
3M11WAFJnS7zUp/dDtdpyLY4Vl3hyvZd2PBJQpCwDFvHpEfT05+7bzkS2zIHrU2sun2f2t2cBmgq
KrQda1W61TqfYFBTZUPDvHwMBh8fJ4eYLAbQ7A1S39kgaNukDTH8tOQn6icHsQqk7jfusESvbYfq
RLxS+w+VmBrsFbGjTYT8NutdkW8N+bOgcWAZaBp9FKMPKnCw9ncHq58PL5iCQ3XfAjK1LCWHcQRO
kY3lTsPFON1PnaOgGcFqn9ni++zrvYb4/b2LOfshU1hf23Ylv4I1QrSbiJ2mjNuge4F23vuIhnS8
EOUSCjJROV9UinguYsfs67oFB7d6nMHPMNVX69P1tsRTBbjdnaJvJoP24ENHuMEPbedwcXeuCaKf
0eviU40OySsXv9VfcgoATyyTuBKOUKtEhO62WZ0YM1e8brnjIqOY3+5pZ3SujtYGa9ZNtZ/r2tTv
VvbwS6x7P0/dmef9cKW4AotqbCJI3SjNsKif7t2KbBSKKdYqaIaLvM9Yej+SpkHY8SrOeukVMGeR
ZFTTI+AsWEUTGkGd4Hm5psB21zmNXpfVlIaTHRIK6p8phodmgOSKCYn1ZTXP026oIizyrrBDN058
wr7CAgPn9Kl3sLo+TErv4EjdoFeocbHrMsaOctYNSIzwA7aFeo+dBvjMZWacohKRNesDopo/wIP+
ZhpBlL3CrILF5C7g/DADgs99bYai9ehBT/2r0zklqQT5iu3sl2PNYLszoy0Q85YmvNqPCQMQs0Qv
2MyeLlJX8XXmDEiL08sNsKzSzhNausRBrGA7y2s0hk96oUh0c9dxQF2tvv2EH0FCFEs4rVt3cD7E
CORyMAbCCnzG6ahl7oAVmmYSl4n+YeGC4SL1dyNXfW4nfatoBKEfx3PRXR+Xc6LfDG0lznF4AWjD
XtF+ttsBqSclyvu2akBwG6oQ+prYx4SwAnzQhnb1sNEaEVOBN9jdQHS4h6GStwcHi6PMpf6wftej
tZYAKwh1HrrwPUwQzjfLA6JxptLehxsS2ZvXptNGU3acLaG7CY7SYN5b0O+unOLc9C0twFKj/w38
K5HwzjSQgHgtztKQSFxvvMAyWJ4sv5J1CQF4uBuM1+Me7h06s8ALl7j1Hrt6Kic37kufalM6nijB
wnzaZLBA2UZ0TPP0FrSAzEUqNtXig0MD3/zgIEsr69CH5ZMTgbit4Ii0eGavYL7UBcAcWd3IG/xH
XXS25gIqYUKtiyBS7+fu1Mt2fEor95wiE2U/O/2z8uzJp+bHmPggRnGETuXERvaa/gX1LdMTOni4
DIORv41ebH4ogDuf1fKidOJ8sqaNrwjq6oBRyHmHujuDt++6Y9JzhuYDv8wyD+st8ttvSB9FVuGk
1WAVC6QGuVmiWgo+h156Wb8EAO9dNvTA7X109vMerif5qtobqMFdn8Q7UNNdrhOD22lB+0X6Xatk
qZz5ysOpHA17nyCaulkx50RafmNKhF+D0ckjVoy6FQwTPlvTut0R3oNoK4wfPBtMAnnXaVUuCICS
EVZIoYMD4AZ2ZaunbjotMTn4APFy7S4XVan5NU3b+gor703oT82jx1dAblNi8nk0QeZpu2Z1mnwJ
AToxFxCRnZfFA6qjdLV3hwCAmFdMnftpV2RkcwgGkyb1AQQu24VQbzPM5HlGKSkMNfIw8376NgyR
WNHUjvgo+CO8T3IIwE6JFz06yvv2Cd12KImwN87xRg9k0pmfPrUcbA1tlmxa/L2tnCPMnPc+R3+e
Dp+QnucNRzyh009oxOVUBOPQwvsBcOI4doDUUdjTDgtxanR/EY1w7Q6/DWPiB+LSx1G2R+xzX7ta
FpY1JgO0H20xLdkdXFDqjfa7VwvwUdc+eZn79IBN5D1vF6TH9X/BgjgIpvbVq7FMvZneKVsBtiWp
1ZjLxfobr17DYyzFB6P1MRgYSAIw22susDW+wToALXEvN7nrLu+xit9UPzxhnO1e8OtAmxguIh+T
/TJ2WRsAMTZ0LGZGTyQ8LPV4ZACQHpbZbTazDa+s+fG7hcEWXgGXEVZvYs6xcCLXj0b75lsiw+eq
m2X6aegyR6VixBTGzHckvRFplcOGFMT04AAkhVtEkN56Xk1ogxOTvlKMIM4RzLhzhSyEf0AqH365
d8ytw39lhB+6n6dkdCEOQd8mVemnPmLSeqfrCx8KbbQwyFfHhqvrbUN/AepcKX1FqG9SJGPtnj2o
MddCxiCigs5df8U1WgzgMf1vNKMU/CHT+RR3MwpY51F6pASkJcDg39C5Zwp9UDMNy9ZHY5bXU8Q+
yLzY5Yz4ZAtwUzHpgDg0Xt4N099Je/+VvOM/is/+IVj7f4rZ/ieKQO4rbf9ZBPKE2/zrH+qP+8//
W/0R+P+CRhtLanezhQSbMFBM/q1Rgw4NyaJYvHIhS40Qh/R/xB/kLkPD/h5eMrxcof2AmORv8Qc0
b/gjqNdg8XJXbkDm/98o1P5tXPB/JWoQGyNn5d+6/PvKIpwX/yn+UHMoDZaOkVlNwLHimCiRhUJD
7TWMoNM2CPU28EUkEr0S5n4FWI0BlfzoMNgqnG3MyIXbBlSBDkFsbDaRUXX3HguuSquep7UEqLzI
HBoDcBySOmBAHOJDM94JCYtsYK52Le5r/W9YSJIIkJ4jzymI17r42tNOuSEWF5wGUN5Ss7dWVk5U
iKXuUHuEO3YEo5MgaAAxeEdgXNNJeKIprTcJ/gvb9FjRAJQ8ha336nv1JFaQvXEwP2EsMAEDaGVj
v6xoygGiI4M+bP6syTC1JE9F2iLahiBYGIqOWT3CGQopND2rQeoDkfQNppqpNeEf4s06oTkmZtOe
5xSTKNwRveqbwX7Dw9O0MHY1AJI5m16hnphBgHMj/C1im1e0iazy/BzMqkxE7swQFyRZ71j2Samx
zx2L1FWAV0KAIliSxdBdzL36l3Ki16Eil4kCHaImPEFPvLXgAJghv+emxs7agpZFcYAZfBZA54Tn
AqLAJJyw4ez4/fKy1krCl0fJ0z0RAoh0DQA6dU46bU5u7PcIVNf2GNrxu127U9KRbbsCjF1j4LDB
RnEb5FIGzskfZUGRF/EUTfjvmEH6xmoDnSPNkCLrDIC3ONRnwczfdJ98SGjq8tF2wXJKoEyAYijM
rUg3oJs6yHWH+NkMyD0hbgsYJeZFGs37qUm3KrbwG8XnCtmPqXPPQlLnLd9QngPUNxJTcoB2Uy07
7c24FoNDgn/hlLUM6DB0WVk6JP42TO+Eb9sDuaE12Aw9ND4a2XpdcMUbTH0LEUcVsTJ07ItdQEFr
fMiHtKpgjlmD1Rtke227yLtJgDbhjuoF1EpMXWDoK9i6qt1Nc8SBsWLNDCHbPWgzwevN3E7vsBbJ
E6daP+EMnyA5JNipZYHpbRehrw0qqAdXP91q4XwxoXGEnOQBvmDFKtznsDLogpoaExjlGZijI8Dd
PvMm+RSITyqn3RpX1WbtmnxmCiYs6H6A2IVujBjKAf3PM7x5HFqOLrrwwls0y1J8RRm4pV0Tyscm
QM4GkD++0dJcmhgcR4pPJ2PrcNEEckF8OBCaYEFN1sMujCyIxGEXj8jFW9aJb6H8fwHfvnGxTpa1
4dqeyQSODJ3P0aXG5KMzPSuLqCYhQP6ldsVIpb1d6ELxEkY306Xya01Z9GhWEtYbHyJ8B7mp6QlW
bUfdwHXGIQtD+FTNf9ke0esYaXjeoedHp9JUOHzwhNlw+Le8hQvVN+Yv3UNMMKo5Xf2cai1CIKGY
9zZOMCDyNpEgvjw2Bm+wBBuaDdDWGg4Fi81HXcGZtC11pOE/9xsTH1yT2JB589AD+1yi6XcLNWea
DRofB7NkH1v3ghmjgplOfSeb5Aht7xgf26Y7GGQ4BibHDhCOXaJY6TUwjS55UHljOZJx48SDM+7h
3YQI5MVjy0n5AHgByGIXBEM+sFnOkHAdLLDWb5pKXsKER4Ds/Ujl2L0M6c0OeLRoiYu6Ns9tjBrr
oTeop+nFFZDzAbEaT25YHagM3m3MO+e7J8KHmi/JZDLsmQcEpElcTBceNAe/VDoNGUyMk4txYKeD
jJxLg9jzDM6THRRvg/OAnFdQHeOl4So4UjyaeexAf2mGH7pL/kIU7czVE1AUl5mcRjPLR+L94WxI
i+jOXBMtfsulr/7AT/gT9ool0cD9UgJ0ewXFh+Cz6g2Rl2dcAc7eTP364kOEBclRKvZMk8uABbw2
Rw2CZANKj/ZrgGX0lXL4eHhh3xQy4LuWswfi6Itt7za7Q5tg/gOivXFmbyr8eUjyqZVg4BqwXIis
ZNkYSqgjlqPHVhhLwccW5wV/FBn3zRMCwSWpqp2bR0V49GKAgnd6bB7Z8AQgpEhWF/+gdm0Ytnl6
VxwnCBtZFBjxYAwv2Fef9iOQ/SKK6mTZjQIzerQ4f0woco3sbYgKcZvQAeMzWLanitQfYYVOOBzi
k01fJy52QyI25m6agGv3tKIeWbbuAVbM7z1DRmOcznsuT+G6N+mAqVtcW2GnHMaiIifhiL1i8Uql
i0zLCokdHhb1SkAz4LxbjDnNL2PpnLGahmeIOUERmoD+EP27GztwzARP0FGqfWhw+G3b3VLwx6Fn
thMosTj268IdxbVZA5V1feR+ggJ9tCk/dTV5jJIvYMr6ROE/YJTcybWCNEWd3QFxKLAZRZo5YLxN
4NXDd0rn6xjfW3rv3E/ewbLu1oJCdszGADUT1cGj8CAlfGMkFAvucnaa+UQtkqe557xYQG7R6FzF
hNNGudzDveo3XDYWuo8r1GQf+FfTgGVGK3NKnD+jd5uHLgPOt0Hn8KbTFSIoeMNAMp+W6dgiWgGy
H4R1dA201+2vEXVw+N/cndlu28i2hp+IG8WZvJUoyXPs2M7gGyKd7LA4z+PTn4/pBo5FaYvwPnfn
IkAD3emlYk2r1vqH4kXT/3Ioz3WS12X0q6VmEgz5pzygvkebQlT3fogwsoFGVBa8hAYwSUfduDCR
IyXYUlQG7xNeWZRmFApG1deyvQ616KrlHndrn3v0346lbKsCJURbAT9W7pOoh53ZPljTg+G8TdSY
WiAENgdUZ9lbG+1d27hnyz6ShG6TtNqElXNVIs7dtz3H/Lgpw8iL6+IQhN1NrQ1XDcY0lv0zwQjZ
CfVHmea81rA55E1muwXJx3dTuUt1Y9qqJdAMJ2q9qXPvUzRBXTKwxPYsXrxArdCTrgT3p6aFjy19
HjsMEB8sIuBW1q7C5txU6h2VpjsXpB8VOjqPm5zX6tNU5+A1jBukr/ZSIzkZ3E+F42/rOL1qrcey
lpHJdlBjwH/afZa35qbseZkhalI8RbzWqciSam97s+q3VuRUHs0u/Ur46TVuephwwx/QDzKpPbVg
tSTjzyIPupu+TWLP9ocD6o2f+oE2glVijs5kF/mNFUz101SiLWwafXaTK2Z4FYzpsHMgbJd1fQ+A
i72fNd/q0QCkCOyNlos90XK2cMR+0vrwc1p9smUEXixV8SYoJ+CH9a1adbdas6t0dFY0kGUdVUGb
IzKPP5t6WnwZdLe7An3hbGO7K9wtrQEvN34DUHt03QGESy7oZ7len6bPgUYOAhaiRX12DLfgP/dp
jMsdAHKwTOOdI+RziSa8Z9L8Z/9xtRzyJtJnUfNix5+tGWffjKyXN31fs7oN6qZUSQAsRBRt8WOS
P6RmXdt29BWlM3LHXn/2R7mTZGB6GW5Gu742zORFI3JWhdVGscQh0pwvVKo8d2zkZtIeqOGX2rzi
9cQrWtoGmb2FIkXPAG5DPt6poRiZXz4M7YroWtoKvJCOuvWMGM3H/RQ0uw5qhJsZW5emMT2tq8QS
9F2RixnadtenmSf9dF8o4hsqdF4MnsYfi+fUyB+ATvS0rPVX+l1f579lVckXMcTP6Ea/uWZ8D+jk
s6KK343SvYKyjLjnWzkr0oAHpzzXkCl9mvrsGbT4vkyifTqUNA/UG0VPb4CibEcpgEkN2rNq1K+D
yDw9/6tO2F62weeI0luRWKwA602th+9u2393Kvs+aFG6mAD10dfeK8jqgeh4HXJAJK15BeHe2tPc
TzdFlZl0jYT+2tsgGHCz8Hdo2oz8XRQTTMFLv6NMYso4AUVu7Gw5bYXS0uQOkPXxUoj7JG3gzqZg
z4uBctUwHNAyeWu6sLqV2lBeVXZ4V/bjLoFN0zblrtGTp8C/wSDyu+PTS2GdNEOwS30JqghMVxZq
O4uO2j7KnZsgS4HiFiUdUmCBLe+sSH6fHAscOPnwFcoFPzAg88APbXI5ksHknyJaTIZvgTD7Lele
4CjnKaX7w66VF3qbL0HSHawcZ9U0MbcI1P5lxre+orkbo6gkYAvpZdL9ZM2l8dRNESqYbgFKbILJ
NG+UPkaLeMB3yjCLK5jgnED6NpiuZBOjdQlsT/Ti4BbjTtPSvd0X9o3M+71tY29sh9dqbTxMMrsD
abrxyVI4YXZlnb8lsbUruNV7Ee14yoBSAkdtJneFb97I6VMuio0NLdAQO735HeTKrp2ypxBkcFi0
mzyvbuyg8ShpUen5JNJ2k2ZNDgZr3Pg9GVUgnibNujLN7srgZosDZ6OgliPS6A2cx71iKV/q5pOd
DYCy5X1NE0ENfvR2oHnDCLLXsu5jCX2h6b/knV7iaMnNMcVK/FKMDnfD4AS8E4tP6CKCXgyV35ZO
MboIJ3IZ8ErgEW4tkGaJl8hxFGAfy+RnHLhGe4cBNCmeiHPpH/yqpqwd6E70Fb1gm0PQGAwgilPu
/0xkqIBrddph+qwMnWi2hQpQ9mDqdazx9lD73xF9/AxMsBXdhLgHkTiqofVDFlX6BtoNG1ewjelv
WaCSgYykH96lqe6OzwYseR3Y5TiW9zjNR9e0VcfKUwIQ09vONUtaikKJFN4tsfqJd16gbEZTrXEm
svQKoDet3h8i4J3taZL3KlDuAGRz7Pu1ssmTbnQ36hgEPRdWKt8Sh5R+XxuVuNHNsbO2oqX0sHET
Dby5Qw9MbNOyxdSGh4S9E7k/7G1aDdk2NjHl3GlSfbCsIf+qT6OO74YE51XinEvZD1IYDBboHihR
jmO1K4dsJysyZE+XBpVEJzVzaxO2SU75WlGGbFOkwKQzxcqK24yvS2rVacLxFFTCX4N6sjm3zTZ4
MMPOybyWdqfP3TdW34y0tQCBVQkgAE1va2sfd2FwNzlYN3h+iVkoP6wHndsWdz1QWAQveL8/pzbq
I5uwy+KXaCjilxg5tNfJ9fvfiqn2hTeJCilmVWYxJVlVYLmb1POzAmgHd6uZmFFG8yIhe9NglpC2
G4E/eSVkNLkNOhNYpc2JAdYL9xioi01lffaTwnxxoqnjaAEBmkANMhGOjWo3TbbNgCbJvrayvmLX
TWm806dsAOxnhWYPqQYcgGEUVFBpv9mfnDIZgDEXeXtLWunAZlbtFujYwE25hatPA7cJerPZBKEa
PauN6RrkA2gRk+7nNH1qpwt+hHGqfFGrZJxr7XEonvveDOdjzxDf+2FSzS2S4NXo9cr0Mw/NhAUY
p6G5gZuVKduxH9Xqv6D5/v+sn87SFP+5fLrhbR8m7+un83//d/lU0Zx/QeG1IHSjMDxrHFMl/Yc9
Z+v/wphBAHlExw6H9/lf/cOeM/+F2AB+J+inQriDlws5/p8CqqLr/7JNqquzwRoVTw35xw9UUI+1
FMyZM+fyEyyEDRA5QTPzuHyaGwXP7KAEm6oFRbePyZjtm7bNjPwmUkTXrpDcT8PhB4eMD2NGWI7E
/jicX0QDO0vH3iquSv8tGGCHvlnlWDa/FAutRbl5NxP/UJrfU5jn/9//Vofn4c16/BAQkVIk6FI/
W4RZXI2I/25KBFk/N2BPXsrQilZUPo6joMmAiwgqdbaFRgTl8GUNGtKqG9DVr6G6KB3sXbBDSCU3
u8tjOSZj/xNlLrj/8RfQlrpAuV8XYFtor0MDgYnRYqcLij/hI06lF8au8nA53umoTM5GQdUfPzYW
8EInJVEx5AT6Cfujco19yJG8l0mnfmiG5lFRvDRttKeQ/kHMdKnq1DphVAkARJEhta/g7tPrhna9
d3ksp99upq4y/6w+1sFSoKQqsZlqbLei22pIwJfuMJd1Ky6lTe6Oeb1RKcm/XI55vNb/jAzFMhPt
GmfesC6HwnvhEBLSskg7KGWY9Wk3QilB7tVxdC9arHI/HIojBm00RAHQjVouDa1IRZ62ABRIEopN
h+73vgjbYltHabKiTnXmS2IPhiQRyj1zg2exKszCyhwl45XehXV03YY4dWKW1NxRzHI/9ZS/P3Ri
/PmKFj4TUIg5Kx3+6fgrxn5bCHiXVAOoAulaLO9Qzp4eirAyPryLWRdonFgai5GjYxFJTTstq1vy
brexY4iQXJ6uHft/35L0B8+LKpxZFUdRZtmTd3IyfupMY5ibRElK2W19U4SjF2vKCMq+K1c+3vw/
+9/j7++PZwkDBrbFeWEtfXkAHxRVrTIkc8o/SWkHByRdyy8j6JW7IcnUN4Tfvn18Kb4PubhQ0kkH
YqeJcqPV9rTz09564AFr8rpvg/9bqKXRTGFGumh0OlQWYLbt0Gm0Vuw62IFB+/flQZ05Ci2822eb
OgOnAmee1HeTVruFrCZ0LEjA3PYxnktEipPpK042Z6NwBLK7sL/iIjmO4pswiiRiXBvqqAhfzG2k
sMvX3BbORqHoKZAXmTV9FlHcMBVd13FWUApKrCeq4LK+hkCd1iuL72wg9Hs4I9AAIPU5Hs7Y5KCd
IRZxS6lTcZWqfqFAuLLClTjnTiQLfSaWONUj649bwLvJIU8PEcIGsEXBHwUQx8UKKLEoz6dFTfOE
E7FZiXhuD89wVgM1YOQa/6h0vosI/TKpQksvYbvZ1iHp2u9kVn+hq7Wm4H7uE0IcgprLBkYhZjFX
6LNIHgIcFphK2lvAf44H1G/NEPTP7z0+JiyuDtR2+Yh/rqrjmZKKw1vOxPas1CsolJneQ4mQ0a5A
YeSQ9bm+KSyohX4cH3Sz6eH8dFlLr8OQK4fjHxXl5S9BYVWbF6eJOtnidhnqwJHqkFdwOmV8IxKt
o+VW6C90q+4DSxluqrrId7ipqRudJbsdxhgCKkoIauNeIy9fruRAp2sLaiWirwiN2bM45zxB72Ya
bpQf13ZTbigxWJ9xISl3AHoB4bZJ9FcTVtP+8kFzemATj5Y+1u+z8J/jHMcbqZ9OiGpz20l0BNoA
FZq+9JUD2HEagN/zqF9zSD5dYscRF+c1vf0hbVXu11nscVvlUQxYAoTq5XGdjcK0znmkjcHMYl6R
qTMMmp0lxfk2B5SEXpriUq+9HGX+Oserh7EgqISzu04qvvQ86UfCKx1RCuH0tNcxfYDYSgMForoI
NFoDsHre+sKPnuq2Sdd0pM9N3p9DVeBfKDRzcUtYaIeVZW6UdJGy6jbq0UEvZDvdR61S3bZIm25F
HK25i6wFXZyyWTVh/AZEi2qhbfVeVzrKreaLgH5tChuZmlHjYQjvr9lRndsZc64pUG5Ei09brJuh
cNIymfUw41A1vzVKO7RAxbro0GcuBUaZKc3Xy7N7euq687uXu4QahYli9/HeaPUAZ6Iaclbn1wBa
y7Ly9DSCDYVj0MoBf2a5oq6lcf4gUMOdv/iosTEhL2jRghhpuexEjObt0JgfT6VdE/saKD7C0YS5
/IQUnPPc0MaCan/Rw043UtAe9pMooXHCX185Ws5sjlk1UcyTxjNraa5tNFmYSDnRVulEfSMdJUVK
K8X1KDWdXUE77mXoFQUEDRTsNXHjM4uFiNQqWIPzK3lexO+OUTtGcDxuuDAnpXGfNZmnvwrNLK/z
Cs7SppCQ1z+8VlDp5uFKLCaRGslRQDINdMDVnsRXhflQ6LT0CxWWbii6NTe+MxsQAaS/E2xUkozF
snQKAPtGUJB+SMAeFkD26xSuwg3ivdpV49u0lJISwOTlAZ6ZTUoOgNK5th1TXUatZKlNTUNUvbWQ
ukGfw0GMI69vUBBsHwYQqhsg7fW2DLu1nX+yOf4UjFBOVUnuuKQW35bGflagzoAHWgQlTROZvicJ
7FYMm89Goa7yZ7nqaK4fz2AfABEZLM5sMsYGq9CgUyifAoL9mL89bySGY6JwNb8wyYKW5toIlKoY
VbEvwszyt6raxp+BokNpj2S8oqx8bkycKySFDhJ+7IjjMcVGaIRm0RSbGDIm5OYWSmunaMmaY+LJ
STkPiaybpUFFgN1+HCec0BDpRQs6W41Hry5Gg55em16XQ1uvnCrnQiH8ZSCYqVLfnGuY73d20/tZ
nsOWA3MJhJJyh+IV0/hd5mL86JnMoEiK2GrIkM2GfMeRytSRUAOLYlMZItxVmAptZC/LlYPjZF+5
eAHjJ0DCjsgpQqDHURxMPsbelxRRhHPnTAOFUatGenWg9R8Aj49RBUor4/rybj7zFXXefKwJYjra
8p0+AnLCotrPKXJ0ZC+q0HY5nrJPPqi875dDnVmDOtVKVJe51uhlLjIx8KKlP42gRFyrw1Yj02H1
+cXHV8VRkPlHvD/vtbSUSgA9wChbf9/EDTKPOsg5TXVXVI7PzRdlSgZEUYHRLFRi1WZA/0ZVyClD
c9jy3qwgwcTtk9YiopTqfX7tBqYB+benkXz5S54+VlgruN1pOGnAI+W1cjzKieZ60pfENjCa2oPb
ld6Q0enz86r9SeLXeNlAu2iEQHrgylM/GSC76FqRvdRmVuyl3sefL/+mc7PLvFom5gWzzf3iJ0lh
StUZWEixLd8QRFJ2pbS6lRLguSD0szj5/2jkLisIVtlPYV2YOcz2Cg7t2EdW49XCLayVfH7+tUf5
PB94VgHmrkEKHfH/4w/sG3Em9JFlBFpygEcEc1T0yl6l9Yxo6D/4//9YmTs3LNTnWUs2kHKk94+j
wS0Ff41A2sZuTP82prN8XXDIeh+fIaQUcVz4o23sLo4xO7ErfQw4MCM88u7yVqY7JHLCj08Rn43H
FgcmE7X8cnGWK7EbcoyNvS0fkt41wF+CH/vwWIhCCYlLjYRSW6w2Z+qURpk3QBzqSIqMg+YVfuas
HMmn5QnaXOC1eWbQYpmXw/HEpNaUmwKaziwuHt6hpYgIY9Df6PRYt3XeP3ZtdgeSBvCDtP1byuA3
Foioq8tjPUnz+BEqcpckeJRIqA8f/whQzC0krQQkImAjdRf76PldR0Gaigez7ZECHHo3Ca+rDvzh
x7cBzwR6gXgCmA5VmuPQSi5NAWcp34yYQwIcFSBl+iK8g9dvQFYDI7AS8MxO4C7SqLeTeNGbXKzR
VrOHdBKcIkCCYfvWerW3Keyu7ITTSw89a3sua2HzRCtzEUWFSD3AE8pB6UAgQywzvx6zyb4GSi5X
ltDpQUIojDvY1EQkVzn+gpyVlqhMvmAem6HijXkChVZMUn11a938JfsUndzL62WelOOza7a1NWY3
F44vFJSPQ8oYjntQ6jkwylTxDLc0v5RtP/1VtnbiIZOg/UW5ZLgtpJ6TUGj12+Xwp8sVRVTyBIva
P8mSubgX0wyJyQ6m40bAa/cSy/6VVPabmVEQKV1AUK2xlnSeLpo5Iq9ZmmxzaXTxjeseUTtNnZka
isZrtmzbK7ZKtjKT86JYfFaa1ADhTdbnLIF9/Fm1qNFNIwfjXUVKNW2dLAy/ldOYGl5V+MZjGXdQ
UmJHIj1mJ0m9dkecWbMm/V2uJSyn4Oou7ohqKuw4szv8qBO/3JtBDEbZ9VX5kteVHq1swzMHn8qD
GYNHeg981uUO0TUlNvoGja7Rqh+pfMUvqu/GXmdUiYr3gDSfYz3lsT74PfJsGlIa9gx0Ll8liUbx
0Rcn8r82zxYGjgYihfbFl0/qpgLEx2Ffgsyi6N381Vuk+5kYXPi/fnxfO1/UMpAfvsqIS3edkhqA
Aax3juOK1E3MspirhqOR5NsmAEJ3cDsVycLLW+bc3PIuw4MGWtssbHwcKM2yCHgOLqlIAPmv3RjB
Dh9V17/Fh6e1Dx8P5lLPoq0OtpVi93GwBjF4qTSYqE+GJW4KNW8f+gzAdGfl/cvlUPPELLaMRQh8
C6m9zgv3ONQQ2c0UmSlrNjLG56hRx1ensbtDnCUJFBan+HU53pnvSAUf1At9srn5vRhaYihhii4J
5zo+7p4ieVVXFfD8nL/z8SnDnIdu7Tw0luXilAvRSwzqBg6HOxpohxhga316nZkOtT0jzb48sDNn
KqZIDIxTDntCoR9/yGjIrCRoFXQy0hSdkVzWEUK7AxwoH73hX81YdeJQctesvHHOxaUOSUjE/ecE
9Thu2/RqouloC6o9DWoAxKHxoI1IBlZZKF97eCR3TieVleTuzDSCWyAFwMKZPv+y3Nphu4j0R8Cy
aSgi+EDcN0WMwplt19bK0XJmheJQDJ5ApZhMp2XxYSe9b22kLfKNjwbUFm4w3EKrc66QSYq8PkNg
7PJEnhuao7lzmwUzTwh6xx+0BI1aDg6CinltWNeaMmkz8jj/PDlhsrJC59NpsfnI2LA34huC9lr6
yBlWqTXB6CPUFITJg1FFkwf9VO4vD+hsFO5dU8MshlRqsQ8EOgKpZXKaIN5b7kpfOLcSXZ2VktzZ
z2ZRoACGQbnaWhyQNe4jlTVCGEGjb7C3AN5wJcOuTCm90XREuXJEnlsVFLDmdwxJBbvueJaEmCxE
0TiPlaZ57prpKc3BkFvkUxvUpcuViToXjRyUiqpGodrQFmsQ6Q8wuAWbuxrL4AbVJqC1cWBfi2Eo
bqd+aldGd2bKOJGt+Vy2ibls7ca2VvQDoLRN3xXArhHS1DoPyoi/lkWcmTVCzHUzSsVI+c8/5F0t
ZijgJjUh+5gSlp16KQgGz45z5ARnQt7z5YV45ivyEWcTQZ6eWKctgiH3PmQNOi4b7NtQHaGtWv7M
KsP0N2DiVYPegyE/fjpyY7vkugaX9ond+pQ7KZbbWkahOPS3sRJ4+MEh096iIWf41bAZBrX3Lg/z
3DclIeHtQpJOoXAxTKsAw1XN8mtF24TdNQdok+yyMe6KbRijlfbfhCPlnQvvVLm0RVFSNrPhtULt
CK7XjUZLepekSLTHhrbWVjhz1XD88pafcxOem/P8vlssaVPhz16rGQXPqTlMo6k8ToireSWcuB0q
U+ONXYb+18tf82xQwEk8qvGaoTByHLSCEKuGs4F1jd7IBqJm/JqO1qu0sgpmW6nv+1oaKzHPPM8w
CSOrxitnxhkszzJnoo6gQ5zgpYSmpsxu3GJIoNPK6Cew+vTNTEXlmYqorrV+WLONP33FzM0pc36N
zrjf5eYX6LQPehJi7YCQ+1OLrgZkpyr4ofhlez9Bst7VPiRDpahXbr55YR5fR3OVlJ1CV4CCwrLZ
MWpuDA8Akcme9tsTljBov455++XyhJ4Ob0acOVgUzQbOJ85+skkVbGe5z9MmBHtfhpn56LZTHGwq
eiB7U8/MjZ0FMMl8evFriIbTM4joM94IGB+1/OXt3tlZG4b0GFE8beVbMMlOeg2OU9neQAriDV3A
4Mfl8Z4eB5QpWUjcUrOhoLtI0KyS7puB6tRGG2L9mj8/4sJAxAQ3tv3lSOe+LPAwpDXovJMPLk6C
TslFqBokvKJA3QJ5Mw4bmgY5bF0XV3qVJpaPsl4xiCK+ojat/vty/DMjJdnmvvobk+kstg1vB82d
Em7JzHfRNhiQpdZJS+vG3FkdtmkrB9/pLsUCi2cEA4XkcJI91ZESR0NTc51oSfmLC8SL+yj21NhX
d02T5YcgHcvvRW8Xh2jUjZVlfLpZiE4pHYSysFUg+sfnEkIIVtzWRAfuFd2qhSU2EEe0D2/JOYoD
AoDmzwxXP47CGnUAb6OUTWnbvYlG4wFFKeX68rydHYqDMyOqKxaUgXnPvDvXa57zClAyPmQ/FY9g
1f2RXrjo1gBcZ/YexW2N5YlrKBZ2iywKdxYz7bM2wzDMMD23BGrvqmlwDUhvuHGcRvlwSgqAXMzN
DvRndDD+i3EF2pjDbc02ihLpu6RzkgeTuhfqk4PxePkTnluL4D9pQs4FSyohx6HSCIXALIQ+ZNt9
fS2iEqcN1UAUaeyT66KGhVXS9n8yq6j4Lm1ZrGyF00tyzhR5r1DPR1BnOYMQeDowISTfyHwq+BVR
UXw0nMRGA6CMy2HbIO0/bY0wGKuVgZ+LrPJp544yYjvLOc2VqaDbnKAhMeXiOxMRWhv0DPoIHneQ
1LNoSPwZcJe5dtidOWx40gNxYIIpRi/r/k0Y1mXQ8QAYVfwJFX7hdedM8htsqXglb12MkRoLdxU6
hqAg0eSlm3E8uaNaa6EyBHMDL2+nvZ7E0RvjdOyHbAwS57VW9CBCm7Af16rgi505R567dWDiKBID
CZn//bud6XcyS11jDD3R16anOglC+nkXfeze+DsKI2R4vATgFR1HgeWDx5OhhV5YVejMmXZ1gDs7
HBwTmwqZTRL7XRC0JjC53eVtsyxinoReXI7YLKYi1PVw9oi4atyk9bpgUna5iLCCsmrxQBM1u4l1
5dEfoCjC2Hef/LZZ276LxfTnZwA9BKoDIJm8fXEyVXkISBy/X88JgvbGLK1xJ4K22+dh999M6ftQ
iylFaNYeMQQMvdZF9hx+suNpQ52vTOniqJ0HxGmK0CSPAl4+S4iTmfHqDx0r8EIbhkS0Lwz8BeVW
momewG3hEkm4lDHvMbeXZ/TMirW5auezECAevb/jtaSPRlmZuRt44CSC+2ZQ6HOzgleinBveXDXh
vOEpecIUK0wcCowebY6m6W3jLwq+Mjs0emprV2qOidBtMda2tbJYT4ZGN59tAD4CrD+35WKtVl1j
ozIOa98sm+BKVD42UuBvV4Z2shQpn7vkFBS8eHpQATj+gHIyEs1XCm07Iga4SfrJ8bJIS7ZmO1Xe
5bk6EwpwmEtBGzTQ7I93HKqA9lTFeOtufbJgTN2yyRu4pbzYLf+hf/7H9vnJhGEnzWNYp5wBGILM
+zhUm4SA/XNN3QbhGHTbUU/gzpeDu1NHST9Im4KVe+nc2GDrcHLi/qdTJzoO6Ea58OMIzwJV4JX5
qJlFV34Jm0ZTDGTr7bpZaaktEgCYBawIeJk6f/BYdRbpYBRbpTq0PdNWi/wWh6PigBpWutUUO/jM
9YuNZQ8LP0oH/a7XUUa9PJXnvi9ZN4/kGbdjLIerKa5LyoueMEvTOSjTrMRoVdShBZLepZGLp4/G
46PScubu5cEBdvP488YQR5Uy1tE6U4S9DRwr3yYDRiSqdJ+6TjdXasCnW+8o3PJlUwRD7Ee+ASM7
iY2rOMm6HYJhzcrWOxcFzA6PbxJuqtqLNdN3YPmR4IcArQ3+s6PSPNNazfhYy4qVwqHF2cj5Nfd2
lokLeteJnA2esRtC9NoVeebRPChWCl+nY5krvSTzM9Jvrn8dT1A0Ja0fYADuFfYsSd8GzUEBkrTC
gDgbZS7NkHJSr1iya+oc2cLCUSJv7HHQCXKEqEJRr83+6V7mjAe3BAwakiaw3eOxUCH3R710Ig/Z
vXwjpYBwip7Y1eDTI7+8rs+GwljZ5KSfKR2LVKiaGGtQMiBs+kqapqC8ay2zETJAaftyqJOsUp1Z
3PQ0eJ5QtTsJlc/02tnQoqyb4OcUt+mLaQblvozMwaudXLkJKJOubKRz47M4Dg1c0ymCGPOEvkso
aZeWRtfSOHGnsvo6YSt8nTumck2W5a+EOl0btPtJRGa+A9U0ff4p70KJqQzHAr03r+in/ODWye9K
t9Y6/qcfEQQKkA3aNVwt1vJgqFHSbAx4pl5h2OMr2s2T1xTZcNdTYroXEm3gbJodpC5P3bmhEY/h
0ZXijlkcFL415tCb/NDT1W666g3QZrJInQ+vRXqJwGyAt8G9Ihs4/oC5LdJMbWTkiXby20PeF7W2
n6IKGaky1Zrm+vKgFtUjziXCgQchHYB/rhqLcOYwhnGpkIpjSRg+pjGKGKM9oEZvFNqtKrHe24S9
r18ZsvF/XA597nuy53i/apoKIXqxwYepLhAKGXgFWNbgWa0W38WNWKsXnY1C6ZrjEF90GP/H39OM
Wkpnvhl6ttZ1ex0F6b1aqmvV29ObmHcE2BM6hzN6fIl06XA7L8vJiDx/Ko1DEJfTU2aGGIvzXu03
8OTdlfvkdEsDWqK9/adcTTa32GcNBlBCRXnSCygM7s0M5Tw/bCmi5hBz1rjkZ/bbUbDFTKFxZOAv
hFqlg7PlpmlU+lK2kjtXvEcQIQRaftfZdZ3uLi+QMx+VA9lChGKWagDmdjx1biZG2w3wDaibJsi3
HfAC3KjAxFizm1Atr2IjD9OVXX5urNTCqb3NdQYy5eOguW/7EgWK0EsHEfnATAs8grf2VPcqJrOD
PbjbxpFdfwjaEmDv5RGfmVULmjkICSoPzKp2HNywUTCr2zb1MvIvVNMM/8XqGx3vprz7eTnUmX1B
9+gPhBZ2nFi+a4RaBMDrmtTDoKjfyUwIL+vdaeU0W4my5C83rZ1hkdGlqFiSMXZqh0by5P66PJST
r8Zc0VnkxUujltLs4qsNvNtoKEYIUsVK+ZRQAPdEXfUHpOSsr5dDnRyXdLBnyAUm5pQNuIGOJyir
sirA6aP0IjyUXnzQWP41FtIwpb0c12/X4y7vHTlL05XxW9S31MIv/wLapifj5RgDHklyPP8U6o7H
P4JedQw9My5xEBQxDHRl0hMteexw9UKryUqNGqC7FaZT4m5Gp6pRJhJOKnBiUGnX4XHihkJN1ecp
1UeJahD4C+MaG9ZC+SLtzC6arzjhRll0ZStdrfzK0kjxna0SCh9RuzBGYinaiT7AmQS1PozdMDvv
aPFGh8aNKv2lGwpXybeWlP3832NSon8vbZk2v9VGFP3XSZss/aFK7Sr9hTpd0261dsRRJVLyEOm6
SG2i9AYd0vBG2IhX0hCLuvHbILOGpjivVxR291y+frsd1bjrEcDiZca9j6FU7EU6HqVfKLBoxi0E
oVr8cmtoV68xfxEzpRxGlpptQ6fTgl2NU/cs5+f6qXsrS5P3Nu3TrH9WR8WCs4nKoO/jmp47MbK4
jVu9DoZeRZ+q3FR0vHtcn/IcY8nN72Uytvrk0Seho36FlTnM7x0NDD2lXIBISymuKom12aFJo4jJ
SfgBtgdhJQztbYouNxZwY+ELD6UyffxMwVHNfiVFZmnhoUGd5mtZ82jvvKTKC+UBjCwyeyhIY99T
tioSadLsUNpMLdAk39AQE9CTgUJn03NhFeBY3QANqd1Qi7LZtmiiRU/1LEmTosaltO7X2W+nfsMM
K5HtlhJP1j7XSEOG2M9lUVJJ3rO+q15JNM6HzygXNjFPmGDCxHSTREJBSzfRqnb6aqHkE7yGptOV
CmaLft8l10mL4+WTLdsCuowtKbM89b2dJ3g+JEE/Rgi3ksRh5TrOwmMV8vGCihXuYs2XaURXe4Ad
YU7Kk1NjOflzdoDQgi2msU5Qe1NfodNIl1+Y7XOOsp/5bw0n4gAzRK0updjKoLMjOU93hRD2iGg4
LhIB5jYIpjVsZPcl8scUnHpbWM50GAMzy743WqrGqIqxbnvu06S1+zdOsU4Tm6Y14umxbB2NmqxS
u2OtYzSSVWawjYNGbxEqdSbN/3ddZRoCvJFv1VAVEExTxTcHF98aFrsxTFW3DSKlHL8X0p3Um14r
jOnVyKo2eNbxQsleYC8OiWe6voL8qqFP9sYRjZ95aHuP4j51Auww2PbF9CVRQIxA520tgld9ad/h
JFxWmFbQ8NznjqRQj0R9W0vhwSbC7OuqHBP6nain4/v3PTNSNuo+FaPlYLQd4zIEXDdSskrc6pWW
It45+WaT9IdMKriPboV0fHw2J+wYyBBbVKYnvEa7tJ1+mRLZRiwQZQ3yB+eoESeRPbCgDCfFWlWm
EadHMWX9d1CVCjZq8Nr97E7TAgVkKpI/QJE3Y+4E8Q+zrIYCQdhATOKzRZZdO9B1Rt+NNlMDLKbd
cMCauFRHiDXKDeKTLhYpM9qirm9sledO8xDnwkyq66pJZNEeMMiogxrFvTqxLa/QMUe+y/QILz5k
jNDgltcNp3UELlp1YePpyNmYW81QFJy2w7Z3Cg0Z1pTj69VPzLFtP2exjt81Z4hr9+pr5efAlcjQ
HVPHYLrJFPseBuEw4FXTTzWuRsGElnvvjq26q+sRkKTn4nRYPeLRPpZXJUoiIU7haZPHCJmbWu/+
clKNXse+iUbrd8ORYt9inF2LNzvU6vwltdEEAOkHQAmwIRzW/Bd+KMLfaB3ZwrYfwq67FVZh+y8j
r/P2i2jyKjkkSWBptyQhYGXFIJW/7CZF6yhsx+K68icciE1fRc2hL4PZP7cP7i1fk59wqEr3Gv5+
n+ilFfR5UtutzRcnNBG2o+ZUDdqG9nMuMV/qeijDhV4ayjdNr8fiJ2MK9W84d9QgdiEguQd+Fo0H
FRcuXDyHDBl+INYiua3HzJ8dg0nat3HkauU3vdUcBRutNC2LO8X8H47OazluXduiX4QqBjC9kh0U
rWBZwS8sSVtmAAkwE+TXn9Hn7Vad6213NwmsNddcc6ikefaIIe/vXG7g/LGXld1IYp66912iKr4W
OunzbyAEcftUKxFHTxPkrOQd/09vTqMRVXQo3W7ZztSu25QuFlQjiFnR5j+GJc/hEatq1Z5sQarp
F4+s4ZnLXSwuT0PoaTDluaxJAhYD3wPx9svg/1RyoVZMhRk8nmqeEcc+KWkD/QbDXtW/NRSd/abE
awsTStoc+GxexJOjr+Q6hmN0coKhsO6VpdmDwbOv8K7+LfG2Oj+wmaESkn3uyllk4ySk9+UNkF18
1um1DfcDWxkLdAqiVYArpPAxK/CGqykvTtSh9Hs7ZuGme/0TEeLoNCmh2yOLumXhTclnL8FkvkYV
idBcSoYHvQQdmOyhB/Z98wPcKO7cTpqDNLbDOY5hX7Gp6ib9fSUC8hQwxwByiI3lPMfuMM4fLV5Q
Fu5CW80cja5yiQC+TH+Na8SUBtZUWIkcVcn41RYMS19z+D7/FbqrYyTLZgG9OnfuqyvQ6zKfZ5HI
y74Y2u9x3uNnTF0z/ITWKe0T0Yr2quD9yu9UCVwR0kTZv5MOv6zp6C/qY8TI89xspv6PzMWpveqM
9Z+6dQ2f2EUldvtyLXwUMbu+bCGO4Y1e+3IGtejECO8lxOdzvxOvcSYVh0RlKOLk3vsmGQKQ1Q5m
Eiy+7atxI36sbRfXw7A5ZPbWeemkZUf8AcGNkmyCoG+I3K3DICe13gEc2LXN/lkJ7u/rbvJ6CfIM
xkNdT1N7HHpXgVfcXHmSji7OdD6EUnSb6hyMbFDj4e5oMiEXjOKHgcHFfF75HB8+/ssm63PuGPKQ
F36UamvIJFpwsk7ZNqyzuh6rBVKmXGKcadQkyQVkadcFCrIY7U1BgMkGildHV6odJku2zBq7B0dw
DaXu5a/KZuMR6q9h4ILJcE0I08R61sVYV5TPHHfe2+gbTXj2lox/JIjbP0Fh838lS7xP7kC6Bt+I
EM6prAwGHCcaHN4HUydkescjxSrpQ11IJm1r1ZMxux7Pnhzr7toa9nJOsz959o9iyb0/yB7UX1oH
I2QiZXg0Q0I35THfYsdkNX/m4fI7IIdvyhCCnOcePBKPKLKD3KlF8CJupNjyT7xgFfXsfSZr0AIe
IhbjgJu54jM4dvLPldh7Ftr3iiRbfpoKgnwjTn41El+liU84oV12Gu9dq7yMjqo91bLh/0QDpgYv
FMCn1K/d4nVQdZ1fkSm6kuhLpYLtoo4TkyVu013oG3F5iryalJtknMPpBEDTYR0p2YlsN0SLIzUt
uHlTskwJaWc+7ATHfW675zUa2+A3tDfQjWso6imF/dyNqSqJSb4PgFKyfV34CbjXYo3cg+H37H71
u+NdmaJuEQJ9uOL8ISGpLqPZ3VOfbSAAItHEYTbul3R53S7iAXCgY75cA2JXxJyZaR8CmDqURc9/
1lcRaBmYB1R8cOWCAne4jm6Tpo7kOW44wyndE61+gDXa9SckQue9bTruE1BwlX/QY5IMp2kvHD6L
O+qMagkiAZTWxAdROwSvXrBBUdc53v+s9JfieY8K7aQdbvtbu+QUl8u6UuQte5d4h9DIwgJCBHGQ
xqWtHrfe8/6OMinvqsa0pKlChZw4DJO6ynS+cDCuuyv/DJ6z/RVG5Qmp1LJyn8n8Ji0hwNrQvquh
hx1K7vw061+8lkDU8MBz8xGW7ojHkrr2ZZ+F7A6O8apbmA4zeBHSJslnVQYgX1GUsX/FTxXAmJ/L
FXAj9cPzwopJfcwhOuZAF9ulvAIcA2VVYc9R6cLqUnTKgY/Ywy7ytkxLY913uYqLCYoNzvqEAgp0
xl/wmuaWqOPdW6DDrAEAubOgnu7eytpf0y4mFTYbi5mzi5lwBJxiZS2yvRrYcX1EifOaA0Okxb3u
o8llK0zQs/B+hZVYzriUbH2lZTx0t9QqdG2Kn6W+QmTgv+PUczAeRit3m7K0Ur4xWG9/PHcv/is7
s/5HFkz5uRaqudMBDkDcFKJ73OtZvej8wshxeKDeZ1874xnCqH4ZFKSNU926EFojGzYUBbAyxCGg
oPDPoWtdde037fhCTH2AyYV+v50yuC3+MwQmwsXZOurIU69D7gLBrUXueECQVd7IuKIY1DSoS+OH
jzDEyMXYWWBKTvjyIX6KaIjsn1onsbqepKIcnhYnOu7Nwj2UjpX24fglLRnzoRDlR12w156y9Oe0
L/W8reNhafvcP3MUm/uIiTVrvf4eGqKjkzCV8JjLFEtF8s8ZPPvPmUTybyTqG3panfdbNjtzwGg2
HrnPMNXBiJBuC80poD3H73LJjrRu23+uK2RbTKp+q9IxgYDK1h890JQAGNgnMfyJ88h8tXoT/o3P
WvqZmWkM8iOMh54YEDThE9sqqsvItcZ/UUK4f11MvvC6mL34S2rzCp1B5p/JtImn2ffmp0Qkqzp3
VDyYNCGvshXdMvE6VhD3Tqtsx+qYuDbO03KutvuVRGPnBBLJfgHhgTYOfmj6rv3etOTLwLU55NaL
zo3DhgzCTbF/jo5cGm7OWNurRY3+17rKOWKPZzOfHYfHfozmuL73as/5xy7/+msRS8ej1I/h51I0
9UsZEJzBGmMz3sxhQYkUMF6BZolbYrlqMN5uULaq9p/tHfGlR1t7nG/b9rsyE4kwo9mbEtJeL5md
tov+cZtxAA25JUodNyEblALbzLeitd1Ag7D1/wqg4383vyueZq7wxxBc5kc5BXGbLnxr3xEp0TB4
e5daX/Obp3h9Lpw6JagDm6a8rOrKERHRISXcMkUt51/JQBsO8UpNdFUbFMoDOQfVo+u1Vp86pyLx
eXOJNzot47bAN+mrIDrj+XA/wkkFYcoaviBUIOB191i1jBCq6OEPllX2IZVAy+lKGbzHzJ/ElhxX
37K2oaw1NzuDX3laPRr7owcWbE4nOU3nqOa7Jv+yncLMzN4MImaMeMjyRcqHvI/LV3TQ5mX1ZnQg
Gr8ZalqX9A4kS8MZ0oaxfVZNEfwsUIru17EaAWqUwpfHJKaIOQ22jYG6zJdxjpO7xbXbR810sjZJ
XrjTTXVYgkrf1qGzTNeDacK/ZMSLe1uLPTi5cVm+QcndZwLqh+S5TPINnsCo2CsYfRuAlCl7mL6u
jdRV70pdZ4Xs5H9x71tsODpvbsFE7a9ynbspGwLiurPc28Sabvwy55Zp63palnJ/Z6y62TtOiwBa
rKe8Yyvjac16HAaUs11Bc5fz4fl2tmR7R/bzXwLlF7/VwHJvWk2oS2kBLDw/eMCW/jUVUAVW/C5H
OOoVrPul6ggXR2Z6jCbwOSk/ocsXsK9hRuiu80ACm28ZOO2k0EM1BWZXULYHmWikcx0sKx8zYfGB
FMp2jaKU91l+M9PM/zidHN8kFvq/zCi226KZQRhNcPDe4nUx/6EENo/D3LVfdbD714aPOWQM32h/
LTMjYjLw+eNCgyRw7euxifl7540nSuTTeswdH86GK8llh0/TwXRSXjA+NySJ0Ox7WCM4PaP+caFL
XcEdDbWLS0cEfxdQY/dRWA+fTaXkmx8JsDKjbKYvNV4C1m2D/pnBzAyJhQvqxkuHeYw/Aa5QJM9l
QiB80NsBnLhr7vNZORXrVHa+I1KUIsVxZxf6edQYVrl6EaYbfceHCMrqI65Cyb8bwJtNcW+Ys+zq
XKXbMlhaIFZJaf73yvRneF1AJmN3byjVAjtBePfg2I6liecjVdOmMznu9TvW/PzRm8N1SVv6oz3D
dEnVxsTVXOmQlMJ06UKAooXPkv5NPGzDJxFs8iXcLxTuUQBaMHqK34LCd7frRBXqpZtq8z1hq75n
MwJ4SBVWiU0NyRfv9OztlHrcwCz8Vz2I3kVzBeQlGZccsWH0ZLUTvc1+RyuHc1i+lsvC1QGjhE2f
cFC2uZmc2r9tyGLlCtO+mQ8+rKH3KjZExtEz5DSksSRHCj6SuWt3PY1pJ5t+SXnFwy8h1qY4lv3a
XPk1HXHWFEo9aAhDAL0Q/upz0+f13bATjnDOBXB6CLrRT9FKfYNnniqmWSgx3Cm2LyjLEVQZnecQ
rWMRl4c4AEDFv0JyREl25e8rhk/fazMl4Wma4IYG4UJFr6d6rzJvGMYPp1+TxxB7Ha53TQwJsLa2
GbKEREiojOTqpgxPq9+k+Exd1k3aa07VuFB7xWRW+enkF+3vORHRmrVr5+/ZJF17J+MCsgLUxOo5
rrc+SttuqqKTH8/uid+426ncWG+GLyQ+sFCx4s6iuzce4AiMdw0bceuVYkT1Eol1KG+IgOdyLCmr
4dO5VsCrd+xydoouig5DELOZHhQcMhKx7CZ3m/1hnJo+Oe62VLeb3oaABiyADpiIbXyo1pBbTUcF
Q81mHvRVFTEoOu4qKN+DvNs/+8Q6/YHfUN3NdvLcQ7KOPNyNytu3SajuCz6BLLKQCuWbIcN2X0fr
VB7omfWvyW6ieXSIX5iK56RDBD5Y408DpI+5Gj5cf2spO6pZzr9k7hXhIdZxv0FTFM6YashUhO/F
E7+CQ6lOZzj6yj8vVRKx1lwNyXcYVIM+9sO4rx9rPru/YwaJV9viQH1p92V+N+2afLdQrMpT7Gr9
So66fJuNqIds9UX74VTcuqlDx/1nF3VS0oYk5uQOIU9pEs5rcxTjnMRHOwNSvxrQuiFsaOnud0WT
ULPstMW/QzkiL7qQQbcMxqdsDlUHCzcl89YABgEnqZA5/Pa3soQlkKS+a5HaobQfk6wpQ73I1dGx
bfjHHMzS81fbuAer4uybvad47ullt2brsxZFrzqykQ95smcm9CmgcsTFd7NfJIXN6funGCpifIQP
iLNwXXugx3sVaJSpaJ6cTGx2h0e3dQOkLibc/7wtcggd5neovKsgWbu/fT6TfZpHc+9naMy0NRt4
D5QeEZruBv43aJONCwl1iEg/VOKhgyam9z14nOtV3S2OWNnbmOALA5oJAXCVdiBTvhymbj15HjUG
9pvCp7WE6YEwzkLfcz3MnsP/+2J+uX5N3Qa7zWlPO6qvzEJdhU9tg4cgtdvcobiBh/pFIp4fpVMX
zv/hKbJg9eAjdwfsrLo7tIMABTl0SfG4bIThpAglyjkv+GbXQ2DJWs2CNokBj6BE3DfgT54TSfee
TZvR7uX4bj4rK2eOaebz/PGKahqGsLu8eLsExdXayZ6x6NePoy5c7xCQC/E0JaQ5Ers9EQCvQ/jl
aeWWM5WAM3quOM0JktFrW9bFftjrYnEzY3S13yupaNUCrsE2jVkessduF4RqimZfm1tYZe7V0HUg
rjs8HC9gYvlnWdHEJVqFNLDQTcULVbEvUaTWjIpGNAyK81z4MdzYEJPCIcjrCeo22eAgwubcfoJY
npxzSZd6jabqP5hoDf+VPpQbzq0C8vHIAwR6sml256T24kJczr3lZQ1EK1LXrbaRPAwJwjYqq6jN
urbD9r31tbUxFgx/x1j7gBVW/VqJVQsyhsFgqhBz43uGRMOfHHOxgwEAKSSthhUQeexODAKqtd/x
zuUjdku34m5qXNl8AYTbESVlol5yXAndsY1EsmWC/uAxAR0I4szzgSE5zrijM2+Nus59D6sEnCYg
nQErVfoQUbkO2cyMD0JTvhsaACuBpQZ1J38ng0tf7bL5+MzIx0XC6IGkBvTSKp1UzExqi6buca4o
eQ8wLNR1q0pqjKUQS39Y1nL58vLNaaj31u6uVm3jXntTLl6GXfpP2H5hwARTnqCwOnoYji3Tvvvd
wBpDOw2mP/8fMqTJknQ/3jzYBwFQ+1XkkP+OydDXP/AcuU67xe5f6yYG0Nq6/IG0Ho40B37+0G06
5AjKjfe6NJJ03QX16SryjPedzxx5fFSeMeaiO+hFq4e/kRYI8/u+kLIFi7FhDZn4FtLU6uDIPScf
mKCNz7SqewcJNtjesSyIv5rJBBdZUlpIhrMr6nviS5knFVO/gAOLy+0c+TsUhM6Lhp/BIaeFaj38
EWRIOhnNKCw+b61Regc7/hG2pbIup9m5b+rLSWPLMn/SXJ9Ttk7ucstwhI1b3L6RSPNqdMN7G+wy
ZDTTNk/W3ah3+Sv1g2dFSNrhwn0XRwuH1cBi4nMf6xpWbR4BXd69FohkETXIlORdx97V3EvisQJS
VYLD5OrtH9/Q5bCi1FRZh5z66q4lYqma6bbSQCJ7FGu4wSKzE2DYts0ZhHt7a57UJV3glGhvu+PY
88EfkTu0pWEszL9ctPDotC17WuHFN8+1TcY1Y15ejadEaoJePFu5wHKn2slCnFqPI+X/wHEAGv4m
YnljZhveOiTPl4UNTlXedkDhOOtYSQIetF1LdvN+4qCuZdq6s2wzHpLtfZlr8VK49QCRbhuGT61y
1NqFCH+VznbpHkOSUb8Hbp4HlGb3keBg4z32OFNyJLtWQeK4TIhtrd3hLUf5A2Lnb/Nj67hje5uH
E5igntcrPLEWyPyvhsD+bCwz8mM7jtTyflwlFe4eYAoZbt7yS0Oyo5DlPOP9G5RiTNSp8tFjA3Y+
DtMyHAsoVHVqpfL5fjePomJonPBJMT8l7X8vqBWM55kvaNpDfdQjRzGQT8sTGxsn+jf5zvYst3kZ
b7s45MrZ2Hhxs2gJ7Cc6eCSzESfyOSQHt7yuJB7yyzVnO0ZNxqf8MwW6HdEzXp4h6+7vtV3cD2ie
sZsunhK3LLqbnzBaEZ6J7CbrtWYE/DY30RJhJAB+y/cQ9dftKPgvtwNc5CtfRkDbehUH/5h7BEw7
cBFchsUte1ZajrRZJLw732gnyOKaQ23JFOND724bWudPIySDfwHKDSxgxZQfHTlnGB+V6L8H8uPM
s1r97ctiRP7gAwFsodlo9DHa6iTMZL+M03klhP8GwQeMreER+k21pLGS+Tn4LhPvwj+DAvc/nEBX
r1hky78z2uwHCZ9ueWZO3b4CyQp+ht2UNqXocdD8mc19daaXsFDjfh2OwZK437jHISp7ec3iP7QN
qa4d1axvei+G4MYrdT4cJtwgPMgkN//jfbQ96mHPnLhaQO0BDAzj/hgqUXbHcajkLTjZknGT1fIn
91uUANfE+aEc1hBCXbXjLazmwBF0DEaMxX0R1C2fmcmAyCzP63Yy8+w3UDuVuNGugRaWs4T5o7p1
eur0TlEr8jGHrY1cDdxbBxYOr9P4zu2eN0OeEkYUfEBsZyKki9ibTjUN7HOkhNtlSSDEdl0NpfcC
FIY0AMctqQ0iQ26LmVzUmeJSB6RFnncPjfa7hsMdZKIALghry9SkEu9uFz05Y7gUp1VM7d+oozrK
Ko1YnTaiCLjPvKZ7mXob/Id7Hn1Gq9lE6TCxDSPfJemF7r2/bd5+pwZZidRXOWrTUgTRA4buTh1i
7uH9UE5xz6Ekgpm1uoVEiFMBy6U5500f1bcexwfKc9lP7lEmQ/VSqwI+pBesojoafEmsb5UesnI3
hXvmbTN+Ylft6tV36BzSlgyLgj8+7IdQe/uUckUy45i5aX5G8nvlgYmPexNCM1bsviXhTQgE2SLo
r/Z3yVf52u07i822TiqTCcXZly2lB69RaNN3JySh4nEsL5kczRq6r8Ip5ze2Wnj99JxjQNnazo6H
UsajzArRYcWQeexdjzXv3yc+AQ5IGUHR6zyfw1ZRZvFyam/oUrdCYiDQhPV2shJHmtgq7GFyytb1
z81EfhO3QZQfpaWJSKUCLqiXSdR3AQGuYRpbx1ZpsZBGlDUaQfUq3sLgpwv68k1zpJR8CdF8bVxK
okOMB0o+76qZ7zbpmOqO6iy8Wzsn0udg0QvEyqDFVEPlgFrjuos7HMDFCASYveDhKYPAfCzbzAfp
/ap4gvTYvIFt7dmDEYZQgz3u8j8qLrqNLco9wgbE1VEfGfUOt11HmXJq0dRV1sALnFmZ9Ydf7rya
b9GAcb21rGNfsXE9f4cLS12OV879L6R7Zl4Ty5Abh1If/kuWtvpvY7b606C+vsouxDqRd6T4ZL4q
qN6mntL8UC2dfJiwe+AQYwZLdtKyWUYOi1RsRZBJTtDmOnxGteEQnEvUcm6SKRqyWlUjPwVgT/Jw
407LVJejfE2wHn2WjWtfnT6KoUV62n5q8qndQ10u4ol6Yn+d6p5/fBS3f6Sch1dljQOeeG3dmkUh
fCc4x+RA0bIVXcU+eah3erd9nNKK0BekBuLkkbm6COS1O1v5GbiT/MMq0vwkBQ3qBYk3fnugE6lH
aIK6Q85Y8xqKraSky8G4V5SkYdYQvmrwrBCZTcCnTwru0mGy4NVvuzN3YfkVyTUAvFdvu0+2Uw+b
VeKEqQ45X6Cb4QmOeFdznoOs8vwKEzM5YczPOwxb6eVMZj+GHxi0MoSpOx0jdzKRU90r8TbNf8ou
gJ9rquUH3VB5Hrel6BhrMd5tD0m9SHuyNWPt3oZtn22RknyynE3J455zwTAbj+3fTjkQw6OV3e2q
FfuL527OnEIpXl9ksdXP3rZACPHclSkc14fpMvwaTKabeDIPy5T3v1rp+X8GTaf/hOzky6zHefV3
w+f6UZit/T2GihIbP3iNJ6zK/dcy2Axb91vl/xKMucsro4v+s1zMxYFID6LSlei26Tw7Wol0mRPu
C7HNNeMkhokvYYippS7x/KZrr6efhW2PvyEtaEG94fN++hQJBQqku29pGVuJ9ypRc5h55Rg8VdEe
0D+1pFCn8+y5T9Zf7VMLm6xDrpT1Jy46Go9tWv6zYGjatBwvT+44yspc7R24YMMQmIc4aWyVCcQA
6KuzXyYpQhPy0x6q8r5kpSDKBukN3L0rf+jUl3IuwUaUCOKNI7bmSrY5ZqGxsNNTMebYKuqL1T6V
ci3B3HuzeKcfbx78AHmbb7sWD90wFY8s7hCSm7taXnvuhO47XGxJvGQBEFNXmTk+RAhprwiJ3YdT
EMxxjJwGLXYZKvcXPkkdZmyXIFbRo4VMoms32jLOVgwblFv6aZvhtxxE7/MjlxPj4wOPPbssBS69
d1H6nQXbuTlXq2Dkzrld2M+4C/KXgMqF7ykU85fr70z2WXyvYMC4wUZzLtby1c2rIL8henV90D3J
MCcefw4z7HjcjybAyM3UdekLqnV/QGNqu5DrYTPDnZCcJ2k0FZM6TI3sdzjLW/7gJd7yvHjx9LXI
SQ5XLukct7ph/E61ZnJGkTL4RLtbOfKiobgyPpv06K+VOTtrj5vHStHd8lFH7AyRV5bZhnH3pwpX
LC0it2Q2OW34r5NlEx7FsOjPy5FAZ8acA/AB1QModdsSX8iM9KOPV5eNh9IvAPDic0OSQZf41Qys
F2CJCfNfe9QA9NsR3/AflLtZDkluio4ySFY3e6BRrYHqMnIJLI6PUy829Uslhguz7dvV4/EZ/BsV
MGci28YxDX1TqJ6dydbfq9mjvyUecEyYpe+8jXtPIxQ0pOtIW+KwKTxAolkxOzmleLj4bzyF9R12
/G+bj02f+bqjwosqavJojz2SH3XjXNVeh4fJ7gw2OaTrvjzWMWV6ugi6z7RmRIfBKFm9a4w4ZXwk
0Y6171AL/1NjgOOE8rl6a704V+XY80og9iePo9f5jx2qsz7kq79+9B43JQ+fXL88DQsoxfgU3i4j
fq9UJ6Z6XTdGZOhQa3DP5vPKE46hsjzOmPkGMqA6SQcfKSYX4eA6N/xwA/4MZcWLSmyBee1iOjQB
qKrz0i8Vh2yuPwbWY99XfzS/tFNZ/6puOuekhZ3kmQO1V1k0mamUOCWQAYECoSE0y43SzDzdy/QQ
H12csoHvL1c2CVpmDG0VjtkgPAReCC0sOxCZz0h78RXvEz9CPuBdmoKQYccS36u1chp0UyTxe7bY
UAy0VWEEGWjAk4sUgULBXVGC/u6ixj9BoEHGrmd/eDe1t/6wflWGJG8xZYZ+vPW/2aMVzR3m3uq2
5rRos2i9dFLMlflHYJGpijSi3nonb1TcsuPN6Dra1/pTlnL9Ya7H3zqoUSUHtKomfhhkiwgM4HCn
ByDnlkmrjoPhjcW7LrgtA1P9wWgwTRRZSzdjk6kEPhHLCpLKBojYw1WBjDbesSg83i+Yy+csRuLa
rwAkdlX5wHzVei+4KvYviq0FD7yNZD6+ToViHeQ4ELUVXQvG95+kea/vtvDtfGYOH5tDQieMr2IW
pEDSUyNoF9EuPhKiz4jnisPkVzmrpMQBVsYU1Mb8HhndY6ZyKudLYInQh71SQX7EEJJgh6IdbQ9y
xBfEdPvyAsh5I5TQ0/HSZ/EgRmjdU4S7jOle8jKZPn7aZ391GFDufEx2r/sz7tr1fl/GHclt52Q4
MAyZnwuM0jMzIVf16Jixeq0Mo6nDDBWbzB2cfxSWqt3Qh8eAI2dwFY1+jBnExSY2TRNeFFEqxgqC
x4aZLXGNqtuj/KpHTwZUryhqM+N4jAkZu+nwRN5XVxxrItPiE2q94m7yPcZxEus4KU0DdIpMD4vH
oMoXxW8KxnU5lqyF3hAa46KqQPMVNMQjj+9qHbIM+rrd8lRtHO/MDhF5rkn/poHGZBLh59pr9zNQ
nmJxWBOXSarqokCT+4v8r9w1Z6CowNGkwOLRZZMa3286c1g/D03f/MGM6INX9x37uhRlW14Lim3m
GVXnP0H4JknLuh1P5BTqyWVS6Lr3KwXNZ18v8W9igRMMR2CS8mOT7OyQ7r43/RriyvtbGi8KDnVt
nes9KEz3MCRmeFo3HTj4NWJc6+ZSzre5r4ZMOjNOMKpwwcq1Dsc3XTb0tjXxnxzyGDfzA2q4fOI4
YG7Elhk2XF83QmB4E/Mjx9S+ZH6t8DV2tZhOa///e0BOyZIax0z3HI3MhvEO5e9sXzRXmww2e8Dk
wEgQa0//sbEhNx56TG79DZgW519hdeyfHYGulyENuFwlTlhvBw4XER/d1aflJGB8+q8tvHGliFbF
K1m6y9NWDgs3TBcWn2Vf7f9cyOX7SQ2J+kq4pIdjyIvF9KGv456omTrCC7pRZmY88Qy4ZSl4b9hc
oNij3Vbf6PL603RRtaYuEfCvTG7RZdZx2u6NWZNPdq9w8DAlDkCv273GpuyL+L+mbvevin6KT+U2
+NjmNlpkVld1MF1GeMGSOVXU/K3IcAUR5O4ECUjUOSad1WWPY1wSDKLa7C2GE8fhxy8Y1d2M6+ZN
qRN5eOuJxBIlzqK6GI5xl2C15m6BqRQXci8yhrD9L3hnznaInNC5CwoNVKBy18acqRnVW284lSni
sBvNXsfRj8mx/cZiWj+yvTvhLay8VhxxgeePE+dTmVHaQzDHfjj/9vCH/+mY17wEwCg/JbfjXWsa
/7lufKmf+nqdidRJqmW78uLF/h7LcSTudB984n66ZsrPm/Hr57nzR9SmdWNRZXN2FEZqF8JRdy9W
8ZHOSITHShpaRDv24XDwJt6aYzFVlvMxWQd9raX1ZpaOVxkn6KkB50PgT/zPJSs831DuO5GRambI
aqjdrf6KDWaJM0tqS36/0Ndg4ory5dnilfuRtAP81K6zAnIq0NdzWWIh23C9YGmYnOZrHWz+klPd
/0f400Va3ewqOQioAY+s3/gf7IDg7mhZCfroK8tFPkxucu6bVTFZZSuovbJ4Op/pTzq4xrU3YpkP
WAha3b13s7Fh9TFVntc0uEoQRg55zmoMdWQUPaJHU20GbALc1gOWu0MF0DJmYDBzPWGo8V+9ra++
bIybN2uaiCqXLcehz3onzh91LfEWmRVUPbL/WKqT8dvwt2g9zDsza3uPo3CnPevjfGblMg5xMHWR
Y168Khr+YjXbxclG23AuWQ3eD3HR5zc8UrI5qqGlMm2Er5/ceIqfISuaj9jvA3FaMBL8zG5lv5aS
cRMiS/0/zs6ruW4s2dJ/5Ua9oy+8mbjdDwCOJQ8PnVQUXxAyFLz3+PXzgdUzLYKcg1GVIkqkjtnY
LnfuzJVrqTf1JMT39dgzTj3r4WtBcn3gvtmXh4qiq24jwfPeODyX+KhOVrEfhMgDEEPw9Ecdh/6X
sfCj57QZlU8pl94fbTmkIelY1pwtK6kw2j64bIJJGkwddg0O/s8kITsjxalHDDftJhLyhlnswNqX
ssMdyc85DcnD4TIDzrdbBZa0jV81xk0TacKAAU8kdN6LKHqqijh8tLzYuiWBSOyl97xJmENdQ26b
ukCRyxCqXAJG7N1XXAkuIDJ4SxsJV+aREivvmx4QtNjWVhmp7ggqwgLx1YxHddJTqC/E+dyJxDIJ
N2oXEKBNwHYoGyk1jfN8A9UwNe10qPParxyvRVTHhcFJvq67Sf3kx9g2GyLNEHkiLitbsypwcqBu
rn72sMJch2XayG5XiWTOQ5P6AhsKo6FztKb0E7ubRuEJrjpmfhghRDfDSXpUBgO+lhIEpsz84bjZ
fZzLlODEmXXXxN6k2VzbA1wJT5LYJqIsfOpDZfrkhV0rAQ2fI85oI7Rf1ahWSmfqicg4E/oT3sxj
OJJ6I3p0mzKrAkBaLtj2qBjSicKx6sa0fKDHhpTi7/sqtNsuGaN+wP6TqJfrkaTvNMS9twUyqvr7
RKqtOyELYLmwLHL3V0rXk9cgMV67XjOONcUWeAAHOVItwa4bBJabrBK4oTYk4DdcYbOIgsQoz+/k
UQIgAHqsppzGYzmRJunaTTkEY+FW4iCpjjlRGu0MYtt+7ZRe6Dd9W0nR1gqsmJ0WWDr+F1DUCSCd
70euRHAw/DH4hGg27SRInZPm1OHjro0x4AurlMMj7GNWeuq70LzVwjgpXaWbEgq2ctB2Z4p/SG+3
VCwwGKWS/pDiTKq3YzB5gzsOBK+2foC77EqMYuVOmHY8joh8FQObFIJEfEj27sPSwMMoEb4QgHx2
uCYjW/glyQZU1kMqQO7zZoTRpkQE4IQcQvMEelYlHZnX+qnUyEA7yjQWgIzNIoIfUfUkMLjYM67s
cnTfSJGO00xMFUxeD0DbTagk+pF7xfgpT6TorIJPF2foIFFk4rIG19O8+Gl6HVdCIrxEDYkj4odF
GqmbxkjEZ/zAvnG4uGQ4pl1lnqVCKaWdp5rTsy/04gn6kE68oqxM+dFrkjKHaRKAmnB3+AdCxMFE
plTMzpQZKBJofqUNSLgjb+AAB2JHGUMk3gVIHsROropMWCeK2mNbVySYy1Yn0RuLtXUYBb/pdz3z
/TBxrg97lRjHIaoCMuFKRzQJrrH2GmgEZ2cODuUGn4FDJBHrvLOnmtDGzgzLCviFFeT+Y9papJ0A
2Msgp7LYvNPTHFgsh5B/LhMwxXbHKP8JVr07z9c/QDliQmWYIOT1LRWT3ve4IJbsdMrAvUMdzATA
CIIqX6wAhjXbL4LRAKmVEMRII3huNzO94PeEsBu8sHIRPAZq1nAfFq3yC/XjekK4LUu++1JZgYfw
YoJLlkVAHnR6VjxKOVgALC1IDFWD8dgOa5TKXXbx+GyN+tTh3SugQnqCthp4HJxJENNqcq+GVDU4
5KP0b5pZGXecTLWyzT2fjDdLt9qIjV/h+FeFUjizdR63ckTIZxMNDQFtzZyASAZmep7RqKMbDOVw
wp/Jan3vk9seNwEMBSUUb6VwqjvO0n2c58rBJFICFSv08lzs86GQzjVlgT8qT5zOemgmjd0DsWj3
aj6Z4ZVZhJlEeN5vjOup0ZPiMzcE4bNgERYlCVSIoPP1CH+36QvpS5JNRNQk/Prou+VHnWBzEQOh
6EmUTO2KEsz4nwbCpRYJFyvTMAwKQTJQtj4heOA/4fgJbGmHwoZF4dJWKajksfN2RDP2crXzkmCJ
Ym7IPqFuoBpLVuHie1vqnEijZpXAfkgHq/IzQrGe3cZluzPifrgVhGSWMPB8pqtp3SRupd3l5pfl
3nPzyLZSjG9CHasvFVuoYK0aQCupTeEVF6MEIHO7F8EIKtR2FmcyFJY9aap/VQ0JoODLjUvLOu/X
1mVRJOdIpbkuLuq8VanAuyJ9bMdJF0HK25D7aMk0V9R6bZKm1+AIM8ddlnHXlnsf4PXI5R60hmX7
uYptJMHoxiBLHCKo5srTffhwKAnKUAhIsEIvOCHKAUvYqlxIs9Qn2Em1mg+UIiEWGNe5nrsrYyEz
0b+wFCNXhYeIDDIbA+JXVZpf/4VXJhOJc5LEzOzYw+XYVJKHIUnRTNzE3LVCAF7EFn1q1EEShNwz
qZbdxBm4G3w7Qv+l3jxdfqIlOcVfD2SxLGA1leWlEEvRq1lPnjvDDmvmNzU0FCBylEwZdjhowzcP
F2OFHOKjxWiQFNA1uGFn5o/FEIB5yuOaXDwlgfKtDtQEt1cCj9uIwwEEnbUrMuq3c0VfkX1437Cq
gzbW53VIbttajP2oCxSLFAXFgJnYz+Sm42kkh3YFRkIBv102bmmW5b2lJf728iC/X2RvW1502cyp
fwR9Q7IRBj4KvghEh8WnVK3k7kBMisT65faWdBVsdF2DjkYTYeGGsHZ+nl9WWT1quRSqmBuUkcSj
D76VI7fIVzh33i8dWkEhkGVDVQY/vW2FpkPFKlnLSi81R22Gv5mpdCQx3z8YYK5X1s1Hgwjj9kwJ
RlIQ+qe3zSGo6lmpwEqtGs6xhlCxQwTyTwpspP3vDx/mWhXRMYXyd2kue2QSVFKbhM4hguidqB8b
0ymMustW1sVHI2iiwC5S/E5VwpIAirqxqhpCjiKvlMsDThKFX9Qqhw5oUkqgK+LIK5xnay0ueJIk
rvZl2mLuikDov3sjETarieYQZhXEt7BCrvFAfdigCgyEHs5c0IuTrzdA0cYBXWzI3wNgD+rpCLlF
S6l/r92AtGhXyAQ/WvtoHcGnJUEeCvHs22UStnqP80KDU2mUAKwbC6DTUP6NmbNg1kUIAuQS1uRt
K3peaf5o0ori+cTxOis49BlMC87g+4awaRN8mpVNPR+Tb48O8NUyhhpqt3nbzSP9y6aG8cSPsnlV
enIsDQCn4zraAUG3yi0VLtAHUHBIWU0gtZG1ubwhPmxaMdgMOgOqaoumc6tN8L6pfib0Iz3P19CG
6LoT8e69WWezIrPQdJ9/u1HIqFg6LBsNWsjFUvUArA8N0lVE/DvxiTKhmCxE7IVn1pD0DX8HkGZP
CaK3svvnzizGGRJY8t0oKGDalpRUnRzmgVliZ2qvNb/IlH5H+CtSt0cird36VGivjO4HK3Z2ChGE
USQOxHfWurcaUH4JmTUAqq4Gwea2FZTfFEnH81A5CWgIhXmkCZcrdvLMSdHA/drQRFCkKxnerh4J
pytptC0TzyTIpKg7VQHDurJwPzDcBj2bm8d4UyT9duFW1L4blJrSv7gYjmXTGg7IPQ1Yvtqu8DR9
sFCRBFSQE4HMFC7TxRFfJqI89VrKmqEI0BUqMGaDVlGBG5JVuivAKz/FkrUmPfFBB62ZGB7xIA0N
56VIApXT0CF3DG3IDnTFClwSNS7ezhcpV7i8KT5YK9bMQ4vEBpo3CFi9HcuI6nPCSXTQgxnItRoA
TX2prdHAvW8F2i7okiChsjgHl7pqYmci4VGiyiLAJHCO+xhgXxB1K/7YB63MlHn8wYRCRLW4F7QU
rqSZZnHMGoBFCynTgO0Ev0t8bCIIgr8AMzYHAjoL8+T9YjYHMegGbhqoVYIeSc8VLDu5m1dCE6zY
jQ+6g72ToLIXMZEoVr1tiDST6mcaAhJTDz9qmMqVA3Jxhan3vXGa+Shh94RIxDBVbWEUZSo2+iEj
ximLWnzEhoXjJqwBhRQD5f8bSq2L8cvvLjmoeSFSRiWCgjP69rZfpLdbwyAAQgZfqEmfoboJFDCZ
PGH7NxpCEhJQPNPF2nvbECL1aI0keMmKUnA1CsxiW4zD4F5u5YMRRMEFj0vkKEPvctGdNqeONY9K
zrLOqB3qc6AaMoYajGVM3gbs/9Pl9j5YFrSnz8KSHCboHLztVa7LXhfPcjwCEDQbDIe0rbG+m99u
BUoeomGagh0SzYU/Qsg9FpoC54Asm3kHCQU8ERQH7C63Mj/r26OR/YMd52RU4Ztf+gGeHsA2NXNp
KqjZAdSGlIWimf4Bx7W8puC0c9QqnOtpos5f0RJ5b9mRh8AhnzMsnGBLNfS4ppBDHKiIafu628eR
Nge3wEw9JwL5wmtB5vp+i8tQJCvr5YP5M+GlhlYXeytrS25sdCejQIZg0O6CRriJNDW166LoV7zW
eW0vRxa1JDKq7DN4jxdnZF4M1NWbALKsxMx21Bh6Dcn0Vhc3KoigbmWnfTSPEP8Rj5tHVFpGIVoF
SSowo9wPzSHcEc+jSjKM9dHxDVm+5fYo3OmaXm4VnNzHy0voo+Gc/VfUPkzkqZTFdjBCose+roHE
B2R0K8G/tMnhN1y5K36wyTmPcZJxzzX+vzha4F8qFMjSQQnrsWHXAAmelQFWUbCwJWksvd5f7tVH
0zdfaaGgxVKaS977CWqTnHI9Sm3SQAOnqPrkCnXSpmCwYK1acQI+7B1X7tkJmL3yxcUbqihwmlAm
QKniAepHnpe8RZ1bQ7KPU02s7ydKcazfb3RWK6G5eUTfccRPMrjhYqLwZUQ2jVQRNVUjRjOHaAap
8JVN98F44r+hQ8d5g1e8vBinfUzZKzw31Cg1VPs44TSUyRPFWEY5ULI99vLa7eqdmAcLBQkRXZ5d
Ywk/fLEDh9QKfJ0MgW2x99JN2DXiqR+g9LLCJtt7JhkcKSxr0q6kpIHOkiWy/dEgL5dCWreyfj/Y
JRZMJCbkyQyBsYx1BD2wSSSacoAvlb9BzRZ8nS+vXTw+7vMvzczT8ItvFOlN0okeMjTeNA26XbUz
2xV6jarmpIrVnFnNwkHsSXOZCfy1RQIZEDTmJvI4kbhi4D9Y1HR5viDMnO+iunDdc9jdPEOlyz5g
bs4Rq36pgR+dW3Kv+67mxnt5y340xMSjOVCYbI0I99u+q/qEtgI8ibahKSVEaJT0GGPar/Tqo4Vs
oObNtQA0Ffy0b1sBtqsmQ4u/jkcXvmSBHmw0cDaUXvbjCpXyRwNogBIjqkxa9t3dpwvFsCxR8bJz
XfWfqJHVnqbWUuttksNrZesx+Nvt3xhDrlszRbpIVmMxZzAmAxSQ8DoqxMNdrwIhSLomWOnYhzNF
YQm2jooJnNG3Y0htk1fIyKUiD+yH5haqIrV1uWRRBX25Ox9NFqchRzqpgPnweNtQhe9rUthKQ0Ij
bgXQ6a6Rd8ZdQdXww99pCrkG7lecGssgeFoPdWMJrItiaIqz6TUB6RETWC/ooj769DcaQ0eUC5BI
DMlYLEIobQLoqfHgO1IP27ZtELwEMe52TZL+jRWBX8jYwcM+j+XbIQTTpOp1SvBEUbT0DjoL80Y3
O3PFPM7fsvCWZqJkYw7QcCiZi1aypNPHcGLdZTU4SrsFO3rAHvefA0Ia26Kl4uf3R5BgH5BFtCVx
fBf+hEJ4zU91EmhwamVONFEiV0UIhKH/FKxM1vu+EeJTWRSctQQxln3rcbyTGoz1XFENyMcr73Kz
OsJKp+/FKuxWOvZBa+asGqWw3mUurouO9a0ioDJOYl3rBf3op5bwGFlUZRBFnG6h6fNW/Nz3exkW
awmJIFwXnOml5kYo6gD4hZzCdrLrX4q5LCJV5P7+8nR92Arqhmxjohi09HYVCkKnDxMMTSDcYGFV
O7+6AdK5xnL+wdjN7heJFi4lczD4bStE0amQMsHZZ93Y3UqSN4MlqPw9qmmv/ymXXvLzt7vFEpTJ
XBHI4O666JaiJ1XoB1xFYBnjkpDKP8LM+E1tauKE3EMQccKgzznR5bkoCxBOZFPHHS9XYNKt4Y8h
uqtmDiAMitRE5mxlN7+frTmmrBmENeATfGcLy66gCqezwPclZXttTJF3Etse5qfLo/feulNigbOM
cCrWnUDJ2+kyU5A+QD9i2DGafJPG6cs0g8wqPVpTwXrXIURKuIYbZI8kGQ28xWUctt9KaEWKEaVy
DL+kuVBs4iZYi49/1Mq8aXWVY0lBE+JtfxLuN3PJLaihKgGjElZKcK2GWrpy+r67K9IZkvYoYOEj
kbJeNAP+FJC5QTMVFb+lHWcmrDv92MfKqWsLUIJRbYHSoyQfGwOpZvn76TiOk1lNjIOZk1ldHl8i
FPGtOkfwKA0zXUvpXzJAxys3uA9GUyXLIJKfJy4EEPXtaEbE9Qc9oBG57b0rKmJAzQi+tyLqOTuV
bw4uDPosU4J/hs8EFfXbVqowq6um1p9bqpGL+ZYd7lPR2OaSbBNRxI2ivAw1jJWV/y52MrdKiRNx
YxVqoqXdAKsIL/CgPw/t0QrM67TbyLnnJHrkTtPT5U22tIkEp0VZhxGemwvXt3eqpVDEjHo5Aeti
Zf4Jr4rntH3aXQkwu2981Qs2l9tbbuplewsvvspz1MO0GRUYeL0N85F5z/HC+TU03spG+LAppICQ
RyELjTf6du5IdfsQD4/wVlJcRVuWMMd64WtyqGBfA4osl+Nrv35pbH79l5uZP0qGCT0e5agIeV0H
GQW0U6ckK6P3QStzTJwauzmu906kR9M9z5hKRo8CyJ6qidTbweDyuz4hfeE6oiGNoYLB15f5rbaV
AqD+UECCQdF2PXl38mmTsb28Et73hXgBZRdkYgij4c68HTFKHKZI06mG9MKi4GZeBxswj79r2l+j
Er+0spgXbjwQDwwdTAiAmG3Iub6IsfTlck/eLzRCLPC/mnDHsIX0hU82JEIj+xN8bXnd6T+kAdKI
hCrgmbzCWBODkuaz6FeLhAdDY4Q9yMSgwyEvTsUeIgZ17MiQpZM5Hi1fpBies7q+huM9vUVuNXBw
54orGGZlZwgj+QAVb/Kbxpc7KycyKoQi0UhRXt6S07LN6jQwnqyQkoMSLkdn0InGXx7WdwtkbkTl
cvfqeb4b1hRuGbiK/S/xWKbWRikV7Zhl6mjtLjfzGjz9ZUTB3PAfY4kXr5PtXOaBxEmTKyMSkL+U
e8kF9yddw7nW3mitr+0CrpbURA0aJYxUPvUxkiOUFbf+wfKhxhLR/17ZF69Xrv88D7leXcbrofMM
L3idZWBLFbuOaKF05z65j9udvXE2e3ely/Mi+X82QW5l4fB4UlNGUFvfndznxwMNOA+XG3iN911q
YLFK67IuKJeV7rb2dvt0uL/fHmzn2qEhZ391cq8cZyWPfHnQ6NHC1W7qKpGbuUH37unb2bfP9ubL
jSPaKyP3qoF8qWMLq5VGVa0CYLo7bc/Ph+3jdsv8fHX2R+dhpaW/EluXmpr3xy9HCv6VJEh06epw
3p73Lk3Z26vTduu625PD7yeX/7uuY+/5yT1dMcYH3nM68evRdXlt7x55bXPkR969PRzO7p5XT3z4
wFsd58C3scT4Sr5+fss25/OHx+35cODbbL7O3swvbw9b55m38Ai2M/8LP/PLxradvbOnXd7LN97u
znz9levyVc/8y2FjbzZ845N7sg+HR5u1xmc2m3nJOc78tg2f5/vmL3Ou+eFET3ii+7n53d45ft4c
57dujgcG+sZx+Zle73c5nXd4uu1mz7raHk5MxOuz7fjkvfOVb93z1uPNw37/MA8TAzV/2j2dUntu
9sHhny+veuCnK/tqPil+mTLA4ZREQdJ0urvaXs2DtT29/uHv8/OWcT8zDqfn0/b5dC5tJuX0/Mwi
sq93PPThfnfY7Xab3e7avuHpj87VnqH6cn392tVr27nZs9CYVYbcde6uHJu53xzvnKsrenbcrxj5
v3AQl1bg3N1fuhN3htHlLPYrJorJOp/ncT7YrzbJ3pb2mWn7Ns8wHTnNr/DG0/Z+ez/PBWuL+eGn
ez5wsG9YBlt+mu3Z4bC74e/9A310j87d63I+M1LzRmKibpzt9vC6SPbH45FpdK8YQbbbeTt3NLD3
jCRjwDhuXUbqiu9iVJ5OrG93f3b5zOWZXZ3YxRGP8E0uGIwETdJHns7enVxWGkNh04W/1pazsp60
t47F4iTAqJlvxx8+JKpOZwuwfT77GzYEG405eF1W9/xH+wzavJ98m/k//txDuGr/dPf7/c/evntY
MbLcI1fW98J7nyBFHPvZyj4xvaeHvTNPCj+4Z9e5OhzYvPtnFjh7FwOA0dhtNiW7bbvdM8Undz8b
Bfdpu9tun93D+czyoDPne9+2/6RrW2aVdbM5snGe2MRH+9WSH3aH8+H+5eDbL/fzl357PD+H9uNk
f/PtA6ae4+V8z68vLwwR5mnv3Dxgj/n7bv+wedj/ZKFhBOxHjMpg2769Y3f9eX1z8+fNcb/5dDju
fzzcOZudc4d1cDabB9f+ej2vKNb9A7vK3hyP19j3457pdzFu7D92w2H7k7+xtbSIqdmfMNOnK2e/
uWFlvr7x8wP/PO/jB/fq7unJdR+cH5fXpTYfNxd26Ku3+OsOzQWoSjA42PST/cTodPOQftlt2XXz
9tswIzzs1byD7rC9PP3lJ5BeQ6mXHmFx1KeNqUTpvCbOB/an83N/CG1meN6JmIQzvWbj8yv7mf/Z
nEjsbl49bx/dx8P9yX3KeeSd/XT1bd7gLO/zzt493nbzw2NH7llFzsMGM7Ap7M3N18g+svA44GTb
vcOEPlv2p83NbHhce+9u6KV9nM3ViglQ34w0MSEgLtyGZtfMNNFkXyz9KjOzviiG3p6oEbuuhhiq
ylppVtJPH7ZCoBXojkwbS+yO4hlhnBFfBcsI6YCud7rbJoK0cjP+qBXiacTHCRKp3CXf2pU0bTuw
JgEEWBkUhtTEjlfpWBX3l5fGW+v114hxG4LBBweeQOHCJQvNTIY5GYYwqlQhe0Ee4UYv494NoTdY
CdPMD/yfNfhXUwDaNUpmyGOISyQSJazQoJjoEIlSZSkvKST78TGrQZDd9iVymds4nFL5HuLd8PsU
IvmxgtJelsy8rg5Ar8SiJHS2cd3fjqiqorhkjMxbEFWPLfXlMLYqu8mL9yhl7LW8em7D/rmVUG1U
vYdMa58G8I4jgcayiQ/IIa2lxj6YYmpjCHzIczae2pW3D1RKoxyMUI1Aw6MLh5hZuiYs2T5cnuK1
VhbdTru2B0cKV0GZN4atSLmyiVEgWrkRfdyKNeeYCVJxSXvblwpSEy9LWK7t5Adb2RqEbSHDLvo3
+jJnRblZq+9Lvix0tRLIdpnCPIqe4cSpb4RO0Fc2xQcrlYAKwfpXtIRhLkYMZK1fdCmcOnEogQZP
uSZR+Sv5xNr85los4PGS26I4Kl3UfbrcwY+aNuVZ8ZjLLrSKiyUBsU4m9SmTpZCKPQ2S1n9FCUs4
QPSj3abwCEOWq+u31IOtVYK8n0AKJImuQxZHUBOCqLcTKPQAiIQqgrHNVMtTFGf5PrDqNUzP+/6Z
4MxAKYGmo4NLqxaIZaeLRTrakDLcc7P+2qnmozfpxw7OPlj6m72hVisu0SJSy76f0VhwRZFUnzP5
C7+QOvOeJEs2wjsCVdWTVSAFsy8kJdQdRAWKwJXMsIUurvcM4eXydL69a8w2z5TAXQBhBt+j6Mso
OyjpwLJimjZ1Cs+UwYs2eRGUG9QtKWptqrU800ddVVk1kkTInZTg4jKAmI0cthYMiN5cvirBd/xn
4vveltq/CGoLo9hnuRnuL3fy/Rkyg86ovgNjwg15GQsJkLaGFgdGbSgsBScWc8FFVKfZ+lPfrliZ
j5rSAR3PwWJgfcsiIqh5J/S6oRWEK7qXsd1iLG48K8zSrRRNkr7Ss3d7gtoaigNJAykmaaclvF8Y
YM4xNSpttQHmNqGC0bSIkcr9zfGbKyVpYgZ8sDqX8HMlgXXBRFDKgXWjcCU1fokMqXHTMulWWnrX
n9eaTI1mkOHDvM2v/+KJBtMYiDBSho4/lu0B2rjUoSA7cy/3592ipxVFZ/URHKM2YhlqtTwuTRMs
qlA9p2a94TISZW6iB9oPOA1M2HyLSF1ZF+87RhYL4iemiNOUH992DB75LjJKOGqsuNY2ZdDB4eHp
0+5yx5a7C7eBXQVaUyWjxR5b7C4q8CVUPgFqt54n3kNqBiEZHgQqx9hry1LuBdlY8QLfNUm6fT7r
UC4HxaUsyzwSJJ4HpaaeO6wryR1QrNEcK2+EWwkuzbNlNjND8dhsLndUXgSw2c3EN/E3/trUYE7e
jueg1wGkCGh/yjuQnjaCZxvpBl48F5E4R9uATbKvKvuIxpA9/nm57SV+7l3bC5cU763Vy7ntwn3+
nLlIsNk/jrdfV1qZv+VXb3TZw8Vxp4SVpEZzK6dy8y12Hl+03dfPD2uC3G/v4vq7viw2XDL0bSfG
tNJsQ7t1+k2+U06yu5awW9z537cz281fNjbXu8IKItrpXLxa5ivc/DnZ3z/dBPZt7X7FK7MDO1qx
Jq+A30tjuNgPaZ3VBkTjtV1u4Np0yBI5KBI6pqu7X3dfavcTrIQrtkWa5+VSm/OG+aWnlHsloxS+
tklVkANnlP0ZUvTz5Bif4Fk/rCyTteYWhkWBB0xO5uZG59u0FXcIbW7qbXATHjw72bUr7u0ycfRu
vSwusLEKOQO8BfM8Bk7KH9WGSJwQebEyjh/YlV83uLXwM00jqs1sXv6m9tR6+xBhhAKJcy2L4SBb
Q5atLU9rYU4iU5A1mEb/6lZyRpTJNbYIvjqfQjd0CYONGBTR/rk6nsujaLHLl5il3k8RDippWHmQ
j/Xn/KY8Kt+8W9J+1WgXX8fH7BielVvtcWXZrA3vwrr4zRDq+TyPEHi7kCuxaro9B6Lj2YZTbLKN
75qO6egrdvvdFXfZ34W9GeUsTup5uYI02oZ7yX1MHYJunl0wvPlWttcsz9IhWza4MDyqgFJmAKjO
ljKUZzqPAt28ao9dbKzO5YrFXvq21hBknL801TvfWEn298w+/nQePl+eunlDX7Avy/o5+OaiRJhb
mbYIXjqw4TuZs7b71hpZWJUhyeBuzGhEvfN2JRR4nyn2PXprq2HlFF865iTSE7Wa+yLsVad3KIO3
vxsn47h2qftwfwP/ojpk5kbQ5YVRrmMzzcR5FZQb1DUxXYprceCpjnWVOog239W3aJjsqp16ba1Z
6I+Wxa9tL8YSNsEx0Xrabtx+o39OtsG2345uvK0P8n4NqfDRvgbcoXB7BYkDHuft6RMhTRIRhKvt
Cr0fUYJlBHJSdXxps8qNprvLS3G5t+bcAmVZMnhLqjkpD3nbmN6Eshck6uQISqNsYcdER0OqQlR1
x2nlOJjtwq+rnqaoHwLWySXHNLg/vm0qMWV9kDu0Uj3YiK5yK8sAuCvJyvG2HL25FYI2KhcQuFEA
DbxtRZVGpJ5qyC4bWGHO0Iwbx6pL0Jof5fQcFWn6idJx6fa3RxFwtgpCi8ADWMVF13IIsaq6QJ0b
ifFiAxM/Zkpt0jsEipK1tbg8buggdzgJrNbrDWEZ0EN/sZosQxgdI+syy4HjrP4E9S8MmpWWK/Fj
InUNFP+pgVIBQeRasGHGTm+TaPQ+a03W5HYFvWd3KFNdvgM7XKIqWYWFaRciSpmXx+Wdnw32TeRu
KxFqAnfF8lnMBrJpWWMYaHnLRqwVrlwFVuRUszi7O9S6RymOrnVDtEXTvvtawUv73a8t33QlUFrT
NioUfY3VaGkX50fiSTTu9jNeewlqEqDoDEWpGBxEtWKkJRTZRn4s/VIrIQRUfdGZx7GQ8YjCblgx
lu83m8KkUYxgzfsN2Nbb0YC7X+hHyoCdqjGfS6C6nxqoJ8/wra+VIX3Qkgw2TCeOQVSBm//blvx6
Fjm25Aky5ZlLLqCo3c3HCK54QEMvlyf5/b6GlEe2ZpsMxBNVv0VbhjikOUSmjgHl4aaphh8YLX/l
jvp+1YNhJX5BqoIAoiYutvU4db2flyxsE+EMfePnnvCgxiLFF1YD3eABrQjY8n67YzNPCCXuxPNB
qC0c5RyGQaA/XgvhIkoPpVCH+7BqRvdyK+/8cRYk7BwAuMx5rjhmFuMHrEmJprZzPCHw7KEzERRJ
fcVO/DE9hu2Ub4zESzayGKkn8KLJi5aO0spDfDCHFtVzc8yLgDCRlcUz9J2cBWPUQeeHgjuMl+hK
5KO40sr7VamKigFacS5EptBkMYnxqMRGAwzYCfsiOyVqLbkdGr2HtB3WwFPvOzTDZimdmavSAMgt
Tmx5FOtkkhvEgKbQP0a5MB08BPicy3P33paYwKupUiW5QmH/MusKvQolxqNZO4YQZq4oQnGYwOC4
JzElbMxU65EEGOru4An1v7H3//19+F/+S37718FZ/+t/+P17Dp/nXB+w+PVfp/B7ldf5z+Z/5o/9
37e9/dC/zsVL9tBULy/N6WuxfOebD/L9/27f/dp8ffPLJmvCZrxrX6rx/qVuk+a1EZ50fuf/74v/
9fL6LY9j8fLPP77nbdbM3+aHefbHv186/PjnH/M+++9fv/7fr918TfmYnTd1/zX7uvzEy9e6+ecf
svUPZc7LQqs414/AOvXHf/Uv8yuS9Q8QdOCbMfqkVF9zD1leNcE//xAk4x9z/S8MBtSRgiSfS3fq
vH19Tdb/MRNDkLLAupGv0aw//s+zvZmk/0zaf2VtepuHqNLSKtFqttJ/3CASurh0nIZ4QsBeecz5
9V+CCz20iiJkIIWtVdPQubPnECNXGEPVqSZSLyKRHvu1a3jEi8/CKOa6ZVtabba3fRGFoQsknO2f
S340S3JRJn5CcoWrtUW439t2YDm0TZDK8Gj6rR9bR7FBMxnpoa5uPhkDBQMHZar8P8NWGuq9Po2N
d7J6P/kq9lOJKmcXSJadCp35VVHSlIC+1d56g6kivqMEm9ir46fQyLWt3utIn8ZB/EXtMrQSNS/9
Zll9CJtsCKGukUQ3gm+FT97gSTN36M8qhJAe/ZJgO8uC/wxrRMfUsk1uqyTMIKiVmo3KScIoUBZh
K1UEK8DYEeEdmVaiL4jdO8xczC3TgOy+bQX1UR6K8lyl8Im7SZn7d+3gm1epFWq7SZ+GGyNDqReJ
ZEifI0TDNwhuKTdS39QcI+Wg/xDL+osl+wi+ieidwrUo3dZ+j1Ks0Xv5NlenbDN6UNnC5V8Ou6lB
OcZpSk86ilo7i2vquXmuDS/8xsV0FkBNHmGUCQ5ZMPiPll8gwiSUpr9X9N7cjGNofgo7kc+hbRpt
NNP7WZnFFwRN0TiiEA7XI2qPKBZyjRoHgr2BpR0EXUp2qV/En3Sl3wp97ga52nPln3xpm6PE5MKS
rMEF2pZXTYE2BZMmuJNS15/ippTOgSedwjz+FCoaTLCjWVku4oH+52msvKvUb1QZntUu/VF1AXIt
cIPsJSUdUMqpk+Ck9wIiqbIOo7oRGdCW82wpNxK9ONd1Nxxrg9kakllaKCc0eGi9CiJn5F4fLB2u
c6uWVDINUbwpkKHeWUEwoWADmWg7itoRGhzOOZNSdHQqNwkKvbRX3+g+zDso4YSIRkQ73yhQG1VG
wzU75ZRVk+DqsTVeW6V+o5WZciUGXgc/7yg4QV3JuyaR/dOsp/mYRUZ64+VN9GOCFhpF2rpND0kT
drtBGUNEG4Lys444yf2UlZCmWmbwvaZ4z60nJYLQMkfhMROjm1KXWICCfFUxbLehYtaHOoUgLxCm
8piNcbit0vQa55ukF1Qatmq2EXIJfUEkVI59SJ/lgklIDQqxZZQ3IzisNzpoLvZVUD+qpPbucQrl
XRT55U6G1lQOLR9+WEW39SgPRhdWiWObatLVhMqdm8Gb0StqdGhSxb/3IqufuboRDMwLPXb7pBjO
JsUH8DArqNkLneYgv7ebYOA/N4KWbTtIi0/aVHrnSJ26GyDm7WkKRco+itRSf+S+qjgcnf2hLofw
qgwDYysZ9ZNUkZjOy9hE03TMTpEEuzgVP5992dSHKx/hOjRlragxt2hVSkdfRA/UtsqxOIy++oja
DTTiVlAZW5RFh6dmgkV1gv8mHUtmOwi95NkciAx6ER9rKu65kjpAozH5bKtBokBZ1M5mMCCMEwe9
m1Xy/ybvvLbjRrJt+0XRA968JkwaZtKTIvWCQZUkeBfw+Pozoe5xbpGqK95+vtUvZboKyAAQsc3a
a2L1GVedQ7tMEvtJq/WtKC6+TNagn9pJNa4At8AS63L9VKtRoNjyuzbm31K1sW9bgHRhCcPMQxcC
hxIbtO55LrN12aMZWaXr8TwP5AQxc6p9LqbhW6fmybh9W2Zf+7K2MY030yox/C421YM7KtVbjtep
V/SG6+FKbl2icSwUPysUwJTJhkm3O5cpw4ZVk3mAoFKFHx+z1Wh6Z3S7uOSp3c2AnICJxUW8OTPW
fjWCN6qHyzwmh65WmoMmm2NR5DdihVga8a4dtHhR92qp+3m6PDfxeGpVzbO4xllJx8CN7G+G0Zwy
Iwkb2wizXtG81lgOSpFcx1oZeWNdPPS4/WNwueKpA7W7LXb8032nKmE5Rfx1fSgs4C/28peRPigR
m5pjvrarimOeEqpy3OO/fHE0GVbZSnheBnqJLXVGEy6jRmgUV2OpX0Vzva9LbnqV+zVpj0vW7JOu
unaktrMlFMXRDQh6wypabxZ9CSoYRC4YCdh7GoCsAkNVHB6auUFq33UnYZrtTsUteZeL6F7PZnYC
7UCLc2O5nxlm9oWx3PZC7uZeMR7ZzVx1xxhhtOPYMmBdaGlCAp3PpmcP1nKnl5MOYLzRA61M7tqp
qoLRqW5aXT/XcfaQYzMtC7mXUMD9tlQAXyuFcV0UZvJdaMa6Qj6Z1Dsg4MoxEXkH5Saynlotlm6A
R+sTg+TJoZATOx7TwwwfWQtu3OycoZzSMjTdQgQ9pBUPhyYzMHv3JwwjQEMlZJm1Us+VEf/VWOwf
Vj3hrU3fzIM/PhzdefoWQTO+RInSefMg9WPO6O+NNdeV39q69Cq9Ps1Akgjs+yEgYzRDNzNO7IEY
C0ytBlG1m3A+o+tWJ4e4ceE6y8UbMH30sWKuGeqALVVHdhtM6KpeepBmUIwuEAmOtpMP39ZK54tw
b0p9pRQ2uTLEgvPBVKIHuM+dR7Ty1mdW/ItuihEVjW0G0Dw2TFyI2nDKxLU6K+ulwKnKy4rpbuQQ
dKFYeXPF9lHM8ZdsHGN/Hu0TdkEngK93Sqyf20ljRxyLgzPoEX79SvllKuvUJ2SYDj0mgJe2Wuy3
iXnZU+G21R4H9k5ixz2nod5CipqwJ3lNoDQ3Fjs2yX88BHbpEvuMjfOzw/r4DE2gDMw2zV+SQRGv
k71eODYYh8IAzd2BNTZ+ALU+WRU8m55JmI2CPHmVqQJJsoyvEVCxIFYAvZiTgtBnsItqPyXOqzrH
pifs6GHC7Qn+C/sdiRkMk2XEKriWHVQMoy5vYSUC+BmgiCLt9NJm/YKP6uS5srjJYek2oym+9mvH
rqfLHc/+PE5rdio6eRwn8aqmaego7YD3Ms0kXFg84AF3MKK06zLTz+UAVbTUVLEX2cpOoYmfXTMZ
FwQV96uS3w8mLLupUXl/myt4sCHe1/6MMf/PjC4yjElh+ZGOT3ucrvtsdOtDPo6A1olLgTksFhEc
Bp59qyxPXdqC0SyIuppFgLJV9VeGr39CGNfCtsycw9I0V5bduN5Utl8s2LFePNbMrWb2SBu8lKHV
5DquB4bS8psS2VyaaC5OazGrvr1Oj5pGvGSVxlvk4DaC18t6zEcFfxvQS2JU75POuckyU/faCD3c
WSZ2d9vZtgwZ7lUDQuDCbyNh7YEr1d9jbZUY0SvJ8qQqvQsoXEbxm9lV1PScQgchG5cdXBmxnOt5
7u9qVmznpkareGJWnrVodncmoC1qtdqK4/3IXw8bo/yg5u5mFx4b+SHqTOH3oFmbIOWZKruiHRfl
BPhswcG9TGL8VlsLOBpExDvkpcVXmJJcUFudG0iP8oLxJDPr0xxdx0zM3/ZI1vRDWbXr5DWFVV26
RWu/KjPizh0B7jG3lYHTaKbslyi8aFpk4rUunLMQtrmTGvDiiy1yfV86TRsSZdsnsOUvWdmP6U5T
V3XfjYZ61amxgaFnS3RTFNYu7c02nNOyC5wkvWWOqEbEMn+jIa1i9DXP1W3c90rjgxFxxmfkNCLb
N30En0wIazqtCPrmvTJm9bVchuVqYM4Fp1l1XpQx9rq6srt9Nter+h2Gd3cQbprMF7VnFt0va+c+
MtJyOrhpsQDeGmb5lDgKHww1TvVtxN74udAjoEoYZpjnxsY11wZ9AH6gtONYftdFblmMcUGE8RdV
S4qgWoxMPykDCDa4RHVVXbFXS7FnG0+FT4KfY+ad1iQTi2P0hbdiNNSD8V0ALO+lBTEl1OyuNXc1
UFj3SzW3TndfgLmdoBrJWdzPHcSEA3UmA5L1XKGi4mO3rDaY407YJ6ANjfaSY7RvHBrLSWkMmREE
qoEh0q/z3Djdzi7LVPr5mMXJ0ebY0W5HY+3ZXFfIS+DqFhKyXbta2RCsFGUbPtg4UbwoN81vhhKV
j60GgfBoWew0D+1YRto1mSXHtI1udjpX0KlhQtnMbcNW6uT4Vg11JaD4DEZ6l0CQRY+YCLM+Qp1x
5AFig8og7ZjOp3zMm+FqioitdVnyuyjB7lbJxB4qwz72ZSXIWrI6/bFUY3zUezX/ViSV6yerNt5F
ojePDkD626R0YEwPawp5zBIe1AXHi0YLkLSoXdd3ZpHc0kUoHlOKxIUNUclQj1RbVj9PVgumeKf4
uS2eQGvd6OUY4rhrHSO9sw9tbvt61tU3HBsNXlGkr2UiXzIwvAHTp20ASYNtyh1C2gft/ZCmfe0Z
tXudT2P5UtfOW9R1zsGwxudqhsJSClv6g1EDYcBu4yFSrIei5D5lUz6tQ4JRAU5weQSMq4xdLxum
2z41fKTj4AoKcaUCmuF29cdOU73MgKKkdsXzZDVNuKRzHqyMH3oKxDAoT6+ydE+kBJHnILDeiabe
a3n/o6+tYK6X52lyr6cl+xINi2EwoTv3FAyyZx71K45Mt0kNhkWI9q2g7ITI2Kz6vzKlPpTWcl7X
0jwgi3y1Mh7A7HolgBgjsb3RmuBlNe0xa/GozBLxrFXKfdspYTKqN4ML4AKL31PkTj8Ut7F2TezW
15roHoxirQB2lLexMd3na3tRYUh63Sgg1jTjBfPvq8jWbnuIG4DN+p+QAHdmm5/yaF7OOqARrx4J
3+s5SIVGYNyOd0ATXxbX+UoqPh0gVh+tVqfabJEO8Rki9dxvh2DFRH77c/M4tKzotnA4ynQdSsEQ
svmOG/vsa9GvV8lQzLvWHf1o7YxQRNkesJ4fF8436DbE5MsRqM/r4gKLhnzzimXx7AG6PS5r9ApA
9S9chrQrVam+UvA4LiBSYjZJv1zildn88nmONSUYjBHurP0maK35YmVMG57QFI7KZEDmqQ+ATFmw
/tpujHH2oJe89QavY1pl3PdYelM1GMdh1viWFcsbrFX3645bhle507rqVVV0+EhkqVCmiu8yFSFY
OQXZtXA8Tc2u5kI5O7bwswYHZLE2G/tTHeOdot9PdvZU5TRLs3Hfmqa8S0eN9N5hlR3raLvpkb7C
wVkpevP30a/be6cvHhrRHfp0oz5V+zjTHhRCd2WOr7N8fp6BeT0VQxnACfVR5V3rbv6kK6Pf9M4p
GZVj3QhwmPJg44QjZVv4soPZYxdBPOFGp2jTFQjgAxbmJ2foSeTzJ+irnuUUgWrEx8qtHjSHdmg0
FaetNakiYzzjs3vqG3WvpMZR78RTRLXRa4b0x2x0RgADDPKd0Z+iBRkEKHJ9ibpDsvCBc84zAw6T
E56KuePD94pF3jqrcG5Gq72haAJDq3vJuvR7RGC4ckT7DpCm61Q3hjOWauqOU/xVJot+5TZadUDO
58uEHSMbqw0vvUx+JoV7O01Yb4xZRQkYYntAHvU8z6ru0Qkwduk0576OXd1dkcRAVrTmKpUcv7JH
V5srxU1RKg9W1wZOBiHQ6i5OChw3N8N1ct17XMEoUoh83C2N4s1qS1HD3Zej7tmUdE5rY5xUsIDm
mAdG3osD1RyUGYUWoBB96FfeW6OB2iVjvxXt1do6RpgvFI+ocdxF+nCikkXeTUnysMI8mCMRpNl4
MKuy2reYXmiQ2Tcc17fVSF464Z7sHADj4vChpLbqGXl1rWcwBxX3iPPCjnwIAoxln+xipSjuEtQ0
x8xxg9gBYDwr4iLktazbczm1AM0w0sj7nBqI6vi563qVEX2vgFcptCjhBjtEE72fRcv4LFGy4u3w
pat13thu33Fk1+SM9HJu2a938IH9ycQKrCeOL21dXDQzv48iNywqK1j6+6Kxj7J1nvCe9se1vNdY
cID2x0EjW8PUWKiEpFoeWvYw7BRs53Z2jVXKGJkGufk6haTgOP3l7ZuTrEG8xI9yIhVPi8wK1Rj8
oYkEw+uU9jDW2o+qFIdVXX86Evr7AM0uk1bBNx1tF6iHXT+Pj6k9XmKVW+9aIujCuk9oDeyczAk6
KDihUCBOpHb7fWyr05RPX/MsuRTAu3p19q1i/SKb4lV1UUNEDcFKgzGUUsFlFNOtE+tBZfZXS9Ve
JmIOG8vSpjae5zUCv6qmX7Iyv6Fz7RlDd1W1xnWaCfsCYR774IgihswtHPeiOLAW83WRxk1uyutq
gQ+s0hvcOMY9bU31SCDx3NQOODFC8aF+pXh2BB2+j4a0gJ0S68coms6K2ylea1HX1QQp4TxoT0xW
+v0G+HT4z2B6N19oitk7p0ofHKV8dXLD9dNZCbtpk2anCqIPjAAgTquhisXlHjzCG9qdeGeO3W4A
I+ocwYVTR1WNV2MmoGybeAoLIKa0dkkFl7GRp6aEDFclFdDmPP028Aj81J3s/YTRKPHgK+1zBdI7
yMuijXxC0sYbAaSVWfFURYM7vbikUYSyKXYEax+uRTEVLf/VtI4sGtxYZanOwSljUSgPmLmVhRoI
BzTcAFIR3x/dG8aEqaTVKTWa400u13CCinzfJc6CuMqp0/rKyOAw7IsoM57WEr9ingeu2YExWepj
2RRJ6Y1tApLG1ermVRKrF2HKDtuRckFZrO1oGsM8700gNb19X9NJvW8VJ6cr7AoI2zPRE/pbp2GP
iAtjoJzZiLULLGwNXic9ZjCskYuoyaScipMOi89rGJ3ivp3M5sVcTXvyZAEq09OWZHlxo24kz+6S
JQ3zmDI8VHH2CS81nPRJmyO60V3U6c2u1ycbjPFcrdEhZzZLDd05A6O8awyTmYUqWe3umLm1BSBt
VvQ5GPJuoHpfOWI/L3X5FQRdfzc5cr1R5zxOvEol5v13g+8/Xa53DZz/bZ/9/9Fl0zSUXP/3NtvD
+FZ8e5Pf/95m+/Wv/LvPpuv/wikD7Tb+cwrW2JuXxn/6bMq/0N7QMUOmtU022Ah0/tNnc5R/YQKJ
PzhmFtYv4/j/bbPZxr8QntOnpUG3de347/0XXbatY/5/Wmwba2OzcafN52Igv93h+xaboG2x5p2i
BovdTTdq7YDBtoWm6rsat1jnrLZt7IRDF0O6rCFo92cxlqr95W8L9p9X512v74MU6ddtbFgIAyN+
PP9t1ujvnb4KSXWHFwu3IVM87CLsL91j7bhrtBvTKfqaksDB1gbm+jK0FjvpIF2q4gg2zOUwNBTp
EZPYxpFN0yZuSGJqTbkEMKwsm9VUZhtV/ImQSX3fncS2cBsSYSyM+UlM1/CYeX/PWba6Kt0anYx+
hPkHFHWfRnZ/XRNmX42xZlKnjJL7ru+zQAwZvXu2kl3WUhyIRwqUMotam/gqcj7T7aibVujvT3W7
Ne5tw28piIo+6kwGhaXDCEOnnKaWV/ZCUdpd4iyYoYOGXb/eZWuqH6tO63yUG+ohXU3pw3aloP3n
B/uh6/9rjSiUIkjR8LrHLOv9GuVT2y7wDowAtqqgX1lG1Y8FBuYtxU5igtbhpMOXd8VwefkvxYH/
vraN0x+2tEyK/OZDFgEUdSKb52PpK6jUcY6JJmk6hfnozEDaGjPHf6gdBv/PP/qflh80FUNYm9jH
cj5axXQD4L/JoUJOX0QPSjG7gBQdzTlQQLAzsH6lPCqVg6v1NBj307Cou2WYyzs7j9z6E93FR80M
y4AM7teAL9NgfOQfXlNrdaS5kqkEsKxxfE3trTCfqTrlC2jZtgaOFLjNSWbaQiZjzcUb7ocE3xZQ
eaQF/7sv/r985jrbDZfimwEiz198+Mwnw+IIyzs3cOisJNSYujbEJz66xENOODNZRfRKkOACiGqK
a8Z+YReKtH0cTSWkVAdGTgNT+SqNWZxnip/+4ork0K599MmG9Pt7+2tf3Cy9mDr9be6zB5wdp8rk
BmJJBn03YxhODDY3517GFw2N0bUxGMbDAkf28Mka/fbt6pwHeGKxTky6oTN6/8nULX7nsu2o3q4K
TSOtWRKqPK7IdpNolFdKiNoXdSjWn7mbzAegzMnVbFCqzx27/wRe8ktl9G4f4Q5QWm3vEDOFjG2+
v5chizNlXuI5bNO0GHc5SgA+1Zpt7dzrxXpfQfVbTpjSRjfrAkPt6I4tCSvEbAeKvKOuUBpaPSVI
pqH0RY1iH19xU4SdXLPGW+tBjqGuLOpZmHq8BLVWzj25SU0H3bCLwvXyZYZi8ckKb2fa+1+FF+cm
s0QpwS75cQoUaLhlpgB2Q8Ps+wPz2MNBrSrcx5OJynlb6/TZ9aWGMJv9NY+jOFAqJ1D78118UOnh
vLwJKlUEvoyxbX/yfmnZkmNmEmZo4lZDZxc+Xg0TGZuki9vbT1VZGPs/X/AfHiaHq76h8uBqEW98
uKI+SOqlC0W72VimV+oiNUX9AmWIUlSOD71+8Jqumc/tWjdn6PXKaTHX5GRqvX1X1eX3TpuL53Gl
JrAsWkbmYsWBPZpXibrUhZeUXbm1+mLG582yBg4j+mhn6cL+68+/46O6nZXjd1hERpy9DON9hJvo
QjcWJ4/GsMdWCqypofSBVQ/dC3X/9gpyrHmIXKC7qYibQ7PGi9+Vtf0wdc3dYsgGZHK84UE1697g
2AuYQobVmaMginKdSgw76CfnwS+9/fsXDv0se96291mW+dF/bnBpjS+9nEKnlelPXSuyBDj6cGMu
xXKXRLRjNT6Y42Bq5b0Nss6taves1V1G07y10mDNFnF2orV8rB2rv9FqffB7gXxla0UvX9Z6NnYo
cOYbKLZPkDXz4yiji9CzzN5NNkcs8obxelbX/JMY6PeXePuMYEE4nLMaD+T9S6z1TutklToiVlCW
c5eLIRj1sb4hklsoJRvZJ+/w79eDVkgcB7UQSRjln/fXMwcct7PInENod9WL3ovvBB1p57dy+qbE
oJA/OTz/4XqbFzbSVlCJ2/N7fz2J7UBv5sMUpp1pPDmJmf8Q62xf0VJPd87Ump9suL/HlDRZGYtH
jcxIA8YpHxaU8b3KiZUYf29Zm96A8wE+knX5MKU5TbNltK9FwrnTDmIkq7W3usFQoVdya0W9Hew+
ftR7Q/H6fv5s9vpjosCAN4EcnRDMJ3XsK7do+O9avL5xUfVGc+gWer6PFld9jiO4mG5hDddzT42K
hFv9QdObNoZWdcGfv/p/uvyGgkLKD6OGpP395eu2NBKtq5eQhuv8pIhG/YoeeQ/+xOmDvut1iBn9
d6czm1NCNeazQ/mDHJc9h3cAgeJmGY2R5McXz3H6SkfwOIXQtTsESoNrPkqjoSLaIi6gf9k9ukj1
bvvYPqaJaxylYo83+mI6eMUAGqPM0kQCnVLR79Ohip/+y9XB2QAf8M2SnkCXP96vjlXglFIqEF4t
QoGDNGCh1nGdnAutbV8mU//LoV18n/BVhVXRKQ9/vvrv8S6W0/yPMxXxp8Un+v7yadfWq+4C2s5S
qYl7UQ/104TieLrOOr4qv5CUJqhfWE0fdHnXZJDfa3lQ1YTS3px1/X8d+nNDNlMtaEqRA+DN+v6G
4mgdFAz6DfaJCd3C2IOJjZS6vyB1ml6Z5j8PojKOf16G315RLso3QsAP+oeXYXuH/vaFlKtBP5sS
GrWcDgfuzB3Vnz3jJvsFV/29MU7lX7ZbqYfeyfh7taCb8+cb2CoJ7wMbk99KbYAqIq1RFuD9HczJ
ZGnJaFlhH+kLcOd+XTMvT6e0Oi6a0p4ktAcq2ilDRX7O/+WciLGebukwjuhw4IVtL29U1p98u1u5
5Lf7AiDqkhNtj+WjV3hqLVqvagOatryN0t1KB5+xeXuoJq9XxjUJHMesZ29hYSq/qq1S36dj15ne
mPbWca4Uprt6JCLLwVXr1Q2rfCF70Eeh2H6zJuZDmk4ZSkwmAAA+ThpayyoR82fm6h/HOYFlYtNA
7WPza8A35SMyUKLKUhsV6R71tSw6bNWSgooz6iEvGely7KIqNiwv0bs+8yLXmX164zBE7dwwc2St
/dLvpzTublTIVIXX4JsF8B4S+2dm2L+/iox16eBR2LUYYv6Y/9s10Ju0ZMEFxR8/Lxbz2A/Kl1Yr
3AvKSaRAiDu+mTRHF0tLwz+/hr8dmgQ4BGgW+AOqXr+Z6xsySaI8Te3QnXRxn1fxeGslrnKmvUyZ
REbtJ0ZSv8Knd+EVF2Rf5mjYrLkYznj/2lNg6Cw10e0wsavhWyP0eV+Q8/oiM5RzpAujRsRqTgfO
VKZ8Y1cJ8jmvjxqeWkwj9OV1vUJ2MeOku9JLs9mXS9oKgERUQ8p4dV4Smo80WzriqyXtPwkxPk7Q
81JtLDtcaZhV4+D/eLAmiZIJZUiVsOINv9al6z6qld5d1bEaP5czOW9BJ7+kYbT0Z3cxI0+Nl95v
5samegSaLqSPEH9mGvJr6uP9om6IIv7YhpVwpN+e8t92M0nJhEklfQ0jGRedP3HuLbtWi5qn1DKi
+guOzUp9nBa1AWSkjRZN/EFa537VbToNkTnuhBBxuuuGTF7cRUNwP5VAra4mOso0YMF8oDXRpuST
YPsfb5wJBDZaDJ+5+Q83zpugVdYollB1Zpu2MJoh8PKD5d5WthW9Vn3bL16kFhXlQ31w1CBTVWzG
uiqNt6Na31pRo0oVvqvAXgg7tg8DkkxibWWLuDt1MO8S2xCfTfz8w+7NaaXhOmOzuWCm8+H8mJre
ThZVXcO0VcCSxrrav5m5c6MWenxXqXMflrEjvhqyE3exhiTaqYuMZv1cXSPbdz+xh/un29lSU0gw
QLt1lvL9C9DjpkVDylTpuE1LGEc6AjO6nifM07tL1FlN6XeJfXLqyT0xyzlfF+paXviTo60t8See
Uf+w9TLwxdfBAAMrxGjs+7tZijrTAAoR4aT1HrXSkntK2Uz3wkiirQyhXelxLsMeFd05BuP8NOdz
geakG4MVMaSHnmi9rQ29QGs/Fp+E7f+wA23wAUy0sLOCs/XrAPzbx6JVVWxLpUWjGo3CuCB2M3au
hUn7rZhlUnuFjjz8i1hEvzc1MSmhIxZ9/op+nQCoKEtRIzu0a/VC/YxacmRajYVjjqMsnsjXpDyt
GupUv7HbvvFbM0rqsMCTzzimZC2fLfXvUQT2/+BDyEOYgGHB3y+104C9yPJRDavKzXZpoknSUAu9
ehYLeO1mt150jThiGuNHwZrcMoBiHXS6Wfu84GD/82miba/9h41om7cjiAP7yc/58B5aPL1kIDMI
E6tcj5lSVddVz9Pw8eIHlt3rKg11vfMqiDIBypieilKn3DrlXIVJOyqHvgeWTuvVBm2kx64R1Iku
lV0uTYRp6OLiXaEP4tE2R22HQ3v2FU59iJS5/5bWc/Za4PD2/Off9A97Piks5vecW3xeDN69X2KZ
5YvIpeWGGh/YTaLCGbFkLEO3KvI3kK3ZLs7bhjnGdKGxEbk/0nj6xoNo/LVbkvteybXPYkf9t2Wm
JkbXgB1uq4x9rFFkzHhpOf0W4N+DPEura84p7yuGJMbqa6O67K2iGF5cTqVr9oXFnwniGCpQrWDl
p9ysSmV8ck/bk33/5Lklx6LyqGzQ6Y870Njp7azA8A7rxbS+LFmZ+jSK6gsx/RiAKBRPBnM1n6R6
//C+UfL9NZtOqMrw84dnk5vZONDKN3h5YmNP4VM79FVh77OunPdqUpZX0HDql1Rm2VXTKdbPSc/f
IH+s2Y75ohplbC8vosBmjoGF6srUOutauFO+y1fVQCrluh3y/pHudsbE+1o10SNTAdkjB825E6u0
P1lF+MUf1nEDD20fMjP3MCMo1Lx/2/JCatuRqASoixnZ0GdazX5P2wAMlrbMvqC9v+56OhLYoChm
g9xm0NzjXPaId42FlHNXMCK17tZSn5rnSqvj2NeqbFkDJjYV7XpRdGRaigKE+uusFnMw4je6X6tF
dt6YaUbs55WFJoeed6SrFq2XKn+uZ0Qi8ZCMqA1AFPqiVTEEwC2P6D3TWxRBqHeXbRQLczRiN2O6
zQc1p/6c2MzOMZswfzUrp2NOG19Iqpp5VJyY5oqnYKxHtfUs8EeeY7UIHg11Fi7DMGZNQGAZRXGM
DGW6trUCrd1i6tEdS5fqXpbJ/IccUj1DUzkPZK5jHI9XI1FOdNDGbpJ+yaRsxw9kjvBIhJDfUciR
P1NNm9zdwo/zy2lZC1S2xuR4rYqOB/+X9tpIRiRSRYMAx6tngVJumNwUE1DbRLyYzaIgV9AXcTVE
ffsSRUZjeTCyLLIlRtkyRs8UJhMGNKbXGb6zaOora5CHzmzHI+O7vQx1J8t3axTbRqCMUr9xu0Uo
JxWwURrka5FYGFU4reInDGVE+6nfJGF63hX3LB7bocy3hYryWPH4GvOeIQfL/l62VZl9lp381pLi
hWQ7Z6yTcJ2U9SPgu2ktyUSQqQYlPsynTMmrEIUo34vaphd9LQske3PRhIgV5pOBU8OR/FH9JF3/
rdbGBRji2DotFh0OvCjefxaKIVdGRdcoYMCmPxYIbk5VZipB4aTX8TBVRz22HpxOpFRTY3lVztI8
LLYrUPUpKLJ6hPvOkHY//nw2fMye/n1XxDjwtOlNKFtq97dQomnZ/ds1jgK5lNOPAo0zkh9b3o5D
XLyYcVGHf77eb7HLRoRih6WshyCWq34o7DU5shpLjnbguLN7zqYoP0klKV6dkXGi1Gz5NmKjul6H
Mj52awmiEtr8lmYx14L2SDVpW6BbebYWWd4zxZs9mCWDMl5jWxelHNgj2ny1GXSYaOoozEp9tr+x
Qh83OAJDFYdDomaOCs7M92vmGrMJPLOIggainxXUhi2dY1u0VuGhkBqMnbUkCWOUbGh7hbmEh5b3
j8mTYVXccDLV6cIwbDft82lea0STJLWehc3Ya9plSOFVuzz2aI90T4XF+BbnOXH3WKXM17aOBIuU
Kk3/LCvjSkRmjH7Lnszk1HadrPAcqZMZPTjypF2tDcwprAhDXxJrndj4+q6p9hTvnE1ArKTZoZvi
vgvqbMbFYBzGej2i/Kv6WzeKFullpWOetvya0VRFqhj/ybgejzn2GN8aJp6bMCu0fA0iMolv9tBW
xQEhvZ77lisJHHEfQuqE8+lqnLI10uROdSRC3pzSmJ/HPC+KdvI7G0TRP1KEkd8SWVk8SUSUpFNJ
qZanaq2wT51H2nq+U+rmdYHXHR+CkiLKyMZ1ejOUpdRCY84ytO3U/ab9YG0NJpQuFWp2w45nz6Jt
ayA4TnEdyFuXGaMGbE66Y/1NlKBF6kwHtUmLCiGkaywX4I2D7lfT2uwnZYoumsbWvijNuq21ds98
EQHR0unMTuJ5ZfzFBuTcwkIeGq/P0tKHiy2YVSSHCEul1A/UxdoHQ+8rcYjqlVxCz1CM7kwKtTeT
KHE8YQi4S3YDRhuZn+SK9sqQgXvbZbGdeQxvYHPKUeRKtuFufazEJKdgLcziVtT9KAnaR/Tb1QQB
LdX5jfVkVd2hmDMzYxjKFjKIBmHNAZK5Sgv5pwxTmQmF4d3AsGnxYMsyvSbOtxMm0uJxbyNArR5Q
ebdlsM5F1z5iVT50t7ZdV4iTDQ6mYKkT8T2HyaMeY5MzM1hQbVuBFVXtk4h7dwyZ7aqEV5ea7EKq
5Yi7k9GgStanqbyqm2apg2LB+pJ8Pk8QSCCkTpVdarlTe6tvAwyeni7Vk7shlc+zwyIwep8r0jOV
bNiXJPr4YkrD6fdNlk3jeRxzRJJmng//Q9iZLNmpXFH0i4igT5gCt62+JJWaCaEWkp6kyYSv97oe
WXoOvYEdDoWrLsWFzJPn7L22oqsHh+RYWTKqjv0+NK8d2+yaeZ3csqBd6+55cmYEb1W0WE1qG8ft
Mp7GOnP1IoqHzvfd6pBjmH8FKYAdq1qi3Ny7k7cP75BthzppeDf1RSqcKIm76w3pWxdE4KCiRTAe
M3Vb3e+byOcDL3jLX41CtjntYEPLkxOua6Zp6Lc/Qe9gW7O1XfrXdoCOnNIdjUacq01sUkdai5e6
uFRxe9Pp9G8axRqSJA3Z/YlHb6gIaPMR5vplg7/PGjdxDCOFkGrCZHLGfz+yqHNq4ZCn4y/a9acw
bZ3cZOCA1T1f5MScvV7MZcH5g/MokvE71TFGfmZBWTd0/HjikODeRjGaKej7RruK3SuapqwoFlGn
q8O++TA4AZwjv6CUhVWl8j2DNuvhn8dsAMVwnIYmhaXoBMgNtxjF5eI7167dUD1PUv8I1IKtbOzx
VaaQVLwJKTOejXOb+0zZLLqP0MXUrj777oCnelibbjys04Bj03KanqDfvMBSOgOL0BfbrZbloLWS
b7Veop8aWdubX6tuTAMrIOuTcLkiuBubrvWTpdVRgEK46yiZl3XqUl968ZJ4oq2+5b2t58PuYUMO
GfeqE+INvdPPs3Z0yYXlR6emF215cJpirp9Lnpg5XfxumF9EyR96ROxCxWjcWk6HShhzN8Z1871y
Iqs9zHEfVEgdgt1/sedhvmof0AHL5u5opm1qCh9wQZZfrLZGxePiQYJiFZRUKwzW1XwYg7A5Y0kU
eDGahVedTraOs2Kd7TkNmmh+wWM4f9gnhd1lWuu5eojHakIQTr/A/RBjb/7F3Q26u5YDlouOufTf
rM23xhTB136v9TT99IBg0G7eMdgdPIFn7GJZe0MRLEsVvhZBbOUZ9Gt88sbw6p8MFTH5lbhDPyz4
bYIkYmrnXcIiNxcLuN5yqZexfzfRB4CIHc7t9mCkNS08lEFYHwlS0GtSxHtb45LFcM5SP7lNMm7s
MwG9NKTMK9F3CT0kcPatikyZeQFQgLq2xuIssVFjiiqWyM78DoZBVk4FplrlYomxqE7TIG4V977b
h/kEeMzXSTjY7vta9JN8l1uSrXxpMMte+3LZ53NHbUrFNi/vh7ghsg3XwMtW844etrBynuuyDT+t
s+jNqbbtbXnY+sm8E95UlgdwBN7+NNe7DlNnF26V1JPPElv6O/4p/hZTMc+TWmRzrUpqvwp2YrqP
NsqMyiFrsSQdWbNHS/djuYBwgC0RS++O52DKD33QzK96FZjD4aroKEGF1ygWfeOA0zDeEL0wOzD9
0ThD/LOsIu5L5I60KOkP49mwtL9LFMAOvwXv/HAxa2DudlInFrxcrF6J2gt2wZmKwEXXSBRqoltJ
8y1e6H1vGkldVutxK45VHQHlmPkn79ys/goVRVXOVeGU7rGLl83bNnhNdafpe28XBYFkS2u31S0e
gDC8yrmh1okavwsuUJtRf1hLo9J46fyZTEDbfqwRF0apaD2X4ocS624TPUc1oM94ofdmD+xUtaFz
14fIo5OlmIy5H4aI2ezeqOU4yGijQWZoMF/z2rARdkxCqAokDS9v2sNXZEcArMKgseP3LTEG9iOZ
KVV5txRL+A3tGobbuCe8LCmV6ip6EYUCyOKO89dy9jH2BYvHp3HK3z8LC77bYV1jBcqEhIIg83c9
zann7RhIVjNur9UW7vOh2S3zYzHC/iqc5qXgbeG6xgU+HqsLDabFa9ZTOPQ1Bofe9l7ybXeX9Nbl
RtLHBMp5sCo7gNJW1NgnMPFtiYjNavEZsd3i+YWJcjR+b+FLiBoBUHzd8iTfoug6i8WyzlXXcG9s
hPkfJN3XhP5mvZy1P5XFw1R0SA5culpt6gx9jCViRtUC4oCtou8Ld37dTTdYidhH/6eAq+Icqfks
+2W3lOhT3vcwP7ZeOb/4MYOow1pPPKmUFFRH3U70dzJNQDI4qe9Fn5bjHF/ZV/05Q6badplBCbue
O7sT65FVI5wO6hZQnoo4lm4qVlpyWNq3CNrE4vkv4+hplXD91nkONM7qkYU8MaHWtNebwR+yPBgi
/yK63Cm4CmUxEIzw3ywq2uevND7thz6cLIvg395ukgLTSv9ctOGSn+whLBlrOl6NGT1wID4CN8AF
T/0D5ZJ0n/0UNXKmATFNZXDKBz9sD6Rlh+AvKrqyr/1CwiMCtHx/GG/ZTE9+tAYKWZ9j2ad6c51f
NJ08fTXo/K3UtwfrsGKGcA9iNgwo2ynu3nxpz+LcSSdseUel97Xm1LGkk4WGIJshvahHbW1Ulv3g
F+PZn2oVZViqRZ/xsvfi0MdF2hZL6m0tJI8yLJuvhdOKD01MaE7mhktoJ67fjO5z3E2s6czRMLuH
lhGf68ovoudh6Cp1HPKadQiEewnQdlzC4hPMJoKDA92VT/PSuuMdKzh9GFG65lHjKaqvnvYxKmII
lFCasaRVxxpGTgAWaV/0PQbLaLj3dtocT3rwZXORbSHzg8uk4bkcRyqMclCRi3EEvMfJl9EtvDVe
/PIGQdEVcmj0Tad+WkIKjAk/8EigjcgkTJBXHnkULRJJLJorvxEcwuTo90en35o7vCl+l63BFmLZ
gMl47zo5h4gbbMh5KLS95nRfvOjrTIRxcMjhPf2o8qbAcxm1wyUnlrnImooW+tm26+B19EaX0Awf
wdiBA0vunDGvtB2md7vY8XgZ75b5oLkSI7D0woGs9m+2rPFxaVkWN1hBPKdmqLiF1siWrdslmlMb
hdOY7F5n4fViBHzQBMtS78zF+LPwVwZfhJtq77GyQu+cu3v7zTOaU6khtxeh1NxX+C+sdvxpFPXb
pZfN0p+CshMc9EfMN4nuezkcLCsv2mNsrR09Qx873jES+M/9aZwgWgCXsl7bbt6Xa73fdLFB66v3
t7dBY4oP8AZWuhjemFeO74i1cWBh7UPVJENlNHazNjJ22hQcxRI7kpiaa4dU7Rv1YD7NvZHyMEM6
fa8dp/ilayXru3EZcWLfgsevcyNaTHr+MMirBVZHH0fRYPPyIxQgISuXi9uYo9U97/PyXOBCiY5z
C/fFqaZangZJGOQday+OFI4S4WGu2uDH2GnHKjJ79+x38eq3d3IuMAzWbpdSnwB40b2HTTQOdvtR
GirvpG2UORZ9paP3cA352WgfmFdMMCWBJHkLMLjQ4PU+TJOTq5O0hqI5LJG/v1+LZVgvTJTy+3YI
VZhWrqP8rEQGOx0dZ+Q8qwrZRAfM4WJNZLyL6igLnocsj7ry6yIGsP8R6NI4My4/A5aJP7oVEYzF
HHjaD7lY8m3x2zVkgjyYd/Ttylc19vZ3noq6PpRUSF2isZ7tF0r5GcLMMHYyU8Ha/JjIEjj7m2i8
G8mL+kBsZb9lvtCTecmpLezMdfsZkXRbtuD/ndFxT1gebpZsCjhxX+6dG92LbuRy+m1aIZ+6MT0D
JZiJpKGri5s6hTIV23cYDynbAThD7JhOkBnadq8+mi6T7esesU5ISBCwqiY3b5+pgmoIK5G13JfC
Cs8xdZz74G2LWKieoYk9A2ia3awnRckkrnRv/ilJw8Dzi2k7QSnqxQemPJ06xKgRMWYUtwwdrzCj
9zTUW3Ay1TJ46BUJETnzxsSfPXSghxw5OZsARct+id06oIPuWnEIpKJUxYeyIIY+dhs8jn7XimsZ
b2q70XgKP1XbZOcHymunv/qlkhhQUZCwPDHIO0fC7BFtYbpAXmOv/uPU732fVhJlUtpXHrZFf4rL
O5ucjq96Jq0ayI7oryiPbH3dTN/4KU0HeX9rSxWJo6WzHUZyKcLXeKPD3zihRq0yuKz6gRim+Q7Y
y9qf9lblTKR28C84yB2NzTvc1cHvFwxpYLVvbV9klKHA/LJqkfJ/jOwEvZ/Ei6fqaAH/Qu8ZZFAF
xuAybHXc3AVDbNMnj7uFjrPM8xc15VZ0zEsdXJQW6uYEzdcvOMz25jgy8d+yhVHA+FT2cdO/j8fF
ih+9Bl8zYpZK0GxHgM02GenPKu7YrSiyKBs6hr5ZVy4FB5uiWedkIb+ze44sKuaLqrrcvYjNhyJs
bR17yuhM5Xg2+23NtADPdZQfHJgv8HACBVennew3w1l2O8ya0gcg8DDsx6GqSR+fhjr/WhFn3B5N
y3mKmQPK+8yK8uodm0wYnpk9u8v5Br9asK/QNruDVeXZT9xl8a20OjAAxH9XW6rGwVSY33B8ZO2+
O99bh6582tjQUl/yIZcljs/OdOeKYKeTqHuvuuxG3w6J09wAhepqJ3EYnEyp2h3zSepYq9T0ZmIf
bAqkA3HJ05oOTokPtqN7kC0R+pdMCl993MNSbrcpYwBkaRpZG/pg4PC6oKwtjwqRHHtTYJb5cV52
VO8Ia6Bnu70lH4xYoQuwx0bjRSiOw0+Q2Oo309fVV2+tgzaZPN8uriy4e5yquPUYCmOxoHqsq/Al
zofthtkB6dTXcB5cexkBinWOal4Hd9a41fdqOriQ9S59y/qfKZI46gzOmBsnAwlCydgtzQMk4Jxn
KzLNvd2CZKSBsGKdDviJzzOjUqyIpfa/xbT6ikNb5d3w4Hu0Q47uIIstLUFl0Tfe6502HX1Jcwdd
yN9fBlzLQCQ6DCrpRCv+k25Fpe54IjUrsRWu4rM3qfaTs5WMIjteTv9JAuEJ0nzeFn1xir5/qEur
jd7U7FZIPMJSXZuuHhzKwXFu03idaAKGYbHio0cd2kBnGTC9mKlvfq4iFJii/Kj6xYm+707DUO/5
Y2A2hq9dr71va2dshaDdiR7LmF9L0BnZ7CdHKq4HDmmdJ24TWC9o/3x1omckD4ymc8o102j7wdnt
aMukC70s9YQFn4Yuj0NdXMQ/UcEtLr7+trLP1VAxFQQK1DyXQ7CBPKFVDD2McplKd19iDk7deqfa
nbg8UB4gWJYtzudj7GyjhnIhXEBUfQ2pKh/RhSXMvGGANVK0P5HY7JeoWZxvdAURsDR5hPnM3p0M
0mpIvlg/dZ+2va5dzkubzIHTDO7nSpmwzEKUjJBRlglCHHSh2XC0x9VBlWVBFivtyZfZEE6/aHJr
8RJ70qgjQB9LvXpsS+FBIQzpjmoXEd5nnXtNRjci9iHH7C5+7nDBCB9bUVs+eJ02WNAbVdz4MZxt
Er5rfQlydq5M9NGAsnzeqdsMx/R300Yn4xrNo2mv5HfZD7PXy3faGziKTdFWcdDpY7jmu+WelKui
OhMyorbcgsaiazisJs/8AqRRwnmmfC4G0brJMEW7SmhgiAc/iuV4ZTAdwoPy7E4/DrES6tEWWxAk
DaQ1DjPOWM9fFwuYCpQbrU59iUa8GWzrSxvy3iC11MWJ2hAncF0PwwOq1C2+5AhSK2oFawMvthJ5
k01No0be+Xn1b90KEYFCWffgNCK0Fk92V+O/gQO4lfyU2cKPdC+H9jB6fUuTRbbjeOYvJgwR7oc7
HXIcVqDtGiuw3lW5Z+/X2XUWcMxNHcYXUZGRlxWRndN8kFNk3Us8yPUx0Bo8Ys5Stt+tHcWpNwQr
NTYe1ZEaol3ck7X1bk6bIm4b92mAjXShopzpo+6uetLUS85Zw3tEuo6rPniNaXpOX8YJzcyjbjyA
FCboh09+XYlv6IDdMi07SBwn3OLO+9xTxQsA00CntrInDguqrrY77J1zd5oKL0iVYjeH8TEg29rG
HlKP03bLdh9Q533c7ZBNSRde5WZT0EfMlcOdv3CeSr/OfDpmn2PQDR9FZ27i+JzeU9ZyFNzoVU7b
oaYO/tbXbfnN7pcCGFk1befIgtCTWmErf9DcWy6+XhxxVHa+8WjG437zhFfLO4xCBWE7fhvKVPPN
0OwtXRiyzIHUrQcKa84fA3VxK0d8HGt7/1EDxlaXaQh64njq1q6OvM9DeCokvXGGT7NnAPDUWgBo
uPU9aQnr8iGoXNYnYSqHM7EYqz78wqx2y+85LfqQvStncY51V3fR64AGCbyFEWb9GbrbDYYii9jL
HO0jVK14/rznfaQGSSGF0femeAPvUoWieZjqlXkf4+D6K3QIdpJgK8kKM6BNGqmjjr6jp7zkZgU5
cQv4mNHJOdK75NlRXw4xhgR4E5NKOr6S5rEUoe6POzPoL6vBSfGMMwiaoCXWWsAJdZcsHFlqld8B
Zhnpq+kg8cY8D89BCWp1cKegBE84dPOPrZ8XBD263aoEKO8KqimyOcdvXTvVCcf+On4oaVS95F0d
DszE8D2nMWOPj/44yu0+15jozobSCpgIqT4nTWfN/9bymL5NubMMB9urmjPEv9gFJT4zzgd053r/
Nfq7WV0pu/kFXKuqU40cczgGQRfud5W8wVpT+uF+jjhJ6bPsGY5lGpn7D07P1ZaBzLJ+xdHG+Wmw
lqnJJOpE+10HoUA+7pj6Kl7deDhLCTP+vlMeEiUz0qBPRVP3ceo3tUVGVbeNr2A7eE3bTtI3leUQ
RQewrW6cVTJ3q3QpzVAkRtU8uHnktcvJktyAxMlXjQsWdbQ42O3oXS0wS/wCO+yshGVaZcFWeWAh
WiDxqY1KUmRVz7gbcijv1Cet9pLMPZiT+Qfmbf0T6pA5SMpFzfXdsg6enbbot+Wpmev4CZtYSIlR
hK6V6rlQoBTJL0sqXMLfI6xLcVLuxj/Xzmh91CPLFTzVnYhbVuY855jlspTRS7bx46HgeC1KZswJ
Z3/vYjU6ALRTtB6kn8krHuXcquq4btOsT9wlNpktd+ANThHeOl6riG6cFxbDdMlXsy5p4280Nqew
RteiF7kg9fW3MMzoFVoVYyEk8FnP3HfJSI6gF7c6Bs6zCqTkZEFyywvuRqc9eta+iq/GCScgYWL7
RMG0wPLa+tFlQDR7D6Ub9FPaRGZ/g00XAUGO/BLAjF69CuWrZ1sHD8zadImWoWyzeagj5xzIvf9O
W4F7NZTz7XWa6xVYsysHQGxtE52mkklcajeqiU8zumWOT70sRFJMuXmbWtF/h5WnmZ8ypBQpucj5
WaMnhmzJoa5gVg09NPN05N+t47AzebXoj4GNsjTlm5jK8MTbvvh3FKf46qY1CH9y8hlNOkdbH3DA
aHR0xXCFZCTvK+ZrYlUwXdqqQPpinKU6MEWKbm1Q13lqqBa3FLUmy6MMS0QFNJXVg41W2z4M2inK
pImHDbRlvpYJ+UzlS9s6a5OKvqnLi+6b8t4Wci3vAxmrn6b22zGBFGs1V+q1hjYF9ntgHRw+j11b
RtW5XenX0EljbAoqDabQUylsdEk9f2d4EkhW/WPUMPNjZiDVPeNC+oLdlru/qqL2uB4B/u5do7xc
HvNwRq7g+S2UZxI8GWxaHv3qVFlbbmchZ1QvkVtE48UJG48jFJSCwwibnz3QBPl1MoNdHCawLV9k
tw4B8nFt1n+Tqv0f3QPhHDe3BzAzvJ1/+D0K6EdN7Cwx0FF6SBM9lGxeg+VqW3LFL9gXPwo7N0ym
HTEdaXQ4R9OHnK6X3btuYZQnpd7d67IDm6p7SI7dOpcfBt5Zyvai+OzYTXDwpz5ukzYnOuXvwpPb
xf2vuo/NBlMdFx64SODJlv1dtNG0WxOuTEeOPXbPhCwAeSmFiBnjrN6lmRqGJp0w9EkZ1v2LZET8
KXbEe4tKhGOUwzSY//3HZzOU2iO/7vfjGrjT0xIgSctnUhiSDgZ0cwzZsQxqcKbd1YlUcdi+ChBg
CA9Re94RMwPIBum2kG/U0NkByvaIVj6HaiRxeqp9lh1Ka3nHRle8TLrV7yvh6v3RkVUERrWodE3p
DsOGYVC+5MwvwragvKMldyACd1Wg4/IoSlyGPQxUGMoEB5Wbdngsmq38KAP/5sked3kx1oocfBtn
/UFixvbSbp9/eMiXUhq43UdEr8szgw11sKPKFMhY1gCtyTQLEEVISeeBsxm3mi8plC8UJvv4tazy
MMrsmalbgmuh+kp6u9tvCSW21X2iyYwTfPIh4aRl0Nc/2r1Dj+5snv28rDkyF8a11fpaFmrdT46P
zIoVOu+/BOaGSpt6bX1BqYKa3C5Kf6F17euepmpj0cCGWOcc23UcP1chDIt/swbcpEy/P3J87SF0
kRsQ4mZj/P2R8+ntbq0nsHM21nxkjY2SGvvRxeX2H7y5cTLAtes3FdefAZzJnz408mNX7A+hLxgv
t/76pCXX/PcX4R9q4NvTSNAspn8flAia+98vq6RF4tIqNEdEJ8Mjm5n9RnrkfPKBsbzrGdWfRp4G
ULqxKpJ1yb23INR56iHSTV23XOvE1a33L/K4P8W3XBSvBveIJCrbBiXy+0XN7jAuNqb8o9UMxVXF
/XI7H4zVpWRRBOQly0uAwubfXAe3N+/3ryjAuheiRsP9StjvHwbYUMwUTj7Dq2mgiS3VROVZ++oR
7TzyEfzNTMw4M7+zgAtfR3/9yK/pniC/7+eC0NajAkT2HNT2dNhVTa3096/q/10dOA/W2hAjPQEw
v98UB/FzzdTTObLCPum6myYw6+34QFYjoTR//6x/uCqp9oiDCvFw+TwZKDx+/7CSoXLpLYQXoNXx
vy3T6AMcbbbpMK+2/AFBqk1H2bsH6Q/bQ9fbdMChtDGNzvfD3y/ln3+2AFOEvROVpC3AUvx+JTNh
SNq3S3PMpZ5fYV23STlJgHPRuFc//v5Z/9wWoPszTLSRZWI2/nNpphe5oKYg/8ATA8dxgRwUvKTH
DLDHSMXCU5eflohz/kIx8C+f/Q/tJYp8Qoz+K4TEqS/++HonE+VMmXjmIZWVr5oQvSxy19ZLoqmZ
Dk4g4Lv+/a913T+fd7zzdLBdLFa4HEhL/v3WDhxcrIhguQOGPKQq4ISDkkXJ7g+z11LTe3JZL0sR
2itiv3rsU5C9/Ym2FQd7jkT2pYt8KhJNS2/5Zlt1PaWORY5PWlMI8LzQ8/cOOVViljcNhz1Jyvl0
DfZ1BJqw98xR/v4HOX/eQ1KniIEiueiGnOGh+UO/OteGp2gsObYjbf7GeQfGaYdL8T3Lf3c3FoH+
PEYjqsp2Y01rRdmhEIvpYaibIZbtN0gWb6X5Cw/xYVks74sRRXX/96v8fxd5KzzwJ/IftN2/33W2
etO2jLVPS98L57g1ctk+EJQuZGrPxpmumN2W+evfP/QfLzS3hkeU8Cp0226E2+L3T0WuZCsfws9p
6JfxQr9noDLzg1dqtPywMyB/gFu7ntXGsCTRRGbw38Irzgyf/83e918z8v+us+ENHBaxvtxsoth9
bq/8/8iMC8uVvc246ZQ7cEFJEmrMXT9N7kMAiU7cD6HbyrudM1/9yBuRE5zgehUISM5OeIcFQ4sk
xgXvZTgX4/UegSszCzRjyrlbB4eGzdZM/IutJpZxsJbBI/OUZj+G5IKMF+2ynCU9wOXy7E5Dfh9L
BBtJuE80iwfjSvXQImoQ19pnnbtWTu3m98FOWy2bNF0dotk0PARJP45IusYDkMsBdO8paDlj3SO2
nz4FoGO2zwT62dVTr25xqGba9ruB+JTwzvOV7z26M8IlGVR2SADQTXfoLyX+u95aOBgjvw0/CDzd
eaZj8qmekbKVJqVpiRNCYXw9/cvj8edSELLd2jeDBhZ+SuI/V9mtmTu6jMY+YTSwc5gCMZkNdDux
lRW2gGDljXj90jGwoxWjU+lZCACbCMp9LpfmzjaRRuMz2lCr/35lfy7/rMOuJ8Au3dAPyOX/qE+w
ddrA1orttDdzmc1zMWBErXlbi5sz9V/sZ2ykPHr/+2gC28B7AlCEow31h/hj3yN7jzSEcC5OKNXE
eBN8Of1TTqTKr9azhu3gYYJAulWhBntZ4km/xUskIyIPGPg9bSsGlFO9FIH9pYgWztsmQFz0Qtet
fIxbZHRpERc3bDIaJOdzb3WNeT+WcmwOcOeVOQzDpGwih5hsZIG2KfenDfbRQ97TZce48t8b3gP9
etztvFjThbtfHYQhF+qU19pyC34sqJ23RRZmO08TlOcPwkHunejR9xjjATAhCKWOu5NvYWHLbuPQ
T7GTR1Cqc7oohSMA1xV05SjsunmzDnDZYDi2BQxfJ8zDa+NsqG4xZeWQQWt8ShjrIZhQ+3vTE5Jt
FTAup7Y6MQBrS2ya2xIyfiqW6bB41pp/mBjSn0K67URMb23/3Xj22h3RHCnSWsphfB8rFwPKOFrL
r6FvRTLssW6+s3fQ8Wljb2k/MZxxx3QupfN+M7LKU8ohT30c6qC4ED9o2ou/BOurR9oOhUme9/nF
E7n54bGyssT3WOJTr16W95HXxfqiGRaSAxAX06fblhUnI4rSMg0q7aik98uoSaAce78ceMc0YOW8
/exQTb7zmlqJH3UdIT+3yAHoRmIQ8rrCya2LIpGTUzF64GG532hI1mk3aRMmIsJLekBeQ67GYOfL
0RdtxzhVGfqKjHw4xSD1gTzqRtKGlkaoCaHYXk84QwjewGMz5Y7jV4mq4hRyYN1T21m6z5Gh+5uI
dnXpZ4VD/oUNcu9vZVsJz783JJa4FVKbc2GqzX3DLIvD2N3n9eqDa76I1dqjAzq+CN+01Az0y6Ua
onMD3agF5htNP021MmZsnYJz5Ai9wUoQvDFtQKg267uRDag8mgLKVmJx/u3hzmvRQfIeijsNK3G8
0lkXGLCkgL/eEx71ba66asBarGG+OY5sgcUqp2dmsZJ0kLJm8zWUXeAjHV63zs2YVhbPrkTsTl8n
aAgo9zQjRKsNNkjJ4dQSfMMbQAI1sUjRWvvYBcYw+LlXLu19nCjRkOo+354ID2Cm27OsRk90xhG+
FLv1bAhV+crpH3grnamNJ6Cdvvn1HrhHyijOOgKHeTr4vmnSzW8HwTy4XEEcrRCI3a6lfNJl7haH
SnnyGjpkyhy6eUVeZ7Xd+zistkuHbOAHGpLxEtaRZArs1rV/HDz4KJfO4xsEWNKgscQXQy4AKQA7
ZFa/38h9JVzjXrpBzC69kteezME0oMzBD0vxDUvhulqkKdCOXdRDMQ/m1XYaAcOyHZx7JJyWyrZZ
jN09jUv4kGIXIn/V7l7Gd9U6VUGGkoWHFFCr+7lzbDpqk8QwmNBQ43Z3yBTxkDkFeR2KMtYcQP8a
RlaQ6RQj7rx+tpqm3M6bobWFcK0iN4yE2NswqsSXkDRBPnM3AiIDYisuWIWIodNHkfvTfTfITR+g
XEqPTrTVvaDSHz/5NMlE0u9B8CpXE6rUi4r+br+55RObEsHLRI1WJBlNrT9qpv/9NYrWG/K5dj4R
ErB36bZZ3Z51Q1WYy1pFzSfIe7ZJ6b74BeT0tmtTbFoVDKe4PPBW0BLQgwtLxunk56bG4HKO21F+
xrSIZSYnu4/0r2Yf3ooKHSCQNkEyUccMEag5irIq4ddHH7SUsmAMlFcfewVWCL5ZYJrDjtLnuFem
herc1iOOOje282NXVnJHXelW28vst0QR5U3oP3dDwYij88v+dQIk7GbK7m5ykB1tdHqb4MxJC4SG
xD3ac9+Hmrr9sLa7GC6OP++fyE+iDPEmnlQJvSv82CDAR16CRKnKaOHjQnRni5d81S4wxm3YirQn
ZPe45bRCU8cQT2jxD0DnB4EAt7SD8XtYBtRIppeAPRDJixddG5afrpzzL20rlEgXkEQsP1GMsHHW
AZ6Srdo/7JC82sT4yn1H3dZVabjSibhABrvp12P8SekeqFtuDbND2leu5SbG9i3i11xbNHfMmsxb
ZZiRso4bU74GxVT/UHp3Xhq7H8tz2CnYLuViQcsuSDIMPjrMVQYY1VCBrvAWLHyUYcF2xEzto1N3
uPJX9Hv9gQFnmNkbo56icczwUQ2lS9pj1KFCZ5lixkxgmIHnscX+/jx2dnG0YoRKKWFtUp63mVKJ
VBhJDJc1kMSYEOXXuadmxdanPROFx9Kfy/BY9U40puXk9j9xuE3oX5qB+1yO/ZKjrmnCCAmiOGBZ
um4K3gJuygUn2O5K2M/A+sbvEaNXm5avSzBruJlAnNfQy/33wxT9h70z6Y1b2bb0XyncOV3sG+Dd
GiSZjbJTZ7UTQpIlMth3we7X10f73Hq2/Or43WEBNTg4MGwpM5lkxI691/qWMaKvlr12NRI8Y9+F
JCskxHJRRSSgm+hteX0ITd8CjhQkSRjd6AnmHRzf/bhtqB5aFnKsWSsPERtXpKP16VRyjq6yvlHP
XoveJ+DSymdjIscLPnik9M5GsErwM4PmwbwDnb1unBEvqDrqastuWjfhRS+UTBzi3NTutGHy8gva
9vi9aNd3bym6LKj/Ux2q15DDzbUjCQUN0B7FC5haS4qVVtUPnSVScx0XiNc2mhOXOQNvwFfoWdPF
0UHWyRrwX3STsiq/ofVOBBcR2MV2aPFsINctxJLUIe+dWA3fLG32xl3IV7qOCbd6STkoEnco8vLd
iVxEfQ1PZu5XEXorLApkjQQ1XuKCxSmlFzYMwiH+p/gefFhZ3ez3GDlJqRrq8eBw5GEGrM1EWylK
A4an4wjMmRiA11nPwPPcgeclZlMqY+1siBWyb7uUDOENoTSsY5lttPy86mV3zjwNhHIl3nzsyxQe
J/CfgsxajgQ8eJJvrSsiVKylZR+rEHakr7oYHDbhbOKRHIWLtY+oPqTOStIloHirbpqvMe9VQAbb
xswCwmDMPGjSfGK6bntJwky7NL+NTVSTHkjCjUmmT+qQBsLn26uz6qDl7FzuAxIzb7U8IduvReh4
11dTNlMxWqZPmikdopjnTPjRVDEEz5NuVNYmrTPC1Lx6rDfcKTxBkcGRL0/JpDkyzoHLj2lEBiSM
9dalwlB58F0xaWficqg141mrxqAoNBEfi66QzQqEfvhs9ZH1XrOcWKt+SKzyUEy9foX5jQEPZucu
tQ9KYRQj8Rr1mOxdAdozSHMW6yMcjIrULKaf1Zr9QJhrfdDM8MxDP7vo5EgU9zoWrZPC5P00Gn1n
AiwWln1rlpGCwScG3rl3C76kYDlKIx6Jl0AQQ0VIttGTxjpSJc9T4KWqifomKd1HJRpjyO0jwodV
AQjG3cVRGuP4ncRM9jvC2Wo9Kah5wfczrvHOccg5ItBIdXL9kfCCGZQ/gXEr1wglOaXS7uYdBXrY
SsJGJT5/UA8EW+hoGtboIysl6MeMQjFSMac8VghHrE3Wl7XGtqUoRtDqZncCIa3k+5yG5susSp02
sKzFW2jzXfu4aWR3LDVksYc6J+XgEsSR3X+0FqmJ6xTZfn9BlqB5rSTCtLZUVC2rPoI20kgnFB/5
mtLGe9Jis9iNsVDdFb/FxNPUArm5ErDzGUH0eqGuSfbmXyeKgpvNtJIuOgoz8pKbzB5idWOzevUX
g5tF8VcH8+Vif6yMaC3ShLxMMaMiOeX1aGcb3CDR8Kj1UcVxvJ3cuEDzDOrHycgf3TLEK6ObDBw2
doC6NzTJ0Mdup41t52GConAkgHfgFI7NEumlRtVfo01BuK8MV/BYGxpbWVJeR12LbN2Bbzf4xsDs
6hgN9EsfzNgsrxE74m2fY6QBlJcif1SnSHjtHzpdv/eQqPRRr2iuYxse1IxfOyhFJCzkAZHcIlAr
z0AfnisMe8OKmbEaVGL8E4x3aZz9eix2mRPADXEBdEDY+tQZ9zh8Z8M0yW0ypf09KXykraZKcjPE
5PYwrSB83SuGR7gy8kS9+yef+H/18jQAgInROqJT+enjStemw9wwlVDFkhkpSwWkRWuazd1gxu29
p7XRR9aV6KVK0R4VQ/n4+ybE59dfJjb0RxBvg0zBqL50T35qWNE+nRqyYwDoEMjkrnBs0YWhHrtA
9NStoXbU69kt+0WDh4ae2rIO/v4NfG5LLF0Q5jMUOxpdad38dAEqqgkVqPsEHgz1OBLraK+ISn3w
+OhH15b9k8Ve/IfO+2+ohOVVaQWBB7MZV1Lm//qxiVNr9SaMQcsr6T0TG7Hvh6LzdaSpIlATTA1R
4rqHRAOmkSHzvgElkf+h//PbpYd6Z32HJYAs1g1v+fufLr3rDpiD+Wa2MWVoubdsIG4HdZD94AM8
rOdDDSmquIlrs/mWe5F6CUKlazd/f/m/N45/vv8pqoCYgCpgDmvTJPt0JeCwFKWmIQt3qmK01yI2
nVe1qYb5W2PVQ3+DaoW04YZuirVY4roPnUJckF9TRN2pS1otO2XmoCtXaeGV7cdADiCeX2E70SEy
nXTeUQFM/ar3OoAvfTVn6zCsnJG1O0aOZMY2663SkEmc1qhifKXTMvUwj65EXl7H5bCpTNUOdwns
qvwOt4VZPiILd/Wzm5DkS1uFQN8dLeAKzoUNjWqXOXIw/dSmCbKRJGRmOMYxGK5GxSzUAX+wVT4w
d5+0tZR6/g2nqNqthgbNoF/BCftK953MKhNISnZI8zG0/tAk/20u6WjMleHFWIa1tIiNT1dcRTk7
OemAkQyKczAijNmEpTsHVq2L+wQdyNHKynEvS6IaS4rrS+Dx1jatltG5nIRPDG+5+/u7QPvtNmAO
xvzNBXTp0GQD9PbrzdjNVREpYOc2XuuCdRowlin7rkAXd99NORgAN+wxQiKerP3I8Mgllw6F0bmh
XcYjQmiuvB/JxWguULVN6hbxjkYYdU/P4xtW6vbexSUf7aaQftF6KJT6ySHVAYnnOFqPlbRcm9LV
qR+UtsmS/Zgg+83g4tabKFeJZzF1nAQrWeuAX0e9QJsBFgPBSx5OlIaEzBdL9leFWFCmvXPAnTEU
e5oflnk9GMlYkboDTPbW7eyovqDq7FRmOGVsbvC1D8qqUxL3mII7NAPI9daDXpPAibq3Hht65TIs
nirNIQ1j6kzJQRdeR7MpE7onxLlCAsCnTefJ17rOQnKh6V1yNVGnOntOP8y74UzPyXoak0Ze2npT
0EAkGOrGTFDmY1rQ+unChvtj30vigp4jJTHQTiHPsO8ivqj7oS+Nl1axZHVoR7ov6zgGz4buVQ/j
TTEzXUEW3SLGjfWSPN8MdZk4D10zcD5uZ/er2ZuTRZBaNN+0PFgF8XYcyoKE0oAU6lChqeZY+SA4
zkkPy3CCKwEtA7MwxoRef7Z6MnACqAw0zMFBNmu+hTkMsBRO6aa1XPlSZZFJLAeElf1I+iraxzhp
N3KcEtuniOMjxDK2ETAN4DnRBxA37YW5pqxbKPLisk8g2uxLNec2t9AT9YSIVeXwBt4Urf6KGwAU
M3DVDhIPczDFOEaNtxxftVbhtSKbgPpCutNVlbZqtRKK05LWl1MHo3xBCNemejxeRq1X2zeaLLM9
WiYNubhrZ6QudUJu0TyV2ibUCPHZFkQSWQeMf3xoARNOnOEXhI8420Gee6lrNhAYgE/ljRa+m3GH
/SmbBvRiA5DGfZuNTrufFJKVVopdDPc5mUHOikawKv+wiX2ulOAZUvZaS9bNkpVifJpxAjiv1FjM
ETAtWHjR6DXXc0OoC9XMfFFwo/2bY9zl9SgTFoYX34fmfNqvqEWlJCkw2hq5YtyCK34D24PsFMHJ
a2w1w+vfr0m/zXB5PcjYrkdOBLIFkKu/LkmO4lUZTBjMb46FTcZpxss48jYNtsenJAckA8Oqzw7S
60vSbweTPEhPH7eM2t0n3Y5eUkctOB/bRF7ODkRZUNGJ6xfhQEigh1DOpxwqj2nVF8cYFzT2UmE+
/P1n+Dx1Xz4Cn0DXXSYvmqt+WlU5noWxTIHsRSOUFywG2sbBBhXYzkzLNdLhn6l0AY8SL8L2719a
X8aeP2/syHHIYSDkiMG/B3rt0zC2LCWySBnam0JgsEG9mMLDbYcCwxhh9tI7F3qPewi1MUrX1o6Q
eihDMj+OXW3JQO+AfvvUjICcWo7Y+PIMqe84Y2JogLY1v9mZzb1mz/QlMHZyhvFx83jxxrUkWuao
1pRTJRwPSg7tp37195/ut3ufGQDXFtEIS5AGV+7Xe0Mp+jAqyn7J3ZySwKbd8xEl4Fs1DV8p8nMl
+UOZaizTuF8vJ2BBmPWI0CgYKZl/fcUItCC0oajeDpNK0zuMSJdxZQ6UDqMlG4HZDOLg0I0gxDBq
bFK1qauMIDa4bmtSetOJKFcVVwkwDo+xjt3k90WbmR0CBIFTgOMYtmMnNnA0zcyq75VcjneRXovo
AiURvXpRxn7GoVjdYd7LObKaSXeRIuF4qzgcrodleMzq295/v9T/VgDZZfVe3HbN+3t3eqn+Y/nR
t7IiMyqKu//16x+JLvvrNwcv3csvf2AewPzoWr430817KzN+lF8UvZfLv/zv/uX/eP/+W75O1fs/
//FGpGa3/LZIlMXPOWFAan+6n5bf/9fPnV9yfu743hJHWv72Ez+SxXSP/DCqbdfg4aE2Xham4b3t
/vkP3fmikjlmeQaroMv/eKb+ShZTdPeLxQGSE4XKYkzXl4NkC90x/uc/FEP9guoFMruFCuu7+OZf
H/3qxy32I/CNS/HXn38J9SLb4pd7kRsfxJu14AcNA5oZipBf78XWmSDOjQxAGKemiwtrn5b4E9Nw
UB41E8cj6+IxU3UQ/iUdLqN+rvMe5kS/A3bDTF+N5dYiqEWnX/tdjcvvyLpVD9Kj5ilfJVV6bHT3
pl/AJMAKziijvk6O6C6VJVmoM2jBOt/c2njrcx3G3ZBtcDFdNZja+44KxvTmQIY6xzkrlBc0tjxa
OxZTDqO5DweIeQ4eRRF6IxKk4dIosLh38OxpMhyLTGxtpb2yU0L97FjrfRLFLwrsurVexYcC81JY
Up/Hsn0HQ/HMYHqdJm68DPY2TO4+6JaQsZhVUADm1yTNLhnmMA2sMgTOdYdfNHm2bQ+HhNEgZS8+
MOqVPovlY9PkV3LKC99TSXq1vDdLHE2mriK+H5W6fwZCUfsO0RwriV1hMZvpBLfyLnt8vpkfRZXy
tcALTud5xRo6rAbNuXFTDCwVhZFfgaT0rXp+5EoHyELMrergATGMBaMVH4xWI51a4kMUw7XZ65fE
tdAiB2ijYcXzmL/kZfE0N7RuvGrce3DFfNCSJ6uk/MQyLdajUlZrN9Xp1g9LprCTX8c0AbM02/a0
f1fRfG2G2clocriZFCpNLFdMxG8bmdxEU4N9JKK7YYMhGkzSZbANXCmOvR8dtw3IW2d+lBmgWbqp
3ipgG4IeGw2tz7xVDjwMK0yXZNXa5a7Ns3OWwHQyKnmF7eKWsatymzYUlQXGHQxrjOh1Od8rZnRA
LQw1biZ1ta5fRYZ93gKJ8aGEFQbQyR52veM5dGOn8B6aWxTQno42pSBlTZ+GvSQsbp2Ncejn1Nk+
XEzM9tZYQ10zmR+3V00TftQaFFhZPWDiaXApA8LBrnopRK0fDTPe6L0DUn2iVwZlbvST2juJhlmf
8BgNd7ie88ai0JDnyeGc2FW9CsRWU66Lub8xRUeHPXOwe5QJ76uOHxF8rwzdjcjQFeYyO7eOcLoe
8RbcqUp2ol2HNh8xiU9XYTzjq74A6yKDSSZPAxjOIGzqHstMdZ/iDeWeL89DNTi+gmZ2HWXilS39
pJUAHhLHTtbCULHWcABnIw8Fz0aH89vPaXSuIP5o+socy4NCLqnftvaEm73MA6EhPHdG1MZM/98G
RtOkkWI4yDrFCrpEHhiZ39mIOQIC1Qi0zni+Y8yCkc2PJSMpOumx7yDexSHxYVXLNL/J9wAvVqQe
YrgT+ivI9S2IitRH1IwlTBjMjlxr5+FjDFIEr0vNHGeXgobuuuIBgZ5ShMrG854TrWbqWSdv0XDs
peEFhmiuGDNhMkl0oGNmUxxlPy08q8SJbg29r3YGJ82jraDatTwcfKTdQ9WiKCV8NbuAHN0/oxkY
NpMWao8Aj24t/G3IbkLfHCVHVBBZ56rzkFYhaWHHAa4uaQYHQ45Z2QR74k8gs0Zv6JfoYIIUnPLS
mMcTcI99DQx9R66BPHITVFeDpxzoYh3azPs2O/1XcG33WY7LLo/LIB+Vd2H33loACl2rUXgZ2ZVv
4hQw++nQliJd2RZZcQBVfIbiBi9SKru2A8cyURxsKbrykz5hQVNwqotI+Dlh5CX95tiV56RMWQfU
KNtJKBurKBoOHKr3ZAfpAeZ1ezcTFSBz5bG2O32lA3B+h8qOow7Th1/pbvKaFnq+J6sXY9M4Qn1o
xiMJVmj58qhbtQ4miKQdrY3BfAef5q3lZE9pc1NOxq5AnkMIObqKzMzWXc/4ZiYc4WsIh7dsWLol
9rt7xvjtSYn0PbxB4OHFnpzqdjliurgfLbK6BssckIjqFltD7viDNldvasrSOdHMOaV2fKksPZA+
6/DZSsBTVdaNG9WJLof8RU9RlVogaEiFmM4Lb++ll9U3QUebXkRMeGVn7RoPQ3iJvqtTgxJCId5U
jJaxvUci4TuaOCtC3M+WsNfY5PYpgU+o2Fa5BSC6V5AN2Yu9c+reJ4cMijrKDnbohhf6oo4ZUcRh
9KgQiBbrAt+8XcuT6Ny7BobeIMMDKJRvKvjcOSJ+zQLvFbrxqYrU96bN7gDjzPA1G2sTN1qxMK9w
PMIaAhNeSIxtBDRPXchUE+la20LiY94kdwArxcZokEh3crgxe/VpFMjsoBT5Xtm8pKrS+dBbSHM3
UnvTKll68jx2H3CST8IJOR87LWomQvHsldoRoolQt9lMzWxBFJTTusBTtIO4xJlgnh/oxWLdwXq2
sqqcvUpBKFF0VrXDgNojZWEQlZVx8iqSiAi4WUErYzmxFThjiEkqZEIf2wIxbWzkF8wA0x19t+Fi
hlWGelaf7rFRk9XsFfk1lJk1oAeYEtalFW3wBgNigRLI2ntrKOZDXqTt10SlTzo7DwWzygvU/ICl
OxOk2pDR4ChZZZXU6dbAwzIOPeGzhwF45VSVSeMRIJdZx5vWK/ejSoO3qN+H1jaOoeYOwaxYddBP
FoQEb0v2kHVBo0K9raPuQZ9sNjPnJnTktkMQ+WBGjPetRjkZkU6ygL5EYmtd4Ru1tgwj2S6zlGE5
CP4NHYHVmMY+7qFL2mrANNQLOeqrkkl5qWvpyirqnQgtaCJtgETbB9R2zJNhlaC3MDPrHqDPEQcn
E67Mz2tAxUProWjQWiZfIJZbKIhTShyzZ5YL6496aSb3HZvSZWfoW9oUPJRIxipUZ+mE3Q0bOTlm
bJrlUZXKelzii22eCC+8dGN5ywzmeSqZgU8jm2tzMZCkIUzzjv6Gb2g4TuZECTxMoyh/OH73DlBP
GiGxdsa1x0Y/QOZT6DE1fm7q73qbgRY5FqpLuPUEq6BfIYjdmdZVVIi3jOz5ubWxvEuSpEcKpoin
wckDR4m2eSh3oaj2uAC3mdv61F0badt7pQNFpUEfW0Xk0G8QUqLFNmeCUeyzUdISSAlz36JvuCux
rfBOBoRx4OV2tRzuiTbVAzyKOTu7fSkXs6SlvoJqPWgqGxqC1g9srCdRl8nGGkgOWDCjWnRhCP2S
O5uaT5SMj0meqiHdlvY6y81d34YnIZvXpr1RVBAQph0AAwsq47Yss6e+ih44EW4rcm6Apl3MSnYk
lfvCqdVzbeXkbJEfWgKaDcZhhBGhig1MCwPx3PRRpu6jlbFXsUCkdv2Elusdfv2ByTKyvPLYCny3
+uJLZZhAr9YS1Ta1hm/9kK8F2eCw6p5mWJtqtC3riGoerHXuHY307M3Dcz/pxzY6quYN9u7rcvQO
EvSkabYbFyFQEzdHG0NeHdKxiDVWMyyshwZJwmqKJAQL8WJT7BL9gqXTcymaquJVr/Wd3SpBlZ7o
LIe0iGpEWC4j2woJ02oC716k3NiU0yYKQsiAs3eq6/KyNJrrXrE2LCInzjVg8QDOjtBZmxujVcAq
5WPv69llRmrLSqn1Eyj/oGt0IxgUdhSYgkxZnfjCm57QHOI3zB6I2DyZVKpWqx0YZdzjQbirCrxk
M3yR9aR1PogThjzyqtTIAY0sFASlQdpmLHeTNC6d6a034sCF1z0jdQ4KV1k1I7GChXff2VQvdScR
tqibUTeaLULQa+avd3X16Iz2kZb4G3eSCPIuvdEREK56Ow5XnEaWA/vwSsY4qa1VutEz0zwV8AO3
RZXv5lE/J4l6RXsF8yehTE2L+TeUzAZz590WGHAbOd3Dzl2OFPEC4OMx4LbsvaeRYilhP1NBRWUF
lJsRNJC9rSAqsIqK1rfN/qYAEjup7WU9EiCmy0PKRki0k0vHnn1AjhAKyYhmkPHU95cAIc9T1JwM
xb31sNWljfFoht1KY9lj42gaX+rVnZxfU/slsZT3GXajYl2pUHJrMGIse9fTZO3aWZ7KWhrXTZl8
Q2l1KlXrHskXbSYTWoAJCYx3F4fK2Rpgq7vdXieQAMHGB93Z6xHcJqAD5D3vBEHt8qQ4ECU7nhfC
WkxQagVBbdX2xp6dm+MasrNOIKlP+G/E/8xEXBPOSsz2N2iNsNba8kIpDd0fMkf3laE9ZZWyFfq8
jhBdNU3znLoKkimbrNRk3FgqCj+30QX8Hesly4cLZYjOFtMPQPIsNga2GVSxA8z5OHX9sBjWirpM
1YEXLNLfD8Qqq0oPG74mdbH6uGtHYzUXTt8FTjcYF9qwmB8XoEnmfg2r+KkCDZrQcz1Gmn6u6pqM
0Cz3R4ge+yqHwBNO1j2eMQAlSEoDw0heu8q8LRWj3BYd0Qk6BaXhlvW214q7vp+clR7WF0oOBkUq
zSOyqSey3GCXtQp6lxgAojMkbzmnVlg8o7oP8XBsZulKMDn2azSUN2pbWAic3CsyGogMDuG2TGW7
wG9O+NLPqakWqyTRbEACKHqzdoZ0ERr2KmlRCTDee1JQHQRKa+Y7mF7DNjEtO4AjOm/BuWQb0Zc4
Myr8yLE3Ir+3k2JPql7CJRfhA8y0r3Ht4HoRw7j8NnmZshJHbGDKTm/g/ehw/xvFClFQhujjZBrR
25CHLKSEVwBhZAnYuUG/KVwGAzZaRAGyNrNQZ5aAORztKmPCgXBO88EZZ9kqi9JqQ0O9ODlC5zRR
J8gyXYZgY08aSmzDELDRC96K3ozXXNKR9YFAuJxDZES1AsXoqiOxC7VkHx5FSZArREVFP5iyKDZV
XhG87g2gzJ1Ku9DThHKprrPn0EXjbSsCKtz4hiLHB8ewmUzujdR5LBX3OCiclFqdIUb+Ae5pBenw
OQ5Vd1eSIMw6nWACGvX+ORfDfZgUF4ppc3aPjD3cRsWfPSZUqnHUe27zsdAP1KeoQVirgiYXTIn6
VaWYR9tihXO08qvUKqj8U2ZxjwNouGBrybGoikgjhba2mAtOpQtqSBMvJFRo6zHtsy2UF30bdTRh
0NkgTq4aCC2DQeW3Vme86AuMcqXy9LF6hIckCk9Axg0Et7PtR0t2xOzo9zKMXyXtY23E++IUZ4DT
GMbil4hbrXCUr8IFaILZdx2SeZw1QCzAtq8QTq6tuFs1Ic7hsWNbThB/gQxJQWaHcl3gM9WZGKNG
PEQNVq7GW9Aqyoj0QjR+CSVY06AMUqrlerGnqftueilmwH7vIeHt8/hg1q+0vu8YuV31SGcZmWyk
q++dRmJuyfxWEo0o+vYZ1prfZvkrhslzncWHDNsMLMuymK7RB16OU/qoFNWxSmvm4CjgSSYF9baH
M3ntlotFbVq1jRIHYNCPZplcGXlKKwn0X/+glm3ol5l9SFriQziEBsicB5S2msnlHLA9JSArpKZd
LeBPGEMLGZRACMqkeT+TqUePCNSLPa0lU7VVwSmDW2RWNhnQMx9DzWuba0GdaOdaMTeZa5961Xhx
u3wNFusbSjDGcbWv6PQ7UHVtiONYLSFwWULNN4Pk9RHsc8yQxZmUxGilp069MUMe9sIJJlC1dAJ5
/uiiedI71kl9HVfo+AcJrt1I1xE32DAJ2GnTYdZh+7cL15vGK1N5bVepEv27tytMls64j7azEBux
zEXtzFvlWroJq3SvmpDaJmavU36rjcShSXX+8ER448bixcMZkuKCMmD1e868UdnSdcW50em7X7Nc
ILXI96KVmroqNONb6syhX+TFrWcL+34o6iyEF7esL2jzOIjsG8Cg48M0HKFHTEEtS0SuCxCClVbN
LdRZaXiNoB30tF7H6xzn7QarsQD2hxN3pU8pdUNfmZQbbaT6MeCcC8C0PJ8z8GaQC/EPD+y/1dI/
ibemBNbY/dq//96Y/s/m/v9rjX+djvz//Fdz/be+/+q9EL/MCZZ//qPpb3xxCcBYkvnIZbcxETJO
+9H0V79gnKYl7GHWxTNsuUv+519df03/YjCfXFARKhZKZ8kA+qvpb3/B1KUZHspYV9UcC9frv97X
f6Ppb3zK3yNyknhmJBp4vxl6YWdbxn0/qYW4ScLeXdLqq9jCzdRbDeQtSrBaKzZWkTobPDVm7ffx
TG4hTVYioNY9dJ73AY65tkqHdnwzcw3vdjy0E2JkYhsl3VagdqsWsG/IbAlScsDt7cV+PdcYKRrX
BRJT5MT8AAl0ta/daNnn2GBVWqf0TOgcZW7NHjI2Nv4QKdPilMLbBoSPtsnx1YFfuZvjcIKniRQi
QaidDSUklJKQE6QUkbxwWjbXq6RW2CkrJvycACE9E+6pxDhaWkeNH3TkpCAOvNymoTV8Px3hfwSR
0jXwV5QK/DNbTBaMGm9+FY7mdBijlsDkEkUQy1kixEftiORGJkBw1/wKE+x0rUvLj7QxicE2mvVX
s9DAXyO2gsaDDbtaNeyBdFpgsDYrvW3aWxyvlQLpv2OYbFI2hXRCyuFF1E2jcz7SGoC4KkFqHL3n
DEah2Wofhk46yLp3ZYTvbU6yehsrOcmZY6KARjGlHN3LvOgTEwtPSGEyhFYicek79SteQHRS9Dr0
iRihZcagVLK672ojL7cjixPbntlH5hrbcXkuSHJwMeFZtFwUs1cw5EGWgiGdobmBRIgJdauj2KBj
pMDv2Hhj6DwnHIZPItHle09iBrDLJqm7y+XY2yKzgdXD12Bl04VX9063k30uiYGbCRwIilBVk5Xl
mjhFExk701IYGva2QLj1MYXKCCifK/o46WFnXcObyZ9LZpyipldAGDfn29oZ7xCXpvRnEscQ2w7Z
DM4VAapgg9gCmX/eL8sjXZ2cMyA0zDWUwORpnnSyHBwUwzSB8XhYdLE64xmfh/OCF0oDdjob9RU+
PfIwsaLiXIJIMaP8wq1FS91NaYLnorePbg97J1DbngYnZqWM2BE4tmwJdVoydFCijApSOgad2kVn
BGpwU+Amx1Cr1+6bGhYI0pJB3jJoL+nFuMxk6OekGDXgr7jfsB6ZD8lQDjMdcgcTB9BIWGiaVM51
1OMx9BCwUaP3/agDVNSKx37WjUfG9DEQH9xq6omGp7HrNBF+4IOk8uiziOPLpN905Kq/dL0Rpjia
i/C1Qw/+IbKqecIsUe9b8kLu6BYVT6oxtfUOcgi8oKqJMeGXVk3mB+zRca9yRsccg1SNohvc5eQG
Xc+Ign0WepGP4U08OaU9KRs9HDkki0aPq4Ak9UWZ1vcI+5UB8vXKURNa2WGb8KOu4s4TNW9NWxLf
W0W6qZdUWyfKyCQgGhEGFhK3K9EUBjpBxl9xUGl2/FoiM380XNHdDSwtt7H0CJip40bniXYn+W5/
/6o7rW7PUT7oV3y7HF5arbvI4Wa/NonV5YGOEeeVeQcfqhF4HLk1DDD9DTUzVIXWsd6jiXiaIG5g
Qa/ialwOJr3QngEddodOb2tUVCnuLD92o9DhDUeOtyGMKUVZ5uCqFGqXAz9VWiM8FmRQQk6o594L
tGRpdbFkjVw8WlPTpduNRj5vcOw0UCU1Ai5oXbeOEFeY/owtBoz0EheYYAiXtVO9GeK2eVWBRdh0
w6vWDBQEZmjNoig/eZIinh4Nv7wxq8ZEPVBoyY2oPVRL1qShg7DBtMsLVKP0jvISqzier1qvoZdl
ZTquzbbo6wB5mrtpSMWjaI40+y5fkPe8Lc5s9Z07k2CGMsWNL2iDx+OpBnEcw5V23ZguHNadB04v
2vS2ABGfjBrJ5ZquRSN3nmmWV15ZFaD5cIA6ftkpQPDTOJOXcWXPkBfaHu8t42nYgIWi09bC69dR
yqt6sZ6t2ij4S9yFHO4KjAPRkFZ3QjfwGodJeK9Tbl9xq/OwhLqWfwyQm89suYKgybF3tCOwFutH
+vH/L5H+sagF/u8l0rrtykKAYPihs7j49s/vP/CXMsL9QhqYitwE8aoKTgax9l/KCI0qyaQU4q9J
atUW9MNfNZLlfcG8i9QaTQRSJA4P/6dGspwvS7Q6f0W2OnUN4u9/o0b6lDy3iOd1Wum8PlQlAq+8
T7KIWa/0jsdeCwqp6gdnbh+ryG63iobCqgMSuhfALQ+Mrb2ti390a5AFx+LlZDVrwex4zI9CuUem
mtz9dAn/C8nGr3qN72+MghLijAUGBS3bpzfmYLNIhsxUg3qs6kPRMVKjohh4o2kT+paCC/vvX/BX
7dfyggb/0dcm39MCJvpJHmWqbNH4I3UmCfgX1MZt9o2hdD+UQT9EOf/Fx+I7rf5TEuWgKVtoJIsS
BvYTKZh8sT+XpHONJ42YEjeY3dHYjuFssI/WgsAxNGV3iDrrB1jFgEjUSt7+/Qf8JKJeXtvWAfkg
gdER9GmfMWdwGOu+dMZoDREsfY5yVJ1tURFca1p04prMKLZ5hxKELhLqj9YtsB3G4FZz1OTnzGlt
xiKF+/SHd7Vc11+vyMIVYhdD7KDZiJJ/vSJOhbfHCKMwCEcwEoCcnB2Q/RbGsgKtvfLmGCPBQIEl
20OFCHwVTxoWT0JEH4CMcgNq3jVuxDAOGsOBdPqHt7d8Ib+9PVAgsElQ/eufRd4uwOA5agrAaJFH
eEAKZ0RFaf0ylnLcOYyPHkwyk4laAWKy1TT6ZV5jxdtwtMtD1UbdH5gUi7Xj09uB8MyawbNKvfL9
O/7pSGPP9jix68Vri6SJlHCAaWR6vNRXGhxWwhQyAOXqn5KPP6F0vt86i1ILC8hivuKG+PVL0p06
S0RcizXGZPQiWQ9thVzM6zEzGGU1zTQwzUTXGlezdmosd9iSuBQGM7ojIg0ASk+Vla4Z2lX/m73z
WLLb2LLor7zoORQwCTfFxXXlq1iONUGoSBaQ8CYT7ut7Qe91hEipyVCPOzhRiAa3LoDMk+fsvfaF
kWTGkzkxvP75nfqbb4bH2/b4AKwWiL2+/4jzMFCklZ7cQ7D34ccl8743Me8K4qVIRxnJHemr8Be3
48dFw4FGxouMsMzmnWIR/f6itm6df1M3Gj+BEuIM43HFifCLUO+/uYrY1kILSCHWI3dbK/9002vP
6ENJO45OISCuyFNoxEtNhsk//AYxE/k2lBOHqJzQc7dv+M+XwbbnFhRlceEt5XVjQ92F2kEiYqFV
cly19I7wULy7n1/V+8uSyGXZA/nRhOWA9frhp1OiDl2iGUTcVKuRnJD/GB9QkXDrNWioDnTXBzrW
Ton9EZz3QmBhTWOYhvtkYwyF9t/AfRAbXBY45qcC6gGZCg4CINqsOeZ412ay24ulfej92u8iOBjz
Q5676RWPknObT7l13+GNd/etAiRFnlgyXKWrY9GU1i7n1hbxyXUGxHJmVGXZR/rraIz4Gl28pmPG
C1g7LUI6GxVbP9tE5KbhwIkGKZ56pmD2bkyjmurDiNnggueEtvXshzh6C5FhDSkI5qQPqf3y0xBI
LBsB6TF2XE96iwaxR6++n0d8IK3XQF51rMWl50xL+E25Lkrj0FnK5zm06UYEhYG4f1VsHpCsZCKB
AQ9ed+w7uAvAgkA9h8kntNzdM94OOtJVXw/xz2/nX17DP+4m9i/WTN9irfr+ISqHfLUTz0bDYFdG
TKRMcsR6tI21NKq9tRxvMhB5+59f9C97yHZRYHA21BoUzj/K+qeEVDcnbd2YpFBCwO0q3JPa3MY2
uQv/dJlhFTRZBPkJ+WX/sVL+6SUZhrSgkgq5FC/EpbUNMZMso8vsEELAI775R8E3/fzn+5sv1aOF
7mFa8EJ6Yz9+qSln33ktPJKQQ3VdLPMtPCKSnUmTiU2fcsVTkIJ+fs2/+U7x7kBpQS4rLOS739/I
RjiZkS6CHxQa9CHkhu8414Dm6VL/9PNL/Vjr8dKwuVKReA5XpC76/lIUcxooMkF9PvNlhCRNd5rS
1tub+USq69wPv7jeX7cza3N/BJuPj3mZcH+oOUrfBbRQAGqvgOseQsgZH9j0QqJ2BbEBIqj1hMmg
J16gYsACFc2f2yMSG3AvaxsAvZuKsYnxAJt3XWq1GWEvw0IGtxGoX7xOf3MXcJB4uB4Dj2/oD8fC
nx63ZAjbyVBY1euuDq+0lpAWW/ogXjvM/4dLUZpiI7Y8FmPnh3V4xKFDLCuSEOJ1SQQKSJvGg82E
gsX4Fzfgb57nwHe3t5U+MUv+D8X9ktlDAP7fj5l3Jjg5gPmvlK9MIDdd1aQIBMRQM/7iqn/zXWLW
RG1OVC5uQnPbZv/0XTbkw82Zsfpg5osax7qQu94mGo+Wkn38p080hwlAZQHdccvBA/H9pbJ5pYc4
jB7i20DEOZP/fbfq/ijyEhN/ocpfwEq3j/5dWYifg5JQOJs1l//+4YGGzllUoVcxLWLAiGxtAYvG
xvqLJ+Sv7yn/suMJrsTK7m2TgD9/gZ1URosRzY2lt4Qkr+ICoxelb3BEE+tXdMEvrsc/+defi1UB
Qsd2v/Cv/PBMAiwIOZIhU1QeSQLA5Wccx7UlxvBAgCUKlRpwVBIj92gvBvB0DPAmhSQrGSwMtAFh
dA9+EoT9fsBLTrcbb/9jI+mmxotBdwQlAwJ1xulUD2AonVO4qhXimNvRXFna8gs4iuWYSWf6GCrZ
3KZalfah8zUbdulkk94Ck3XHMMBN071fdPJmxuf4NiN8N2PDF9Vd0/6h4naH8nOXzwC/6BkyQoXP
r78RHkeMEionfFmTY09kylJ1AdFrfOjhBENfcl4zv4i+nVGQeVb1NGjdPRXc7Y8iG5KbxJ6JXxzH
lZ4mtAMkR7IzoBjBMaloKw600HAuzM272whCQ0PC0bYvMVnuXEP6xNl6ZZkciEJbEBhVWX8jGMmT
MGpoH2dYgXgiMpT0Lx1dNAUpmen8zVadz9EfZfPvXqsIgZ51az9yZBhfymKhiViUENWvdOnMwMaW
ZX5Pxp4AmaENGNh23loIAB21eskYULekiTgc6ebGrko62N1AfkFGAsxRzr5LxTQ7jDH5UCxIc19W
X0CAGA9E9ZBb0nQJHwS+HV+h7heI6gTw8X+oBN0vpFplH549TvxciKb0oZcTsIelTNqd3U3tbe8Z
7TMVm0ISRdjHyvR5pcU+VJ29AqYwsHyQGOmAbWtshPmpgAcfYYdV0BjpUtaR59Smf1WuM24N7QXq
iaRhjwOQ9mpSILulJuykhvlXrEH4EDpMiI6bzeISChfTjsoSGXhJoDx8rXIYZCQhVl1yBxEXUXRO
TbSQc1ujFzP8abu3/EFED8QkkqSib3RABgV5Nb3PLLU2WhhORRBcE6qIRMets692Y4fFMW+c5Lyq
iaE1ouD6LB1ctDsQtun96K32Ixci3GAe+uZ5muv1gedaNhEmyfFb1/ShPhbNzKfdeH8tg4uku/V6
6Zf7ny+W22L4w+JFi8e0goBGAjDSHxZLOdPctiAd0Lo2yZqpPaLIGMNca8+Y9pQcaEDMCcMt6Yt0
KcT551f/a1uEQi7Ep2bRpAMq4f9As6htq+vsqkHzXRsZ48Fq7eK+tNcYKiOWGOS6By3aFL+fUaNQ
7cNb9KL+rc0Nj5GxT1dIIf4Z3ZnzNise7Fp7q1CowtwftiqFb24yqo0VFnCoEMKCpxagYO2ysLz/
xc//N3sHJdf2w4eW7/s/lhghCWNaYFCKCbaoLwnPBOGlOoXLo58/Ld48/J652G5I6xERPgdjz7mj
2S0BXqoOdffOB3d5OTJZPfz8g/21SMA15v5x6jUpgTZL2Z93GwnuZQD75Mdm3ygEt1M4EaHRGlD6
WxUlhVdDLRynXzyMfzR0vn8aBfsNR23WLCy0P25yZqj7tRhxXMGsSS9ayYKfmulwIrREH1aHbcVD
Jn2Hs4vIW/BzBJCZcngz2rV6HRRgrZ9/CzTCfnw96B3jhMNEDwUdH9sP1bHVz7PhjBBumJpokgMx
v6Bo5TQYdc5m3zfnRZItxajlJk2R0u3slscnSqioLlKe4a+wErfFYq3981xsI1BijDHKOKsrzH3H
oEftErfo2zMnZda6Okzmi7QNMHz1VocgqU0dF2+NibAdRb696eMZEFWD1Z9sRjS4x5MGcpvOLbZR
YkZJNJ4W13vJ3LT2duayWHCRCtvBcqS0vCFfIRuikRjEFGYdfPQdHTTvC/GQgo3FGtTMeKpsQWNi
kH5qRIfmaTBaA42zmNKzpZV8dchfJDd5Spsh7jsiD/jDcqi+oJ3ETlEt2gwuShpU7GvSCKxh3vnA
WBtxcKRv37pOOzzB8FvVAZxRd6tZdx1y3DwrPUDeAIQqAQw+In9fmr228SGfpsA2VoZBJjTg3qvv
0KuS8DFDmN7i3czyuWNavYMQB4xXzTV9rqwFlBYzkhTOBgntsGMTeoagWncKtKRyv8KBqo0j+2JZ
favGxVSPcmVpeCIU0rVP3dJk4OuWPjf3Tt36+oKNezivU9LdzEPrjVedDxaA5KRkLVAIzY0455Pq
eqJTFCNr3wUkcW8T0XgwMuF0G3zARN9F9xkBvm67FjUUiCY5dqG3yQimRzOdXTqJGbMH7ibzSDxW
W7ocgz+ri20zMe1D75jDlyxJpns26vSLz0OELLiQ7jtFr+cAd6gZbzfCaF9dDPhUaJk5fOYsuWXw
5j0jaqg8XXIOlkmqyBsmSOCb2OfoApxEBFYMhthPgAseh8Hblv55IWEFwdwAAqPyH5tu8tsY4sVM
drdE89X4jiYGe0gIM1XGrM3DWvOYoiwtiO/MxOjf5osMbBwkeYUqIFEZhmJbDc9UDZhpyI1Ng6jp
JTKklbfPOjRt2rx1oH4XvGC5ukDSgYgkmSaXSs8Y22+w65rsRHQ0Qr2qtojell6xqR91X/ZHdGvu
Vb72xISaMg3sq5B0sSnyF2M4kfqFK3B0xCZ9XZbk2CZIbgkum0aN5V7N7RXsKPMps2qeRfrmxrs3
5b4f1SFDwrhfB7c4NRt4PnVnuHJVGEC+whVqxiSFO6/A6bzPWukFPgc+drGzC0YM8TL0VIiY9aW5
HWAN/EGLuXQ8XfX8Nhm0EjFUlvPraqyQdFP4RpgUYJUdu37eipwUYBlp1ri8BrAhsRmKjp+iHcwn
Pah02Emer4t5Ffk31ycDJB3MkdZ9Kcd3xtS9yRy4ND8XXWg8YlXwCQw3tHFfKWciuoZuzSdVEWoc
T4SwkCgdeK+jHepH18qLj2n0xus+bXPg2kO7zHj0hvXJDtv0vVQ+LkJtahwQeaHEjK0kYx7KK6er
/VKT27OHfhZQSrfwtwn1dhX51N5MeE4COIUkHCx9YbSNn/Y2GXxFbCelJXlDS+u2pL4uSTXomupI
VKLzhoyx8Hdl0S0XwQgWNNJuSugXecy4l7QiGw8toQyADrrptJ8K8POXfumL8bByyLxL5m56nasa
BQbmp+Bp40JfDF2H390uR3gAXbam19aY5A6QYJ+o946MozJup8FG6FJUPhKFenHcExsNzlM0EnZ9
BnttynOr/c7YE9Ekb6q6h0PWKw6DOycoA2vfe+laxTW05vu2bZpnK8tMRNTAQNa9Dd/7q0NuPMVO
mhu3IwtmuqcLsPmj+GIJS0e3zGxqLsznSRmklDi8oP0xxJLFbbdF9mwmcGbYXfo63DVzS7SuBMIZ
T2bBUCsNmqLAda9qLw5CNQPuDsP0wyEr1jsRg2a8cKf7jsmAUyEkyiYqbjcljYfgV0sW0RhY4avm
uBC1XcoInswaugRlBW91HxbaexqTmu0rhVDyVVqriY/I8IsXhXniviO6N0NiU9dXHVQ9Z0cahXAj
tKZzsoNUnEnCbtxSxGu19ogxg2Z+JyoMM59NCf2aWN363mcGGPysqdlQkY4UdczN1Fez6BomTyiz
zAjeyuLvcW7HwN7ITw+wO4dQpTXU2V61/SmrHUxEJrkqkNSJrRA7AyQBPeCK8cG/G4X/P4L/L0FZ
9L+P4B++tfq9lF/+1Xz8S2Xf/oUiOP2OVbD99X8P5K3gN2/rk5BwAcjMdLaZzb8H8pb1G50Nn14n
kBjmfdsk4j8Deec3Ov+w5XncYH5RlFNE/w+pwP3NFPQmOEI4PqEdMFf+wUDe36QFfzoN0dtlwsNU
nvG+FdL6+LHvahscDPK+pY28kHGaNkt6HWJhda5ob4BrHnvD5LC/IgLbTwxH54vZnvtXOESbTcWx
ieND+hKIHX5BMB9TojUwQ4ZS6HLJcQaXly80b4qwqT5RjrhhBHKog3wLWx7VCFU2aewVIcgNYxO2
hSJLPmpSbDA5WlpQE5kNvrXMh+zn4AfdUWWuzknDonGOPmTqcS9m5SNwo5c7xXOYzs8dSJPqrEd6
Mi+B37OAwpOEPw0ZMN1oyJY4UQyWiGrcebP+5wbePnvtkzeh5NpC0yQMFMBC1bfRuvbNtq82KeH2
LqnjoLFdeR1iMeFMzgvVo+1ecJmNxKG+Vxx83kxvtE1MIEDBI6jy4fMqc/na9bpeYMyE6qYI6hYu
RFhaH41SEFkXv28wU4jGO0/z5t5sZEMcLszeZu+0Nqptp01tuV+F0SwobyzQWFvQNTvQGrSPMp97
SmNLLgJkAttRJOilMHeRHkj32k0OK+mBzZ4wQ2ZXllUa3t6ZpQ6ODP2Jh68d9TbIkeZL6NX+HZj9
/gZ3tS1j+iMGVDbdo7osh2njY5qtMCACl/nvfdjjLfbSTQMvlUdCXDmNCz1137lCOLbqI0aCVOy0
JWGnWzigaSrVYQ9UzfQ7ECydB36sC7w8f5j7UXkPa0UQ5kmO5jicF20Akx50DjQAe2KR7VO9hiQK
W0tj7auwZ0Ujzba2oFEPGAe83oBeMY42nXPXk7iV3FStxpFUbFNdFSX99ivpMU/EFeIBdLW8Hqdj
YNMpwYFtY7rGHp6/kydLkmzG56CAhW6UQ7r3QJp2VjFmAAedjgTbWaRAijrM3/tSdbjTKscxwezn
WUiYs3S2gzNngXbftchuqZqmZjn4I8neFDFI2WA4Up8bjw3dPPdAr6MA6E65ll/gQzBeZEX0xSGT
sNui3stTeSVbjmoPUneDfnJLDkHxDO9n+lzJvCLGjCxy+Vga2ZRfF3UyXMyTP1aXUip7vAErGk63
bNAYeTu0nMEByoXOeF4p5F8VXRvxwec2mmNI1WrFAw8QHV0OUZLwYbtp791prOtdai42+LGOxIP9
vEzwENosVfJs5UFb4SzINMMLb+lKHFeVH9yWdb+uvCycJS+cNWX7gt0AS42EeveDXpuaYnA5dbE3
3YqeECbywdlTFJfNocN/Z8G1nCrk9Y4y82PolOCzgrWaYcsnqAp3JUrR6saeU1YudHLK/trk9dwC
Iku0ugst6Zo7Pc91dmDWm6d7RQHmRZ1ZNiS5DqWJH9lQbOpk2PG7tkOA9MkRosO+X05DfprMfmhu
bIuV54SssszOwzCV7YmkEunubJ6j5KLPxjE41mu7WcpQAwhaE1aP9w4NkxG7TpZZWKeY8EQl0Zri
E5hlOmwtzAk3HuYleMa1wsfh7vOXan8ILpJ5kwBmWEs+IyzuPxgNux9LgXQ6ZuDTvJjTdvUKdzlo
5WzsyRfgkOTwilUoDolDahPWN5PfHaHVQbGQquBOiI75ZBKU5QFWgrq1XQXsKVxb/yYbV/NrK1wm
YNVSbCThJId/3Uy+/GbZnX9TMNOuUd7q5gU3Vf9BfKCZnAYh+o9lNtyP3N5SR0lnyl18GIRi7zhL
Ny8cgTkBEQXafE0am8endIn8YzEyZwwXSUu9TztAuqRrLJ/DyaSHmUGnXna8v7OIyOvLCYsFJblE
pqOD4Gxrc8IVJV2yIjgfob9ea6jskymy7sqqZPHYqiYrjhNneOM89pKimw2DTiWQcufVNd3CMU6p
3TBTi3oJfIqTlG6u9FKYdqTqWa870oEVqlKzGlFdBs43SqcCtWWol4fRHzqkx7OZTrs00eZjlrnu
2UtsF/phYyThCdBdcj0ygvrakx5YRgvOHZy5FlGEkUryGWS4IHKJ4IlSXdmN54KCCEHZHLIhaG70
pG0rct3FeWzSkgPz6Ngq5NhIzwhmV9VfVW2Cn5mT03IP9gciqZIYcyKIh3gZkTwj2rVmh4Zal4RZ
gbrZtB87Ls8gvqrdDJfgYl8m6Uy+VO2Fg9zptGAMgFJgfaTPO9yTD+q95AZK/0hYMrhMAHahh8Zb
9iZoXUCpWcb1fbsExxlbGHQ6KpLxdj6J0GgPyBB8XM2+2IzIQX4w+rz/rIhMuKaNhv3BITXkplu6
+qVV1fRSl4b9apjbRCURNlAfr0N0gV1vA/V3OvHxRaRjtycOqXqyFLa+yLG2OIA+qDDfFwk2N04K
TWccxWKYhtiJMScoDeEQLoextZd0z7nFtdCW5DZxLoyDv9oIObAAc+y7ZxYwPLa5W7cU3x5HKQ93
UxXlwRTcUgSo/mQO2Wjv0poA5agNVoy5pbmFznD69m80zQ/w4rPsH5SdNO8FunoUy94MX0c6Tleg
Fe8wI7dVQwMC6cM8R0jErRcx1f0XSJzcStELeecJmnvY8JoBTwWGiwef4eW7nS7yqZShRMNPSgcn
iVm2oE1CtOdHWGvNTUOkzfU0dNkQt3YB6iHp3P6NxJbwfdVu+YiN2b0ks8l53lLlCAKfy+YrYpzK
jKpSZmHUNrODP5R/uDt4YUmYStm74qXbYB5xUKc2LzUSgVNDcJexwzs3oNzeNo5dbo3DF+kTmruz
5wb/nEl2E/h4ztHixICyW/bKE/TnYPHMnwwE7zZ+2QripCHy8a6zRyH2gIfSby4xbQttszH7DE4e
AYtB13jctVRSFILLEkjoPh6zCrpr2RfMIsjest4Qd2qaTR59rNpEcRkkhtMnnYM8skZwaxjZEYUg
XVqhcJPrUF00rWEwz5naNYiBBRd7i5G2OCVlmDMuUzYsKs6+7EHbdhqZtdvOuxUu5GfpYt/Tue1M
WBANOaMBWvLg2E+daEnybjAdF9U4JxF6QpArLl38InYwLMBQqZviYIkG5kdYM8FYiiK5q8owG/Zh
vaYiChpv6KhCJCMz9tr01QBL/wHsa65ibBtzxYOZ83Hm1KieKPymW7LpCTIZCrVckx7cC7gIDmAg
my46MRwZlpMdnuq6xJkCpCLKKmY5+Amm+ndZ6m4LJXImsBnlEIDuRwn8BnlCPOdNro3YzPAVRTnf
qI5nmDP7MKubMq7Ssph2gxo4iPfWvHzLoZjcVLnWWJE8uTxAQRm+OCUdJ2zG8/jqNwPbhwgJ8Nst
odxGbW5FnSo9G/jQ3Oq8iRF2Vnf9YMgvgajczwQJzWTeUTMIbODmVmenJlAsqL60bXn8hX3JbKi/
TyuQ/dFE64YERETGYgfo1qP5k/mf7QVbPdu7l32Fgo1MuMvH9cki++WJYLVJwGxy8ywi+oKQPTPp
26+F9DUgHLqCAGJJOSijuUwDJ8rhCdArC4rlLSeVlgyQoGaQiHnWS/YEn1cPHP6HBkSJyXyC40lx
AwmaFN3OzDp0X0QtrVFAstS0RYgTjQJ6RUcp/JVX1WFJiJbcar9gi8JnPtGVwN2qYMLuezY4C6M6
82T8Cuj5YR21kM4SRo2MVl3TeNlmqt7DAOeenNZqfFvWKb0L1FKs9643VGNUr9PkwXyiz4GXMqSd
IlxV3y+hSpq4lHVL4ofZhwC8sF5e9QD7HHRgnnkxuKQVHRPcEjS4nLXXDJrs9B6BEJIzmt4l4NwJ
57lsZ/NbZhNwR991pstAq26+UshhTR7MaV6YYjvTtUIJQ5QwrZtPubfIL0R1cChZknJ69tpev8xW
3r2jXjOMKGd3fm40FpKdqVXxaWhKbAkhBpqOqeZYvORrzYHIyHl0dppC9R75ng3oywmwxjMs2jmh
jZ8IFub42ScgBHQY8TIpjJgUI9OI0fOlw3FR7HxSjt7DhjNDZEjtOmREhJCDRleo36tByncjw58/
DKF6TYt+lVFpWJCMte/mV1a/+Yz43/UDE4T2jeNNCfUumPSt24vhlfkw4VwxTdNcv+oRohHbAMc3
GHVV30cGDeenYg69J9hNxjupgU6L1UW6r6sdAAMrU5vHfiEmMj+kNGwf+qYgmBzOnnu9TFX1sU7z
/DKP0PL8eSjR4Pnm8E1nwL8PPFiQveoaO2tXjhAMgjyB3JcOghyBicboa4kF5Q3HgOvvfCo/et5W
poNDYFWbCtuFw8dOxna7X+GyPCnb6aebMPdxC+VtGZIuVykJXg7X28dkzFm6N6Vh0f1Cr7BbnVTk
99kKz3dHJ8vdFrBqxOa9Ug9uKVcffT3RMp56u7Ru0FguIAxC1bwIl6zTqLUI5NgPhO1+GYrRQq8y
ZMUtRbFt36AB5TtOCFkkxbMg8/yTmDhNRWGqupLVR/U8IfZCZonNsl1jJlp5cTOix0iRb3xLE+pY
efukWwNAhrqhiw81Wxb7yl6b5Jrx1OBEHX3c4AGO6bD9ISIyPs9Y3KiljEEbgA0xyJfrbqJXl6Bi
X1P7ReLsvEvbYIGB1buFqv6NHv//jtp/bSTO/72jhmZC11/ln00t21/4j/PXxPqLTZfnmvgDlK60
w/5jagl/o6+GSpFxZejDIqa79p8emoHxd+ttmSYdNHObcfN7/9NEE78hcmNmRp6C4JeLBvAfdNGC
4PuhqUuyNh/M+mOAy9UAkH4/PAYbLg3TaZ8XZpz3Q+fSoTAg7hjSvODMfcqWUlxkCKkhTjJHnT47
wbFqmCiSecKyt/fcT6PzaXYWStAixrxKoJtcIEHwFyhDA+NBrZ8YRxzMrZ6pYHEmV40edeTNqfXi
pBeO/WAZv5fKO9mKR7X3VKz1aDw31td2tGD3XIL7IQ1y5w7vRtdfatQe53qL4vGtHklSbqpDz5AW
CfHeD/Jd4iWx4wXfEuiitYUiRHNkKAKnyaGG5gYYIehV6W1eAgkQgz6j742ICt15+c0c9A/u+iAd
SfnhYRNM4W6N00U3GheC12zz+bljZzN2oOyslMKNz6toWniSGT5GmSSate9OhtLH3oYwBZgqcwmB
QZKSjG+jP/ZxOqHcMUKDmjv92lRBXKv8ehLgahgX92cH1XqPcY1QXdp8q6MvhpHPP+h9nrk7q05j
0lKjFklyBqljkkGsB+o/e9lP6sNoIAlVHzpz9iQYHpv+KQi/ZjBSVg8G5rSGD6OwbpTVsefBlj0O
iWIepK9xuz6tKL5ODvlEHMyD9LBtMFtC0DazdHT2LRsmDldeXLlISwgjfM6n7tDBEanr/BTAo49Y
VQtyEf0OahL2RxhLF0Z1ZYvfi9l99YigjULb+LxW73k4I/jidNWcUR059AkV5ljLfk/0Wh9LU+pL
dLbDjaYKdmr3WXPkTzwXZAs32e0jeFa7LHXNxw7pgZ8mzxbGctom9j5zXzy5HpuBSk9j9I7ERkt3
1ztCibIjJ0MQWTB2wnOZ0uUoU/dyFjNJcOQOXDuj2C/jdBCUXLNFytXaXTYW9U+uv3VJyRPd9Bez
V+/Npj07PKS4Rz+Yu5GoWx1FWG3r/cHqKPRbYiF3MAc3KCoAlSS4pud4MRVLRPGONqcQ5a7o6e+B
66i2vW4jZ1njsjMWTJR1cPK1uecu73Kj3VslrWHgL0S0xRMY8bW4B6NPqRTSQVkrVP3L0WgDpnLy
NvHJNAW8W41Ms4WzM4NPQk7E+aJEgGnPznDNiP1MK4bDqHuy0w6Jv3EBYWYHfKY05KEevgwNnet9
Zj4nZE3aAuZMUu4bEpDvrHCoz0AJmKNDrVyMyzYAzJqHu1q/zaADUd9rtz3bmeI5NffL5LW3TtUD
AM2W02xOD4Cfjtba3AqqOZdoX0cgSDNqctwC82FqXhJpXFgUqHnpxiIbYzy6A6loN/k2jDQ1TQbz
csiJWJs+jPVFmq82dWfZJt39BM2obTKwL3o62Abm2bNyH4oB7FxVCX1Q+t7KGX2b1cFWF7OYPuku
P6/DfcPLL8dexeCArji6nGRGJYhkaWRYDAZJk9bVrVQeS/GukPFkHMF3CXo9W7Z7umjHJPfODq30
tjDumuKzl9kfCfDMkkO2Hh/nRL4mQG2YQtQ8Ve81QF+f+qh1mrhXMM5msEoV1Hj2dkS2ESaBHSdj
pCFPFdV0x2tOikO0MKic12+JAdesiUb4aa37QJ/sqPJ7YulYIm5GV4aXODFe8a3yaNe70UrfrQWC
TzmQnuY2ceeTkGsUV5WLWQ1EIOccIlBogJLVHIgJmm2xY+bGsoakDnmXH/lZfuLIeyCAYIwDx6Sz
m7AAgu7SmGXVyFdT3Kv1JQx+D40ty41vePOiWOae5y7cp+Z4BLuW8OERyu447iY7vxo//B5MTGBc
rfMnMztnpBNpEdwLp30clIyztP/cCv+YpcapsJIR03vtncumY41PU4LdAqsXMfPUm96V6ka5K0in
Tpbvg5vdGTbDDfo6d34VvjGj3cla3aMHxmrvmZ8H9pq+LuY3wDuAn+rQukqLYd+BeQkdNDZ47jqm
lNltVbn3dg8O0QUexg8mL/u8uOmTankLcxO8oXVOquF6WsEKur13aJUcb5qGAt1qpvyisPWhW5V5
6oSl9w29YnBww0NXZdCfSOONFOGM9LRhetN+JWfLabP5xcNVeUzDsn9ymA04kk3WxAv+bZxC+8Uy
h+LUzx5yIG8Q9Cft4rUnXy8SVXtBe3qOU5x3FJ5iPw5DchymClBiaB0EUZwCoABhpukl+SfpGdcE
BfIErga2gr4oR18/JS56fBJMGSQHrESNdEmdZ8ITZWPwkqFNkRngpzSUz8OWr2ex+Yf+dO+WIW9k
do0W8ykxqO5dM82JCAekFVjPaFqJvhEPKNXTIweTu3ENJpRgxNGa4gW1SwLMgqnHYVaXadp+CBNE
nN+Y9TttDv8iRd7BgdTTDEqSMF93PFhrVJBoxfuUWU+2m1wUo75cBM32cH0BFRcn6/yFznGAncYV
B5vGB/Kqc7iFeyqaMkPNDfax13S13As2pZ3jMhT3VClJH9Gx6rIXkzyuxrVfWrvdc26SUVOP56zq
7qq2PxjN8NL70zHr+yymM9DHWJqDA822E+hNiFBxyd4/+OTtcOxqTWTWHmedbCfIsq1kGWU5iX5E
tarTSnguo6ZLNXvBB76K/rJs8RiZjaqf28QIDohe4MC6DBcsTVG/C8uQuZxU0lFH4Q3qXhlOG6Py
ELclkbQrquDMJV9KJfqRg3+2F9A93zzRZS6rbN9buzYTeBAHzwUHRdXQ2sQJRu3Cok2WwhS7mEZ3
HiLluzoh6NmT+XBdT4V/xBIm7oMeGlPUwtx6TlpPZGdPifY+cR3EP4MD1D1aRkeetvibXTHVxwLu
dh/ZKI0Rh3CSgV0uIYZFidGEF/CMqSh9ZqgkZwwFOFy6gF5UZYZ/yVs93Ba0eT7TIIXoMVTqCrbM
TKKkP7hvNa0Rn6TUVb7j+u4PXmfo14aHYT9qBXo3g5UCxDNsAXT07K9oUFR5JRBuUisW6sya6O4h
myyHYoUZFikCqCDREBFmFOulctL03p7YOJS11NeG4jhdiC99+Agy/pLx3Pqs62I5K0FgIZ5WJp6Z
51w5czJ9MuDcfYbaPdx4GRvShP44DvPQ3wfD4BHNuwTX4TA393yU5Mzo88EvkzGucN7JOu+fi8UK
z3lIlp5baehOfID1i55seSwt/9wmoCPx3yR3bMbmYQBTGOezk1APmpfot4wbbTX1ey3N+jnzm+bK
Rd7Pq5dvqHM4wrJel5ShTosGyPlv9s5kSVKjzdq38tu3R8bowKI3EUTknFU5VFZmbrCcihkccNyB
q++HkNp+SfZ1y3rfm5SZpKqIjADH/T3nPCc/eCAjfgCMMCh0/VmM7lLHHl1ZoIE5RFo7L4j6S2gz
Q2IF1Q8G+z8Xx0rP4jQT3JIw/UqSAkHpvEKT7S6zGo13aIPl0Vqr7q1B+4eEOaaHjnHAhuJVSe0w
8U2nJT26SyR+hHTyHi3TuedUHDn7vjeM5QfYEhdLZOVHCPR3cQl8cYX4cuMPPWdims7v/Vp8FB0C
FrZ4oyFzRXdrP77k2WPfreZggxG9qXJ5YcqiYwvnhOfUWl+Qmc6/qRTSmm80aDcE2H6g/pHlK7/2
Z//RUsqgz/c3Vmo4AKUReUBQf8gIxVdvODS0xWJj6Amv3X5+GLp5T9nVaW94DkM0vZDOMF4XGRt2
nBdZoZkPlOLZmcKnUhMxHmZ11GXwPfXNeCm0f41dq+a7xItY3KflqL7bJU/itCzaBNsw5p1s/RlY
7s82mNnalll5pXLcZkAnOY/E93VE57CdXS2MAkhXmDsR2D9brb4rbxwv1ThxOoCsnm2FunE//li0
/9Jt5xaXQ0oWVpcIZCD/FmsvyGfdaKb/TIBaDkyxD507D7lQRHwZjQQtWUzZFBPwOnbQHZm3TMFx
sNynDNz6TQNb+UKpnHF0GI8yWbluv8og7xOyJunFYFnhwTBBu5nThTpZC7XugofsBhhNY3Pkph9v
qho7blUUJZSypux2lE1W3BlNjLW0b5NsCKcx6WrIwnWfgTYA1aL3PUSbA9OdlXNU1LjXy6o6l89k
HMDSztBlatnZScP1nRgU3vdREblZvPxSIlaP10ojIK2tn00IhsO5tAbq5GVlB8WVGHGRr+eBJ1dk
nrU6UPtwJhbnCzvV2TD1VKFSy838R7xwKC531jq/MWbUe2Nl8e+G+/+bqPxrA6D99xOV5KvpPoY3
hUvpn+1K/E1/jFocpiaBCGOypm5E9+L/tyu5v9G0QlQbiVRgV48JLvwXP+Q3rEg4kUQAX83BNM7k
5r8mLY5HVUvMJoyQn/O7/+l/MWnZcmZ/NSyRhz0lFElobG2UbDv/OmrRUatpMWD+UCyzoSYqW9jT
jlOxyO4X1y7ehpHRZIvSSuME/eTGSbH0u+6LZB8Idk2YDCM44o8iq+RVgCAY2lOKErfjrokBaSdp
s67FWUwu97vPFPlNTBNjDMLOOKMrRp0Hk6IXY+6p8+0etB0Pi620L7Y4OynnCDFzVzoI2hx34cQl
2QYS9LNSMZCOJzo6YRm4P+k6pIQJe1HNIyTrskNHItHfizTzqWHRM6jHxVqH/GIyW2xo4qwBMAwi
w0eepzwiMTBHVx3cfWs3I9Z8pkNYsUICVr+Z7A1JrirK09D5w+Gy88oVWtoi4MENlFoCjseLrNlY
9ukPJjXtB1S9dTrXQYQpeikQYrE4I+mOnUktBti4hZgmW+3r5K+LSOaRXLoNDmzFziXbI2tzyGg2
UDy/K0yZO6Viou+c1PqfvRcP8sCAhoGJg/7CT7gemyUD0t0+7oHKnxHFxwTi4keemI7F5tlQbl/t
/KqcidWtRf1KmgvcpYbSNUBj0v6vxa7Wbw3MPQpOMqBOO5W5FQxKmjce0cblLzoYLOTOqtDzRS9B
gtMIZQPfj5c+a3lOTTh1wSB0846jceAeC+j7fC5uOT3Yc4vtk3ODjUhcBa9FqJmSs++JngKdA10g
dI9skY7jR4UDnxNzONOIOdTllzdk+knjIo+4PtIVBYsU4l3e+f5nOOmeuoAi46E3x2wdGCBrh0Gd
9JbyACAOV4Q7TZFAyCQze0evfT+iprW+lV40JsJCQXgfG/tNhYPF4dCSoXQ1XW9vGEEA9qKxgVPr
JrBecRAttyC/wGKeORJ46LkYZEZvVapwGXkZFnx8VmQAbhAgyGBRPc2Yzq+R3neUa2tighyxhxqs
OvPLu3QM+xljAP0s9nXfUKhNx2PfBOkt6lXPptH2+RlBAy2eWsQ6D+J9UBk6EwuQwzDucf28Lq7P
7xnzGCwOXcUlebWWcayvachL14t0iFHnpctGlHfcT9UhrunMZlNTgTHARA5Ro9RQAPaqoj0wgRRR
2TcwWwL32Wt9P3tYEUIDJpcT2+4RpqphVJnX9g9d14Kq9NbN09faZR7yNPXCNbd2vgh5NdEkHDy3
XRHXV61BNnZ3cuolQnpWEuesw1bnx5k4mX9vN6iY+9wwLDmz59mYW4kVWl9Jejn6ZK6mkI14GlNv
jb0qMt4BiqOxH0iUANR1S5pwdi3qzLeSL5GXccIJr3OqvOCltsyaHaamJ7pC1bd4bziR5glex1a8
ENfMMTiCJ3qixUMYZm8D3vhsM7ytQ7NE4NkZLJYhcZF9Y2p4a047qi9f0zd+YyjbYABL9zXZDTZd
1rfYoh6LFJH0mfkS5Z3eltxfH9g4hdTriqjEqFzHsrihl8JPD0L3zXhvbyGHfd1F/l1ouqg65nGq
78TsujXfe87SFKCTE1tQAbvhVBjzK3MJvLip5p4u6hKtvvD4Snc40VBEU3ZmD5hqy+YhAP54X1SD
O+8rtPFz2tuidtgPOtMOWQVGJUf8sMEdltHxYy2i6ZlAgsSDUNrT0ZBLeI9Ca5kksb2BlRYodJe+
Z/PYlOeUarhjAlB0MLtJFLwHFJ3QOjC6qMe7mFIdMLktbvNdPbUKm/ZS8DFZk81cNksd1XD39cs3
vv3RPysmHx5k1fvNTe7ilksska/hHrMEcbUYiNs3RSFZxSIk+3j5RRdWQyQS9xL6N1CYaK+jmtgp
NTKRPNPari8rmvBQmOOU9vcKIvgPdNN2OMzCZdGNU1t8JxQWoj7XswfEPqbFbE+9fYGUrL2XOlxc
/ptw5IsvShEczNKCFO5EPfb3yNHyOlg5lO8dpxEzX53bbi7dNY+Tmhv5yelxNh0cjaViN7mFwYRR
hg+44oYxQQp1lhtHZtUtMOn0V4dYSSgE/jD+JDWas97hkjsXnoaAREsKnVGBMzWPKUMLylDmCaFu
4JkT42115nDvO1piPPJ0d+b1E0mmsNzealWPNdVCpSrwR05WYIAV0q/HjNJ18eml9BTTmObV9UGT
ubpzhsB+wUrXlwcID7g0Ak1FUCFT/VH4lk3Xz7wwpx9mcq404M4BqPp8Cn/MlEqQw11CDE2e5al8
z3XrnXfWGPOInlnNdqk3UcSQ00/IT6uz8VvZKgSyGBMzaN1iFHuFRVico3JL2lCkrWlNWo3l4Dwa
hWS8DK1sDuyIooRSRo9uh0mJdPjCQcNnmoBBpijfa57O7d6sJYtZk67d99F10nSPJ8D7QfEyZT+V
qTm3y9IG/BmMYxJJeNC7kU/knV1NgFoRqvmlbk3zTrY0JJgxuoaPGdPpdil71mM++vnzSvrlEzuK
wX3GFkFgUc14EwEpL4UC29g8OvPoAiIi76eq/T64toeer3FyYNXj3REEuuPIrFz7czPvRjcGA9hg
nAseIu4bk9itk687K4NYiZuxHxt67tuMggm6WL6qbBQdAz1T+seMFP8FkR6zxbScTOwjQ8hCx2X3
jQkoMkTEtIO1nT6cby6Gk2hf8rAG/TSX0/c0THt1NjPqLfYzQdAKx0DWxhjD6sbeVxkr06Coljl4
eTd5CG5Og3FXtzaTKenxv6fFGiHV0zqEYa2X7FWqmTayYwb68NrERPbPx82+RRqID/pszda0vUXP
Xl704DX6LCDt/ssbQmyD/lhE8yHoTdpcjzPBngQle70Wgyc/UYWtnxV4xMdsASVCKsPE7xITEPEb
t16+mg2bkqyj7F/S2Yqbo1npyOXABCdVgY73d/zL4lzP4/rmDVMUMPOxqFsYUs/iGgUw37KttSU6
DuLEbnHH8LbWkyQKNrOgABbAkos7aoBkMffKPZAkSi9tdDaPyKVWdKGtxafJGGDuVpKLDyTa+teY
INBnBtigSmzNUHk3M3x67Q0NPaj3Q/tjQrH/6uQiv5dgfBQWXDt+HGgMvewZVL+xhU35/hwzfPBM
Hu46KWZM2J0TanY/snyiBcP55Q7L+gDAfz0nY9zxjkEXvWqch/do7AApsdcyH15yTv0+6EN2ZWMW
v+NmyH4uEATewomR6X6exvZdrsNQ06awxNfKE+yuUip2mT/GA3YQrpSbGQuuT0KyrMtd6RmFLKDo
6kSOcwFL4XkFzh8uDaXWWUkJXdxBR8X4Fcp3wfRkoMdKht5ODZN8zCwSb00+M6Vvs5lGBbyYzOdd
jq+cbdf4YWlr0EjhuC4XDss+kYGowtpIYZS1w3aNO5dS8y7bWyvMAQIBo+4OJT1BwwHbHUmkSqOG
9qKoqwMgOVGAdRgCcxwWqb4kNONX3yrHdi8MJkKaSPDY7nxXWT/TuTEfArvsY8mKgf9bKSqYCzb6
PxZ4pPiHVoq+jjFgivN1TckIZfXGEPUyeMjETmfi+UEARXZXyRxZJU1JPJ/LYPXjnWsWBjCFM0As
obNHxeeqHDy2y33p5bs1ZDe9Z4ovWO87X6ITL37UIKZI6zFFCKVIwPLlJX8kfeqL0sKRyS7LwlHY
MjN1KjoODvg3Fv9mrmHzng/xyhy1t2qQWb7Q4qdw/NFhbqaRwiIAvDhhVSPdHZkJAlvbaONrnvXW
DGHY7SZuNPhsWBeoNTtLeOUbpXeEOKU38wCSStuvjDE4BWrSsYLVoRkDWtKptEER4kUPhZm9Z75n
+d0hUvoyRCAY9tOEAwaVun5OlTu5u3CNVXTAKJI/5U3WU6WwWvnKKK0hkc8pzCfATq/n12rjZuIt
OfRhyLFX2ZHbhWakLmZWmuIrX5iWgKPeuUjTI89HW3ZJREITKSsNlpactBMxiuprkR/92RAQpQGE
w+XoNrhjLVgg8jyytzReFyibNGtFyQKAataa4xjUW+FHkc18Nag+eVIHTiPPxmUenJ3D4P5Ylj6B
xkComTMH7idUCp9+HtzdoGJurUCN/VnNoPgmnEvtHssscrp9P1sp46SApSxR0wLtmvSgUxyn1me3
GWqnHg8V/erM6XEEiofa2/qRPCvjWBqatcjOO6/jMTWnQoHP6IQuz5q1Sgt8Wt1mVPca0V4oooNk
DJgJl4dS4yHbUShesxNfU2LhAU8WcLQebIgzNjTjI5bdrrpMhQ2V06tlxZJROZIIvYSlmegsCGhN
ajzmcZmx7ueGje3ZOGA+3C1iquKbaekW2i8zGGs8cOP4sxxAlO+ZjHMmdmxXpkfJWaPe5xjrlsuK
bF5xTg+w/tHX1USGWkii51080onu5nac/bDjXtF1X1Sm30Gzq9m+5kE57BYCnviVhY3ndh3phE3C
efDxB2c8hjD6FTGh15pL6zgIjWGi1lHJ1tODQrXzTwmCsSawk3Ag7NNEBykTgmHS2tlr0L2YSBz8
YJeMsfE1jLQWkFAgpp1fuGEONivjwdzdpqYeyvM1yiTphiYtinOe//QqkWTcYo2kvdSFPCUjxlNK
QkHH43h+Sk9EpySFG1iMV7PINvilRdy7n6lHUdtRCrttoAD4a7u3YXGTFM89npRO3azlWXlKcMhT
moM3WHXHasgAsK+nxIeaiMcSAxtTmZAAJkpgUwxyBq+ujRNCjvSfEqdh76PWLoi+TZzU61sLDMKa
zGtP5kQttB9fxMHiT0l2yqVY65ZRYTpN4EBDIZZ3I1GsIqnqKg2OMipDJ7FiO+3OaOaiIS6JiT4x
R2KOS+GXN43mwsxdaL4tcrH1ba26qblyWCPqO9DJQ/GYhhufQBWpNi86yDZWCSnQNbxHgkrza2Iq
RHbozRvno15Y4heph5NpATC8cWVANSOCYfo4/Z4CAsRe8jieeqIaPQfcgUM605MDFxQRIqj3xIma
JV+n60qdYka/R45O8SNO8LJMeoBiOVQEzACAnhVxpbheGRyPeeGMByHamNJI2VnPUdg0/aXsxs0D
7RI9TRY+4uYYIe2q68EbITgp6kwssu+ZtxxWqPMQq72GMybA9ZKJ1Cls5dI5z9y/NK2DMuZEC65w
8kggi3Ed7wXIGXlRVM00XvCAn7jSgmEQ973n56D9Q0gOrO2rbM7CyuvhYpuCUBjJ2y0gdgqLoU8Q
HPPi2bu2onmiOOwULcNHhA9fu95wX27ZM0MjKO6iUYK/hxnA1nc4RdW6aYutCVmPt9GWZbNnXMNI
avX0Gin8hbSDEdlxTxG4+RSHa3nH3aHbUnJZ3rGkmdZfHgrHTjekRTn7yeLWPd/MStJO2F08MwBw
COAxgmyXA8QytppDFbbRvjgF9sg5198ZDmwljEQqLhi/4QUmRiOgSo5l8xIRCE856JAELNauoeeF
Y+5zMZAUjDX1YviMtgBhimXx1Sn86n05BQz7MqK3Nj0FD6kT1JeO7+D8oEwY14B9iilWp8gi2iKq
qT8QQEsgE8avtaUIOK6OYLfinIKPVon5fDfg1v7k5icaGYdbTBIiG5HJodjik8uWpCTqrglIioF0
ETv4ma0oqJKpYxaWVVN5w8206R2LnpW5reVUTPVZ0Q0jG6nO5vRMMqkF3ZQIC9UWEr0UjNfO0skh
Fee5ol1KvFR66NWF7bOPWGgpa3wanaq4kepoiylgSGsF2Sgf7Cpe613ADEkcgrSszMcUra4DzTic
Bu/LsnwfW1Dft9YVBADUhiAtEJ127TTb7aPTNUF/iLxZoH+Kyi8SvN5tIY8dQMUU6dWf+gVoVO5K
3zr6ImXcmescbYwokTXxBIhrcV7TM0DzXN8JeclZUK8Hn+YHZhTexGT8jC6FIBrOShWuzhu2iVjf
13D4o3OfGl6fL1tk4X1b2cv8NWp6nokH1ROnyitD1K87Yzhgc4Rp+izgycMhOWe5qKSJpo88zqk6
tMHK589Qh23toPA7ZJ+Y0jWZ62GucKmn2mHzX/r3tByW9FUBT5keK0q/GV0WdsopgZS42FoWWnDH
JQgTQKj+MxvqfHwMshXX3+q6ESynwjKo3cTvZvGA4tVMAPfRtLioVFy4TDAJ29C3QMHiPQ+kFExF
M5TgL3lMKjxzdX9ZetnyY8iduTzTmAZRqSNiM/awDXnLkKiTbyEPcfzvCeS6Fi0fXTY01Ibjsbuc
LGx1icpnGuLMnNdf9pL2X7IrnCfsy1RaFKa324PX+2wPCwI/ksV1psAgU1uXXOy0q3WxhQvRAS0V
XodSDc5lTUqFPhIZpePeOD62/xm69HwWeQSC8cRI9skO53BWMUsuDyOV2M2OiI1R5BcnvHUkDnL2
sH0VsSvqWwcaU0z/B8cyZ3RhazFRYkRk98/owPmnhf8qZp5UWQ8y72L8WI5sXDARavO3V9zYF+3c
5d+1y9+0B7uvbhgVZRTRIuLys1PFgXHmHHxvYWthclAqIiuQeSnNarmpP4G5zE/jGhsrKepIRjtt
5fPEujKC2N66LH45zED5FcIcUbihKYUhgDvjl0bByBDGu0h/9J7C1UM6CuNBlCrHoZLADM8EA3Bj
RbV270G8zDpx1OJ8cEzLjuC4Kgo859zsTZRbJFm3XoKOqMp+WoOQRmoqGjg7uJu+4mhTRoktsUIa
WEX5jquZ0zj14T0RG7mGr91sAjpuM3f40uG0GQJtXd0toa2yQ7SG5belWjyqAAk1ujCYwuBb2tJ2
flgYs99jEay6hKNe/qXYKN4zFOEz0mowDyqmrnvH0gaHhF7g4LtVZLLlLc4pa2/J/QzXsimLoxwi
2q4FMGlCc1ZnfjaBLThpSH+9icOix9o1r2wzLZmyH111ydkRVWeiybRObTDUqvSdpFgr790qYjOz
8MnmFyE+9QVDqUjoRbXpZme5uCYAS1a4mFrOMzrrgXiFVsxpK7XAvvvsiZek7zIm/sZazCMZsZiS
zNoi1p42BeKy6/DcxQMTmps5tuAx8dLlF6epIuAz7qJrLy+iZqs+bxnaulR8kSGs3Au38KN+jxW2
+BW01Fnscc8g3AQy2Pw7XsluuTS4gpJS2iErC91XJc04ovcPFrMSkB6sgfklTWwdG+XNz9RVdBSD
6gtR4VYn8PlIest5zLIau0hXFpiJEebHFLO+6/k7aWXs91HFiPsyp0EYEkCBkPcHi/EHR1/xkBrP
fopwF6zHZvXyO2+we66lckUcJl5UfFas9gxFTKQk0xzNoZxhhk+vl5T9Rzz38w+H+wnWH3W7t9gz
CJSEorPuSKgUAGDCbsFpMCr0r6l208cBlu3E6NYDfEJXEkf6PkYIuWVjGN1JYOv4V5k0buP5MQZc
wwQ4PF8hXtrJVNMhH/czwY1Ge7R2Y0iQRwinzoiFuO8Z6AhKC/ZKlxM1yvbkPnB+Cy+JA1EENPpl
MCd2KpHihxmFbufS7QFmT7Q063m9N5Qv49qpX2Wvm2pnN7X+hCDdVPdCjSpOXHsbBTOMQQyKom66
V3Kl0lyErXerYjp4dr2vymfR1PYdYnqFy0n6Q3E98v6uSWbG4Y6q6/UJBj+0OR54ns3Up8U3Jjsq
g23jrhbUIRu3LHzY/F43Y/cGNYLWlcXuxyfCJBkdr7LuPk7i9P/J9P/yAQz+9zL9/q35GrruL51n
25/4gx4ifkNNR1EHv7+xawU0tt+TD9FvJCIEeGZMyG4EQo5Iwh9yPJI7srLHSBaSm+8Ll7/uDzne
+Q3pfqsncyCLEI2Avve/UOP/RriFzuqCLOc6QOCHb+ts//3PhNtqdFKPfiZtTwiM6UjKwDOaTfG6
/AOcbwOv/omS98crbRjYCOYJ2JS/vpJyeJCkONTrNoJYmvewtSCbFtWxCe13YI9utfvTl/D997/6
/7UTQFROOON//Gtjy/79BYXvCbHBUQJoLH99Qc5zJvfjMoG1XZzhMmblLtFUfy3RpjBR3kQjp8Y/
y+A/tp7+59f+dx+rCDYiDMoUH+/fPtbUOAV+OMK/dgFEduT+Xc7Il1OKRHo1q//ho/13rxYJTAqe
71KHF2P4+POXyDBctdz8iWT4hCuBxAe7Y7PtKAxCqP4H/P6/+1xZC/nVAH0ThtmCNH+6ZIiN5YCy
MG6HJY5/FptEVSGCXkmdcRcyTJal971y+fE/f6Z/oztuFxBW1NAPAgHQJvT+hoDWIqgkOzfACA4G
M5oxyW4JVl3vIx3qcY/TIvuHK+jfvWIobJeBCOqMCP72ubpthAg9NEmGF3YTBMi3kjnQV4F08wce
t2viZmb6BzCzOLGs/3Lh+p7PwwiiED8BC/3t4qEloPPnyj1qZYEeYPpHhSffPBP9iZXk04Qu5QIn
ZEF4whc4KhcX+cY0sE54AxNuqIM+EMv9Yrngo1sHFoKjVv0jOAESZDHoddvZbvmajaGAXS7DmQD5
6t0MoYh3pCz971Yshvlsdkcwwn5Ndn8XtWbEnDPSWXbAGAkBQcypDoH+tcs335T6Pmf6PyfgHQhB
cEWgRg01ltQ6k/R4uF3hJVVZA8yxi5ARYe2vwXKYhzF1SXSEEx3RRSfHPS6LrruKsqIiTzkPSHpH
F+kI/hZ+dvyh+24pS01FiC8I7XuNzY6UiSfS0tQKtC9tmk/CNPMzU0E6KArAYASafNynOpbB0WCk
BMyac4zENrq6+xpUep8g7WogNSgPTCOJFhkOAzEmu9JraDyEgVdBRajD9RXwPM0loc+SvjOl9DAV
jmVHKsCqGU4PHVU5GAoxFvlcXAlwNOeHkY7fnsUYYKmLmB36UwmRh95hdJlCYWXJ1G2ApYhE9Bj5
FzaqL1EjrUjiR3H5SRKVNG1P9xsENuJHlyIodXpedr72nzziWRwc56xqLxrch2zoOEIsL2VXMLE3
iw6c59jLOeZyYhjD5jZA21t2UDYA8RzKeWzzp4o9Aj5snhUpvTVKZvKODYttXS09pyAGJhNzj5QW
N7/qn60qM+GRw22e3+rOtVK5pVd6CnjJsPr9t8pFkQa7R6jkmKuGvW1dMEffOx04Y9ZBiqNitiIq
qu5xGhb5ZWMb9IQ81xSsjzSHds2uCJCjfCLZZZNBB5GB9UwsVeGDsGdLbZI7PZVdsRF3g+XFzYp6
uYYU5aII9h7qtiq17j+JIcEBArJZ2RlHKqE0Fv6IWYi4dfy0yD7syeqcBz+aU+9IPSfQIZR/KwwS
QFGzeV5tOB87GSOsJi454fSFG2xgZDPZbpYsoRo4l6ku/DXVW2SiVFUV7xdnNdyPMW2UexToigyq
wG7bhD1bdjvzmNt45IvxIQh/ec51bB6XeQ5KMEgNGRGMxBTeFVDqHlBczTOn2v5+8nlK7511zB1A
BlpiSmIielOHg3hBFEoZyFOfRwC7Y/q0WCVHwrmJ/VtbjhPOiG7OUZ7WjczZIDvl10yCNiB5uTgP
uXDWH41XLx+WMztv8VDVL+CezUfvxpxGe96TOpAurL9nRBXeh5EsXbWk8s24aaD3NkXD6jhHdFfi
wFhSoGGNsO5En6dQTMPA+8jCMMBym7b+A/QJ2ROOifk8G04Rj4WD3INeskJsTceq+uW5ebA1bkaI
hsh+2Z4pYQfvFadT89oXHnwVMtDoBu2F9tvyxZnMyt9Ibdqn149Uo1uo65cjxhlmw7lfQRdvQRSs
cd/Rt0qDAxjaoEyp6J6RYqUdcHoQin/s8jFP28RglniqqGSkJJ0ZI7SF3sXmkLcQGBkxrESwLB9Q
LuVbgDh3kQsjdB83LrPaJfW6SxOzV8Ex5hSPIAEZ1abQkSeizTp4lhEs3V2MrZgacGIiXOx9HN4r
FB+sElGfcr37fvM66nKMDzYThubolx3mXMEEQB0Cb2Wg0SCPdVcpxYPNDTyRlPmAlZMdG5xsuUkJ
TAPcccPsHk0c2ELDr3URMekH2xqJwhyaAS9aiYbh+uluzLDffSfQzxjec0ChXc7NBM589efQXG5+
PXG2mRPEkXBGlyadlmhO2J45Erp9Xdx4qmIYPoxttx5pS4QKWpV4RB4EIYJy15QrZP1i4IG0a8zo
ZYlfmoGAXy/m+kBKw1cHU1sR1V0jo5nsi7BCFv/IZJhl10SvovQc7IlLv8bmyLpSZY0FEuJJnX8i
MurheujhNOzCIvIRcHssXwkBXNN/r6SS/hVrblhwI3aSk3dGXPB8rnIiq9juBtwg8wb5PCzBlA6f
GKrslgSNbPwbfrF1fR6nCB1OZWkGv5lNSaHuqzKd3G86ZJp5qF0jyveB5ixrlw60N4IW8pbwurfi
YsK6Yig9eWdWij2blcAfJf68BQs+XeZk3iDbNUUiMZE9dJENDU+y9lW7QLs/Mqh8v3KZ5/fErYor
TJlk0abOsj5HQrbnTkTSH9wI+vhZOQPK2DuL4NZzm2CCctfWjGVcwUsdqyBgCgXtdbjqIvQailEr
vtpQWjxmUSXn8QyoRDckYzkGH6rgz+zdsA+5QlxL7zeTza3FkAZop2iBdltk6D/Ghego9KWxfzdQ
eUlKxGMPbz9zsuY8syPlH8HCp0+CPlw9koBKgQkTAJmfPeEBOHCA5Vx5jMm2b9ysNaoVuu63Za2J
wlVhIfHxiDSaE4CG03UMp2O9MWXrOA/enEdPlHMyr4gkDWsHoCHRuAeYoV0mliWDJxMUpnvQoDGi
i5VyrDDBnI/VAjBv2FxqwKrNTQfiKmDKSo/pz2LIVvHM8j1VCMvdxPRQptGwN3McfmZwtZ8Jr8Vv
gRLWLcg+9JJcCecWqyK6MuCP5TywCwnQEHldELoVnXdUWUdgcRYzTuEV895Ahy9Fn/uOR9MKalSR
b6hsJ5DnPus82QRuILNba5B43FfRrPfUL7nlPut09uoH4UJxMNXSO63Z/6C85NarK4V7g6bIdK4P
ch/bLFbMloCtWD8ZM4zXXYXR+AYka2H2FEaF1lEEam72VpNFw0/gvco64tfxxPscLXF7hvUurc/R
qQXa0YQvAiEe8ftyjCgDvZytiKWTLUafHvNqGbOjpTbBG6WxD6567qTusQhgA16jfOn8ymbQhRPC
oviDEBKuVHyNOZsJGhEy7gx0QQ5GjIHwOSSIsv6zz2qVEqhQRGi9yh9r9gbAnbBe1mnOXm3MLv0w
Jviu4ly+h85KOisL3YU9abzcrIuOhsOQ8jBir9NU8RFP8pInjapYiEsAxg7ekcnDwiBJhIlPXELE
k8nP+QO9zaGXpb9Kr9PDmSuQmRO7yIvyZxMzT8U+xccXfcRQBwEDc4k9iSDs3i1C4fw67oLH1rXD
bnOvuPZbB2BvvcS2GRYJ5cLuLz3Xxa0yzvwy9lBn1jyIPXNfYMuhCQjpLt6PbcHpSRm13a6Zf+Wt
xAvPUHzSWw9D/otmPvY2+C52Yy+bllcySs58EemseA1X+FZ7yWbHg2TjSUL7UfRLrB1KpwWP8IgZ
a3jp3YXS62ySmFgGq8Uwxa5g/pYPmh0gCzB8oQWAb5VUclYv4+ijNLiOhgDFesDkSQ8dnno2xyAj
62503yBhrj9rKvVaYtph8RmB6QEG1fYuX6EdmJu877du2qqP3qY87h8AP1vBjm/ePldOV3YHBR7m
e9EwxuSJP9jnq42DFO9LZhT5Rsd6z6FmX2jZotPNxhYeGfLQRnlbqvptGqf4u29Qs/09IDUNPYyH
eX7hjVU0Ml7dAGO2wumyQ1mDuoTNrT/gf8PxLzheIDmfMGW0bDbfU3uDl5Xp6D13G9FMbmwzf6Oc
sSUDeMZONLtJNwraEk5xCQjeqa6DjZKGfs5YvjeTwv1+AqnFPq79fYAy8O6dUGsoCPbrNPubX3Fj
sRUnLNtI0dlPEtjj3WjW9VGdAG4AX1WBnWADuy0b4y044d7ksKHf8jL3HjFfM9uWWPzaqzKf/TAR
J2jceALI9SeYXNouyx0h8I1LhiB33bgbeG76HUJ3AtL5G5tOmQ1TB6RN3toneB0lkBzj2hPTTkQt
PvIT6u50dP+/yeC/oP7+aYqRvKm3Pzp9bxkK/se/Ht/a9e1vTb+nP/L7bNC3f/tP9s5kN25ty7b/
kn0aJDc3C+DhNYKMUpJVF1aHsGWbdV3z63Mw7LxHCvtaaWQrgQRu51xZYgS5uYu15hyTvDRBP8KA
f0KFgaLZv6go1ASp5ZDYSZ4REo5/1QYV9QNlQxjjlJbQhxoYa/+pDiogiS2T1C8af1CHTf7I35QH
FyfOP6UItqmWSUSmwClEddBBD8TPX9V6+ijREX/S5+RlSTKUJlWxiap8DLav7spvanVvi4PLdZas
UPxHlkq+sbROElX8oZjtUdLv6SwMPkiq6wcVNh89lbl4ZC5J3qmY/fq9LE1wwy1TNw2Lefft90p0
rAoVFvWVUw/Npg7gfs1+l/4gAf3b6N7ffStL1SVbDSlUZ6HXvL57YSOQ6Tg67U7qMNeSVQABox6F
l7RCwiW6TM28P9/Ht5VA7iMIG4dBswwYirnqyRUT3WjsqqYVGMNhorMeRdgYRQxSAQ7JuPufXezk
JlYsd8PEzLsCmT+N21QvxH0SCOQ6tFaqv31ijk589RI7DVObYhxD/s29bNmgd5ISj+CAfh2XCPaD
QdbvXOU3908XOrV62zYx0dknpTctm8xWD9kP2uUUnyWLxRxlyOw2ktLMn+/eL0OQL0SFn4QyuHjY
9U4vFaUCExlxU2FbansSAKTLSz2882L97ioGOclLe4FZ5sgOf/UCpxksyYmlc1WDY9kik8ZM4Mv4
8OfvIpZx9Wae4MtIUg9MG3shRdqTp6MrFlV8FQRfgpGr9OpmNPFv2xw7220mMaQjwWz75qLsZfU5
qJV4Ok+6vNK2Y1VSmsgIKKjv9JG33c3p1uUb7HnId6I+Ty8mypdo+ti8AV8ubNqtyB9NxBr0YZud
D15coZilBd8HwM2wH4A6p/gKYuezmVrVotgUhGDlEqE50Iqq2kfRzMGcuqf1KTAwPaz+fDOW73p6
LxiiGFpsjZlz6fe8HqnMA0ETKuSnOhMJWwhekNo6FvuyAuTFDYc1tlJtp22aUUXwTaya81fhv8dJ
AAUJxHlCkOQytN5+gLbpTQTdKOdHFWifPtAIVMWgvDN+f/Oq0DaiDcVrKTSspm+vEsyz0tN5SThM
wZDVe12eAd/tPZWT0cuf7+gv8yiTGa5CSuLMpg49nbeXwhjTRlR/UzSidf7VGnvkojnVkHKFcj+6
Rfmly49/vuRv3htD5b2kpWLQV5En91BB343Jh0sS0M1XNMZ+E0X29M4CcXoVTgf4E3VSH+kV0c07
uQrhanUkNAQOdQnB3uskefIoP4b+vVzEXy9k84hgJLMU6cuweHsH68RsilBhnx1rZnjQZupdltGM
t39303RcZz+2C3QtGHrLc3w12ZD8RpKyguDCRv236jrkjcJGfvbXV9Ft1eHBcBXBCHx7FdKdCQfR
O0SBCMjPCvj1iDpS5a+6TcvdwvDMQiNRfLEPkyd3LKaMUwUkHsLdmMtreOCZR+Fk+qplX3VKlnDJ
9fWfvxcxsnzy1zMHKxzUU7Zax8v+kpaJkDGQA0dvhFs1Qj3KmXgriFZVurUN4Tnf251jPhp9T5Fe
9yvIRcw0LU0YqVfbOSs74tbUVE93IQtXh6UTKKJXmYENpRN0RLYmdWew180Qt3gAumz60jgasdda
ptdEQBZ18n2uBvJNerOtdc/miBxvTIGGcuWItqk9yq5BepCciqFyo68eVpqYbQ2hq64QbzfnKDtm
slsI3xbDrXRG4zloeECbbgqpj6eBDwYL2Oqwq/Wc6KeirbPBzdH41Ot0qJpvk1YOYOEG3ZxQVA3I
JSfcHITFoENCb85ySS4DIjXQb34aPqU28ZBrDcg/jGa7ogVKfE/dkd0Z4niKwyWQaVooJuzzoE8f
5i5Y0ipyVrDndNTg3hS9XaqQwkZSPc05DDdd5NfqhT0b1hcDSEJ172AzxqDQDkaAN7nIYYq4tZZj
AwE1ZHbzgXMUVPBKqoX1qIchkY6jPzLnWpw+SzeiQVFuw7yCJkX2znCHdhpUtJHRIHLNHignosWB
TqOn4zNUPMjqKlGVTj8u4m+Bt8spc/EiGASpp9i9+YUSUjg8KEXmf7aKfm7RSPFqUxuypxs0jsrX
kXrXuOqQC9/1XWwoXxB5z3cGm5HIxSFgZ7vC1Aa6C7IP9mU80G7BypxBsFWcSrmvkKXRxlIi7Ql2
c/isTKVaoI7Ty0/YrlFOryhxNIEXDxhTNwQ7lFTWgd/TBdIzsmooUQT2xozDNAQwXXWVAE809fHG
6JT+uc17tXy2kqxFm4SGMtzEKQeDbTeXAiGtuRDDqqYXyoZETZ3cy2ZG3amQua5vIcX3+spRFeuZ
tk0D2MmMZyxPYcA4dxIhblKcyKabx2bVfjUiRZ/Omgz/1d6WVUQhUE2DFu+t2hIdWiXzFfddix/R
YGjqS536aXs/1UXT7LpKA5irl0queROK+icq9L7pBX0Z32bKFIk9Kl9ubO6kVb/PJlh2qzjrA3Uj
VVB+bgXQIFzFTVRa3zG5ZBQhG0gzL4BERoWemRpTsY0KER0wXLfxeQWeABtiaPbll0bB9hqs8rqb
kZAjvQfCwRtffq3UMsrJOhpqk4brPC5MJS0qgQMPYU7EfYaFaDAXqmkvQ9IdEi2FFJh3uLUBg0Ek
8aopq+41PTAqkC9llp85Y2/79LdmK6C7gMhshWWX3S/GoCi7MDlBNReYVZMsx/RtDYGxbURG4oXX
cJxVUMpFBRVQUOkp8S9RIckP5k4nycGBBEiIDAc9auHI/5+nPtD3WWyN3RVTTtgsWZHEwcHEKyWl
UpC3sv7UWAJ00bc66jjCaCtdxrKw8NISt5bsQlQNc/KAQ4v2/ziM0WXfp/hBtDIG8qiuLPgwgbOe
8U1Chux1tKvtGXovtE5jOqefaY3EYLVodozrstSdO5RtKj0d9OsIqqa2ehjtvgqYe8cA3g6UfxBu
Q4pQdzAQ9eOKNJTaNTggOGhfhYbXXtbsUZ2wtujkaApSQnyQUgd7iWYekVlqdl+HuZ5SWBDU7s/a
ZEHzYw4X6naCBQzQJ2Cfui5J0wVlh983Q4aYcRa1e8hguxF6QbRW6S1/VMaCJVuKQQ7ruA0gVUVQ
aXK3Itkyc/VBOFdIO0m+qVqNTx+zaxkR12PNbkdpDzeqGXCAgUFXjVtTAiVYpAQt83SZ0DAwy1K9
VlJ19g9lPtDOZagFV8j0s8so5iVgN+1Ht/wNc0R6NqIzTGgBJGdFajM3a1ODGt4W5gBgIoZIBlAQ
/MJGQ9B4y52i6ibw6D2RS2T5NIHN9FtbVRZ0ZOp4nFHRfeKMxl8WHURh+18U25rIJuEMQWQAFGPF
LXul/KLonYUelLjKO0Htu9uM5BCq+xZbDQG0UukvlMEH9NM2ESjmBGfQ8rJkTrqxmFUeWqtVS0+N
a/0OWwynxxLfNPTkKhg7fDemoa1xVpufS5bOJYREJ/guRLHwDOQV4CtIwWrvVFGBQ6vhDITws2O2
tjRtflCo4AkECiGK2oh4+DNeDhTVxOyWFyQHIEGsOxWW5az7jYTfXcGOoieFKHasSQJZiVYG9x1d
GIJB8gGWq4oMMvxGjnBf3/MxZbGvs95KGUAL6GA+Qg9a/KjdWdTgrXMzDVfLesHzoo89QhIMfq3z
tKZaiG+NNlD9PeIUnCNaoQ9p3rvQPPTglhqlBINFayB36Z8PVDGPWIbmiGiIjriG4ohuKI8YB/uI
dFBLeqnr4oh6cI7Yh/mIgJiOOAjojKAh7CMmgj4jjrDiiI+QP1gSyREskR0hEzAKAU50R/gEplcQ
FMMRSlH+IFSQnwauwvnBrnCOIAsZVGX9xYfNUn+ns9S121zgQd6B3a5GIHVTGe3mRoPeMSSlrq8U
5hZtR+UqvK+TwIf+oKBCcOcG69g6pbtirCTEhxSH/wRyxRzCCTDk1BK5XRmIMGGN17I5xKQggFQk
bgfFcAcNYCXpCbOgsncSd5EqOkGaAlA2rP6c+nfwLAjabpWeGLlMl51O1KaK7hz0JBRJcuuGrV0I
5tCo4jS4hs3AGsbxuFg472RVHaSD7g2iNZuyKVTk7Ia5M+C0pPr3sY4wUKx7ti30NmbWrS1x2zGy
4NEqvk9Ms7ZrR2Fwb2lKzZhkpvDPbIFYYMO7T2NWUUvifFjpnIsAfiYAS0pEFaL6DPsjDcX4PlS1
QXizaCQ68zTJonU5dcv9TSvlIctm3hHSaDBOxDJV5g1rw1y7aaRwLK/b6lwEik+5MASFty5waHZu
L8X0gFdauWyqyjY93anN7zYPDbNjNaf0BUzTV6Gg6D5ARp9ywfidw4b85Cuq2d+N4TgqW0iJQeoq
oQ1REY9gXa8Htn6PIIDkSyTVMj9PoMzbK2L9QDaYQozTQQw5DU8DK+y2wIjb0f+P8sZ10CkmriR5
c3C7snHuFxYQ1k0nxMPXjFBV4w5xt2uxlLL/HOEYb1C5WBVm20LcGlkm6n1gCKtbNbWWQeID0KVt
rIxcj1XTz3Tr2sYidaFQOt50WYTyLjXj4gvQuyHeVoE/U1tiRlVplswtcRJSMa217tijfW3lVHQ2
ZtDjEZd5zBqoJXTMRRcloZunenWYQZ0D7UIYdGe2xI8S/p7kn/vWyrk/2MGPCzG5HwnOOAwOo0GZ
rgZtOq44E5A2QR1GfO2q2tLBEaYGIdZhtvhUcQY91UMyzisznTPKhnniQA+1wYXSvCXwhxNGyFLE
8T+x1ouQ/7oTDHJP77tJde081GIvbTQU1+RTFTpm1cZ4KDs1AMJAG+0MaRZWPdlgV1y1Ro/ywUSn
9E5CtTitGHCQ0qiuaappwniS9skZUZVsTrUZ+AdaoSlDyRAj2ILh4E/n2FR8cxOFreIgIPON2YOO
VuGsSebpatZaLCYAG8n+gKGUT16Yk568tccMSY1hElF0laIWyW+MHh+aC7xazhsAPOR6Bn2sf6K9
mffreWQ2vOaoDQI3g/jWrkRhAkojBcW609B97Ul1MC3P7srgwdDj8QEfuO9cwsHT1C2d0cDcKr6v
OCsKSebi/Ri6/tOfj5u/3iKJ6FguPDDKKnCy3h6jibooMWqCibVpr98r5uzvoIuiwpVZrN7j5+/u
/nzB04IRFUId7DqlflslpXzpdbyuDvRTTNTGZJLjkqrpy6wgrOTQwT65mFvtnRrBb65lUDOiP2JY
XNA4KU75hIpVbK+BBCet2Mwd72EXVsPWUeEt/flr/XpolzAmlvKn1Ci0gqF/87UcooAamQWY8O3y
yYmS6YLYm/qde/frRVAKGscu0dLzsZafv6qsxJWTVWY/sjEJu/h7FuvhVZ2Vw/5vvwovi27RjuKd
Ma3T+g1qBY42HHLg2aT9DtEkbkPswds/X+WoKX9b5lj+PiUViHO6VK2TgSBNnICygdsjIJIWa4Jj
VKwKikYAodnUUnHtTm2qq6aklnBvgtJRb2OOcvOaI3uL936aDB3JqqxMMga1ydqHWkDQrm9l498/
XN5JzbSpAdJQ08TJfRdOqRgcprnvVnsjSk3ZN0phvdNH+d3DtXVLI1SHrh41wbcPV+udXm8hdKxw
qrcV+1ocTd5UklDxTmX6l7dCUI9mlNJio93mnAbVwxroq7oNKvQdbQt1lNRviCo2YjhjqIq/fQUp
0EFBt6jVoU3XT1tRqN4oXEnAHRSQ6vWcKo2L3f2h1gFS/nlALffnzXhi/jKQ+GOXRDJNwfvt/dON
GpeXijuIwdutQPsOe1az+DIKCxr4ZuSs2s5R36nW/fLQlklTV6FZLKxFKU/cBShpOr2xaR5E5Lp5
BklqG53MrB9X+b/G+X9oJgvOv/fUXJB08fl1lMjx3/901BgfpAVC0jHoZxHZYfNsfubxGnhtqG4z
tJdOKFPlv7rmwsRRw/Cg/k0bkdouLeafjhohPywrknSYkmh2G6SW/IWjhku9GY/8fTqUvGkGfT3m
Unrab8ejiq1tgWcAp8SQGtls6shS6KTPBqi7zqFURNPnVogrLf08h1d2d98V25YusTmF12oXb4FI
u2N8joJp3TS3A+2BotnV6gMeAHBo5NNl2jrgfa1JWPTnna1dzzrwbk6G5QWwane59FDSTtviGnf7
M6V8IRDDUdbatAuYUK/VdGvVd6BPOFUijgbewZwgylUBHcdfZJ7Fbq7SrQk+wA/cNIQ+yf9FIrtn
RnubSniNnVWt6GvX38iF80jRWanNFawxtnTfjOJqQU9FVX3b5zHKIsKPJFC9pwnkA3CnL5o/Xbbq
tFegbhuw1oZgV0txkZBKECkcaLInO/mCZhg7fuBakbmi8L6CTOJpvlvA06/RAKvJi16W54W8JU18
G/afR1E8SHKKAFBv5ARXSAzFLvMXQz6ViGCTFeEZbf41gq8NOue9UvTcxHYzaD1+S7EGwOMlVknE
+ORp43fYLdset6t1PUXPBnqkEBxu8akLzmDsryQ9PJU0zKn+mHFuEkQg+bCVBv8l01fZgmjRd6n6
TZtf7PlOcT5rZue2cDO0rHPD6YucCawMoivHD+86O1wn1k7WAQyCZKs2kztaT1Au9xSfOZkMawXt
FaSNCwSVbqptfYjmIWLxUQN+kbrBnGyp2V3SkFhFRuXqkCsSobmEn2zRR2H979Z12a9ZxD4K9NG4
hzW9WKugc0ISFsARuppdrcPqc07QioKocIgMVz0b+vAQhc02nhtSV2Kvn6KzkmyWubgV5MDFX3OD
jIY4cCGEeka7H22yX+pnVBueTv8VBjbycvI/cpPnK7Zjw/iWKScGQiLhEOX8KYTre7PZwmrzOLBs
jcE6N7P+zKLODnjdLfNoO9uXZStdYa0DZLC5nh4C86HvP5X0/rL0Im2Ipgj5DLwJyxUD+ayRmVbk
Szbop8UoglWF5uc+jl6scViXNUAeAU2et80uCRCrZpxvBEAjr5p84k5BB6Bn3UCA2OXoJzIHHzcN
51kbiQEYPQrx0Eh3eTagr+dwAC7NbUPQH6NG4WD0WKXc1LqCtuAq6nmv3ZbJeJn57613y+71nwXv
5wRDg5lTDisfe6m3E8wxVDxEsQth7DscN6vJ7pOBZ+lnG3PwZv0qEGKFCtCba/vcIOFjsrIFE0ig
5rgB7b0log1FdwkxRdv0VKMC4yqjEo8MiF8ja4OEjvEG1SltcnwoyFEjfkeryDul6jmlmNgQ9aar
OgE31Z8V4c1cbQoLNy3Ovol+kIGswRLPEzpPMWK7fyCdeK3zNpt96KLXXBElaMNdM76G8DNjiA9m
c1ZllD6afRx+Fg6WfMgIyVYZ7tKlV4/S15bmyjQvm/AmQ3Ynx+2r5eXqx9177RbUlvPOn27qyS6i
gymGJpSbOqf3aptccWb0QpQ0JM+tsvx5IqwlV59Mi5uy1aZ6jf7+necqfrdwYAU1bcmJxWCVevtc
FyqyPaDbX9HAWS+JhFPoJiRaNFdp6MXmlxm2ROPOobWGQKbartRvDHOfk3xt7Ud/nRApw7ykP6jR
OW+9Mu1HeRbYEKHAFxEUa+5KhKRK947cYLkxJzcOd6bKWFw+uX26q9QYMZFGRumqdr50bep1Krg7
65xQw3fuz4nxcFlXuRAGWprLqJuc0ycUdClYT/I8eMv01LMh3AUu/IfI3gXVe9c6nkLefK2lAcz+
jg25yUYWm+2bI9dgoxrVfYoslXJu5+aN5Wv7qBl2QVbserP3cioHwPshToingSA97KBbTe4TnHGI
7ZMBc45FLDFkepBY92i9gKelmwAK4JRmjyrJS9Bpl2LkYhHfUVW9jYPMG8QD/CXm4ParUudr5n/y
LpCs9KStLLM5jNQy+Dg0L/Avtq1cKhZeY4MTMPFuXBrqdWV3a6HXq2C6pgNCV0R6jvl9ksKtSVkJ
eDEVNBs2YKueE4c6O67jl899JvaFOp6Pi/VNYyoZiBeqU7KRHhD7MsdW+7IOPBqNuyBdx/P3TLki
MoYA7S19CJdRgZB29Nr+IyFVetFAq4VSocFKZkFEkea2/p2a0rQoV7LdWfl1IXDtW+VmwGijYQ+p
uQ3Wpz6oN0P5qMiHZRm26mQrp8fQMFeioh+czTuaLW5v3JYWNamI3CD1YsCjNNKWV88T0FwmavNQ
uZuohVbp18nODmq2NmN5mDp6As53W/tqcQuEulZIpSdYteOMG1qXlnYTZ5d9u+vUfdLe9KwcwGF4
9I9BskhajitAVjxykPAqW7oq2eqdgvtePx80TyAHVyY8LiiRUhvCYDhtZzF5C9fE5G0lhHrV2ock
GL0GbpNKV5oatGs05wBQ+OocUOZxhQlq387ZnU05Nww4/BEe6Rn94KUWvSCANyBf3LjYTXx5qDIr
h6Vt7jqG1At1+JWaamezti4IpnIiumVbwihcSt9ba3qJAUrFbHgE70mhM9+z9nW1K4PzNKAObJCR
wt6My+WhuXZqY4+7kJb5A9K3w2Ae9IYa+xZAGdwZeJzmg0bWZN9VO8u8ahEdgPnYLUuqQFCZjbFX
spEhaWWn0jqiC+Y65kcZffU7/3pM1j4eSfo3W4beRsX9rT/Z2rz0+ryyC3ZiNLaBBLQrz+CoeckU
HmTs7CWshQGsNm4rKp0Lsp1Qu+YGoAS4uvte9hfC4OhnmQet3PrBvU0pt7KpZwYCQsI6tlMv0aNV
5gM+EVtbuQoJ29C666p7oTrN7mtwe7A00Cj6iS0BrAscjoPdHBrHZw8Tg2H63g0m+xFzbRf6TW4g
WKD+QsGcNjHQ+p3Z3pQ1zEwwpLxbvljahtoqSWgQBk/RIu2mrZ86yqoodDxJV2z/Bvsb/UnXDtnX
UWieWSK1hwpQGqHXct4JdlyZYBHPHBZq5U5Gj914pwp1r9C0pel7mxx5JgExY2BG9UtfVdb0N3dd
86IUPC/jaegMF/IQ0Z/DIfSD22VLOcTNunMgwQLuIF1sA4c5bx5LuHM6e80pucS0SlDYJ4wQ99iQ
IZ6qUMFguRgr0QBgv8CbFtgPvcVKCccwCsAks9WUk4un14WmC9NixaZ7YkM6tcBEaIWJzHSH0WKo
gkPmfRkZK9MNVXqgQo+WfkHmEDXzR18zV2ShuRIAKEzGNVwEIloBnelPBRG3yrqUvPM0tsJinxM4
7yvtRuhX2i4hs4hMaj18qMCcBItrukgeHEAGyCtohUia01AhtfTSotNtVtNG5PO2Aiwm83Ytppxi
teGRe+8pBGKMKRY6v7msSCGjQL+LnWyVEm+G8XOko26CjQXtGdQTiJRqz9Mimfqhi8GXfAeOxR4a
bphJSI1q7P2JvVP80JA5NheaF9+m41fJsacqut2YlVz6RlFMiG0zQWQmjajSVcP6WmlukCfsfZ09
LzBlE3iXGe0ieOi0RDBTtCs9R9goxrWd37I0NDRiUowJ6gA6i1Ga7nv7rFI+a8CDl4+CKdvTlCvI
xBS7CVAJprVZ80kL0HA0eAz5MiA/tTVeW7X2BKO1VZf04rXO5aoFWdwZG9C0LmAat2MdSjjZ2nW6
htNIYvujnG6zpfdPmBK5N4fY/orbfJnyOl87Yz+7DaJwFUo8E671xZ4PvbMbQLwn8gIR+5nf3ifq
rsPfjgsn6Xe9+mnoWDbb8wo8GkrfvTQu6SyNOoFK1zW0pB6v2bb0D0ZL4tAt6tbKB+1FyqZ2btUw
04DGIiXeNZXqNcq3ZnzyOXux93HIDmoSnbkA4jttcnM7VM9z/oAhnqT39CMQrGfFp3Uhq2ekrhDc
cjd+qAogzngp2d0j2ryrreA8mjhIMGixlqzUmB5KoLrdeJnIyYOqi4cXv0ppfUTU57aAyGc4y3Vf
EO++S3rdU8bqDLDyOp03BmfYhIS48U4r9oX5sU8+9UDj9PReq03X0L5ngm3gvCmJ3Z5CsUrB2WXz
hvwImlwcTEKM889jX7vJvPHJmuZAFOLlJNuCGDLbps9PGIaRYamSgLyZwIlXJu5h5VzPPLB4RoOk
WR4+Fcqq8ULoXc0cXcEfk/Y+aiwyND3tut1UfgEqlNRN7VAzmSJpylqx67X72TGu9UKuR/KuAzMh
36zHDewgKlEeK6b6oeg3E8ersLwdm/MOTI8FeDP1y3MtvW1YlVtcivYAxdJ64nD/UdjUSap7fwQI
N31EbrJXjMHVdaiMTfJdBfpV0Xucwz0IaaoSPJhPiuhWreMA2zoC+9xWzS8c3OqosABOAR/1Oc7f
DaIlBBFmWIY+THBeYViXwALqUZLL16/sifNRGKzw6a9MtXWLKth2eXy3tPynYlnk0I/VvNYt2YC9
j3FeWZv4gAEfUuZ2aWQhAPLQUKxrBntM72zk7gq+oUQyVc35hU6SmhmG65QlhnCFldKznpcpFNIM
UMiOkuWhVY1VUk5k60TrKWUnV5z1OYtv4YJ0YnMChpCAhIwwSKC4sAtoMvrfKwLnm0X1R/KdtK5G
51CasL8ExV2iNTBQZca8DQzUCpR8El1uMxRBdoHIJZvPBSd+DMHflnymvodeDnG2FtgTm3STqfbH
cNmliOYyjsZ7AQgrMnbalG2mpvdKyO+misYhKLwC83JORnnSPYwApcEFrMmfhSEKu0vg5hw/pgnb
ziS7KNvLDIlUl0HJX06tY/5Zj6uPHYl8ep3gIgtbL+nZSHRfG6ZMGK6Hrtf2ASpC2xg4rtbuWF3N
U0TjIN7E5rx32Iji67bLYG2Z2VdhhZueaR/sAkWX52YcN0DTMPxVdK+l56PpnDKNzii7T+4R3li3
VzZMxq16JtC2jAqJpYSAGuanzL7tWsPtA5a//InRbCBgmdStkWEthHCXKKaH4t1L/eeGcMxQyXbG
xFG5mL2hoNQ9b3IyxlIi7PN7DgV6SY7nLDdGOjOHberycwByPu8vsll5Curk0BnaWRU/BfZTlrCl
HPrtMF2IEe6f06SXOHA/DqLZz221jfRhSxFOGumhZ+uU5dHN8Tz8V5VnSoD87/8tv/MCIryOgrA9
Vkb/+a+L6AVFXPG9/eO/2n4rFj9Uc/qP3vzl5v8ffxx8KxYb1Zv/WOdAQqfr7ls93XxruvTHp/j5
L/+7P/xpzLqbSoxZL0WXt8tfC+jivq0zc+r+U10aLzylleaX3/lRmzbFB6kSEWAh5F3k8Q7Hxh+1
aWl+wE/CIXZpwtA1MKnq/FfOtaZ+EIK2HpYuftVBpP2v4rSiqx+QAyPcxsKBAUtz5N9Up7W3NQb6
lA4laQt9M7JzSuTyxKkxx1WaJ4k1Ary2tINSWeO9WcUkAIDZzNwZf+CmaWA6xlVL+xw6PqhWdbC+
V1U4vdNufHueP34UaFDLt8IngQz+pIyVOxOIRouQbCpDzU7qJq14Jep2VplSJcyMsL0GN+6/VCN4
ulcP7TfVnrc1CxtMDuJF21o4VKql/eIoYD8LIgWjCFXxEGgdBxBScr7Fo714wcQ7F1sqBf9UEo4X
k7TdaCDiYxB0+d5WEnixTFQ/2GLIA5hYxbvPokSN8udv9PuL0IgmyJwxZp9cJOzzOiBcYgHGRkt1
m/UbnYG4/fNVjt3sN99lKfLwqBBwUqGyF+fh60a0CdDYBnLaeq1zGZS3OYVQp7oOjc0cPFQmmTSD
7jod55ei26KB2cXBQl83vITlprH0falNXrccamxBm9c547ZAAepdjc0m5tlCTQ7tfOkrhvfnD37s
+J988MU0oNvYLJYuK2/f6w9Ojl+tBC3w2FSCTXa7KgLZnAx29ejbCTE6vg4RhI6D+ln483wxks55
Fxo+7YmqL/zM62IaHcipZo4jE2hrt8yc8TESZH6gns7tJ5JG/Wsnw1YE66Rmy9U3OOEiHHLXLcyU
u7DGNI+MA4sTdozEp2vdtB97TC9ir3czRzldb0iDKcBrWJxHAtvZO82iLRW1AV6VcAnlISe0qsZc
x0G57iiZaG1naWt0soiBRdnkxIgsXv+/HcB8hsWeiQt0abMe55RX6oMC4r2S0GRgmWmSC0X1aSlE
YAj//Ih+eScBWzlUinDb0G13Tl0+LTEYmdaSpjXg4GabhW5pVn0iJsde3fQzjvM/X29pw70dEYLq
nhTawoazYPO9HREQjUvZhWReA+Ei057kFeTTleEFRLcgASokSrjK/vsvadJhXNqNNDBRP7y9qAP9
hSqF33pW0l2hgUh2bQj+ZBHw5lOUvvMVlxn05CvaSHvwCEtmfAqZb68WNBbg+M7uPKvnTFznDo2f
cfjaKb79o1H9b62uJ+VzJjnHxLfCHEdploVv6e6+fr9ardSjgckPCkeSP2Ov1Kkm2SUdAiBM9p3d
l+dKV5uBNwd6krlTZWWbPDJqmhhIUu5MMFWXMCls+8ct+Kt9zH9vk3JZfstv2/rbt/bic/m/YKey
jJ1/v1Fxi6xgZ/Z6m7L8wk/fOR10AUGPbQpjcNkN/NcuxRAf2CI4OvFA7Dgo5rN/+NcuhWDJBb3H
j9lEGChi/tmlaPoHMBQOvOSlRM8I+KtdinGyNWA/IEz2KRp9ED6f6Zy8JnXVQP1PcAiVAYNmpSpy
Ah9hzzfdHKk3AgX8xh+ovKwNrepf1FylLAk7/VbPG9mu41qd90Wef0rTfMTcEtSLA8joQpp9eVi4
4WxiOh36rLgCQZGFiEFD6yInxwmYC2GA9G+boLsbpPQfUm3gONeDfXgu6zw7L/K66Cj+E6nIEWb2
AssYL5alf4Hv+uUFkXbz08RbfttxZCMrvCm8KAvvSWYqHpVBUHJRUyYe+ufAlVRgC2TYYspK7MF/
jGSRv4woY98za+on2z5uqMQshwgf6+eyDJ5MdqGTabQdJkmRN9Xu5qKrD9KwMbmAbbOvi6nRvraU
h9bmbNDwHdqBxRDeXEUXEJMOzbyuoMRkEOXBZslIAXgb8X2DY/eQthGn6qGytG8IRmmEqtwcvL+x
Fr8zm50sEMt3QNxj4GZDVg+i42S/iM44SKspB4OTs1sYHOlvc30a16YS2esKZvE7ewbtZIX45YIn
06fw1TBkBpVA02wsSCRuUVXQmgJavHE9GcmmtkBfG6N9UDuxAVh1jtHkY5rqh9qfHsnNw4jGaZXo
51dv8m92ryd7vePnMnGn27yDSIgXbuzruVavm5HickUBa2FhgwArDmR2+u+AKH97FVLYJAsW4sbT
9bFUmqqxrJIhQ7DMeV1r9bqinPHOQxW/ucnY7cBLGCgOVTgJb7+MEMkcEdJmEihnKzQhCkPpVyUd
hjPydvyHsAvhhhPwMT2qJiKYWppKThKgGn+uxVx9D1XwkhFXEOgJyEjiXD4jdsmy5BtVtAY21exj
7ehGglI6zKnewoDvd6qTUhsWF50TdFeaGDNSa4BU3vZpkz/hSTcPk4QStpghkB7oGBGBN1CtmEGj
Q53S0v2o9jr24Hic9yIXZvhjo/B/69Z/YK19Ndx/Qabs68/V61Xr+M9/Llv2h0U4DN8CsC7bDYRa
Pw/Xwv7AaRaUqonWkH+xaAB/LlvC+sBZnHmPn/LmWBpHlp/CL935sDAeqOSybTE5f4u/OVrzBjJU
/9lusTVGT80mSxioz2yGNKvq6/fSaoEt+Cwx2DsUkAN13Zg7JNaFcOe8hdAaQdkictZh0cBasirH
egh3bN2JoLdoVlBKHoFqXlukdiZ3eBLt1iMjoC63VP3FYvYteBvVpmnLj1mrgiSycrK+tuqAymWD
OYlRG8I5sA7kqomQbllTi+qZSAljuvGLkqg5qcROeojzRDEeEHI0TbpEQuI+aM1Ms7dYNrVP/8ne
eSzHjW3b9ldenD5OABu+cTtpmSSTBElRpNRBSKIEbzY88PV3QFWvikTRRGX7tk6UpIOE3WatOcck
LdDHGJu06rRrKtwXdPz61D+2QWv028oVvSSNnDxLUlZTFcJrUseeU5EDCRhOgiJ1m1Thq8FpN96H
uJJJVIXswCzuZlSy8MORDIAHGO6WZelyy1IAARyAx8ai1NYlpTyarW0kNxR6B+Ne+AbO5VFSj0AA
guNQUTe2MOhomcTZk8ReMq6sY5HTGmzbsTM2fWsH9t4dR+1TpKeKT3aYDRFZJEl7pUx5Lrd+mxAy
jTskxPEYheN1nY73aWIC+yQ2Lf7mlEN3rYGYHSmLJDBDk6bSsffZSvFkkPRwkQKBn1MOSzTLmt6Z
lBXR6wA+AWxPqoRld+W6IjkvRE5kmSY3AyNdudImnJX7IDQmZYs7Sd4bGE1pfnaFe+zSTNSHJE6S
ZktWbhv8Iuu9FZ+aUnXqnd6AcyYoJ/WHLQ5eGxtKV0fYaqRNcJftu90RmRVTktkYxNYBg+V1CgLy
aGl7Z/y0ASmfUiTELbkegrqMZwtCcF8FgzJh7gXduA10MU0YqzuHPp5S+7chnrl2LW3H6kiITZ0n
4htUsUWfSEe0LiAEXspR5LfEf0Llt6Xu/4QoN37GEFs1W9kqzUTzjLRmzJMDaRsGlL16a5jIhPhb
50ugqsqZnlZqtvdzBwUDUpLB3uMz5BUTbcekQDAN1N0cYE5KAGbV7yJrCBFe2EOgHZxBocOj+8ia
Nq02pbxisnOREOSpcwsdwKZ2WpL1Cc04o2celHiL2zHGAwTHGJCxoON3nYZjbDGJSvmlrTL2ShpB
d/hWYE2ASzCzObzSbhyCu42AFlLd+8I+jkKlkFFAC8wOZdaV31B1AwLVtaD55URtHGwIuhxw5k21
/2A1o41BctDLexhwMPB8EyX5Ou2I3InjysWBq6XQ5urRwBJKppl5E5F6AXIxbCCnlk48+isir+ln
gwdtqUJ3pf4VzAgLWl8fentVdEU0f+5WfUcoXkXWIBUIQmIbXrId4vJpBGLM6HHsmcMQQhR+lGyy
UsH0HluFce+S6FJvab1UwbquXFmtWjov+q6iQAeWoh+HH75QQ9o/xBvWKwpyjZdHbfM90TL3qTQk
kgRVJeBG8irA5uhnvRGZERgnTXbuD0ls+fQtE4GgqbbL8YsVSZpRVNkRl4yhRUquCgFz01u+zQw+
uUSkqGZZU7VPY/ppMJZb7ZBzZQgqqpgsJPi8MtoRuqwapOJxBqzvqcjgBW+mq6jtXfqusKD1FYHx
KvYb8Gr5xhShEqxG7LzZWUYIgoGBynB+GKmkYSi1lngR7O0sil0Z9MEGEjXrvTFw83bVMXpcpcYs
csPeV/koVaGzBqElvkszg1sse0N/tAuXGpgzteJiBE6kw56R9a3h24pCrAWhlyszHpG56RlD4Ro5
pRDb3He021QgbyUEprmt1bobiL6NenKIhgSFPsthGAEEr05nrR9jPR1VXOc0OB1HW5sE29B/MDL/
0RSkJq9y7pq+EkhAw7WhF6QOpo3BO6f3iXIQDm5EGU3dlsSv65yZKsKda2k+pSmdfn85W9ttGIAh
kWBXOqHplzyuYEsf/wZAYX8d2ri6E3pWZRokt4NlXJBZCG/VyW9TwlWvR4xwuaNcFFV45ze8BFUk
LhrCR/1eQoKtwfZZTufpo7nNVXluJWaF4zooVSI8xwbBbqiXtMAtbdOXUt74ZnFuVOohDKZoQ64h
DT69/swcBw0v9W+xycX3ydh/LoMBozQnQUofEdlt+0RHdQ/W4rNqQqWPQptgqDlvxLeu2eXt8Z98
76f+k92A2ai6kSfik8zYWdNspk2OZGX6u6RW9tEUfy+s5B5sdkuodHMuRW38LLVhh/8/PDa2o5wT
C0qiXatm8aMBcHRlhd1IdEgdHPCSfpIcQcOfiFZnJGV57ccq/f8Royj6BdqhKHX0q6QHylfpxPuo
xgXTHqNcITYdwVDXUCYd0IOZxc4DUuPWgBe+8QUmQTe3BOmgicW8EirrwVS/2faUrEeIlPGqLggh
jNIL0GrnTZdleNCjlVGP12mU3aRNcql05IaterTbT21lHknWJM09yAbMh8wolkT6wYG8XhmuYmLB
PmVdgQI7GxVaXPF9X0X5kcdO39QurEs/IUApZCzaO3kQrBTs3NeJatzgWY32HSR6c+8mIDZzxT4D
jXQvsxTtus3MG6VQ3ZO4vRAGIGHSzs6kkRx9ArXv6q6j/oYv8UZrBd5yU78ZKpgImdPnX02B2sbJ
pOP5CtPJZKkjQbFM1fhxr4CmEzKbuJFeb8w8b+66vsx/QVMtLg2ngIPVIdodESoeG5z112pFiloc
6Aep5JtizBl3RiXB+muK2kUgL3/SibyuRSziLb7e7Ewdg+LOKlEsJAM+RpDM9BTdNvKArNEEjkTa
XRUytGHMAz4tXYDqKyfq4RKT00sm5KdqCB/UslFu2E226KNEtY2i8sFvO3rjffAjTZuvqk5GBmoT
07hTKB58shRT32Hf1Z9szb+P1Wy6T8Esr1TVYP2CpDwd+w7VUdShM+/3eufKtQzT5Ay111cy1gQY
VIPaX7JmO0ZilGptoW4qd3aMZm3TpdbGHBGvabF/WQo1OQzNyPnbrFmj4hKognkF4AXYgD4ca63i
a4ZnGs8xgMjWDPegwBhaQdS5ofAyi9dnGEuNY78X6c7R7NRrYRDM4pdbv6dCIsJfUat0N4rSj5+E
mcRfSZUl0edA6KaG9B9TMIFDFklLe1kYdX6IC9Vsiy0DqiCDsKbZ/d1XQZN4oKm65Ci0tnOQgzbJ
YP6SQTFR+BFJZKDHIlWYZwQAo76tyFRTz0enaGhBm/CZo1++GSWUmOAIW2Jrs1SAogD/GgwcuUW9
3dlMrIlSFz/QLTdlRLE9pJgK1d8CiXhlTth7AePLKMvO6aGC4SeNNdMQPTlOnyU38DsbeadHdJW/
mFkW2P22R9NR6ufWOHVRvIfmUmjGpypTNFF6DriQIbkEQA78x6M+lzq11yUu2XDffElzila/3/m/
VArJwMALu+CU6tLqvxrEIa9kWFcTPnRLkxunM6xh3+qldRu7JNdmKmj3nVUCla9XVodp9goQm6Lf
070oH6HDlCqhX6GmPpRRaCj5HxXi/9vQ/gfk4nsb2rv26duLFvPvf//HjpZ9K5V5iiuG+hubN2MN
/2gXC+2/Dt1ZU9VdNq04zNjr/rmjFYIaLf03vKbit2+Qv/pzR+v+1wDz67gW5THsT5Yt/s2Olorr
yx0tJUNKuZiEDfrFroUe+uWOFqZS0kyN9chb1VqfwO+wGcA1EcdqhSiat/lnoPYVkX0IneuSvOsG
Q8m4DaDRjGcjxFx1XU2Fv+NbcRPoJFnmsC6hjhhOLgLFCQWJX+p6I670gdKe2PmRw84sZhAwWPCb
lqjPkky2E6gZOOAbhUVFHR/bwoChX4NcF1cgni0O3SoRy06UOmCYkp1kOxvug6F2rO/sEuMx2Tnz
wI7fx9FN/DZ2UulgGOrUdtD2sVneKoF0jXWOaEdCIy5dlTzHwiL4E33XEIGwMscU7ckUAKFCRJ3E
9nliKWjSt40/imrDtynrCLEuz5K+emmaT3HOR3YszMpsd0AYI/RUfmjk0Y7VNjVTbXIqBuKW4EMs
KxVlriLGHgZ9v2V1aBcVvbCSN6RZB07ZHEmWmySKbahcPwu17++yOsZcpRd0AjY6WCmyDVWd0sL3
uCVB9soKgoJoT9NkBlxPY4XgTQ5p11YrUi4RvjB30rukfO04h6aGq/MLmVOO3isSgdteqHUG4gOT
aMGSWaQJs62uFWg0mwFATaV0FDTyCdY5Sy3CW9NUemQNodEdqLTf8cjMlmVT1OgIEY2EpW+ct/px
YIfFNjlhYUyCwOBfxG0Ai1+2RBnvkmDqOT1AYh17mppI1H2a50waje2m65LgjnSbsM+mk96GbJga
ljA56SE1cTShxj8MfD23qVsXurO2EYEX6N3whJ6bVq8+OGoH78fA4o5TytRKjOHQduwb+rZYfare
ZcLPWezBYCebhJuZ9wPKUBdtNip/4olJOezyyX0gGxkEM3nKdrl1Enb/MGwUQSZcHmhhW6z9QVJX
yFIfVx1zV9pJ1G/Qva4tSD/sEgUZ5cMmoRjyRAky7Pe2levIejvNHPRvSPSl/qhC7C5oA0ulDNiP
TEYnDoR+TjpxnEnv95uhqdiltukEsWVghhebNoj0a6jZMFSqyUHvChCJk5pI1EnXhWHSHBaRT671
mLnluE8chc0lwSCh12pm/WSQ1MMiNXbAnwSug4BqRO+FmH204BdoQRd4fLXDZ95cbmOv1qwSozEG
WoNppbmuwoRDi3BmKqEer1DndWPt7lwmoC9Ue2S9LVrh73sFqDnWh6r5SlCIemf7k/F1QmHyuZRV
hiuBTM/LtAoK7cyx06C/bMOwZfleishZ1cBh+03YWmzdJiow1iotU6NfmZVgmnaRJE7ETzpudE7l
wkGi2lvFwTDJP0HQOnS3TuZWyLhKjG8lKVbaGiMBZ537Ca+KDX7riyTFCMyLOqY9bhm8xJfV9Jtv
YqbO1yFUmwJcm0GEJw5G4TSIv4Nw7Fein7FN6eDU+TnbHqvdMVyNOqJ7EEd3heaI9JgHDcL/pCcx
GCNGmYMsIoqbAEj8PkUW9xSbgSdMD02CKOUWiFQzRERl9D5q6RH7+4DDZjCkcaTOk7NfqNmGynnj
gpOhm0oz2AuXUASNtzRhM74xelWrKFM7yAv7DhrCFuOotC6UQMGvR39b1sexDdmt8d2G9nlvFDkW
ip5gROxrdoGNB3FSReWjcTp0bIyTXRH8wGMbdl8H16/Y3Pd+iwnCLTTlIQdaxf5+kxKz3VkroQwj
6wwSKnCTzeDYKTnksRIIZM6BDuPuzO1jK7gHY0/jN6DWjiXSNu57FdLRZVCDVtkLq6uqPQnRg2pl
j0LOqeBup+T6mK1DcgBC9c6ieGo6xoWA2zetiTxpHmJyZJTLrhVle5tHllYeMDr6JITywYR3Wdjp
RLtPaZ4RFhJhRNMLVu48fbwdu5QaWLgVDfD92yCrVXvtuH5z42g1yctVCyKaopESD1QXSyCMpHlm
V34HgZ2OoCq+OSpm2V3mt0O+ol6SXdVAMgtu3MSOjARKXsmoTyho+JWuxgQaqC1xTIQcA2g0LAsl
ptRpjies2q/w5k1MqPQz8aRh6xfXDYEI414qKat7/HG+5xcROuDYLfrxwKwApU+1GjYrllU+EkZJ
hJ9LZefYybE80gOV86uhqudZkJkpFiMqyGdklk4wJvt6Ug+RVTODAqqJBUHADCqQswpkl6RRW3hD
47Ibwx1kpO4b8MHyKXAHBzVIJaS1I3erpCRJG6deC2IGIfVafc8rQzYR1QgfY0VPgHa1iQomANIX
shqZda0rYGWkLMBzNCSrRaugd0xCnexAu4jw/KB7tM3+K3xOyGPE9IUpIueycldM4Q2jakc6M8k5
ZcSuV/gJORGBgUNgmmCQmryuZ06R90SvhDF8y4KsDvbtBOLEZ4EyqhfsKgyxLWydveJQIO05U+u0
mW4tWYeYVsj123ctO/Fz3q2B1Gl3sOaifm/dOapk2R0Pavhk+al05tLAeC5SqpibsiKcfUcZo6uu
2tyvzgn8vSXhqOCQWZ9euW6Ht8dRxvwbIevlp16pLWc7dBZbuxXZ57l+lGbA6xYFuTbej1aohJuy
jnzlzK+FwJ5hoGatJf1VapfJVBziZmQSYC0S3jCo6F/0AlfTGXSG6CdxvozHTRbr4rFrhNHe57Tw
270CiSgnEcINxTn7hE7dz2wIeZaTfM1w5BIbxMpA0mCnMSBL5WYwS715inI6Ef3aamx8Dr3qTuQj
ROJ7CO/7TuoGZTCF/cMPn0TCbB2lLeSkopAIrsc0sW9FN4cU+z3BgcyBYfXJ6jX1CXETGukqDGBW
Dqo+/aCzoEGUYrMUr3EUiGZF+d7+lgw6LjOWdXgd5p7ohdpQYkUVPlKEYGuc9FtUDQKrEDeCOGCD
7VEcGd0xDDSSMqqqVO+rvNF6grdd1hcBaV3lRpkAq9K9DsZgm1NRZ2QmoCJbE+gqv2dVYDeg78Pm
m6sVzTm04fBB6fLiVgsBLW7tcc7ZTcuiOwI/ZFPNW8mKy3ADK99GTSObTc5ke6jZrP+iSRBSTUOv
XSNoemxZCZY4tHVzb6VqC18Qe4dcwbeuxKFROvUnWjGKiYMpfQydPaFAEMH8B1nFesIkByBt63ZJ
KL6QkJR1n+ALEWG/xkmT23sRVZqKl0UDoftBv/ZlEx7rJboRdizurAJEIrLU0bmdNCOFiwIpKQCH
uk6ZppjO1PomshMUo7UE7PhvfxOOApsQelzIDlVjqQwTbKA6p45s3IxJdmHopbOfEmUgcWuYtkna
1X9sVd8UM80ixmd9POylyMFmVSpSGLY9y98zlSFmfsCMBLLwxmLqXXOP261GYXobKE2/aQato0GB
BUFnufiBn/Zl3507bCABposIVgjBhqYt9lzwK8eGmCoW0oWlbl1QLetB5E/PtqCvSAj+sbEzSMyh
uU+CLKZd9qAvN3ZxU+ZkjdMxgcFqrcsR4RvDMc0dGkfFt1N+Cx+JpQJoce2FjMLX4jqoInprLeuv
TRMo2YPsXfWyrUhC+UBfp/3j/eTC6A0bDltg3URQ8PLCFE0SKzWUFtsbRh9rtCne95k6nVV0ENdZ
A/egZAG+kUMsz+1Md2beJOlNOk2PrgwYF3rHeBgG2Xwr03w8n5SSftr7N+SfT5hztInWQIzDHv63
JOKZnhI7gV4gtsFkUzjFtu3oCxsKFeffv/J/BZf/aLNz/m3p2xUg/fD/0WP4yYv687d14PD0P3/8
v/4ou5CF8N+ZzM+6UxWg12dh5B9lF+oc/9Uoq6AwQLtvC4u/+bPsgjROBR+j4+YR6I80g5Ooi7YJ
/+c/aAyo0Whoi8mKRW7JqPgvCDIvXw8Fog1AeB1Y2stXt+8oAffBENy6dhafySDQ9iG5mf+KbP/3
0RcKMESnqsqiS7nJY/NL1tD+HPGfPbvPr4wqb505N+258KHWWsBoMERv/Ty+pt3sbGrTNk88+OKL
1puykZno/Js8jb+WlmAjHOBlPu3M5yt69inqXZ2akc+Z1z2rC9sRF3DIPjIAvBxs/77lC52WS+Qs
Nf40uDUUzd+2vVJ8S3OyT4MuE4fTzn8hOen5BWWa+AmN0vNF0Sc7MD3/Tgn29/nzwj+/OQ7diiEg
tfuG1jpNJ8P4PDQq39xfn+Yrr8xb92Yxy1HEjvFwRe6NDQ57lVSA3U0NSKMTqh+8N/Nn8/ds/tfZ
z0Xa52ffFMMw5Zbh3AREqh7TvizBDNUajbKouR6S2bCmtd8VIiz271/SG1+Btvh+gSETcZhmzk3c
tldoFV1sjgTKnnbwxedLhFGe55DIbtTA+qqkHSvrynx4/9i/b8lrt2rx/SZOVRK81HY3tdS21BO2
FClWjn8QzWdnui9o9shyHSfXiYy3M9FHD87S9ofvH2yME/6hcH/4qv/BhYr5R187mcX3LiG7G5NV
dzctW8S+7LGWXCjZbR8fLYLqTP07284VqhV68ofOeZx5DnOjP5Xy3FfJt0s2f/6PpDLHv8lmZ15n
7wC3b5XiF5zND850seb4+w1bDB6qU/nZEHbdjT5H0OnfR4cQAe6IPlxUUKfmnktGqRiaH3wchUoJ
zO2VnQ5rNXfPk0R+sEz+vfZ+7Y4txpnUzWK24WN2o2bjquldSEC0n7IG3Rh3aFpzE3rn0S9vfNhX
1MK4P8W4tkF1xHi6ffS9Q9Oc8Y+TBB8MyR3qB3cI9ffrz1K8/Aaz0U7o8pXRjcywdIrKPiAsfnSk
gYM8LiELq+t+rmOGZXmnKTBk0rrLafvHn+m2Xdaq/BWV7mVUZiRYR7diVBBsRo9DHdwrNW7BFmOz
Npz3NJ+rcLxwNOVoYySlqlkfGl+/t/rqe5KptABJZci14avssm2YoggKw4tWASLi+2eVE5+H03SF
7vuOdcG5qvr7trUvFLr1oaKez3cs0nyMW/iRO2xNhnYTK/XXKJfHvNTUlS7kmYt1PYzSm8hyZ2IM
hNs02oxp+rlX+l0K9qKib/jbCy7S4dyMynNbFPu6kxcOvWJo8rdpWu6CLskRefneSE3l/W/7rVFw
MYZrfRZIs0mkJzomOCjKCBSo+u1bdo1HirjGdQjlGSlC/MEzf2sUXA7sw8TUP8ZcQ1Xu2IjuYplt
37+WNw6tLkb0uBcRuQJ0SY2eF4K+FI7a8stpx14M3kaRJY5V6tKTUqB/sfwrx/nTU/vmvvKNr2AJ
+OzmRIcSJLynIeVDWzAg8owRM13H0oItcdoFLMZwNMijbQRj7Y29e9PiC47VxDvt0IsR2a7gOYOS
l54ilZmPVdy2sfuRQ++tm7MYRBVzcJQYFJzXuU5P1meiILFP1H1Cgf3E92YxPpKA4JaYEyuvUQAm
Kfi7hUWyzmk3ZzHEkchj5l0wVR5aARPCRFCd9VUSnramUBef7+AMce0YKQSwIf1i/5ZEBD9PO/HF
h5pBZ4/UsK08ze2mtT9OnqESMn/KwQ138amii0qbjk6Wl/rAXFzOfJ1n9knfKjbUl7NKTNm4MNwG
3dng/qCH7K6QS3ywFnp9jKGY8PLYpI2TmFtEjZfVzj6v+nJTI8f+YDB+6+D/+EbHWiYOBxeuvytr
MYGMrMfNabd88ZX65lChVXYYZWQVomXTzU3sU9p+/+jzg/vnGsOYfe3PV9NZlyUmsK7Gc1uD1Lqp
2HVpckeYwAUK5l+ojs7zJu08M86Df1UP+/+rq3/YpulijJOazDerTH7xPq313P+oXPTWg1h8tG5h
B0lvNJUnKrTRoQuqrTCMs/dv1RvrMWNGzT6/Vw2tyiAqldLr4PF/yzNT+TLZU71KO3yXkxzUHQGk
IzlUUlw5tlv5KzliPUtM7ZYlg7zOO9PfTaSg3A+TpV+lIKrRdSb0nC2N8HJ0XpfV2D4huDIQ8mjW
iS/QYkBokswmZEFtvNJxfgaDqq3arvng2K8vQ4ylb9xvM1rCTcbDtBPlLDMre9Xq9mfV6LaYC6rL
FrA5RC21Prz/DN54wM5iiIBjkLm5IhsP2PxKq/AHauSznDTkG85ijMB94OdVqzDVjhZ4sIomQe0w
Nr9/6q9PiBQyX749mq6Qh9GOjWc6SCMDhB0XRt+g+2o17aQJnfTBlz/RxmbN7yaVFyq0pBt0vJBT
8umDoeKtez//+bOaii/1EjM3ujW7GVF9oy2wxuCjzc4CZPHXsLAEHaD5H7MoqiQ5Uq5xoCGvwVIC
7wr1eaXLcqIt1xH45YTJcawFGesxHpM0tN0Tr24xdBR2yihrVZU3EShalNUFbYBf7z/5t27cYtwo
lNioqqxpvMI2fqA+eEIL/vT+oa359F4Zv53Fx42KQCdRNaq8uBjaA3IWqs967rJfVQDj0R2G5xMD
l0LX9ACkCBeNRGaZMFidY+No4Rim+d6d/GRr9257ZwN3P2aR4+/QzRTsbkZlTWJFBhaBfKzCR+w7
CQveb6m6e0JWPskOiIJGi2ujZI7YdgpaptABKcioHqw7rcnOGvxIG3fo9Z0TpdPaUFGAOyNZV2E6
EhZitdGV4kJn0i2/3mRich5RSkBTQL+z08dE3BXj0Dz6ST+eY44sN33Wj9vRUX+0Yx2vkZjEmzGp
gUf1GhGVdCv2veU+2h2dtB4tBzi7riRwp/s+RHDyZAaa8v2b/8ZztRcfRN0rZPAOhfSaDFU1abz0
SZvsg5HujYkZD9uLrw3GpGN0SVd6QxDhq5+5DGhHfyJDo+bgAHVe4UueMaXsPKYi/Ci5+41Rapn4
21WAoQLVKj2G8vBQ+yTHKzMObxDdSUtfaOovL0wQoJZYjop3oPIvFexpq0JU2gePZB5MX/kclubW
hKArnHpG6VGKh8ntzgBIF6r3EILN1VB/f/B03nr0i8F8mOBpQaCpvbqU123lf1Xz4tP7b9VbT2Ax
iA/E8jmj7KXXh5n+xan07DZHHbitreQjJ/RbZ78Y68ZJkhkRYd9QQ/WyL8enOHE+WGe/dfaLsa4q
RxH3AWukKp0tIm0pVmNrqUeTzfEHz/itn1gMea0uEoRcjeWR5eZelrXSnZGBVdLtdIZ/5ZX+azJa
ppK3CtjoahSWZ5W0iwdjvEdq/a9Cgv8+9uL9n2yLzMqSY+PoaldtXB3L+rTKPt7Xl98Wnpk2QDxs
eXGKT3EfnrYZRrL08rg2osIR5xx+rq45QE//FgA2ef91f+NdtBavuxgGS1a1anl25Cpr2w8Iue9J
tTrt6POvPluzVK5CzCg+YU8iYMEwOBjrUQs/iEl/69QXQ7TeD6gm0szyTLhMmyptrvxRKT448/mR
vTKS/Z7wn585nWqBjsjypNqVV6RFqOvAraKz1tUqkglQR0q7Vzbv36Y3Pilr8dWqulPZNZoVzxnI
jXRj/LwOWuArsony3fs/8dbNWny1iuuCKARo4/UlhGZLflaE+/OkQy/ZZ0QIjKKsRh6yxDcTqLW2
G0ycEqcdffG9wg0Jk7hrOfER4KPmQGYlC/O0Yy+/19BVpR5ZlZfPiacaTNiwNB7fP7aY7+wrb9Ds
nX/+7uNOcMIYb7tH6AgCsL1KMF4KNDH/5If+pi6PA2RoVdsP2U+hf0/1B9WYLnTrYJPpMP+XPCeY
dTf5H4x7v/tlr53P4ks3wqEYkzizPcfvV9YwwHhPNxrquNEVB9W/pFFhtNc2uQZJd0VE9rrwGR+l
sR8kxea5iSFJGXv/5rzxNprznz/7uvo4LibLSguPxcEOfKS+GlGtnHjwxbiQG01UspWEQuOYR7uQ
571QPhqJ32ijGaZ4eeahnyB6j5yMgJmm/2GGcXvIyuAbxfloV4IOXglpkhAQld9Dv/tkaOXnMled
22HEIloCxgKuj6ErSYJo21n0rYoO5rleiv6604zgZtair+vGsc+KovwS1WoH+lt8pdlw1KVMT7xD
i/FmoPlvtn6Ve4oa/hIixObrwGV//9nO7/dr79lipJmywpKqpmUetohjgehqNbKxW7lj9k0E/y5b
7a9Z3JiX7c9fIDpI0L/71LOD4Rsxz9+t/vP7p//Gq/mbofTsyJONA1+ipvf8wd1mbuzFPsbc94/9
m6nzyr0xFgNO1ISTRO2Pa4+e5SEcJu2u1Iv4KBQsH4Bfg4Ob1Vh1XeD+s6RruMpBJN1OLeLqui/T
XZ80CHmReH8Po6K7dPRcxY9K6bBhJ4gWQvtkigG/T9P/HCoscgBTe2uTmexasui0jjyMj5c3PyBb
uGnzjpvf4K8V4Z4dxWmjvbEYpKJpyiEXBInHV7S37Pyz2aQfDMhvPdjFmGM7JjtXLLqzrfonTqRH
zfpgaH3ryIsBR+0HzVbbIvaCysRKXFvVNlTq/fvvzFsHXww4pl2RhzX1kZe1PXEzyM2JKcf1/cHR
50/+tTdyMRTohMmVkzZweHtHnDxYip7i2E3eHmi540lZMflu1eKbPk/t0U/X1vaZ4bKzP8xtk0Sb
NiH03ybsqR98doxwZ2YQMgjw8PtwXWh3fKfgtD8lPrWB8gFhA2vkVaKLO/T925rqJL/UOI/gvVdm
s/vjZ7XAXn9weW9c3WIs6lVFxJqRpt4wqd+JT17XgBw+unWvH1tfDEF0o8koSfBygyCnVz7sikic
9sxnIM/z0S1yk8BSkjzxfBlcFqK+LtvTVjxLjaQe9CR9T9k8blLycRRrGwzp/Uk3+3d67LORM2WA
CUfTyjzTOviGJ0+cz/XFmFBkiIZ7a0g8vUvFxkVWdijbyt6ddtaLYSHxkzxjw8nRC3kM/PaRutzD
aYdejAs5Gv0kq4zMU6fEXAdtUu6VNMk3px19MTCEZuFYAwANb3KrAm5McmX4wj3x4IthoSTORLFk
G3u4Mx9I3CWtbGhP3BUu2WT+hFu0n4bcA5mf7IIZqm4Xpz1OsfgqE0NF/8aq1tNit952PQzSzPXF
2Un3fKklnag6BZYWZR6GsYcszr/nJVv9949NDurrI8qSJugHJLy0pJ97qlD2DMSXfPam9Zmx1pTO
QU0rcn8O9XCYx+hharZh82BRixWjWI/BtBkNttiZchN005bc9H1FEEdfP+nJJ46QUhjWU/NScBSr
6Rit2zNqvysjGw+6dolVbJPovKTFQ8Hu02JsnzMRm6ZaVZPHAI6x7qxoDzBj56EaAuqqVOM9fzLx
WsCLOTB/SJ38AOvrUBT2umqO/KVIiK9D+tQ443fHf1Kde80nx8y4ZrN7yWSgT85TNRxsK9ww+is8
LMzB5N+F87RQkGqghcaeX5d2c0dC/WrgQqLyNs4OCdejhD990pYy90fdmr9/h0Nq1IIVH4lafOSf
OaqBQfJgagPKLUq42R+3EUCXWun7hiwZfr6sa1IGrri22P/ZduWOG8Js1qnluZ+SMQkCMQM1lFeS
JIGd6wf8526e40ZsgVmXXhdae1ENMI9dlJblgyCvqg8uW7Y1GhHvgbAeOIeA+kqQZmdCe6xqkhdz
80tkZBc+USmZJK9bBbcR4D9sjsK6tGkghSA/LCqoLfkfgaptB2AUStWezbdQAyTJpqxVd21lwd/c
Nc0XfNErtR8vcrXepCHywZKUSCAS2kq0j05iHSkCYHRWwWmd+LEtFoJhT7sXK1ns1XFAhLlvfp1d
x+9/DvOS+JWFye8l9LPZJAjrLlNLthF2MxNlSNGJh5ZUmYJHGVVhQ9xnZ37wW2+ssZahZE5RWVWH
JsRLwuCyM4t7fPAX71/GW4dezAEykWWSt3XiWW1oHJzCtyFb2v2JJ76YA8p2cC2oAOyjleIx64cj
XqEParALBPFfW6zf7NNnD0DStDbNXo+8nHc/HMK1VvUYgPEtmlve/3nFUyc3Pa9eF56Fk3alNZ/f
v2dvPfrFqi0dmjwdYh/8nZ7+oueleL6LpQ9caPJLj0z3ymnHj/Rdb13mUs9cjT7585MVeY7hygvw
p+ZNPrsrCSCn/NEqwxEcUrQOYtmuDb91J75JzT2Ueu2scz78Q4St8oPp5Y0LX0qdbUtP0yrNck/9
X87Oozd25Fygv4gAc5HbJju3crrShpDulZhzFcnir3+njbcYDDw24JUNY0aWusmqL55TQBVjH6K6
BXJe/cpNN+TUZJlOFdX4vz07/8K0/uX7DYAV+qsumntvmT/7CjmGTj//8xf4DxfZvyZ7//KjKxbG
64EhlnsM4mBeQwHOvpzCqJBOfsTwGh6MsNIxiJn2f0vBrL/FiGKxdBIsZXVvN8UUMeBCt7H6HxuN
1vXd/sufA+XcZrVXV5ie2vem6T5r0/74z5/UPxwP/3oq//KjnezKgnNVdd+X+tXypw/qnf/lYfqn
H/23s0GDJJKFaxf3UpivyViw4+j9tzLYP/3sv4WHbTEO0myt6j6czLekZMMb5+9//kTs68n4bw7+
vy/qWUnQqip08/tB2PVp0SY+Ra92n0etBYpeG1qZ0QR0l1ujt7fVrB/YCgvhY3qoBDKVW4hiMrBN
hVHHhu6RlWF62eZp2McUFazDUKcurL/U35X8ETGMsKaMs6T//0WxfxxLvS4u/bs/4O/ztMOop9nq
QgAQ7KuXXgmQXW0KeuXwFvHyPBDPaAYq+A9gIJsSy9Q11Jr9N08428K7v0ZUK4tE3Orjem+Xz119
QovEX4ST2NyRVLM9jN0YtGT7lg3u9ho6TAiertFW7nzU5aPCI+S49ORH9yCnP6b6Nan/ci/8w1dv
Xt/5vzyxfi3MDndgdu1x5Xpv/beXDF/KP1TM/z7QO4TtMFMdLe4rq8uedN6pHcXT9cX15+DAOp8P
LjMcttARza01V+m+MWyDaXI2PvdWgMWJceuECGeAZ+BJxMOMWdSvpZ1RrzBGN8VtCC4zH6/CHxas
jybbvZtJFNPeUajEaKxNt0vrlRfHYjQM1ow8NNN1HbfzpbWT3VyeZwmneEDDeTKHjkhkLJqr62+0
+YZc4yVow0cTobe3WHeZHAiilyvhwWMgA1okME8wDjARurWIkkbAQmmmLm7y3LkYWegQyet2B7zA
eXFnd90BAS23oFbzH0PN4FPD2f+e2qn7zrpivFvZdkRFFZbbcOWXYIQbEo2y1BvL42xdX8PdfhEN
xeUA8Bdb9ZeEIX5IVUt1dAojiFvHAcHgfcHS0tvEMgzQXdVwwMC0nJizE32Ed+/CMlG6L/v+Mw9A
w3Xz5N4Ebv2NcDd9zdbsPYSD8gYL1zu79giIxHXHnccedQS5j8GPxpknkIjIN2e5qIP2lR9XDKig
/szFCXiYEzNbQaQ6r4iO2/y1yofutjC6gkXrpH8lJ8IsxT60/wnV1b0r5PDAdR1JI3MPunfTLT+7
2VimxDuilcU/QFd6bscZsgIOOHSx6R0cvfwu7ybU1Ao6n8qLj3npwN+WHCNsXa+HqdZ2PBjWFJUm
dnijQKa6du4Pg0PuPrDTBjBJyKTHYLyoioFqpKNMCSLv4KOacn3Ua57A7C1846uQoR07jeowDOfy
4FhYRNPVgV1SCzse0wzNXtlYx8K1+HaWARCQLXV6NBusVb5TL+8mTD5IaNDfimYx90jYTCh0Tr2B
RxpuTbw390agmq8M+CwubgaCdq3qilPi40hkvpuoTGj9XDXVmm1MI6O+74Ta7SFmBDhhOVsZH+v8
SMmQCaRRkrUoSyhQLxBlqsirivUScoc+DNJNv6WftFvMX86Xm7rAW50yab/KSRW70ECYbCnT3LcJ
rA4dGv3tkhdF3I7afqm90SmjEbbUZ1E54ggyIt2OugKaCl0ch7Waxh8TgE7sXP00Aft2n/kQTJGr
yS7VVGp6xQh9FDDc3QSRJModAMhUcH3sYl2I11At8rBWY3ccmlZ9Jt7gnbr5Su5tq27hjZDuaRbt
cRrg/4Ha10yyWRtp//J6bK52doQ6kcX14s+HPhcrqzJh+KCrrDk14eq8I5pxbqyV9eqNpYHfKF5M
Qs8qBcOn5UM2duytc5vsTZSm/baQon61QLpcPMMd9m0+uXTMKi2gbVTOt1cG6DoLx1Q7BkzG86Ao
11A4za3bLAvLBOtf42uy6qU8rw4APKqkBTBeZTd3QW+W4RZsALOjnle/zlCZ9zUbNS9ynFxgjA6w
j02YBcALrBoQU9vDCGMuiQUqXIbkZkCA1icd8uIsbHL/Gb2VjZWgYkM9lt5i6l1btCwhBEFtMfwa
GFw/ttuOD46PKoI58EX+LgyRXH+Qp15VWFLUKof5pxsMDo9CwTVhH8pRD8E6+tvJtut1W4XVGCu3
nw26E2hgMNiBt8hWVgfh29z28BX2q2ydrddBlt24CNevGpPmVOT2Ss+Cv6bJLHzoowOLcw7Y9sHV
eAH+K8/9aBlbVB0UMdvAlNvVbY3YB1+8DZtZPZgUCOOlYNF/lEy1ldMcRiBAEmrYA1MZpWi/Iequ
nyOzcRtPr/jx5hx7UR8Bucrhy1662W7bzbwyVNbwwC+buQSyWYzKxqaVzrH2Q5BUuTe7IKN9u4lt
emlfwdSr/Win9qMJygLXcDC7sc+CHYPG0t453lhGIp2q7WI7w1Z5yt0aKF22lZWtkTWlxK8jqqcu
A60Y5GiZY7cYpX8Lz9KOPP7rh5ylepvVOl9SRnEPvVBIGySypaepD5MH/PVwsZjMNTdeVwWxssPM
QNDLVhasarSadUHPpjN6PIkhVmoLks8n3Fj5pWtB8aKxejCffUKontYnd1mao5MtVBCsKwGs5T0a
vR5/5ej4d77Ox2VTAg9XG01fvkns9JQNmBVLe3K3cMmbF6MfmkMGM+W201b9U2Q+a3rLcheMCXEL
Zpo7/ionyupl/k4SrR8mhpwj2YXTV124AVycyXhzpWUcZ9U576q2Kp4ulV4hQ5xtUBEgjpgfVl78
NmtxlxU10PLRch6qFruZq5GqepaCb10lTzOkFPxnFci1sUFHHGL48wNMWa6AQ6OU97m62oVExC8U
2Eu1qxp6GEFmrDELnPUNY3LybqzBL4naUoeBnfZnqMUGJ+KCmTPLvO3gENH1pQFRBdxJnMnEi5SA
+02sutE1/3vqfIL5hmxTRxYL6ciyVfdAFINtBe1lcWWlcyEZN+zLD0dQcQ4gFC8gVF2YcLHB0VdH
nQ05ssnr35HKdIeP3NoH6dS9m7B694ErBQTKZNqBBjQfZ7+ytrTrym3pJg6zvGbp7HNEsPz/DxD3
msbsnpsOLM+uHa2K6Ark30E4ws7iXk3mMVnxCeeLHnZKYde2gRHttBO8D5P63Soj3WsYQcgYSy4v
Ivatg1ArrhyQp0231KcG6g3AZs2yh20vcoegCQhO0rpyC8QLBXOTfk+A06JU5JWLHbuZYPTU0JjY
l8yB2WgMb5L4P84spNFmhwwVMpYGfFtTuXNHcz80I1/6dSMzt4z15FgTNMVuZlcUuXp4nKreuTCx
9uhCgt64udcDOQNf77C2zHxD/32NZ29Zz1UA3+3ZhIuDCGcTuOQPrZ3KeMyGYmOYpYpyr/P2hpO4
RzgfMyxB3uRaQTaruT9OdYtnLGl8OPZG+CtbC/+Iism41N38kqK1iExmfI9TbznvfgjLvHDLn0FP
4lDK9lV0TrpxCd8omJZMhQyrZ7yArzA+qXuakRCTfxo8Ud3XOi923hDGBbBdIF3qHeY63WHXam5R
isB3a/vkxVfzcFm5NOPrVmfY6CeOEAgrxjK99KuZ/Q7ysjxqD82G3af9zgk4q3lP280iApB87ghh
2KnGcN/kYx2xWm8g8wIMeWmAnu36BuHz4kzsB4eDBOpkPa0rvKEuZCO2G4V/aWuRnrvCB2UVNs6p
ICJpNmB8ML54w/INFdAW0Qxv6/qRgQrYGO5ytcCwP965AGKJY0IyJyPQkZq96rYf7fECPpmYN7Um
db8GS/DcDoNSm9TOnd8Q8qwdYLP0DLQNx7RrPxfT9DqNRRLNDPvHek3NWBt2/ViULfEFUyLbYnbC
uyEZ1LfplvMpDfMfP4TX6nS5/bL6LSg5Ftrbw5za1iEDY808P+SvqrUYZE5M6u2tyvQl6UkkoqbK
+utN3W9aNWmwLywxhOxUxebcoxDnAG3ey0auU+SXZYkwJS85ASGYZUUY7FQ+3uo+FedVt/kHeLNi
z2ozAN26vtqlM31YgvqHyj1ZjRqzc8lpe1bslewW6ZtxkjTflSfw6/IZxXxg2a12bN58izivs6eB
WVNL7waUdlEPkZS1h3LYuJZfHSwHvN/kZvCQzRkSm1Lr7yxZtY7aoFgibeRhDh9ScniiKRx24WC6
MsrcJV9pc0vMst2v2kyCS9FYxISELizklr/bfsKvrNt+a5dpyxOFw3faTO7KPnkDALEdQvs8Zyk4
qQBLbHrd6G0F3iEjL79dc/YfHGfQW0VZdrc0opfA8436OezcmsWHmno6v/cfhSbgmCcppDe7ELtl
6Pw9fIj62Fcg3VNPNbvQDBlul3P33vut89HlXhA5YjUjLk3EFEm+HNioG2NjmtW+7pLxMudWeiim
tblRi9UeBjmVkZXocTMxCQ/aX4W3anLcl6GV3cWTw4QpHExVKHmkUtYoNkHG8YZuryIFwEzctlwy
haEHTqk2vS0VqPIgT4KIXoM4+k7XvAYz0NAKC8vF5FdAKJH7DJ0TB/saG/wCo//WylJJ3krHrHdH
uXWXFrvogHuBGKB8KjS/AfVycWRxJsv57ozwbZQg5TbL1LzXo3SdLfjK4LWXQhabRVtsdkNBvRkA
R99VhBxR1Qn3Z6WagDsjG5qF7DUZnydtogA3Fx8OaGkdrLEDRSmYTwkWkTGQkC273PN/tWoOosmE
OuGGxo/rmOYODIyzsxcwddddMFBv7Eo/hym3Xlal9Tl1lX+GLGvFXRsW57lymgN/3rqb0/raGpL+
yWwshlm6xv5ql+JtAOoPhHOleWMU1t28jqGBUaKRBy8ffxgs+PRKb2o3eq4wYawhHFCEz7DNkGEC
sj6MY11vZdfxQanRvCX/XRl+Z5GyHHpvp0tOqEDBcp8wnWx1t7TRXKT6kQQqfNS2kUdQPZetMuY8
bky+IHYd/LiBbUfvabV3QyLYu4CEftNcMxHPVuF2WBrzaJiBv3WMfDi1AeLJ0NLeUxWQyHMKkdpp
2GdRwNP32I1ttk1Ya2DOZxK8Cb7z1Dj9ZCKnp+HjDOg+FaTEKGAUbycty0XJzGNlh07/WiwL0xoc
5IhZ8h9k9DKaJGS4bA4sPJtetbPQju/hxU77Fgbadi7YB25sOJjptHS3kz3kOMrG7idDZPGrKvP0
zEUpXtpelkeoptckHZ6VBUxgv6ZJErnGQM64qvaY2YG+bcMqiZxqdfc47vRtwk/do3NaD8QGfWwF
DD8mq9RRp3SLAteaH+jM8uG3mXEYJ3v9o3vHjw2Txlrdhet9rmn6TE39u65y48GvJmPbDa3/Eqx1
cugIus89NV+8EKQQyHWg/y0rUYcTIJku2IxiRdZ7rlEq3KyVmzxMQzPEk8fWQ014QmwPIh/kseU8
WrZMrvbo5Jj268ASoDe96KpI95ZMmIpxp2Hr9/Ov2fVZphsbSkyDCGhPivEguaCgFufqnNBIgNwq
xK0/01dVfRPcjKZqLnLxZtZsQo2TsU6ng7YYNGhqd+S5aJq9NVCo8tMp/2Xjn0HB4ol7ah7uzq7U
R5LjuuMaqN873xt3zVA/DpN7Z0863KPZqeJA5sXtyBIe+L3Zvvez/r7FJOtvoK25J7PN1BjjyBO0
ToWR7WQfvPqtsKJV5L8gRkKVLGRsyvWbvOtXlSXv5VjVP0GdXrmcIs7FYsZqUTacz74FMe0vH2bS
eseA5e8tSDVU7HYdRJJ77pkedBpLyje7Me/KbZstiLb9Kb9o8Im7ABD7LgWkueVl/wRUD2LfZiyC
2+87EcKmQAZEzJJkr8oZ8xPlrYeS2TsqJCvYv1IMvKsSYGVFVIRzDIBFpSrvebAH+wQcfyG/mQ96
6dWjtS7Grsq/8F+snHltty9dfU9SJA6k21MkrlAiVbVvRZbeuVjnI3cYZ3Iyf3mToyn+lCOVL965
Lngs6Tef7cKwHzMXBYDvqPp1GFL3PpFQpoXTL5upQw2TpQOz7aXlnyiXWLe5R1rcmiJh4ij8Nar1
1sncc+LSvYcBjNB9sdNd2fr6nGRlHs/AWV5qigw3JqHpn0IVVI9QRxwmqcMNLtObsi1e+MwgYbvd
n0paPUWkUG3nGkWabuWrlsETAdk9BAGSZcv+zMPqWdZNcWSEV0S1McNzTDxQqStin80yU3vQzi25
itzwstzUnC8JkN7tCujtOIy8n/B6BVDw3BgvBps8VBma5V5Wgf4QC6Tl2RswwReIppNliPvW2+Vj
eAlV4W5KhBQncMWKf8fTm1Vpf0f4ZG7TLKfEHars1Qqz2CyCi6xsZ4uD6hc+pxfgmsurw+N6yK12
uPh15j9T4M93RpPJvS9zezPUScDXiRlKqX07BvUfBFqwJgcBrFM6ZnvK/MrHVSTNg9s6fkQy0G9S
7WMQmBuGTjZezSD23DkPhmNgVQyCrdPkw94Ai3IynBHOAFl83GJF2VG26mIzC91DPXTQSIYay3zQ
dJHoa6xPxEGxbxi4WaSrI6tfIPBloX8CyMxbm3kx1eHidrVHvRGiIGkw05PZjXE7jNmBi2feNezg
XVRRGg+r3RcvTsGnzjcdngMbn5YKJVGAYd+JwCJT9FCUyKCGAtaQQRIN/PZkSz0bj0NEhH/HueXH
PZfnTb+6Z5W0F2Hl1qVLe0YqmmnYkIEbd4mjPyeNBqnuCFLAa05Ru9TVHpr4RASw/vavtSdm/J7E
oMKokwWAyGBwYrpJOZCN4bc19L+M7DqMaOa308KAH02Oldqo9bBU9dl2EqgEqfMKBRxYS4eq1haX
fmZFyB4VxsOhiAYek8042pexdQvAqLAmy8n67XC19fidyPcKAsbJIDdQHxM1FIcY1FqSB9fDlalW
MPhmPeRvPgog5iCa7K4joTgCw7XPoOS8SGLXilCusn/WZSex2id/pJNrW/seNKhFrVNY/QuwzeA+
aFBPtgC2T30oU+DM5HmLQcZnGxPXcmDGpQ952vTDY561yzbLbE7bkqfZxNr0wFhp8dtScuNCQuWJ
4Ao0cvj7nhQbyzYPs4SNBamGWO/gT9VlNdPP0UlOfdXe9rVfbGpjOefrw7j6sUCvk2eQ8icxM+Ph
GWmMZ2/Yua596O21joQRbta+ucZ9vxgKRoDRhPGkOel1/TitySkIjPIgsrCjCqGogpQrdsnwLLng
pAx2mongtEFUtPLM44AZ7lBmXAajsYE2qhdapvcQdc5WsjyMI99+4ybsCJSeG9Ug0Q/TNN+nDEBB
1M9VrL28uS/LsN3Nyzo9BalPHTxff6WNjWrH+By64nN1qOa7MA4i36Md0pcz26Ja5LtADP6XV6+n
Vk/TIcuSYpMXPCoZYVrfbsKqe1WqeK7odA1SvFQu+r8xJW41mndR9t/pWDE/zWWRNJV13cW85Fz0
hsitG6NJH2msRGu9PtiDWR9te6hjadNCW3uNMqbOXhdD/RSTc3AwJGOSWUiAhkfKBeW+8OcgDtYm
2yCduZDTXSrM2XGzWoeF6deoLJMsEmNY3mSLadyKjF/fmtetW5hnHFBErw1yGq/JwqdVmhnTQ3xm
Fl2HJYHWsUoEDH3vbQEaPXlKNxEUZGBRwMQxqW+cOesOeZkyE3slejdlAzy/UvKtD0a9dTO8pFCU
0caYB2Gie7EycztbhEnEeOqAgC6Mpiqh+qSXm65jZNdavgZXHggkjQ12hGitit/+EE6nVWaK6tdw
CJZm33T5e9HnF/Lzs6e5+xOZdc+JhWRA/PE8+601h5NjpvGw3BEaxGVOMcQPy/xcFJJZYAry5DWz
Oa+R34z5W+M3v8eZ4yK0sLk6+a85keKMEmE6BZJKn532zk1tt49UcD0I1M5zSV19M8zraZSDZC6V
5WfDmo3IFvN7bnO69I68KTuaoJ68hx9/Gtv0nYpni1TiM2yQSqRdlDEs328Gq76YPSn1kFvWMRts
Gc3OTYmELZ5yVlpAmN/ZBkP26WDhH7VFccSa97iE61sdmuPGnQEIM87SQLOKFB20SLgdFO7Gdk/r
mu7S9AmUydky7q2ZvHYJPjjubxLnex5RfDFMTbSnVnmziIqaa7V8p/h99xnISxxpxk/pGAes8P2R
zZQjKU9zZL6roMGiqq85aSvjNFk68PYsxRSUr9dUDBijdEUfu/KwxhUO5FVVvXQGKkZOZiflyBRL
yASbGD5Ge/4zGjSk6G06D5k9vSTXV9UPq5bWgbAOrdW5BCvGxDxPF1KWnZL8u2Rt3ejVrR5I0eue
CIJ0v3ymqv9tVEZ3MNgl7f3Mjquye8A5cqtsUOdlznJmZpre1pn8dwrifmx31s9YhY8+Q4NWAxIu
zSoZUdTst07S1vs++coxKGpDtbGxAKdvmvJNW3kQuVV904QXpsbNyJymLZJN2vfovjZCe48Gja2p
6r5RFBA1QjYTidUTyTZMxmmTfg++OoNBdQN5xAYx1rlSZtSChmcrHbp5t9bniY9o0ioSZn5GwnkW
M/8oO73ToajMp+t1ZvfLWZlDc7f4yyMLMtvMkXvhqjcRAkluhAz/wPfcmz4XXkIiRCf8d1pbIp5n
/V2U48asPcrQQQt1emRNTQNAM6r7YEgfzZ6Uu8OiQStyOaPt201BW0BaLg74AhMgPk124+V2sQ9t
+TqPg4i039zQ2aw4hmiOOBM4k4SAmurMV1sxAofvg52ifKPSIQCkVrxT6qI25mclPDzaa0jQ4tFw
cHtOzdb3M83ZUz8ZS/mMLZjPZ7x1PMYiku5D8nxGYy+fg7HwtlmjVnZM14/eCr+qvPxAf/BFZ3Hd
GoHdRVaD8Y8LBotB0T6p1b4U5h/LHQRlUq84IFI0Lmouq82aShwWTei+LATrW2fMThZMPDx2tDIK
w+kfdY/gs7vq6XJUqdx7Ew1n6uJJQbMI4nD1J18GL+oq862bDBmjinajXiNd81ZG0rAmh5Gwm+5R
ZSROKbkauaQe3sgCHxPYUfuycxjsFAtqrka7hyAxhigXOERB6ZcHX02vXmuMt2aSJ9s1sBhA9Rq5
y5dyearcvnzNpoLCsJuNT4GgFJdl6XxDvw+pzRL4T0JN4qFr1XufuZr4I8BDQ4Cw3i+tTG5Ibdyn
2sjNZ24C51GkLUGaWB4SmgVwfoaAcrgiRPEz8ctcp34v0J3xWXOWJ+bsPPZdM2//FaqGfZk6Mfs9
6tJxBV6svGGGcNTts6Nbd+t5xWMbKIApV/Y/WUkTr5YKH2Z/Dc5233CSwJ/a5G7+yQJrs8fmYUb+
OgMwsGheMXdg7+ksaBrOXnoA8f+se8wkqEunh2rweqJDbAKhgtKXtRS/0wrKgjHe4C+vzn4nkGmw
rXBojaSMS0sl7B51ywF/ym61eHp1Vhhbf3DSX5zYeAbV+DGvEDc3raSRErKwG3tea29NP+3PVtm5
R2NB35gr1KLgF85XfWvUFHZ4W6WhTSUwUayasDD3nFluc7HtNYdKAotSlPrBVoLef2leLbRWAZvR
K7goE0h5VeHcMY6wPGQ9NuxyMn8cyfdVNp7z7DpNFXuGpN04qDVeauOtX+gNzLIayCZozc9h8iQA
mlNa4eBEZkh7GJ2RKjS6z8p4gZVBYWlhs5kHqCA6HL3qoGw0hNZEzYDqou/FeRCs5yXjQ5y0NxzT
ZOZJFkGY2rHLFR+Po5s/N+WoT61n4OKZvfl+FteSgzuLaEyqhkDKyF9nBQ9zRQLzYM/zM9UFc4NN
ZHU5zxN1QH4W3i5rkF5sKetdslRMEcxYL6e8Xx8Ce7Z7AjfoWJ2TJzeLXIqjv+TOZ5+7a7wmoX3J
C5uRfOnSyerc66XgZdle5qQiJZ21Pb1eh++sq91z7iY5ZdgkQNPp13+S0QUINNUWASLTIzZz4auZ
fM19Uh6vpo2j7Mf1ONvKvQCRXj1wgEX9e+a1uuMf7two68311Z8kzKZKtjfaH81H0crqwy1t57TM
DdlplnRvbjA7XzTJfCZfknpX0L+LGOrirqBi6sY5CpMbKp8pBp/Uvm2Cq9nCMWsqyD7F1Jy914vd
LMueLli27XLB0lw5jscBcDtmgSnY03t23obatO4nvpSjLRt5Hohunksi+cewL4Y/6WRrwb587sRm
bcprs40pfIvBllwyMGPNvREjscvu8dT3P66R1XtrpdwaLUk7T9GUlBS+qyTEjFiUFZCY3qCSL1VC
Pscxw1B1gf6DYYSNpVpxWqeyuF06sf5xrtJr7k4YnlOnPgezJ79om/BQanSfHsqdfZom7jdPvbpM
qVvvmFoMHtdJjlHg8MDTZaoRPBdM976ndpbdDEPQ7MppJcW3WiC7G/qyLstZLUqqvRbYqzdz5o+x
HvPhMjtLdo/i2LqIMTXiOhfttnDlrjALWnYUQ4N9z9/JRI4jmHrrl+BTuX5N2ZjCda7UFTJQr3h6
28C2P3x/6Qj3mlZ/JxUToSUd3chIm/RzMsR8NE1HPIu+KkbAMu4c2/a40K/h4KUNTY2PaoBvTjwA
IWXANuh/Cp5cq2jG20JcKfw51dhPj17rA03R5hMb7PyDpYL6dZFQYLMD714OgoMe08bP4rvlYy5R
rQrl0PZLkvkUZrx61dDSybGcYle7hLkp1/0FLSt7N3o+YzkbjpXvMjCxlH7/trZcPmH1hXgjxb2T
jdXBsPs5mvsBKGvoJodSlNuZ2fZtsuiWqpLBtkA7B+y3B9ktfbHXsuPmDEuXp8RMnqqw6F7WQacs
Z1DVaLf1WPu/3XSmtGTw09N5qU6hzTlcoNPe2VZpXRpPmpE90w4SFcM7CdXuT9MI01sPcNAm7ReL
aneOocnsxJ3CMLId++HdkEM/bArSFA7GbPW+3bqa2Gyj2FIU01UPkouHGU3XDRpfDLodrZP7lom8
nRrt7GkcO6YDcoM5gZB/moyN8/46s70bl3rdORO/E/7t9tixqhpngWdvjbInXxetc26CJPssSjqR
Zla9pW1jbBqOAyOCB4a6prea/kOkfvs288FshbdwRbBaDFON6R89MVGzybHe7DE1fs7l1bfsDh95
IJY9a9PjPZ7NEdN0aB9soJUYh33nVZRyPLi5rmnFOdSnlo5wf/Q0Sc5g7cw2kVsxVQx5eNWMcbpj
UC3NaIpbRLR9qz9sT/t7bc5Ii5MgIH8OxFZc7VQNJmUG8Wkar+G87EKMYHtjDuXNiFWWrXsaRGkC
fdmaHYmmR6g/XcJo3Vz1YaSY+dmgePH4d4NsjxGLapeZljep8KZ6Ix0HH5Xj8mTmjRf7Y/jq5QGv
A5d09Z45w3DXLsFvXyIStOeUk2FsTK4Xu3rh4J+2iJU3Sj6b8J+eXFxLp2BonWOiRLVxM1GeNYWy
S2PTOpfNZERUe37q2q9hUMn6Ms9FT4xbgOOcZ/k0M5pJc92bX70lKehyYj51oIOzi4wilqJaO96s
dqljK7FJBxPef7+CwGcDpbrz3OGdd0Ac104vMWlbfVjq0Xwvg2Q66WympywYWxplar4Ug8EQZ9k9
EpN1kZ5xKyMfNO5mb1xiWwQiZjjt6mz2GdTqaobkfUW8jnUvwoLHn18wzTm464dK55VZIN/h3Ria
rcjadiuDgaSt68Jb5v2LnRSE1AYt7ijxqz84kII96nNSy8ysD445MRrhq/HscxehBWRI6Px/lJ1Z
b+tIe63/SpB7fuBUHICTAxyJmm3Jlqdt3xDb9nZxnoosDr8+jzqNJF+uToC+cbvltmSSVbXeZ62l
6zG7aybXvqb27B6meop3jhH/iuPe3k0JnVlTMti3llG+bPv5Lve1oOSvH3eumSaHvKsp46q1vOYT
4sBKj8I4p60e16529BclQ3PNydZ9Cie7JWpYL6A1SdrsqHhjlt/pr8AZ4Ic58j/IIpup8s4D605I
6oBmwViqdSz36N4au6JSDd1vason/oQDh4kiDL/ywapOhXK9ByI6YfJz49cg5+Kub5lN2q5dbtoY
1cnwdX808e3tkP7m85IZQyRLmsMoslx+OZJWXrq17TvLXRIyfjP6ZceSzvjOcQ+kcdrRyALxno7V
FthtpbuaBiE8JW4KamGYwxU1HS1cOe5qMLr2Ek9WvkmpypErptp+xJ+qW/e0jK21ZV+YAn1LhnbU
Nqd62yQtEHB5YBoejcGcrNyFvrhmIfsoGU39rIu53Rh6Tp/TBV7Ml/bwFSBUobwt3ZEWL0HlUMyX
MmUMwUaCBrbJfeWl6ihYePeEOn8lAJR8nr3eeXFa/F6IxHsZ3bzf8mCI77pBJ6cK8pOsCSfceAuO
h9nK+98WcMWH4VKYyZ2j4qjU5uvAu9rx6brXmCrJJzqBKLlruiHdtPXSRvGkIjkZ7WauyvhkaVLG
7N6en/BIzsTHUb1Lu1712FkNFFTegMPbbZBdKBcUe5LQ2IB31nCEXpiui2jrKJvmPtJ2G94rJlNv
nJc5Ziauw9arUGYeMehttg0T3X042P1dZun5wjH6xXfKeUeOqiA5WA7tnbTGl2bhcGu3S7vWTvBb
p8I+dURhg8KgLjN9zJlHAkRiNLwSn/MhsvoriGWGHpAispLTgHbhNeOPaS/Mf/JymHmoVn3EgbXi
gc9Bg6A+89P2Y2dX1iI7uE3Y4GpjbhivbApe2nWq7KkjAZ5/XRS1sZ+FzPeB4/lnI6k+qD0G/6QT
3Nx7IQXLZToDRwWYHP1GZYyXm4ohrHh0ci99sGh6W3d+2j3OapmeU598OroZqXsyGZvTMT3u8sz4
oH+QyqywE3vRMD/Jb7GROwIT5akIRBIxGXUiR/JwIG9Ut2fQ5ZfZEPWuc5viUBGZuabfEg/3It4F
/MopLbXzSwQwKXQeJ9twil+9YvpMye2jvrJ0N1AR+ABrLqkupuWszoO9Kc7jAnXhpc2H4ZXpuQ26
6io6j4UyoCV1+GMtqYFlMFmIpwd4lwwwVl5hXJaiSZHznc+GB/Ka1f0nC7xtL3ayfTQd1Z/tvlZn
D2MiXbRyE9PbtglkEt6bxfypLKuKrEaj+FJlyto1VKy2iHdF6XPOqSj6+QpbQthWvQ9SlSyut5kd
U22ntCWSD7Fi0wv4TxUC4mGy+qVVXaw5ApC3Y8a+EcH7ek9UCHYXW+XJQwsG8U7B6PJjz3X1bJvQ
GH4/WFfojpwH0VAhuhv+ypA6exOGcoDps3Jhj2zMEbw9gKZh7+PBaI4GLYDYSIVdPPbFBFCEcNsy
+4v99jO0scbC7DSbBhJrbzGHBdFOycmmARcyuLDWILAsH2Pt7mZsqcy5jOYhQZ87TKGd7uc65nJO
LHVHJDj9hDkrdymnQ1GM9sS8K2b2LuX4NEDf7SC+WLHGIt6EAInPrVkXEVv7ed/EGXWiCO53SWrK
NewEsg9tjBuPocrqr3za2ECbsLq+OFimxU65j5HbfItivFW+GOFlnNiOjzILdyHI3XfLpJVD+QLu
RHv3Rum0em09t2YgguYKopsz6Bdea/PXp+V2Jysu/5VQHK1XBeeM+3xWVEBguUwhbzzuk0WOu97r
ftEKl/4oJP3z4GZpFklPBz9+FYCrDTA8QdLkxy4NnyYenXcmfhy2Vmn1NJa2TQp+iErZZ/NnCJ96
rA1MhQ0da0zjMeXEmc5eNCAVApUeT33XAEbEYe1t7Y6YLYuKIN4SHLAxh929gl9Fms/AD2ThX32z
BDExtL3KJug+Ni3mrrHbX4iRyQ41lR8qAcmXRH+TLFJ+hubUnzmTxy8lOtcupEDwWC/5xNKWckhp
uFa71Jv3nJDsteWU3TEcqpQSWDt5XdKFEgele5Yki0jNxJNHr87VUXcjlgA/g+2YbKF3QV7KcxVX
4W+tUfk6T8Ubv5y6fZKzsal1PVFhwcTjuIza3mPc0OxjPbY2IUe2ZIapnOjspZ6Uouj3TrjLZuKx
uPKydLrzU+yKbI68ZE9bIyCGy7TTsVLIo0T0f3rboN7UVXX9C/m6vE4KDKROjfjUEoK08R1mv4sl
06e+Gsa7aQCuJFoU50zJGcXpdchMrPCuvpU8JWYb78wqYz5XWu+ANUO2zlkXA6eL93Cz9a4aY+vQ
Nz5ElyudbFVLz31yZNDezRB03AZdvm65pdB6RMhdz4QriT2UfWPyViNBwm/c79k5doFROTSXrz09
8bQPjN6MnhOoZEPN7Xix21h+SL6/zgLNKTljHa2bmDCPOR2OVhlkG0VQ8KYJZRORQCnXhUDlkOSz
kWvF4xf9/kkAuEekaDJXlGn7qSjO4GiQjXsJvr22jHk4aWvBw06T6KEKA0WLcTj9+CLmfghZTHes
RBRKs6ozbB3p1DCUxpmiskVuMOXwiFZpgXQj5zcVYIBHL/5azGHYaAfSkgbpOVmT3m7sXa/9SOyW
MSbA0QaQx2YDSiUvThFaONBNMXr47fQ9iqVZSW5YCGKdRNmYJruWu/BsZgueo8HsfzFCpiUwxxe6
cHg9mHPgHYsmyCAL4uojz4t3bZkInwmPE9fH2hHX87th1AsGGVdAiCtj3cD3XnN8DBjpC27nWfgi
hyahssaTA7eDSxHnX9a+/1WF2nNd8s//ub3mq25mLElJ/1e51399tftTn3+Xf9T//I/+6TXq//71
bfmnjn73v//pi02FKjU/UlgyX/+oofiPn//3f/n/+82/m86e5+bPv/0rQHPV336aTOt/6p4X+E3/
s57p9ov8/bLb7/9v/7r+w6t+F//y/3669Ot39S/XP82AdP7132vUbj/hP1rUbP8frucJOHcLGcz3
HZx3f7eouf9w6ZbkmBpYtwbDWxLK3y1qlvUP0zTx0lEfSckiZMZ/tqjdau3RjcNQkFYWBLBm/5sW
Ndt0/tmYSYsbofFUHIpQmB7blP+ZVjgo9op9V+zSuoRnWvWcw5hpUX2ouLM9d+925oennGZnNuHw
4S7EEaAP9pcmCOs3y9dIOLLJUGENv9rK2Apfczf9xMLSxdHSaBXBDHk73/OtqIzHtFqnnSn++E42
HwXiYvTXT5zadIoMZmYkFJOIpHpsHZ0fYIicyj49zG7VHMyhmV5xOvV3LUWmV3fsxJ1nEYKHWNTw
6szI1gvNn5caR9lLnCTz66Qzf90P9Haj5XWoTLiElMj8fdNr5370EgfInNea81RtQjTZ+6JSEeJs
f0nSMr+kYvhmJuqf/aKcIg97wCFrTHMPSv1dyth4S6uyv9SoTOvM8us3Yxr8cyJktRsSut+Bu/3z
0DfqJzXSzxt0fbi90hj5iYD74hkj4HfbxfNJY4C6kwG/8kio1eVm1v9pjRRyBlRqHyzZpy/5ABff
yS83eZin5e1tJJXv7ZuEz+mv3zKYx/xi2q1/Hufme0x5Vb5w/GgcC58k7Fg9CW9PuZoFjtSLH4bc
9Vs4uN2yTmzqyQesmHuhkvwiwjg52FYyRXTdqmjyxQ9/1enmReFNmIahSHNvcSoUs5u/UNPMB1BS
SgbRjDsDGfEsb794b/P7zkQTb7B95ReQu8q+7T398+LZvBODX1/4jXka0LSoJ/aKnOSPpDD3OikQ
8C1esLJuASlOnNjfGCh86F4HP78nDJSLv/54NIGimdc0lN0+3CwJvP2C6u+smjkWP5lffLZ48c6L
M36XXfaJRdvm0CPqw+1jZcbs70OXt1wR/xE5bfkJWV6tb4Jl5DfS+wmCufsRLDMHp+YPUswJxiGH
IJYp9s6uyOfzbHTuB2NMPsVAn3O2yA8VStJaq7EgP1y9mrH5YCHdcdxta6K2gtSQq2Fsi6cOfHeT
IUteDLbYJwjFdOdjb0pAV63g1cytLmLWbV5EPwebRjkB3V0m5BV+Jb3C31dvaRQ1IvpWBfyJOWzM
ZopPnjCZkVdgCL49dO9pPkFsgHgfQgdUSAhHR9giJiR95ctv3P1iD88+xZGw63jvD4HzDXsFjNzP
NefubrgJlXEn8PYt6r6XLJ0ItP2fDDR97esQkkMycQe8I4/LDwJ1GbngWTfZ9YQTk5kSDxzD19x7
bBmHvTVDMF4R+slEZyuGk9GZk98S+PW0LF5H2xPGB2nO43VG9zhz1Q9vXWJYm4pqdzydQ6ujujXl
WSGDgAORWmGVKXS1qjlDSIv5dM1o5IxfPL5SY8EQde7DBxwolAJnUIqe2dpsjsPlLBuOnyN9XhHA
VE+/sGmik2lqqDqCwOg5DsFZTJh/iAEZ7FJnych2z7xz7w3Oxazi8QltMdm2ASNqSp0kK3ZZgBsF
k3c/Yvj5LPnfbuepEIehrL8G31NXi0fluJr1JI5FKQQmt/DspY4RVTI2Ic/Us1Xxt92MedVtHDN2
GLc3Lb9h1SG8cks4ZigiO7UZr9lJvMb+Mx614b7WIBQPCRUI5wwf10tuxt3Rrgz3EzUXw3Rum7Sn
Q4STcwMFfCyVzaEplIFzsBrrhdzg9C0sfPE2NN7RWYS7oiIiefbTqt54Rh9wwRkt80h4LXqY2dWN
gHxHl4CNV2EbzGLyft7Hfd0/DB7kT1cGDn6QUiyr0cnhNrImP/VWZtx7nR9fzXwJ12bccJbsTIwy
gqZr6s4zA6PBsABdcTwvvpsm/tP1mPcSY9o7CfP5mTijp4EW6j0Hw9lcI3rSLZHfumE5Dqgb7O69
werZB6tnKzp2U77vpsTfKHCAM58/OK8L1rAuyuxCvU+1DdqgfZEjMXzeZIljUpsSMGoy1uh6QcSW
fXqfHD89JQsGMA1JtVG5xJI3tSZjArvYsAHEg9JpINjaprWDacHvZbB5T11SrlKbjmtzMX7lS8yZ
Y+pqg1sF7eC4AD/fL6KQEdirfRiqyYs6hharrqpIbR4tHW7akuRKokb30m24veNef2l3uO8yYOm6
5/0iSJ+KiVaCUBX6YHpzyFGU1BVuUVEzcS2dTTfM3X3e1vw5rJTSkhXmaeuUTGF3At0tb+UfNheU
JdprYjbJnk0JIrk54dkN4/HQmdp767RZbgyORl/GLAP2AM2z0lV66OqmfME8u7yaThic5kmat1vC
gaWSZEU17mwfewR/sfLghVExRkM8pqma95CJ4jAxAL+L53rZO8LXG9sGUfMCr4oGI/Y39mIV57gq
wbwS1WKS1YzrbxVYWBO4IQIW5E77R7W0ztHTcXjBhNZvplYaSHCsVKx32cFO3OzRkPJK1/p8lmIM
T2m/5N/DaIEKxiCtBepEzHjkJkeO6wYI+o+05ureKxlFqbnhKgYS2jJPrh/KQj2VkgoBJAd48jKP
xz8OGQIhwPqcock4Su2JtbNPAeYx2gY9Ugy4Uv0jLi5rJZVuL2GTm98IN/6JipHkFVL53ZiVezIJ
QaL83b35XERaPhbKq+9myUPNq9t21ZK1xuWY1ldKqJE2OktUtLul8aWv28fJxWhmN8m96bntI5O8
ihfQALjqensv+PlbYZQPgwHxkepKP1UjDl0UsXEXJ+WlScRrPvvTg2HGOsIkU6yIK9SYhMATWHDd
xSnvuVex9rVcxPRtYcbuADKaprz4NI0ohwUgLZnkZ1XklcsnO9gZ+TNNtnUoPsLY4jLtAwfqn0FQ
0KUC78EMkuoXgI++te26UG5q7MvHEsFtxf7GWJthr16hiPwTT5qKmAjH2tYDjneafvTnoqf6I89G
Is5iWjsui7Cmg1HG7kVVhsNBcQqvaROGO8xyA3b4ZPnpwu7YoQU/WULFDKpTgylaoDduC8GtpQMC
gCc6ghp0dllL8bRI225v15y2tVE4m2R05m0244RpxsH9ctKguvWmIEnPDjp80SvMesF4X2ZTi+6B
5f3g2sNMckJt2CN3jS3WOMeZ2s+V+cL0yPuinLHYVmx818LnkKxCr4lmhnw76m3a7W3qtWUQ02+B
V/01waRlhO5zTMjEwN3FLX10RH+fLKOz1kxJNwpg9phlVUlwSnlfuOjzbef1O6jc6sxZ3Y2CVHkv
Tl++ZR18ymLZ7ab3XePglX2zEwzjAF/mchMwB13j9e9g0US88ozxcWrrbAu8y7mWh+KaZE/S2Voe
cbIWGEMqY97i1rIgs3oX93HHjZbo9ITEiK/JHYc9WE6wa+YsBVBuze85yb1dpsJ5ZSoIe95THMl0
WE7ofJA3bAoqsiq+pAdbgX30Q1FweUtOyh4X9is7J0SdqmeX3bAOzo1ILiAK1dqayC/NGJU9zaZ1
6SlqWVXoZet6mIMdCwMpeLNv640ODfUVTov7XrC6fcXJHB6qRnN11eZiHaoKDHNrkknHczw3nPs+
R7+D4xUBiRB6GE8hUWMH3y2cB+7Y5mAtrrgPms4hTd7q01+mr/I7YSb1OdYxJPGMQfNZ9wbhG81i
RI1dJ/tw4ZEyIMyurZqMu7IYlxMCNxb2rkm9qEkVJbODttorM7YKi41hvFvkDIHVCY98DkdpJsKL
4+dr167mBy1b4zpwi6J41078KWqyCNgTqlcRmzkJdGqZDwZEwAtnYnFJw1sVaybaHa25Gf0xWdFP
8LcBA+ywgbYxzGJkNerbR52EkErYIHEYqUoTFVj6zadDgsw3C8VyEKnWuBA8mTx42H92fc2Vl1jB
sCva0X8dpwwCKklGpGJdW/cyLMoDTGH2kDpVU65srcwJmsPJ7pNc3FtGl5AAoJZjUraQm0r4qMMZ
NuaJo9LVsPrI6tlYeYMbEPNe/s4zBiilUvoEApsyDey79eSFI26oNF4xb6cQFXPDaFgvpecQ9uXr
745/tZGlyZ6xnnlIs07fDTET6cngdMKQWG1aP/jdN+ByjOaGvewSfedKswDF6H/nQ0muDGL1dkIy
WkmDzToUQPKtezdfy1Jf/aVBPmw5w/TmK6A03q4xP8rBwwk1lCFudDgRZEJ8ulrcI4WlxIQt42fu
dfm5SGb3xwob63GUMr0L7QzlsvLZlM0kwkwgMHu2P49+NX/MVtatnFTL+4n7NVqyYdzM9LkefUvI
Y9X2xiZ3XDtKGfwwmGUEw6E0wvdS7xojWc6Mq/L97GvrNRaEq3v+TLaFgYwuGCER3fHNs5MUoyoJ
9iVeprpL8lsgwBZn9GvclYA081MJ5r/tPSIRMJE8VzVOWZoo0HDHl6nEwq3SzH1vCIw41WXmPzhz
XL0YU8sgyMdcMOj3uFyqB6jWhHOgRfwRtwLUc8ZqPnynjag3CJefU1kXq2kIdTQEzJdITxnWY5kV
28xZuhcTg+Rdxns71Ox3t+2SPSExHPyEDCYswfmvIs3WOpuWCwqCE01p9zmn5md120ulhvPcTayS
4Q19Y2d7zErahyeRfxDem617SzzFo/EzVVyDS32pzem9Hmu99abxoRQ1yRK+wj0ce8bR6+l8opUO
5zxz2iVOePsVlrbBMt4sPfKAMRDthgAxVueM+00qo0OV2/f0/Wq8jm59zKm5xTXdiKORBwgWTJ+g
orMz21IAeZPJZ5ZNMbNjc940nmwOi11gaeyHO0fo+mvCfMtIbmCMlQlinUMWuagPp+nZkH5wChYd
foRhqCIdEHKtC3lsTZvTfuh8maxcxxH53RbmNijq+1yU4hLiOdll7IXh64efufcH/Blgc72RzQQA
MJmOUfn501QAseFH7eqnBVZ95YX2PaFDJ0a7P6MYvhySuqo2P9oQEFBF5X2KmnxXV/EprVk3UXLO
SRjvcHhGhpOdQI54spk4PSd02C0K4WtVGCcjzF6wpY33bjMbVyYvwZr0uR8vz0jQtL+FsRDQeRvA
WbdCYZGfh6EZiRNruvWsEr3BbPnWmuFbyv6WYUq715U4NTnLXDCEAMiBOhbA5aqA60pHw3ti4rqh
boG1VBpgDXjqO9CVHTTvr9GsotKgeUlzLJTe2K3gmzlaD/Uudv1LbQhmumQkrZysHKKC8vMosMdp
3dJxyZF++eECp+vqNuu3anMXl9NrI0X5SC3JsMNufwwgPhEAihfTkruywC9Xpm7Esv1q9CGpsnQl
2yam9wZnNJ/He1G5iuGhcp5tI34rHWN5bDLzvVYdj6tR/bKM9rEW1p/SxeEUhp/jLH9I57jTZExJ
ePTCCX9kQVgN9MXKLhj5yLIv1pObXJeh/53U7XgaF+wPSUMOkleog7zNlBoD85lvWTnhSo7DXpEW
Cr9kYsIUy48KmeRsNFUR5QXYClRAuGfFu4WPMJh2iyRi5LUy2wHbkjB2mpS0SZF6W7vHsoK9sg1v
38rlG9MXeCAtaKu8XU5Z3L7zYTL/wIJV1tCBWHqTQm8xZbOsEucoO29dJszf67wr9kQotQSB1N6l
Gox1wTmNfhzrKbQ9ic6kt2baVKvFNBviv0NCLJprzt5cwpigeXJsKnwsc/GuDssjo85Dl9ZMZWHs
wrGEqPK645SQeYXSb8zkYpSD/O1lDouISQZJOe4Qm+IXxnHF2hViG9/YF639Zs8+/tFYjHvuhx0/
5eot2YVWaLVZFkEOdHboJ5Jj56B4y6S6Ar7SyV2fhMlGOmT0UGcLs3w5g+eS1iHBKyPlJo8l6xaR
YvOrPSVHs4gvLlO5mNE2Cf+gF2EeHhKZx+sgHfZMT+UzVXf92vSGd7rjTpyHcS7hbF17tZXsGx5l
O2yO8apRPldvkiAJ1w2N9ji4/d8dxgxmshlpL74RKChiu7mCkL0gElo7VRjWMZEUmfdE+O7cDlB1
Q2bFaF9Kq7sVN9VAlzoF9Bmr1mfsk+IATQlhmaKFHAI8hbpqChyZbvG2hLIDEm6X9NpNZYWxLUm+
YsVUC2XM3RfVYD+EtlEOFxYTMRyDgcGOpSS4De1vctmEPt9Fd3TjFle+oK0vKXh8W7Y9aHimm//Q
IZLtPQMEjsIp4+vQ5VhiDlA+XeWRgCL6ZlsxKmeEC9My0PE3nnzlOMzTBY7QQwYr4a8EPuhpR+qR
xESCHZT5khMoGTHMdogacV2X6DoCO+yzzQjyBC0wSFIsBoBt5AsnuTQQfQSfMSaiBrCq8dL2pQTG
Y3+4VaW96SsKzUhZmvI46mafWFHIGsIl8qnzH5EEF/N+hs9Cc+1kn6yl6oopKphaN0UhUe5Cuzvr
hDqqVQ6lyVCsbpCYZF+IBhmPO+a3O7BjOYVF0JFGndFxuCHPpPV2RI+YZz/06XUgH7GCQMFTJILK
frKC8FbZK/xY7Id8mNsDqUkMCUyOCaXDG3gCeJPhyZG1G6k0aJI/HOG8YVeZzthLMOLSov4b5i1b
CTLou5cGz4V3wv/0Gdt886NawlDfJWr0gqObLLnSqwIgM44AlZR5N7Wefrf9qU3u5lp031y9HdZ9
jW062fhxkbBnn8xkfHRDlSqEGYhshmcwpRsysOJDyIwkWuYl0w84+hQvTVwrsm20akIytFrPZb4Q
4JHMGRdnXZtfdpWjoy3UJCnoooRKxCx2HP08QSOfTVNh75Ypf6k9jme/29HW6PTfg1e2jfGIVaQ/
2QJsZy1TM3i1HDSgGtV9WBFo4Pe7YtHfFYXBD7FCYGC+y/dTeB1gt+JWRz0GiIrOZ7vwUbFwhbiT
5txUYj1aqbvnsOLwsbdNEi1TYG3qm9jP1feJQ9IiKaR1pvE75mzKGLSoZjajoVW9MyfoxDU1Gznd
d0XlNzxv3J+51Hg0kNtx0eWkY4yQegn/09iax+4cTk32B5q5nLaEQDXFpRDdjeDCn37K4LPczcJS
mFztwrcvTQysQngMzTIRk5Zab1RVYIkHmSpY8A3tE5hIBs30GrMNjJ+6kdKoyAjkNUsDm2Yn5F+v
jkpKI/Xanrtv22Laf4Vobyb2IOXSnQeqEUi6Uqr7ZZaS5Zuje/G68NiOyJJfjLdSLqOPuc3NgKoZ
rJACVuv8VJD7Q4tS2XAV2Fh2cfr4WfhrFNQR36MzvQz27foYjZjkWEn01NnVlgh2E7aNY5DWN5QW
rsN6TafasHhkVWZ7sENLgnsVWUeAVeq+LLVgzbeGBfyjGbJfplDitxa6P0MrGg4eGok7ZxE5xiQ7
Bo1YpbpO2Ei11WMgJeERQAsxGrI0BnuPp6o5AX0EkcUCi8s0QLeNboeSLalgODCN02J6MUwqaZrM
mnmwo6GCAiSyTndzUQYPnM7TVSNmbAIDvCaCeT033F4u+ZJvo4qnfOdixSjXoUqyDINiB9a6Y+9W
oejWfXtnt23HaSvzihZD1WSrDumRso4I2w1UfcDYZVzVZQLH1JFZcZ/wa/Qrh96K+I7NXoCvLPG8
P7EuSFNPx5qVqODwCkfjw18XosKTXdt2+50I33Mudl5LUtbtpPkR5KxfjNZ0Y/AhnV3DmdyELZkw
C1JelbVXGLDJPGUl9acn5N/GY6vapJfGJQFxM4wG/smK3xpnftzmUNS3DuQbN030SZ08utoGWHS5
3FcOjdgB3oRbcCGMdGaYK9WF5lr7i898EihoPJRtWBrIPTm5r+sKW1+4VRNazc9EUMK66nhQ+HSE
R9x/65CMNNLtrfLgLDOmA8P0Lmzp1M6o++rOqm8EK9PENbsbYvOb/pnnPpCx02d/yG2r1GpS8cBy
Rt7n0BC63xfFK0ar+4WNT+fknHuBXw6uhaHfIOFhTUsX9vCW0Fo+TbBlNf+i2jiI/Hh+JP3KXKcF
GkDc4LE0BucLQZWk5xq76oJG66LoJ3PibjPP+BhqDB9Lbz327MC+u4GHRcN0sA9djBGjYvICn+Fx
/D5N7OIiPXrxXUP8Sdl15Tp1g4MriUvMBa4SQWbZqsEEmPvzOlnYtiWgHbUf0D03RUnbr2fOAl0O
rEP8DghFC6Q5hO+zj3O/sMxwvbhsHvj7Oc+LGOUaSP15kS5QY4skQEYORzseYwhsG3/SJPnIKngL
WKurdWuBC5Olaq2zQfJLzPZGdflMjgzhbusqZRvb1QtJXCnu9AYNh/1wowqcW1X7LLQo75NZvmCx
TLf+3LyGHDEB+UMYOX/t5ny+qyabRXkOYj/Ad2ELj/TjNsbfhOAOlq9CuV7yWmxccvAfGj/HyVuj
pfYoAbu+x74nY/xlVnHyh/FRlCXOEvHgLs2eIy+BI2a9ad3MJZXCeGB3363HmuTIsuwe49jhOUC1
Z0mQEdE36TCPWB/Ca1UgR6tg3JLqnaxQfO/MIMT1lViXweRAGlZes83dRa6rxea84OafS6b8LQ6b
6snUebtqmslej/Fs79Ar8WUaC8lVZr6DLSqx+WN/W3m952JtlvDxQIR4wUPbjEBmwNWlzB7akDNb
0vU7aTbZY1l4J3qQ2J7Y80GSCGhwvDnUafbmumU09q3cc45hS05zF96ILOCIgovmFbF3xARScwro
yeG1g/TNaJL8VDn5hxPYyXUq7He8NJDGShibcKzR/UZTEWwnN04Iadwu9gFzLowSzjvMTdfOGqeN
ia19r1y97BrcuXQkxd9WnrClrso5akuUzcJpXnMU8MOoRHAGq+AUsSTFXVHl5Bfw3chR8lAYzrR1
TWQXW7D3CS0ycXgypdA96XQNlfdjm/6KyU34bCvvYa4Ie6p6ePugfeyUM0LPatTaMulvNYPJywCB
vBbu+CKoY+SkT2nxLU9xpUw/uLjgruvenX+TmpPfOZWXrZ3M/ePYJftTp64ugUUibxAkpL0xht3E
iqmYnsiCXILst1+a2U1LRrCzB8aLYu75PIlb8AP3Cc3ruzCwbkInBpyQiJjx5+W+bwcSqSfogGb2
XwxcW6z4gBBMEdm6m2QK1rnt71wHHWYWe0RjXEKT+5FpXLdpZzzp/Cev7LuuCr8CYG8e5svC+I/d
dQnI+Pzv3J3HkuTItaZfZYx7tAFwuANYcBahI1KXyBIbWJaC1hpvNM8xLzYfqnh5K1HBDMtezYyR
RutmCw8A7seP+AXUpdnFMTy4aIMaSB0DkaJu104jHqGmy2evTQf5xFyYt2PgPaRm9yWK3uYquos1
sqPSxZ47zK50Pbq1wMJtxki7N/1CO6QN4j0t8EG7SlC08JmUR8OHJsy6W1nKdK/ZM/V2sL+YXbNx
bPsg9PYQ5fn7LheHLkLxFcWWr57efPTDoHmfIBtFg4tsNXa/Skw+tylRqGrUpwqh122Y+Ts4uu0q
8IYdCfZpTHBmIRwHB2HJO79QyV2K4QZzjXE6NSaYRSMZ7nyEKtdel5ar1u23NUZdUWVgkyFiy1rp
kZWudGu4HipEQMvO3amegV9tm4A3G1NCPnZxGBtA26nwTsnkveM7xyCywo1WpMfJbs11a3UHKMhf
ICRRuqaAjLFWv0UtmFrbrt7nTXBqqnjjxcWTIA2MSw0CVA31Q4KB9REbTVBUoHWFWgfciHViRo++
Xe6FXwCIaB5cPb+qjezODvvD5LibMEoOImxusUJQV7VeI27OtIwcqMvaTWSgrZaFJysFc5BnTDLA
/WzsyjCZm+TvA6fZC8QrHqoEYnc+ajuU0E+oYH6POvM2zssrt8MXBSe4aBNpqkMHhjOQBLQyHJ0R
XzR8wUeG/IHKfOuJXH4WMUPQLkBZzWM8s2KYmqxxsYTslJpqbj2i/6UNwFWBHb5xW18cEYGnzEf5
YW4UoNpSdjZax6VpXau2MW5rixvMDMwJIKuE1IqATCNlEG76aoS4CfslnuhNlUaeX5kpx87FGlys
9NG1KISzoxF4d5SW0GCSGAVgZl1uzA9Lelp0BZfN1Mk3CAYA13TgjwA7OkASRjnf4lJH+0MRR9Hi
u65Ka810mN9YmYm2NgJk3e3M2w9O0B5pxXZ3FhQOBPNs7b5Fo0HUWU+TEiKO3cryOksd5zqJynoN
tvUBQuh+oqtPVRFXGxQzrX3rdc6phfy3xzDkqhHVbWjIRy65Kz2T9sqsyJpClHTA4xjqEOcNm6C3
0odG9OK+7FK55vWjwxJ715FvbMs2PFCm0GWFMh17xT4oq341FF/MZm6bAA4GRo2awORomxCWbWP3
1/DarsFi3OiTOMImfeROYvQO6yjN3xdJD1gJnDc9CzLu1eh5zjdgtxLwt4LCsGXqJ7/3lghvIjeL
rmm0ujc+nd0TMi1AXjuyw43XSeubEmR0YZn+iKEFrhmipZs0C8nh7dp5MMiT1/1I0Q3ECOnOpnBu
e7p/16mTp38DXXkTfq3yOv/RLLGTz+CWd8X37G1Tff/e3DwVy7/z/0KUpeFiNvCfYZZv/vf/Aov9
HJj58x/5hauU8i/HVERf6QrXtYzZr+EXrpK/Yhq2QXap60pY9uyv/S9cpWbqfzm2AQ0bzCPta9f+
b2Al1jh/IcM7Q6MsUJmOAin5E8IKxPT+l5MF6NT/6Bfx09Xv1992/PbPfzgmP0npljJcYYHkFEsX
IpMaTIFtrjaZHQfarU1qmEO5yGpt0w26sndi1NiiVpqiaWp1LkB0zxy1/sqoKExWQ6amWWbDjaa9
BsacYfKUufXRGEwN+AMKFMmJTpUqyZtrl0u9CMHtl5wmBt1OgoCD0Mk2AaCY99ACEC5tGeBBDDTm
zqSR2pCerchFQrlsxRuvnqJ4Iyzq/jXQmJoWQ9/Cp/R70UIOKj7Wrcq/+iASv1hZlX97PYL4/7Xd
a7Pf/vPm3YLSqb4//Q4Jnv+BX1vXEn8hCQMkGNArybVj/RsSLNRflhACfItjOsoQsyPdf0GCnb90
EMQOsGDBnhKzL3eNykzwz38Y5l9CWQYIXod0UnISFvv0pX373AiEferQkEVOyzIN4fCns5nRb4Yg
oUSrOdBAjjeOZqLdaahtPGjN/re38a/T8j+yNr3Pw6yp//mP2Ursvw8H/1pXzf9lHQHIWf/psv3b
KkEdo/7XAzBz4qT82LjJcLCzvGPY2wbdig55unl5wdkxaLEg8xJp2QCxiQxyfuzfFhwmNN5sfBtX
A/ymlTsQ3anom1NMpnxhqT/eoIvirj0/HuFJOM5iqXHkaGbarO1ZxtnnOmOu41OYvHv5gYzZ8Gfx
RIQYwhvUe9dE/ff5Exlq9ANjgFosYreYXb1AwZA8Vm9NDeIbHe38OzRfqNu0cMUOT9t2l0Db/4iS
sb2zjCm54Hl05g2zd3X+wwu2TGuxcWoxN22QXV9FANc7ckiPfL9u6ie/NaNfl+J/DK5n15KWkNIG
4uXKxVp+Rqs8A3y6qpVr3xVl376jeEaUw2bQsLrwos/sVcvl5HEkXd2hu/T8RfdhNY55PyvG1JE4
GZXrvaPiQ7o21/IbCSfoPp5keQr0ZgBsaEDwLPU5U89M5idaxPhJRw5qlZtRR6WKGqxFJ+FVfnQ/
z5MyTDabCfTTlEuLWVLMbjJiNMbKVMtIcTFXBF7Svn5nK8VbsLnXuNCWVkg6zkd24CCzbJezAKM9
We9iJLQvWfDOnkOLnc0OIpoprihTOgvDuNBNYaGiQrOiImx2amr9I5xv82s+RtURGqsG4sPAtRgR
EvPthY995lQxgXK4scE4OmLpPGZaRY9XQkCJVQXIgUU07A+ur892yohU3Umy1glICSiuVgHXxxu5
qg8Z5AbE51Wff+9knb/+rbPrSGhs3r1N+H++/3wnQ+k6pl5yUuk9xEU8bIraSS/EkzO73JHIbthS
Sh2VZOv5Klog+sxyUfukxE4PPaIe5grIFYK1KRKSO4vz/PXldz3/Gxefmf2KeKnBwxlcA89X9MpE
L/OZMO7PGpK8R5/SBQ2p16/iktDhywptxnIXYbI3Q8OefBcvghj/kGLCMHXMNWf3N1aBlWNyMoj8
zsKndko70xjSEkYCM897I0/CLQPK8u7lVc6EPTJXJSTiRAolhIVZlzajYQuI1PRmLGtvBD3l1Cy5
1KNa+voHcjkEJidBNxgmLIKenRkFmLgUuz/I9GiDU+tkHlC0lx9ofi2LLcCok9SFDUe2vgxbOkRI
COINq9TgeFIdeZYQpQDhMQKrzLeAs0Oabc492LMLAfPMq3TpDdvcIVCyzGUoc2SVlBri8egDwnwu
ZJ3u2gnqIGIZ2oXLar6Mlg9JraEMh4G8bSxdhu00tpuBqxx8SL5LWtWBdMjWgQ57flbqLOt2vPBa
z5wswBKOzghbWtwKiwAqXbgZTdJYKzEKQAF1CqcJJZILz3XuFVqEZymotSx9mecwiqV/2oNHkxnS
m7mHWzzTXSbabSsuHOJz+0TqBCVLcgXrYnGIfSvtO9Vr1orCyT9CWDCPcF36PT1V4zqadWZNLU7e
VZMPhKPAyOHlbXruSSHbUTMKh42q5vf9W/KY542V0T4ghqTgRGzNSm4URhk3iYFM5ctLndssUiLu
oH6Wj3Jx7rIe5KkrOz5d1d8NXvZmRFB0E1fTD+VF1w6u4xcW/HOv2DpJkkGl7CjwEYtX22ZESKeD
1dt7cK+jGB8Kpoxy+/JjnVvFkdQV5CeOUrZ4/gaH2KpbTC3QBTQKGns17kl54tkX7EL//E7UUyhL
IySiM2hwFqvAXMsm3weuW+Wlehvpgfu1zfvmW+JN0/7lB/pZMDw/1bZO7CLvdg3F8H+xJ0ym7Twq
FQy5oa2vPIAM7UbAD0JYyOjAy/VdC0rGQXxmlcpO1FvJHyK/W876sxpSJ58nj38LALk8xpJHjxl+
+FRl+DlX1WMRMhHZDn1pwygwWiAcQqTppxgxiXClq6TpQNVX4c1oQ+namE3XCxR3tfKbG2QJrMZA
h3ZPa8Qa0OY35TsPRDZ4wKyNsSnEqDrZNWEoUYI0mh+oZ0Awk1n0AQQeg5ui4Kfzo03VX0kjs94F
mSSvbxI3q3c+v/oTvekWhc0slNcu/lk8pyr9E0OuIN6wt9Efom8J0zr2LcaXrZBDuNGT1HJOL3+F
M9sKVwSbZE0nWzRn1u3vBxNbYbxUfPC7HdTOm7QtPjuj4R1fXuTMrjIMReiR6G4Rwxd3e1wEOe13
KVYRSNirSJjZwSkw2SthglzaVX9cFTb+LC6dK7panMfFpkK0V8cUIgTiO2t4xwoJMjgECIWn3ZjI
C7fEmQrSNrj/yOc5+ZSQi2siS8wgZ2QtVwA87K99K+kdxUnh3ldD0afQPxLALrabeqha6C5AUscc
v4mA0SSAo+ihhGpz4VX/TK8Xp4o3aRq65J4Uctl9wBTManA8kEAozOTUFAovd0+E8qDRr7Xp6yfO
TQlQAAtE+CHOuq/94bbulCtWsH4bkIqhtEGAiIxiLLEZC5WDo48XYuafQZrvPfO2qQttSb/m+bZD
6y6vs4G0BVU+80tdGgPW7DB2qfzN7/1oAAMNovb767chFQAlibC51X/arP52CSHcF0IlGHk1uRTX
adQyGtRD4zA1sXb78lLnns+hq0AXkl4hdPPnzwdoNqLIQltQBlSzujPhC4LYKWjH7yPmWmjzTxfe
6Lkz5tio7tF45SQvo6mAJMgMbO6ZQIs91IU0HxP+zzUIoCG8sO/PrUXPyWXTc5nLpSNxlrXgTnNA
8NxF7RFZarWWvSiutRLM1csv8uxSbGVa1HToOGvPX6TDlTd1OXnL1Bj9gSkruwMEXsGg9u+sxF60
gDTSEbEWV1+Phn40dhRT1qjj/cblihuggXYEsslVfGGxc2EXcDhdLgwF5tD4/LECG0eYzCMgIboc
34wDWC2qZvXl5Zd3ZhWT29VkC9LhEctqx0CMuTNqwlOA4s5dXMX5AfEBINh/YxmeA1gfUCLpzofh
t3Pl6j0qQwzysVQJnGMWmOKa+bx+eP0qpCZkJswcDH3pBU8gow2GBATI0bp7QHVo3Pila144uHPg
WYRPNCFMyyI0KRq4i2eRvZ6DE9fQYAsEl6KV/vCM9t4I7etco5/y8iOd2dxEITHfvEA6hb24PiJ8
QLxBsBgXjPhogNjBnCsAIRuYr29v0U+lgtcpNyzpGIuAhBezo8CIypWt+8416l7ODj5ot3v5gc68
PWFQMjE2Ms35JD3fCbI2fJDUFDROgmeJo1XtcUgH622JTcfaF/0ll/ifkWbxuWijoQ7CzuP59MU9
Mri1jR8YdYVeZLhs2FlsfpCG1Zw0utIYFhvTN8bGxltELjCSxJ64O/T8vv3rH1vM54t9yUxiWZ9O
Qg2eR4q3KqGlHcrIBKGGQ85j0wRoDqJseOEonHvNRA7dMTkOwlimHQzY4fhOPLVf6dmxYsq3c5EN
ft/AjgZyJ7WHl5/vzD5lLKILpXQaNIZaBOGqY2Km/WwWQ4bdwe8wNnizqi39to9/YyVaaCb9Ehtg
rfl8A4WRhQpaAg0UpwggUtJA+DXq0GNsUcJ6/VKmbdPYYqvOcfj5Ur4LttS3ONPgHu9rkdmPGqS/
G+UMl0Y1c1NpsUm5uFzXYMBEmr0M9jIw3QgIKt56aJDdcysgn448W2KBC8JcU0FHhYV16Dvys5ef
8cwFQJ+LRpeg1W/T2H7+jJAEeqhPxEzQIM573gFcsSSYLmyPM9vRmidd/HISD/7o+Sr0NZB0FcQW
iLYY+WnTRxutS1Qkgu+1178+QNPEIFjSRQBfvWxklGDu9M4kZuLlOdsyAB6VASDXMdL7bUFL5cI2
OfcKGbfM40TmXlSPzx8umSZtLunkCnnN4Q18l2Tfg++9cKLPrQKFhSPtAvm3lpcbyVZSIMEN/XkK
3sceIud9dLE2OLuIqTOHIUckWC4ynNTz8hrJQIkbeDDeqKKVtxXw8e3Le+5csKD1T4uVp8GIabHn
slyU0KMcCXTEdvborFqnAYjlJke24m9sbxoiUjADZayrFtECSLEiNyOhn+CvUSoP7nXUavJCz3j+
wcvjSxZPg4eRHI3WxS2NGjg8qZYdMIR5CIEVtp9T2/muExPq7WUuN7ZWXFc6kLUxVxfbJGdWJ3sj
PeDeIn4sntEPjdFv9Y4jnMb6Y1LU/lPYuuYd8ibeq0sIh7QHI8o51Nt/FC06CN5wrCXpYueMa1xT
urdB3iZ7bNT8CzfmnyGRpZjBG7Ti5vi7uFH60gymUIKATrWuDNa9mPFFZSmfABrbDb6iMxUlW81z
w93L2/PMytQtJMQEEDapsTjPVYk+DvQqgbW79PZISEVvgQ8776lBnQDyj8BXK8SnaxpNRjkvr/3n
0aAgJAFjVsMonUHR81gCeCQaU6qLFcZt4XouzA5NHPkgMFFKfHmpP8+6qzNkdAQVoa34n+dLgdqq
ZG7R0rK11r6Ps745onvy+vuF4oK5E+NSRJLkMmzRaS2QmeSBrNF31xJp3DW/5RLy4MyzmHwzMScF
nPWfXZjf6gsHPhaBmXQcQF5zUCX6pmgv6NuX39iZj8PWJ4owfKdsX05SpMpTqMZwfWBR43jcdC5u
HLNwem1Nx5eXmi/E5xHFneVFaK1b9tyQWEQUUNx92tMsXyXQFp8SQFw3I7zjJ+wjxrs+LpJdF5jG
qy8yFmUyyWXGtIbgvNgRPiwQvxpocvrIR6I3gARIp/lfXn60M9+KNANcCqxkxyApf76KMWrgqE3k
TdCY0HdIJVgbJkPj5u+sQkimfKLmW65S5AqxooZVqizytnw2cAwYsl1Y5dyOoG9JaTaPVxnQPH8W
JBq0IEaAbcXsZNrStpzW6PNMa8MR/YXQe6ZtRzSkEJy7l2TY7uLW7BmdIW7BHi9RmqSZDSp4q+EN
jyUMieVx4AZALBw14Rpdh00P7/UbpaqLQdxgVftEC5KtquTM38qQFpc44L3+jYOaUtx/dOpdZxk2
FSIhA/kyjmxtipGkjRWXgWT4y6v8mUnyFjgPNHyYmfIyn79xv/K80I05g9CK1QcwttkprqcqXydw
H+F9gb5+ecEz29Viom3OUxWq8GVLcHSQWS3KWWTJV/oNjssTFvLReGGqcm4VkqG5oUDVJpZTFVNr
MEALlQBomIr3/IyPrddeOnlnmtFzIJbuDLWhh2Us0vCBLTPKZp5iIN2AfI6jjmrKird11aDzYKMr
/iGNwSlXaYYige4n3yA8tvEG3G19g2hEeiHKnTk+dBpmuBi9J1q8iy0zVo6MLW7ClU9x+cbC/HKP
71nz1mqQOnj5M55ZisuH3t0cDnBUX5xUK7F9vTIBeERpE8AFgGCkxqTeQXysLhyEc0vRhgKPAlSQ
kmqxFAS27NccrsRf5QsyW/V+hMG16TqUMV5/HOScp9MMJCmjzfH8OECsQ38RR9CVbnjVoZyG6DbQ
bJgAndJ2iP1emtKe2acMTmm0EvPmsnDxxVyLCsQxUouuvCe3UR6GB6Vjp/26j8U7kxTcIItpXtBn
XTxV30gkGytWGVsGQWUTqI3u+OG7CF2GVx5voRv6DFGg3c+nglX6/AWqkbFfHSdMvZnawajX0UKp
m+LCZzKW721ehlYwqp/MFhRAnOfLgN/EFaFjGQd9IKQ+9jFuriJMIAyLdVvZ28k111gTQHCJjB2e
N+8xPUXYuNrg+fjqt8tv4YqnKy85V8sOigk3fdLtWXApw6sFdigEkA7JqNwVzavfLs0gNqbJt6Qp
5Cw/pMqaOA2BZTjoJJxcFdQQipJL8/w/Xy6gI1IKhYgvY3ZrkVGIJCnTkKMPGw6z7Zk48KG0so8v
78kzi7AllTXD4Tncy7c2lljytTWsi9S1s00Q47GGBcNr0xZadQZx2YXAT5eUxZ7vE1X0TTb0vDBc
6cutIq+9kpkbX/os1vzif88v53VAIkDRA3JBiTM/7W8Js1l3ac9Qe9Z4deXXHFjjZ5RJks8TVufp
ajLt4keDx+v7uPDcJ9Eb5ZMIc8RgQe616CSAYcMa20gz3EARwbkn4MnyoPeJfeowPrXf9dgVzB6C
BVT80Eu1oz/lhX+wwwLdSqPDfSysmQcdyYGza7yZUfZQQye+jkmsTVs4INohgwmGPs00go7POCo1
zTHdrPGtr+x2U5l9eR3IHgE4bDabTyisk+elydD6h6Lv0KDhDnEOCZTop7p1EwxUuhQW5wBZS+4y
PYlnjQdnHP3Z5FBXKL5D7Lob3BZRqNEeHyE75S2yNrm8Czi49S6BwWbukrSacAvXx6k66laCtNKA
pvOHvGmDtzikFOPahfZ9k1alwDOoMZ6K3rTqlZ2UMJ3qxEjT/UDq4m0dOTQ3JATx595pymHnB4OF
Ph9Kru5NGeH/cwhCM4+OURwkJpqpveXvPSeyip1wBlfDU2Om8mlGkWHUO6jMmWmrQbc3wVz5SNLP
XLVKFbPcjNslV+nAIB/XbXQAiN1tDuNe03DpUarsnwq9MB7F2M+6r4HnlqhQZe47Sw6qPgZ1Pn0N
hAJ3V7vY2q8Jb9WDDJL43uqqIlnBW08/kraEaGlGs+/XiICRwtGosMu1DBECXPlOUt6YmrAezXy2
jkYxMn7U+WP2edOpQ42SSQVg3Cnb3dREXbXpEHfkrgbanGyadIpJDCaw2DDV+r4GyFGU2iosTfUF
50vzEUPWKj/4bcbf0dmzV0Bpy/JbhpSYh9iXnOI1Cj3ina/H+rA1IYN8sDEeQYXXKII3dtc694UX
i2M0trNjtVWdEIms1gLs3Aoik/g8ap56pIVfYzCsbPSKNNH0eBBPImIEFJZ9CRO005Bds4102Nd0
NhBss/GeL1IYnWuMDLEacdJK+8LdFn9ENNYt4EOXSbt2gHwMa8S/+jeV7KZiUxZknKvaLsv0RPcM
yRllzO0xql9Mi0a/sx/xBIlglfLPf+06HMT3k+cM12jwV/WqbHCSSPQiQYvAtHAN8SA1uqvMQSC/
GRL7S98A79nCyPZQui2i4MNAsyHbeL3K7xVoG2eT6HklcOMZHC9bJVlhafAIC7xBGFdM1xW+D8Md
OAr1FKAwmWzwJZDlrolV02zzRoFwsMrMUdeR6UT9nawrId7JxJiCtXIQ2gTZnOAanqEJgXgX/HXE
nFRsZw/gJOpPwTyi2sOfCNFEErLzPiH2qSNhNQWzCaBWxR8ry3HQ+R9KOa2zMhw/JPVYIlmW4QPv
fC4nxG0NF2WIa2RkoBkXwA8zpnV196kKpiBnc4wJ8QG/LrypZQFVpx666mOrD90b35D5gNSQyo+Z
iPCuGevaCU+FbM1p00BVVCv8KxEz0S3SZ/A6yUDyBeOjR37BDxH0yjDfXkHQ9rprGeipccBNOLvO
yyqtVh3W8I8dYiif8QjT3xL/689FgxzIxhGlPADyQw5P9kXxqeiwq9wJTZXuVgQIGVBWVXG19l00
xKMxknI96DXGPeBH+YsSdsdjgA32fTeqsEHaxZxaFPcSD0GfyBmRJEbK/UeC87hv2ckT+hj+Pe4u
Eh2IVM9xLRoS3omvR5m7GikPknXhBdawKSd8qnHvRERu2/ihuGvS0kSCEG/zfO2OJlrjEwJf/QYV
a81Hua5O8FYYmqJFNbZyEh+9eMwf3s0+yQ++0cYwT4LKsR5LqxtxFZSN8dmDePYZdbymg20lB/Gk
VEYpfOw8waizcFzvZuT84giYVeYnzei6jPgfmvYa2Gcstxguxff009ibpajqcBdLTfGyDSfF89ZN
aoRagwizYSdunb1ZU92sSoy8MBU0ovG2cqdu2siOdHSdG3o5bFFvsG6xkSmwv7Ix6AQNZ8sTcsvd
dyBcWDnpoejfxni9hfmHFl2L4Ii8v/V+1g4oKnVqdZH+GP2qQLUtkNMpjrse6TrXg7MxD5rMLUej
btct9Xy2KgyNetb18FOBBmbEJxFIF+myzHSOskG+ZYO6iY4HLFEA6u3ofNEC4Ps835B8LyzPbFY+
gqLDrqbZPRFlsOrdhnk3Pmloa7xH4QOx4144ibX1OVD0wpMEJ8NpKiI2cJqEajbzst9MIVNzG69S
TMuD3DsJTY9xI9EdfrvlRyMKyUoVXyCt5e3eAYuDBK1VUntMaRsew8bpg50o05rmrBV0tGbdCd+Z
QXPTYdUPHk6DfRw+NEaI9TtXWDWz8CGtd27pvsUPCBe6elQ4zuvMn+TG8AkZW7Tf9YdiCA0IuXGL
4SlJAcofvmtPHZJ1hnYVDwX8/GIq2+Qgo8B9mDwY/WsdTdNbVNvQqGlsC9c0dKW3OmB4xHVylADY
6NOwzjIu+K9ofSLwbdHF727RJe/FDcT93LubPKMfphUOo/YPC8E0bdcOhaPfGWBjMVCBZ2J9HhLV
JHu2td3c6YjmEjsMdumNqYLIBAqvAvUmtGpiX6hUO+4CRH7Ux9pEzXFrtVpb7s0qAVOFBqmMbjRc
hY03rttLc6/FyPEfKXny9hhMdlLsjCDsUTSLatzDNDfpn6qi6du7MYJcWEweQierIQ0s54DbdWfg
S+WxVamIZfapRc3ox8sJ8bLMJYWkRAMrwBCfcm059sKipSacj5AZxj5HnRvecWz58Z2tev/+5aXm
6miRrc7DlbloAf3P5OF5tqoJA9yImKyVDdSUe0mpjcIfmW2J2uKuUl57Cv3aPNbFOGFsg+XVy+uf
fVRACzT4ZiDkEkOAJk8QB2lNGYPDza5spHhfemLYOElVXhh7/FFm8FaZxlPSz+RFEtrnjxrEWW6O
Dtjk3GMArBnWuC+LZnhli4Jvh6uJhUg1jikSsNvzVZCnzzwE5tA9qvN4G9lkX21rNYCm9PJC6Xvm
24HnnPsFwJiYNiy6IZPuJNgdguFNYktfmakAHCvDcERsXAlkKNNwF00IareRjSKm9JyvL3+7cy/0
5zAHyAPutMv1ywgfAFI4cOWOV+7H0Su2vWSM+vIq53YI3Be6FvCHgCAt6vsCNSwqqR5zcKTat9ag
1VvLJrFAINZ99Q6hOc8wgwkEUKo/SsSqsdq4ml3E/NCNcHdu2htVS+f7yw/052ubV4HcwM1Gd8lY
VO5wv8lg6DitTESxVmbnDBvUhZsLr+3Pvogx80JAxPNfeLAzf/f3OjQMHdAHPsvgy9vfUX/bW5H4
6Y7rAPnZqob0P9RDS6bRDbfo0mkoU8SxtsKZpD86ddfRaPZDxqtudmEYMh+B5zGHSb6i+USKPcNB
F0ckHUvkJkigEWVXOr4ZUtvpXMC71iNFxz8W7J9qg0tAkHOv3QAeNEOF6NRai/rfc8c250qdI52R
res0J4kfAnEhnp1dBeIdIzlm/Wo5yBritm+InBiHIkaByGH/QddxL3l5B/3ZYoCgSmMGIjXUIx5n
8WnrKXR8xf0AiB/NxMZoP2KniA1CHdsPeWoMvx5qFlVYqgN8/S/7q1+k63//6f/8/1PEYY4m/5kG
v/qePFVt/TsNfv4HftHghfkX40MqAAE8YB6XsBV+KTiYEOR/EnutX45Z8yb4Fw1eKv4SRhTzPgSr
Sbfr3zR4afxFHKUHptg+tA+V+xoePKFRPD9mhBjuOlbhWgckDy75+S7pBuGjoYYxBpbHiIKHVeLu
jKG090k72QefALCalL2XTos+WauRESf+XdeXoUDrZ0quyiS095mVfS51ENSGS6KF7l+zBlx9dKch
WZuFWW0ACLoruncPmd/iVOjkyVtbM+xt0lsTWAYsbWPw8A4OvSg90Y0dNMqFpG61jaRgPaGyjwJn
4/8ochQSsxbykxUF8khdTuEuEACMpt3YhEWLVmmBLa5tIEVkoy88YAZ56FLqOat+8L0o2HRtjeCP
X99lyfQo497aVF6gX9ueGR184dc73W52WY+hkGGX92Uc1Ue3QtvUt7OA66S+Ai7xOZG4EeQOHkW5
/QPtomFL+ZJ/o3dcYexavk0wcsAVyL0xoRec4NB+snnkwjKeGtwXNzUeIr3hfYzw6Z5pMumtieEh
qnxBe0VwEAljqCDYOVbW7nOMe4JVJVC2cgN0e7qqjB4N7tLVOKX5t9HSFMDkHqdGOux7p5uuDeTO
EWtO2/VoG/l2dmA7VXqYMJxX4zumQOPJhxd8TFOtdVaqd4+aamUFQ6LDuA9xanR7suF9GVvfXCzX
rxq7znduRV0FiKc4eJP7hPb0XVbjnCGs2Nx1GSWBNsXlXZBV+lYbZL7qJVWLmnJUbY3qHnxKfKPZ
+eciFxghJCJxj7QMmg10c3s9eLaL2U6LcZjXrjyt7VZdjvJmEaNlQA1drMsmvAor47OLlvy20MJN
btEaMmja80kQh9UC7d3oR819hOntZ0NPcOnwy+QQ9KWH7pqkr594GCaQ2e31Rj1FhrWxaKSOhnaN
CjR24+UmRm2RKYTYyaK+hoK0Lg11HeTy5GfpB6XReC4+JSX6ap01HWjpvMeoHGtGCRUeMYnViBE9
RsyHjmnmHTI6iCNVxnTwRFpiAJtkd9kQtjA42gr4Djg2lxNn1Y90hKQD8yDXT0nYl1eB5qFc205H
j5OyjyHlrXnrVxX04Y09GWsIt9Eqas19V6H1XRfYvpZUHHUWOnc1lr5fI42tpwnkCEBjkwXpbbGz
wH8bQMxnY01GndeGPogT6opWuXKr0t7mhu1vscLZzL6a1HcxNKuhR3JPdIgIeUI94PlBcoV/6Lce
MzA3bbZtVO/zUOQbpMqNTeGY3UaXkb4B96q2iZrS9+j9QQvLfZxYCwTxMFEpV0DFxhP4CTSpugAp
P9EO+3hq8dBq205fTbIZ7mnrX9u12b6F52ZiCqPlNcLx0UfTgyhD1XdoovaUMCTbGDga7C38Or11
6WDmgjeIPLUexWo8oWSZ9P0+8Af6zLqPEXEXNSdhP9mqtK+6rsT4IYzDNcKqCCfi/sVWQlNnZ1sF
MjIGfAIaydpDaNbUyQiikS+bMFoppNFFUe8VZ3qqEdGk9bRHOck70hfcxpnTrkjF3yAn3eFcjF5d
Svm3GRCN2+HwTKiMBv86rNE3xzfePZWodKYAJQ15iz+o9sZE3HodRNK7z4vgFpiGtpY6kjqh0m4p
rn/QlmIf+jQqwvgzXsriZuoGJLFNdaPbvTzUqIOybievNccLxVpL2bD6APDZ6tr2rkvx2olk1hyC
AZfCrkxvo6bTNojkl7eBg4aaYXfOGqH3eDV49NEGrehPlWsX27JCC1uI2rieQAHtdW4OpPFiK952
adPaq9ZCZzygx2FFAl3TbrRr4CvQSldW1SW7xKufaiyMwdVsY3QYUzf9NI5zZT29i4n4fmWfhkLf
RhnWpi5eNa3NZTSuIxeXhmZcpwP+AkhXoUBQf4FbM2MX+dnhtedTO1nmLZbX974bnqQMV2XXchjz
hzR2qm05jtq+mOWpW3ovomk/paF213Qfeit4K2eLrGh8sNqqQXvBTJhJgFz1eLbBTe59G3k+hMAt
LVv3hKP12Frf9Kg4RsaXLnJuRnNqIBA108DpCoMHqmT9zs1zcQ0Jv17rST4y4TPbZjMOab92hxwx
PyLuu8J3vuUp+m+NLt97xdDvZel21Ur2abeCrjrsR1l2Vx0gbih5vb8Fbf2DzeUcXBnF5kaWRYjR
DW5V5tBHK6+xRjQ0m0H7YEWFt4niyrszEspYxHshkFFvoY9sXI1Zc2NiaCvIAnv/kDRxeGOWDH1g
2yMKGIx9sLH70nlT5I7/RFfYeFROyP1TRqg0W1UawgIFJnAzzH0yN/PKm4nR68cmEoehGcX/oe48
duRG2iz6KvMC/EEG/ZYmfWV5pw1RJZXIoAt69/Rzsn8MBhhgFrOcXaO7JZUyyYjP3HvPN5SglAju
3PkmzDQLepZ2e9OfufjNRXNjPLHY3JyR87jQuXjgV60HyIXty8zG47q6enPf9zkHRVbAM2flWO+L
pmp53G7/Dgr9jyI3g6xN59iNPtH9A23sQ5HbH0Lr1yMxDtALPDJ26BE/1dhbZKOi4VszcvKcshsf
u65hRKHLqBi07fe2Lfg4PUFg65KN1SUzevlr5rDfKdN7VgkA3MQbvoliG25kENLuy2KlG4Ock3pN
u3Pxp8aa41TfE/b9Ox6sX8omLp6viHQSWn/92EqmfUFne0/k/rjXkoUteIbNOUy6vCZe9lkxQDwu
zfZZ29UBpFnHuzACe0Q1G5K/pr/MrAqOQ+GXh3Gt610Nkf29IiEhxPLr86Vn7R2BykCDSrklx22c
vcuS6X5MHk8asgDUdnKdh5teP42betgugNa7/bxlNS9Tc4/pkDxFWG8hJ8TsBJaf8tqRGpDbTXcY
YJG8kzUUFDahq0xLU3f9klOiPmtfdsS8eMspGZymjLx+LcI+89OIhUF6GH27jPGaPxaDm+06PE37
EfNyDKpqO4qylvvRmKu3yhBTaLMLCKa58mI5EXHetw2IAHIrpX6iWoOgnWqAwagOoxn6kDZA5duG
7BW5doRP4blV1a82m55L1jNSd3fDMD2UPVPwzEkeUiORR75ESFyWlUUG+M8409eXjaCk93GxQwCm
694vVf7ba1NSLu2xPvV1Nj2o3rt3mKrzbdoeGyw5fOcbavkNgRezcJ0UV7vx6rDM0ocBLt47pnn7
lYg+4569nwzQxi+Uv/oAnztVL2xacBKnYiDljymPmuBKjdNKAryYRRHahLXWRqZFw5Qsf4rE08+t
p+2YuhnBkJWkTifV79TE6izIO7L9ZucWM7NzQXo/4CpnDoV0DgrLUGA3zZO7bEerWD9Umh6d0cyo
ASywWR6RPdZJ5N6HXJb32W72na1fZ9emlFvSve5MSKCIuwy8lZTKdPT3a6amQ5Vkb7ljx+vWpsHU
jo+o4ajUqv5ECOfJWPXIS+YEnZIE772NT15DopZd7vpZi9v6tz4S1Zbp56JewXlBdvpVaR75yskx
K2FRTB6xo17111sBrOQOW0beVsBUV7Zjc7j12l09LXvTG05IGuNMwY6u1XOuSW4KwwEHbTCtE0/p
nFY/01ySq7G4y6klp+nSFKPOjMbJz70Go6qfoZSBjI5ylgtkVZSUSqlLacSs6A73GKt14qmRKn1q
pKeHCyj4EKsD3xZnHT+SLA8qtd5r2QFxRFkbbP7KNSpB2RhqX20tLCB7fSiXNpBLeXQbGdc6G50i
g4hQ5Gt55w4e+aqNNB6aWuYQSZviYdlIlUhnYtHtC0Pd2+GY6sPjYFuQcLCG5vMiQKZAJ+pkPe9L
NgRPVTXrX/PalbsNIEWcw0YxbwSQesFB0mfpGBkdmVQBY8b7lXzH2M/bOvQ327yvKutqeuPjUrKX
UE1ufLmS6TbFU/aTS+newqKBxm79daknDjCXd2ea3uGq16++0exmdqEOad1GnYUlMfLcCmhqCoMk
3QKyTeW2fxyiVWLT7IZrvXGVmkBJ2Q5OVdzZzk9mECO6TmwCIP/s5tZ071ZVslG0mtY+2yIxT8A4
f6DDudG2ruLON9PXXnRnRve3kOeeCNx1OFUjqDoDTveeOJU7wjTTL3KTyXkdZgjnobK6JEyQpMXl
6lRfmBP6sz11cjfBXS8I8oopO0U4FWV2v5D9PLuVwx4DY/Zh7axDb6s7x93m53XtHh2PPbtb34gy
QObT7MMthzungyKWpPIbc0sbQK+KZ83Hw61O3G8Zsf+jPHVcwXceBJgj5xFsTTOtA481UaRXuhMs
eXlJeqo2uEPbnoR9zj+Sn9+TbtGjylLOV92aw2cHmcEcimgDnppPvksfzp4XSGHW2G9ky4iQzueA
kvxQ2llYj51/6LiA9qXNWz37KEVGT53hUbxObaudFm99BKP07VhJHeuVV+ydqfmalBFgPPlBEfg1
sOMPG2igLxKa6s62KaH7hrMoQRBtMSADsFktFx3rftAW5YPGQZkk5DyLwTwY2hcQ6JtrYGejhj1I
0ZyWSnuwa6f8Gpbp5rEi19uzZipZjRcwTQmntpFnHdiumC+kRCXw5zpv55jDuesHHi6XgPS2MfQQ
WdDvURKQRdLdWfyTegxLgXT4YgzzeqSrFt2zX9DN2EkPvNIlLIEJ8AGsIEmtqPvpcPySq8TgcPW3
B1OrXkl/cOPJau4kcLCIv8/JlO3baCkZdtrUHZhRIKWR9HHnLXXoqKjv62jaCF83eD3hxXa5F3g6
eFokc68khJSvbm/01F9COyKg6N9RP9YXzbVbJqoo/Ae34u2GGtIABmctZk0ZizpZ0pQiN+/DuhLZ
g2zSNGgNSfJRRs0BhGDC4DpPP/5a5QfQIXng6HK9VLbz2hITfzBFWX0nyuheCs0RALZk/dNVpnOa
rLXeuYtVRKvAbl6ZFRyiZKwQNJgJh45Z7JRTFx9tmfufjVmNX0RETAHRGT+5GPVj4ZUDQx233WnA
bdni+ukuqzwNy5quCBGvxr27cO2oOWtOuocfJCFtN96qbfsuskbbt5qzYD1o5iRISq0hiJPZMgmc
ZAYmMgt1to5TOI5ISvR6cp+tMW+D3AHuM+fKfBqg0nYRScXVYZgW2qhxqflmED3alj0+mCTgP9zS
HOFr6cgC/ME9L1q2huValGHhjYxBcrKI26WnAlFqi7SsSeN669Zd6TryiDJEf5k8Q94lpUgYnLjF
XS5ktFYE3Hls+055knqwkrVq+miBil6GxYc4oCv9uOr2syzbfeN4f21CHXZMXBtenZmTFY7zfB5r
cS86lwt7Yt0TD25O7La+DnTM7TZ/W27b7Clh6qA29Ozgdkb+NGbbh4ngIp3H9orpzItNVfBgpu6y
n9Vg/GlhjZPanHP9s8NiEV3USU1nv/TlMyqj7wYJV+hXbfpc9iaZ08SnGJGfJp+GhqAp0BImB4K2
+tbO86NnWhWzkUcMsPUMXZZkdq+rpcxIFOknuTkJ5bYL9ZAG587XsP6ksK6gsKhcfCZj2R9SgOgc
ULjkyd7+tKpmCGSif8OcZXHBp3Om3mR0Zm0SymD5nCXrJ2KIC2AIgzHRVBEzLfqAUTWWYGgteu/e
KJ8TIrwMGBZR6KDhJjfX3z0AlX6AyN0rg06zlmM7l6kfgOv1ENmwhjBwN0fLytBimHTv4GCNejdH
wE61rAw+MWM7dzzb52TI5D25LcuTzDPzHSv0fdfe4NE9zBbOtG25HdNEng8Edsea3SR90CTiQnDR
xEO4rVf7lsS4gsl7VAqZEDnNCTt6zdxl/o2sYt9C5kjl+WE2kwCTXraTpWXikIxYA3LybyFmaXu9
Fcb9WrlXjzIUxc7OJLI7UMuSvDS1+kuYohcBvahlmM/Fxj4/s/fdxup7BIkClHmcqdV67dgZ9Lyu
iQMU9KXZhkIDGwI2o4lX36CRXJBewI/dF7Ut5/AmFLjgFN0lLG7DDm9Xbt4sti71NkLcsIU/ylvQ
LM+lkaSXfknEDk5xeoPvzbuGPuSTzN+4hK1w6OqsO1fzShll2Q9kUVyLzC1fGhsRwtZIJifN7B3J
ZqfwXFzzLnFa8yyshNtz6fXTMKzLnSyx1JD5IX2aUAHcd6ii/MbgKqwO+vU2rMGs3J2dYPkyqumL
RLc/8Eo/YRBR4cLVqPT20yhN7dD4Dm/TUulBmxmMJHr0YnuYOm1YwmMLTCv7tRBqKJIXzZBRsp3S
WUUTngUgI/lmPIKrPhKduu1UsXhBDTZuzw5HUem1j74cmDAP961Tk8rd3M8+lfCqp7HVDlRETFn8
VhMcW/CrnWp845Gmd8zsx2qCGJf4+geN2YkNZdy7dsRpM+0VIJ2/jC8YB2vPdeXC8Vja9E/i8EXA
pd3VGayrbetEMHOCv5P0dhom60m3GzOoreJvllH4MTiv36qsAWCs123kbMYUtCZZ8NhugK8VT3WS
TnFXJvO7g/7+CgdQJwa+7F3simnkGNlnwyRlbqwn0lACszqRkH/WNT5Iv/T/tkLtmI0gzN5EqI9A
7TY0xMBpOtr6Zro6g+FEtu5WJ7ND0uLZFy/rVOBj8gzbcX1eN2OI13T9sDobUqFe/zW6nlgsPdlL
oMiXchVAz2dvPzN8Psi8bs9LU2vx1GQnVKDjHcFu88Fk0RfIMa3Phe9+InBI/ghmm3OyvRrMw19S
p5S3CxTe91z137TmRlDmzAlYdXGVrNLYtTbR+JS/dUgqlfXQJT7/uZMyg2OBkma9AE4vOsa1efOb
NhgpoekO8l6XG0dOtxpmfzesutr1U7cSWe8WLjO4YjRgIjdTVn07kDr7EOrnDWCmRlOEq5kiUMvX
zb2NoCcCpOQkt31i2hpdwZzYSbi1ZfPHAShzVXmqFSf0pfkYg3n2Pg3StIjDZpb5G6mOTxa/6OT3
kNdwEG/6k0kzSOZED0pPX9TD22qvFRnyy68hJeuPZ+Vdd9VokIOVZye83083eCdlUnbhyGDMxmr5
otOaPNdum4bWYur7AvU97+rgX9O0r57nusjOWyV9tGu+ncValugRqrqRCbG10egUKOVHtboPPvky
saen2VlvhpzLMHeOPtphO8u9NNCk9Thu2pld9y8A3CUTle206b4fNKa7X90/g8WrtBiKWdj6M8q8
em+IQLsMVnLit+pOJkDYXTN0deCsdbtH9MYCZ9Ng4qDKZSnSeCGAi2yv9/Ov2bdROE35cSNDMk7X
OX2CJhzZbKnYWXMKafVWvCZolUEADe4uYdMlqL84XOd8v9l9jBDy1IHgO00FjZ6RGkQc58QZGrCb
jaTM4QOy1AD7pAhOTbzIztsno4W3VWSPxqL7CEL75atf4UzIjesPaoo9savJVezAeAf7N2xgNOtk
fKzGFahqzqlh3kqVwrmuQzfDyZl5iWdVzlRyYm+ivDz2af5Kd/PKM4oY2SgDZeqfmUhi10tfRm87
Qhh5rKF//WXm1fKNYT6I9JYXKKuLMh61iqcisbsXb13co6nrf9IZOlI5eQy6ZzM/KEvyt0p0+IFu
c80X+8fabug0GEn3+FQDy5EOI1Cd0XMCRaZCB7uEo2dvv5i3Ay1fajSMZgGnkWIk6AVZ7Kzn2dEU
Boi8TkXK6YlQY5kfjrDdOw23a5+wGPLpmTnt8URNFbjqojXejMX07lcFzQEHj/MwVDO5mUkFhnNK
00/G30XoLV2xsxbX+fA15XDC6MnfsSgBV/SV9pGXfvW0WetECoYr66cCcdoHe7Q62ihmaY9rFGby
74ZKvS213wZpU/GYNnMgBcZOiq20aIyjXua/mM+PEAPrPx7PORd8ILDIb61zLIVke4JaqD0kioZ6
2Fp/zxDgBWvByMibIkhJ7w8XYRnLJgkrY4tL5Lx3uWkTsGbXS9zpfYcEtRB3ty9zcNMstAFXBENb
PuGClTx4SK6gvwXeXCbEfmnYRTRoAoGXbFiomnrf9H0fuZMDbyedjr2TQ92tit+T5b46S30CRByU
WsFe02awnaGbHkqv3LVV9waicYwLPndq5xySmJ+wam21B9dSleDdsKp7sVQTPbc82FVPCLBlrsHW
efMvyvPHQU7lFXTE9kboEP+/mSeRNdvqqa4Kn9IEoxeD9Dy2RJZdZnfIntoVLpzBmuqR9N/x0g/K
jdTkH1poToCXUiMk+0tj9rM15UtP2RhVLdyJBRr4EQ9g/jwAPtzxGI7AwfJ1CYkIWneVWzXAMICB
6rNTnFPcaxFl7m/uTrFvCUQJRcciM/AaZiG+SvZDK59NT3POZmXvUKkWlyab2mBuMqrbsn9Lt9ss
TjRR77Q/whiOBvKp3VrJ5rXLvLtBh/TlgetY7CESjRapBCi1Lb5GxzHjbvEiIr6Mq0h19fufQMHR
NcswHcsSRAKN4dDo6ghPo756+CDOCSLVqNG7wKrSp4Qf/JT2Pji92zKr70sBkCQBX7zVFnjKDnF9
lYdMbN6HFh4KAT7cZuZwpxbNOrUYCQ7QvSJtGeoXekT8MbN40QZw7oClH2qjV1BYWBakPuBEl9Yq
INzomIIj43lduPDMhElvNcb0S/CfW4FkdNSW384o5BAg1UweHQWqq9Fqfd8xAS4c7Y82phV/NWTu
kNxAeuYtS+8aDz9TdQGExWqXO6tlj+us89swjj8D4D3wNzTsKJX5VerDSzEM0IXosSjN/iFDF7p0
2clP5njok3jqDdbZDJChuomXFpdpPeTntnV8OPX5vD2m2z9M4lLFm+jMMNcb7EHzpcX9SvwZx2vS
9TlC2/Qo4MlErsNTVgxsJzqNmbdm9scBg8ZYj4/+5BQn2auLnNpr2jryTuIWZTNakV7ZtIxA5hlb
BHjw14nVySGdtfw+aWstcrucQa5WdMxIa9M7DQsTZp9maZHrZ8UCI+UtPfIJ3XuzZYSuVzPnBZgr
RYWJ/bYDtFjZHIAQ3jKP8/HPmg/01ks6PBX+1lDBTvaK34/0llEkQ2zXt0AC5NNgqDb3l8108Gz0
YB+rwdn1+DpQUJ8Zc5twdKhFPNVZz7j0IahPS3Mgf9AJ5rSuz1425tdWGpCOcqjmm6bnDMRrI9Bb
JsGDseHmqYyHtva787hyfWX2Uka+LDe+xF4Hq1dbw7dtFNbBz53P+XbcFQnULscdWV84LB6rWlRH
S5VdjFk8PSdudzK2WgMZy7Sy8D77Ztj4qTIu2hxodQHtr5WctMWqmXfzBkN2yw5p1v3phcsnsobD
0u7R/j65zhgU05lpW5gJhA0tr7hk72s48G2aD4MvSGKh9/Pyzvbw8DTGR9kwXfbaZ81mpCJXnk+t
p1tjFjw4G3P4fDcLRq2t2A/4GZzJuA4LGDlFAH4o/Pmd1/U068Pz5o3oLxpxZFzLdG2K8auQX1nj
6iB6tC2IuRn2C84bXn+2wmUWY8RbdwWGC44S6tKGk3qD/UW24hGkdSg149slvVjwpuQeq8JU5/nE
qoNdLW4NpqcomRFxtfttljSZU1h75pHmgGGDdspIH2cRXTHpZ12YlHtk9dtxU5ZxL6px4JmplHxV
7gJFSBtkXJYKDqJRPEy0zvuiKOGRD0ks5gYGmM2uiBkTn6Guv26zts/UUj+ARRlCY/Q4riwvuxdj
q6LG77EOJ/kaiWHUD07CYKpgxnhnECPm4jULNJxtR94Nq7jItGofTAQN4SDz5AhZjT5AcaPpff+9
OOCwORrv4TyJSGNFyj1uvZJJxuEls/KD2wK1QE0mI32Nv8+6AtQ3G8KmxVaP2WaL3F7/8UA+3ku3
EaFc+pFWEn+gZYwkBk6u845Mnhe4ZMvHYL1d9b2jIJznLg25+WnSsChV732kuIJuo/YYR5hzE40t
WZtMocOCYzG2lXFI3DbCCczH4ck/dDFx16q9a67+IZX9ycB2FXvFskWpHCdgb0kumFsmRWAyJPvw
V+NoSsGKeo5yNYrA9jofrvtytLoC0sjtXMx/1tbfZVYRzpOTcdTKLdx0886dawZSVlz1ffaMCsXe
i1bUmNDkdIc5c2frjPmVeHINzXjs6fHodbynovQ+NKuAjLgwok3AY9sGy5vcpoLtQKjxTWj3DW3D
pwlAOgEQ2nn70apR3Fi9FNeZ6c9tJ8N2foxcRFzNX5Mmj4VitXiHadIBYSNDPxa5Ho52xhpg8aW6
rYNJO1vOPfa3WBhca7m5jlCovfTia+WzTxbz+WZbxNAGS5tRDZ1aIjUqmYxhRnlO6fcV2CA9dx6c
RQJZa582Tb412rRf+nTvdc6DtNwnIaHpbUwAQ33qZZQa/nMqWpZXONtiI/cr9m3Zdq4tsmxJ+6dT
XvAF/cU9nk+Bobndu6GyKtaNzCQgxfTy1xrnYb6HnJbmO9bSo3+tPEbgcHGvOms/JtYIKEnyT9Z+
VzUj4xmDW8/Xp5RMKHtTMSWpD3jW1plIu63KrICYjAxxFm9ktIl2c14IRaojlfXZsZtS/XWRS56j
Z0fEHPGH8zrbKvGe7LLgTdehVdrDph4Lr0pPVJOQKn3zNtHSOZcmw0h/MjdBgZd4wdptEcQwcaRF
LaOptarYvU05DRQHoVopiNCbXe3eLcNeN+5dhQ0EOQ4wV02PlJ88F41zO2JNSHuWSI9ulnZ3meua
sSv9lalS/l7JNcM3NrxPhXeDKyNWUl2VPsLY5VRiBZG7dYy460fv22gjejsg2nCNzb5l4r8RoOH4
UxMTdkiied/o+8qwX6j2H3SOoWWYH3MeuDAjFqAp1VVfxL1bqNfbNHRHRLE6gkHwQ3PWyx2xI0ng
jwMLL0j2r+sCA9ZdtGtXCA4Fh4EDKI+edXr3hMyM5eaGMQp7rSrTnZVu93jBw43QyniZSLRWhvlk
aGvMkNRFdFO+FDXiBd1Wz0pLNnbGrh+7mk0+m9ky8KKB77jDGZ9Vba9dm37I9viCRg235ZJFmVq/
Kw3LZ+OuWF7sMQ1NXJz0jO1lcqlXa2DWcdpnJgGjq3qinnQAoOojt0+tXYyKtxvc4O2VmtJdY7WE
idc5OdP+8lyvNHM4BfbSWxZo33obQhTqg0kwtm+0lI34ZEHCHWekT8aoh64pm6jcTLFb5XKiLmnP
TaO0PXGjw4VPBPKyWVaf6Uiin7s13qWWVHxtM380jjkfiPxrQi0B+gH+F4ng1m17VnfeVfbtD15i
K6ibdI6nRcoHbQJtbHM+x2zj495Pflf1SE2XpbAV+v6gTf68q6Zb5WpRlTGuSS7Ek/5iDdsfEGty
fbqaGWnm5EdAc1PCIB0G9RuelpHpLFhrw46KkeVLoiz9ipiuA6rZLC89VcuJP+tVEqUcbQhR973d
6DN7oTZ52DSri0F2S4xrnb5z3Kl4odJfMMui7CMNh0DoTHaP2BhLLnZKIboP65v0RuLBdbHd+c2S
bqEzAr3AyGAfLQc7deOTvUVy+YgQoMofzdIWZ9qh+a4hLckMFtQuDpt0F8Km03Yhc7D1seqL4c9c
2Q3tdJ54L/YkHigjNw9z8IQ3Y5EDG1OyP7TmY826ZYgLFG4lRPtSjzRWxOwuWIhGGj99NHV2Hqxm
V/9VjcjaX03irVpYovP9KyYC7slopfPL/NU0aAIsxLlZthjn3uwV9VHT33VDNsndsN40ICUPqUc0
iYkzUajtkbg7hjRYpCnG1JKSBp62WdPjo3NWbjMhKWTkVsF45ohGndq1cWM27o73uYtGf/vdgFjd
21s2BV3louCwJFWbhRPwYDtpNG7eg6jLXebSr8hx8x9Hx+gjpK362epYlsUWtFLzWFgz9tnSQx2C
9bCL/GI5J6Z4aZRf3mcz5dA6FZfZ8ptHYxLjLi/HL9Va95ZGh5NbrIwrT7Snqqi0A7AB3lclqPVS
hmgZ4nlOI/dzUJtxZwzymGoKw65nPJj5sh4mpWKzdu9rj0G8O31k1LSJP8Ymrqd+mM46347M2y/l
p+8517ieZX3ENOCSOP5xGctYF0z5qA1jQrgcwoonrdiN3I59gAYrPbXpOIXuYkuanBV+eZ+2gBYz
a08V5MVOOZvn9OY0TRY25myQpl+iX+Gr6oSIbrOLIW2h0k4pgXwWgqdpSe2nNmMbGqgsMb56Nx9R
OTTJ9LZhw7mb6yT/Is6M/mgdfCfqzKSMO1PHZk9xmyEg6ZIL9JXhgwLskQCEGyZ3Sb2DlvbTvqBz
Ib1F3ZDqY/7jYDiPGXc/KZP8fYYa97hkf5QtWEtrRz2fLjooEB7Sa9tMYT93yPmsi6a656S2vz02
X9QUN3t0R0r8LiMEYLfkWvPqCBbFAeLsa5HLPhQtWE5rrPJ9XtlxMy1c2ujmHRGN3lJ6X2XnsiYw
oXSG3VabX53WVZ/LQGUHRMAifkpMmBa18mjOtR0LUS8PqgYDPXfjHPnMIy/OzCA6oLlPP7Pt9pSW
ynkrZptk/6Uuj0xNFDUovGOw5KE7D/dVpovXqigp7DOJ9IdkirOb+RarBiPZmZomPhm6Pulshk5u
yetBg6D9qUYbuGwplf9aYXmOCrVWJ9F4+WEhYSIETLF9kDjA2IMF8g9yCnVnkXf9ItHNsqTQtCOs
LT6PxviabPG78al+garm9yLBXliO1h3tyvquC5EckFB3jytSoD14ajb99AjHsWnbe11vrIdZOuIs
nDy/9Hy495zKbDK6smSezTeJt2k+AgcuvofORxWMTINMhJzvgKGfuXbjpRZbdq20tYrTqotWUj7j
rjP8gyLp8z1f3O88m4bzNDN9dkpU3eCpjWtur35kL9ZjNaR4wou2NH+ldb9ErlTZM+9ryM60prN0
9CPq6EtRzX9rez5uQzqcV+BiSEymfD2UY9NNsW0tP3ONHkyWa82Qad2pZOwie1z/aC7481426tEf
m5RVzkCOH0yhR3daGTXqnrFLVOkzv25X5zlX/MYzCgTyq1QfCbd4R7hp/wIkUaxR0+dRP3jjH5cD
Do2HvRGFweIzYOTPkKrfjGZPbIW4NjOFq2Hm3yrVWCvMQCDIWvnpS5kMBwZQ1U5po/tMByZiwwHg
onI+HSkbSNEsHGdN8tp4nk5cwfqqNHND+igJ1rXto4DzfGUeZJ2ZsXEc3979Nd8+3Qx5Jqtkv2fS
Uj+7RsFV0KPwP/Sz8ysbff8Cq2llUlrXr+DHsQmnG2HzE19qXaBDcd2U81tOP8ox13AS1RujVGbC
W62LnTkQ18x8CBmJmQwyqk1M/XN/C2SostI9DMpm/LKA1o3RjlUHc5pstuvwtGZ3cz/pPdgfD87R
MMfz0ApUV01ijWQV2cnZKFpr7w5aQdQDxAU/gWaxVlYejsY47Vo/P5PQ4mGJGDzmE00VFrO772vP
hfwuYsEqfuoWbiAnz7yHZBsMdCeutuet2FhKbcmLKCk7as8fcF4gtKRkKA8bCPAQiAllIEXXF6pA
tJGCATBB/yW1n7HiXc+0GJYoN2FqvE+Jk+5N4aPvnZk0cnbr6S/mJhRHTqc/V6zzQR6Sqdg7Tv9U
9v6J4DQV1nK5U272W27NGLKezC+sR2nwitmMc+QTTcBMBFewS5ywJwmta9BJhNNS/MYLAhGFXnhM
C4Rz7XjssaEfBs0a42WzjZ3q1xcATOvbkmn3yLEZTLv+60h2RJAr/XPyQVcl1Aeh1G9y4tY/OnV9
rUvrmXw6krbcvo64BftwwtvDuN1+BSmR7us60eOpVU/kdCC56It+X2lWEhuZnh8IQFA6qcGVExVV
Ob+KunlEf2CHOVNEdLS3nezKRFbHnh6kZnFlqxDPbWm9tP88IHVtP5nIOPBXYw1WGdWaEEyh/Jxp
YzB4nhZuaz9HeqeHmk4LKzsn8kfTJdhfH46oOuWBepujx9m8NwxWEKZIgwsSpbWHdpYecS9FjfpQ
4iXRNCIcuty+ZDC8Yy/Fa4AGl2SYwO3M+jeCGvcgC+szrXraJlXc6ZrUr+OoGWHWWgmfi1j3FfcP
Ge9YLZRNVYNOhB3vMHLmIMpdzLaI0ps7fpzocx3sdFluNA+zaM373kN2b6Yry3xtWMY3hOTzoZua
5UL51bFj035vE/EXdWuYIQ/2fdO31DtrXjFbutVbKdEl/mbOF6cnFuEfT9r/yZ33/w0/a+P5/N99
d+FX8/Mfbz/dH5y1PwTnDOuNSXz7Nf+23mlC/Mu5pUX5pmsaiLIsHJD/9t5pwoYmq/twODDTCaHz
i/4LQev+iwxFejkBY5YkQB9H7H8haK1/geUSBnGqt4hF3f6/MWhv1tr/NrjaN+s+gfhUKgBIyPW2
/ofTPK0cMdsWd++iazZVbsU/ooxy/pO9M1uOG8my7a+k1TtkmB0w69sPMZIMkmJwll5gpEhicIyO
GV9/F4JSJ8nMlFr91m1VlmVWWRIZEQjA3c85e6/9xSkLm+njZH0twSOROq8sSAYRGjjIi5a1yUMv
e4DVfBIFrVutNboNK6SE1F1Zqqdojxv7wfYKc9ciSis5JPS4OYK57QAcZfTuA9/QPiet7BHBj0V2
R6O9PdWGYIU7QdCYInPhiP1cu6PHRxB7Ap0kam3nkZmx9sCZhAe3NBhT6nKidzPBSE278ZiRbb+S
rhnfvPlSL14vyNsUXXO+Du+u0wGGbcJJAERHls9spn2DyiIQMyVj1npx4HbcWKTeMzgA5rR1WgSe
dggQCvFURovYgUWDR6D9xlHD7xepTbcAeW84XGlxYugLbPbdLaLFbFyoblDLRIvOaECW6TrRdMxH
jVK0v6jmGM9Le/oFYfJvP4fAAEq6G0xUrAvvP4fV1aFw+uKlKqPoEtL3c2TJcZuWWItSV2OzD4sn
VbKriDy0tmEHuAJyB72YscZdJspkGTSh8RikQXcSOM0c1KafdklvHnt0x9FWd/aFlUfJcWgU8S94
Be+9xNyrkNUNMJGmx2NjA3J8/96pEZjM+OFLzhj2NIdsQEoblqqx6cxTQ2IC+/l3/iE0Yn49hNuG
A5Zy/lbFR0L51KMJ8k3xjBXyXpPOTZROBjX27P0q8nQX9HNrnVhmJtIF9/6QbX7+Bg40ufc3Hfw3
shRcChHIxd6HL4vp2YC8t3iOp5SGn5Y4GfahOqmeiiA3X6Y0qPRlUHfHrtZQvVWdTreHWWe5hJk9
PvQGG9c6U5l3mtK/cnKha4t2Squv6CfS9SRHEa1svSmR02RavOsgUuRrXHjarVMgsOaEhQbI7KgT
ZR2JL+SjI9dJOq/YcDIvHjIGAdda4IX08xFO/8J5fwjDePfhieaCre04kKA5Yn7EbdhWX4RR1Hyz
OsVotDBR5o2a6O/VUNFRmvS4wB4T6y8RzbluYQeDPa8IQX3OcNm9itwIW9xAo9hYEAc/AoDJEciq
sWyxUerNeeSiet3AsdzT+HU4zQwIGW1GGRG7MCeYFvRTGakzSFDx9eB5eyIixPHPv+C/3NAQZbmP
BY8ilAE4z+9vaB6RIqR58lhWWMkcojpoVzEWRO7BoC8JfoUVt9hq3i9ivB7/EF/MrsJN/YGzUCU6
Pb+xemyx/d87QciYUMYS72STJcdt5psPJFwjc9SmHZMYKHbMfS/NLi+ZRnSsSqYIwVnpZsIaW2bh
NygU9f2kLIX6Ey3NiaZ7lbXk2NxANZJ+zKnKBLvkVd01AaimBpUs7K+NoVxl0H2qhV4INJxdjnhc
0WuzUCwqDrBx+8LzTwQwPpClRkvjV3k680Lx/tYy4M26kE98QOsksby/7pkd28OQTd96P+hWkvba
auRqIb9T0a5cjAvUxL+XGsVaguKCR5nN3PNckIuzA/7N/hHhaGiccvimp8o79mUzrUxgtCtHoi74
+U1l/GVL53lhmeQrBrrOg/Ph07FZZ5qp6m+j39275DOGixL99xcjD5bJRATi0g376Ui6jofUxAP3
GCPUPxtttx9+8VbMeVd8f6EPN5vuQBEhS+Ijskf6mfAi03/EKK1/kVjFm0Xr2+qCw3feL4auZLAQ
DaO4SYJet5Bvhtp9lNf9vZm4cpmnffV5sNo5y1Gnv99mQ/7s0Pf06BLGXbMQpH0fobyGdyeUyncm
ZlOcNVbEXNMMApeXzIT6Ba1kPrB9+FCWYfLEvuZycd++/yoR43noddyHlP4kja90cJ/0Wk1LxWP+
uUOeyeGaJGlEL65nMIPtwudBef6ijsmYWYkQU3SlDAQqcHKS6xDCAY4/uiPLpo+Sxz4Ox5fR7VgR
TG3CdxNN5pWNfv9chqN9Dym2u60wGn3WcKgj2jKOALjFexk1aKkF1nLK6cLjAuhNiKcIhUR+ZI7t
+EWmrQKlNaY36OOcHYOJaWeXRUuvTWQZlWUyIAJwErcgkcVO9oZrNfXKzzp04T+/Qw9QqPe3Begh
IXRMCnOmpD7fNm8eBqvDx12H5kOK9I98waFnspcBzWqFh9YIhPeEgioflVgZ/pDt3MIdGAENGobq
JD1JMhUmKx3W1suQzsojxUbOJLELzkI2xpfGimtKOYpMekYhs2itqYv94SP8ViHzfxMzMgdq/3O5
s40e8oe3lc78118rHYOShcRsnd4eD7vPNvBfhY71yWQrN6DBE/Hj8r2zZP2odPgx0N8siSQqwLty
+KnvlY79ScyhSxCTKXUgFPvO71BG7L8sRiRg6fyX7dbhnYqPkBFHll0a+Q8R7iqax6VOO4U7y2Ru
asXajapM7ZRmPklcHQukscxrncH56FcOjcmxKI+zyHL6lePQg8FsV5sPjdFk5jbX7Dw9gd7mqeOq
UnG0dqws7j4HNL66k1qb/JIeFTAIqvSOEdIpPDZPO7EA3dJ7rqAC7oLOTIGEuji04wglGvM1pPcL
K08S3B2GX3czEwuHKhza5roxgmaPK9htVpY+PCeeHfg7hnBaufILq002AjTnF0d36AtA/hLNjvTR
Uh5NSVk7D+k4jfr5RKB0eeT5Hd1gNyxn+RpNMsos0+hePKWjHvCTGN9dQfvbOmqDiE1bFJbgQWs7
T0NmIR1Y0VHarYSvbJpAXdeuvUmw+lVpruqjBIEjDqiUwCLOZW1cMe3o3NMh7i3MoV3gPOdGjiAX
S5a50FJrdJcW9sB+IfTJufFQXnAuxd54Agw+oeVYdn5x5MhqoE/UMmWa3Dh70BOzS5eeV7nbMND8
duGEY3bpT/2kUGL7MxEDBcONlRjJsx1mYbHSijI+K3Uv40BXMpjQJwC+GHaZFp7CadGqTZiPwXNb
BRUzrNrVbjSMGiG/zUNjgIkc6WvC3u2gSKnojup+oLaai8J0kwd+AK65QYtkJ3agL8siEVc68qiQ
kb8ZaBBfBsgCqCMwIU5MPIOjbvQFhNPMa1aU4Uim7NBWj01mwXNEPVw2dGU0+WWccBeXQmOKhRmP
c3wVo6rqtGHoFwBbkIpkYG7ZePLZwKsZ/XEwJP24snLHpj8tc+2z6ajZTIrYHPoSd9aulyFKU5bb
ODqWJcpbpEYtbzXBdYpklkYWApG2QAToNrWkRSbzLF6GXhtdTJOfPFpdHNfHoW2I546+x7QcHbN5
dIMxv1eWizJe87UoW/V6FEhc0FW/K+upeMxEkcBjyeNir8ce4BUN18UzHnAXP6gKUW4Bzy2XZmaj
XhmRBncrW4XZk4aDmw7xKLDpxGk2yKVl9eJGBDZ2FYr/2ekgvabYQbo07lKikc8L26Ib2Rj27NUK
SWTGodvKK84LiKHjCOXN1mqDnds59SPlhmS2KO3gXk/C3l15jTtOnAnLOGQqoKwXvJsQZD09EogV
Js6Qi4EWDTZZN2mjba/H6in2O8m786nsF/WYBoppRtOIZRfUwHwNhFEvSpcaWszORKfYIhjhjeh1
dRoEzqRvQzrH0XEfy4D+Ars8XwnClZFpIye9baE6dTUVBZ1Opiqmtwk6G4Fu1biNXNtygvzIofsp
hV5B+x+xTbFRTekh6lZ2v0YfhAWn7wLtxLD7HM9HzJKiydx8CoSVyKs4Ev0Lgqn+JaqwPwE/0ArW
OzD0zC5yz7j3pC3unZZw7aWShnerYtU56x7PzlfbScAGF2oWqKAHfInhXsYb2j3+A+sUTm6RzXZq
sO3+mUuuzLNV2+VwGZQm18XllkyXmuVkJxkAp2ndhgBAA42v5diUrTwGmluODTYtX/s6acQWAnrx
x9sws717xUS6W02dcpdZzlh3WU+BuxTQtXtrCd8sirepz2n/KM9KV+Hjo5D8knaBrE7AFIpjVo0g
RueCvGjpwMzwFgUuwztITF56bqGFEBstDbwXWTd8uLxtaOeiFbTOUPahAfJk7D8aZu/lmxAaSwTK
plefDeDN4Bb8JN8EUYnimfcHdceG4ctkgxdjZF1gbQcK0lx4UxBaS+FMiABDpwGPI9sBXY7uSG84
qund9qsakfk1TOKAlnFThZ9hH/QeZvlAXeYapHI00XCQ1wkUGqYraWrvS0waPlRqmohL0CDVTNmt
c4GpRxflMp0jqZdBb2YZ0gTVXCeekP7Sc2sJ1AQD23nqBP3hey9OWyrkmFspq57YDODex4YTErNS
JOgXnVBhOTFZaKYNJibEVaXLoobnSoSoz0ndpJUOG4cn2ooNZo8GKph709MqVklhaw1UX9lHxyH3
Z39cl8XE44aDxVrKSmBCqvPKvq0CjazMljaT3GFD6u6ESV0ATEdPvY00jAhhuV4m31xOzwUWYswp
5SkEg9q4HWSG9G1AekhYZAo/dF8CiUdlxAZTrVLKiLsJIXe/zeh+95znicUcSMPqkWNaOvVuKCuW
ZcsKo68A6lFLpkZp7sOmH18GT2a01KOscoNFN1XZ1zBJzSPDUHF7nqN/k/cDb8u6Tg3AVNwVEFRX
kDPacV2EnvVclQNBq73jbmN3SPbuJDj+er3T1iuetdPsLm8sm3D53GivawH8cGFxS8SneLEFmz3E
4RzoCgSfRWFMwwuGV966jRqZKboFyxkkDSc1CImoMVG9B9FdgaTjsY6SGa+rfRXemF+oRomSMNKU
mXiEuvhUK415yQu8/L4KQd8WS+KO6W+Diqrb/iUxp/GLb1XOUxZmaBX7ynZPQ1LW8cBB42Beh+fd
eMUI/vu8/a85qO+fz9sgIB5Zz+O3R+75J16P3Lb1iW+aGRSB1wZc3Lkr/TpbsI1PgoiouWNKv9SB
XvnniRsYIAdtjtPkDAGYNWhF/Jgt6J8QLtHoRJrju3MX4bdO3O/qZKJ8DDp3gHIdfhNtc/MD89WH
BI7UnNNNZUD5gUDZrBKR/T4IlVdhpaZ9RguNxet9LVklwHh7DgVkqtjjKZ6x6DY1cCu+ueoXr7Xp
2/4/fbkPnwY67Fz1z40z0zSob96/TtrNEvbeZYttG06mTYQdD8534F1g7vYI95HCxrfv4WQabKDk
ISY0DFt211zgCK3Bp3Rtfp2P6B6Q8iN7PUNNYFonldRhI1ihwlSeS2H1a7ATcbdqmsDHbZu3Qw24
y2yP7QSGDBPkod0arBMRnuqGqSf2vKEQvJWuBhmmo2W9RKqs43f2S5IfLURdqJdtO9zTCXDyI72l
cEbvkLvG2iVV+pvtT7V3ZA+NsRWBhRAzBXQ4LrRW4iqAX8G+RWdo1wvLuXRE7GFHLAb9dkTiIRfo
J+UNmRo+EMIhL85tjGXppgkR7eDTz4Z6WzVBlq37Vp9o0g4cstgW586TBA/mrZKJHiAKA08vkW9E
Bm6meKBvgEYqCm5JI4QDBovD8bal9GDqcqYPkm2buQq1UYAya6c58ewogi+YA/Iew2Nl9lNz2juZ
zQAKgUC2crH55Le5ssudSiAmHKmCtJIg1hnaGKq3ukWKcgnzsjmySXBQrB7AV/kP9Zx9knuqfOkg
GHCkCpv0Kyc3OmZ663wDM2O9wNlz8i/aAbJdHoDbBsoFAFmRpogghxYUHxmT0eMi8foyOSpNTSWX
vtvQ73HMtMMIU3l1tdMTekQLeKilRCyO2eVrgyYQca45AL5qzMZmAGzQx9/qPpJIPNU+7IUJNg5Z
HDrDh2N81IjoaDfrgjifpIFYL0OjvwfXhTghciR0hgor42cHl9brWOnfy/O/QJv+ZHleVy2sTBU/
pH9sW0gW71oj849+b40YrNOG5fjCA0ItLJ3F43Wddj6hlTBpQ7MSU4ubczP3e2fE+nT42/zRnFju
CZ0/+r5Oa/w+8i/4MdZ+naWf4cl//sffIHL/ROa+Xdw+zAV4PxbjFUbQlO9z5qnDG3/bj5OIy8o2
H5cwPgl40FRQMfpTYnie9MjnwKMZabCyjNG4Lkcdne7QVvmwzXKjUWdpGYp+lZG86yxMcJvIE4QT
iXWAi+nej+meEFHRzzIeX2u/xYWuPTgVwuadrQOOXEzWrHgC5qe1a25475pwOs7vuDvyBmKY5943
VktLsrCLcSGCfGrXGgewaBPYEW6F0jLz0xatboUJA2LN8Ztv82+W/feDAi6MzfYIzpuN1LVsGlvv
L0yIldlBYrwA6wAw0oy1W8Nos+OB9OXTNNGMbeITtwOCqgjvfv7KH7eb+ZV9dmePVG6EAx/J25AD
bIvPhcE1xKvKNJ1MAqM8+/mLeO9b2fxefb7pHO5MQjg9/WMe3thXSOnotNdtYiANF1XPSAAk2V7X
jJEoHLTKLLFMLiq51zq92ydaHsWsJlrbynWNKlrFGB/LGZM3qhLddE1a2amt1TG4qWTMajo7oZUx
IDS7cpONNjRHSDctVI2+tpul7VTixvC7AkiDwnK6mGhp2KhUnC5dtbj0HDYTC8dHN9qYAgr7aSzB
n650wjGs/lKSiHDZ9sbwBYBoBPYhMl9UMbg000J9BHfBc/dAlcfQA3MWZEPTIDEYQUEOGBfyzSN7
H+kZBK5MSwLiLAS6JKEleH8GbKOKnl1yNrgU5SsMqUSdUIzR06psWA8y6e1qzdapnj0Knobctskz
11ThdLqKBGvDQoRpABFlbF39yK6Ip9kH3O0Xfkis9jI1iw5namka9+RwBVCitHbm74Rd8ZwRMzMc
dX01XE15o9vbrPTNalkj6MRFnhixvwp1sop2JIDHwxJ7WleshKcMSlNI6NSYxMYNuFoebSdMR1pI
UV2vf37vzMfEN2MQDlrIRuYzFwc8X9C8/TCc1iZsQmn9BOutOHEqpe27gQnXIvIMIPFph1GlrMCs
6cUX0EF0aDzrPMtRj/cV8rPUiMKjwxv69x70L2eOPvznGmERqz+uH6C+vS0SDj/zuvtY9ieURLTY
kSGZjsPR/sfuY0H/dvkPxZtnWsT9Ull8332QLc0tedYgkC0sfvN4/vvuY1JbmA5/SJgzxGxO+L+z
+XwYVzJwnsUVtiNY7Q7x0B8O8KijpOmR78YhrKtRlvCqhHtN0lcvQWlFVb0AOatEuIQ11Bjl0oGY
A5Rq6hLXRfeodTLcMBJynMvfv5/+t2nVzDkq4J/vlKuHOG/+uI3zb0jV/njIn/5oouc/tuo5f3ji
9FK/vYEOv+r1BqJ7/YnykiE2txB7BVv5jzto/iMbhQrHa6zlOvcWG9mP0Y71idtqnvj4KFS9uTj9
UWeanxzP4qSBqF5nwmP9lobtQ2nmsHlR/pooZTi6CAuB8vtdOvA15Wl0z1ZGl8Pm7bMchCL2LvSV
mEPZVDAVmzeaO8g74OUAlqICzW7XpPWN3lQLnS5YuLALM9h4AtEjXhrNPxtb5yjIE3/VQllCEt1E
5WPe9wFQizG6HZsiG9ctHgDmHOavRFqc7N4sra8fiOMYJS0CGMKGP5zHYgBXwk5yIndj5pvh6GUX
9ry5JomFb5IsMiR6tbiu/cZe6VALzyxV2/vWK+UWk5wJBMjHiBDGZwWqpUFoWJeSwsSeZdxIF9VH
MNXjUTMPad7cTX9zXJof1Tdz3fmLIK2ScZ0rHI5L9rxlvJnrsgHpjkYyx2q0smzT9NOwDqGr9lPe
LeOsohUPaHD589f8qNI6vCjmTM5ISPNm7N37F00yVrfCM5OV3yXmDYeOW+IzmWe3JuYzYX+2nLBc
DyZScGjd/YaDrv8LqdLhMPbxcwvPMw17llEi6Hn/FgQFGdQ+3kKZA5F2rQimu23k9/NMbQkOUZzp
nBNW0eBOW0NLtLUcTcL+xkZbu+4Y7ThSWQurlN/KrAf0SuTWLy7SRzHVfJEoGLiZXI8QCLRk79/h
JHItA2DDRbJu8em2cwufXmFHZdjl7aKao7OTz26NZEeH7ZO5p6n1RAQTwyCU7wGUMaKowowAcdrL
rbeau8CW/2VkkqrZd+WAYrOG8OtfKY52P/+CP4ikXt/6XAFRB1EEfQzFrqIkzzOMIqsaH/diGlQG
3UVES3+mqyNVKn9x5v9wsJmfPpediPRA9iXDQebw/lp5DrbF1p/NJiZPTu+luzivvvUzhaDoAIen
mQzOzNZCRpUIWJ3ZsG5Tw197aPC3DdK6X7yhv14A3g+3FZNlNlwERO/fT0ueY6q3vB9fQSjUIgaQ
WdSDWvTcYjVqNIsPF/y3DlL/2zY+wZf0z/veGpIeY9131fn8E9+7qOITYVtz7UuUPPoFwQV+rc7J
TaEgph1Kp9RDKWay7/3Y3JBhc2oiGoiDEMvenGn0fXdj22OOZSMx4A84h3GD/UZxjh6b7/fP1WU+
fvHEIiDnbpz7vB+lY0k6DnrjMnwKsWOJk46zzoVZOhWW0cgEBaGSJiQYIM0LelRStyJdrBBua19q
8hrIy01sU91XkbLVEtNkyNxHdO0MshUpbvve76KTaGDNwrVMpsBqVqhJfBfQJOEjJGl8omAks2lm
iYG7DJDYFwGL8IJEWBQ2ppRGuWJPrDjxm0b21JS5/CozaYglJg4VbhMyP69Iaa3GVawospYyR4mx
gmYrmmU69PHeYqR9EVAVkejE9jRsdUeFpCdkktp6qnpaYklTqh02mNA5mVlmjHtCXTnbKndK44a6
qC+Pq0QjTywdGYvw8XOI0wovWLDqmB6HmyHTQzIV9crXP8Nn0NQ2c2CObSRezIE+GkmMS1eoHMe8
gXkPZVU/0EP/nBTM+ghO9HTIU3VQjT3zysRN+gXhSapm2EWPpIQ9Q7bk2ilUCTSCec2cmTkklEPt
2MpwugJNE9bXnUQgOB3HAHxr79HU42Fod/mgNXq770QdpSRIdBpAvfO21926vzS1bA6azOqomNsO
3eDUxP3GrZ1V0+XkJkxHlx0fCjCwrHNFMioE9p5TcVuADNNzMhM21OY1NECjkGKRQT4sd6WTZM0u
blP51dAqTGC0bKLKu+jHCKbXNESw5XRf5d1VmPK8kKUgGHsRLmnkl0VVWfLMqlEEbEXa9SR1pInS
QDF7E1zzqkW3AEsiIIWHsGdnBWVCmPjnPCJhmc/3pVgWfeXHR4gF8BYd2tt452l1J4e2t0ocE1X/
oR3ujiGtcbqVunVijmBez0AH0D5Hw5Bf4xWmqT4YsrkIO1qxK8PinqNuoA1fa6mot02It5fCdzBW
xIZYhHjMjU++oeRzfOiG+ofOKBTm4V6IpKdhWnj9fN8eOqnuoavKITIA5OGy/i48GrU9cIWOzRCn
PB5oO4kR8eAAJV2jd9RgfjW1BnMOlsiaQbIF9XHnI0/GHu2xh4ULDF+l2hvUM5e+gV/vaOj02oH1
echt7JROogsNYj3bksFBzCNYHaDYIMWK9phuAlGQgZ/inOJIOydFOuRbwFKKD3GSuhEWOV2cQ+Zk
0tBCu4ciJprP4yGdsjkkVTYTnQPm3Ycgy7jhpBkvm9ecy0PmpXPIv4yqLAyWxWsu5iEjswoj90IH
PAv1YA7RbLFpMmV0M3WOk6461xjy2EsDevSecBhSONNDIqdd1NoOLzA5nf0hsxO0CPmd1TBneTpz
rKd5SPiEuTUCpAwlg39xSAEVhBlftXM0qH9ICW0PiaEjp6l9OFhyy6tmiCwO6aLtIWkUtAbAT7cF
pLfR5zBSccglldJz81XSz3ml1MLlo3NIMY0DRps0SvxEojHW/BOypTC059wje3cOQkVEGrlrVtPY
XXRGHTHohYBLFJBwiKjKUJlkC0FAxU1SELJa65Yu116WhQCR4toYNni5eBaUjNPnMPYZNcg5tHU4
5LcWOlGubjOnulZG4B3btLPo48xxFiCsSYCtDmmw3eiQdQCetGrR+Ue0l2BjIHaHx9Fjo3Ej/YR2
G/myPCHZi9AwJTDNBQt1CKPVJ4D5xZ30q/7KPQTWIiXrnsmkEM5JTIYKcoNkTreNRvu8NObIWxcf
qAXWwmgnBGHYv1yU73Jttjr2Y4TNtUeBgXUe356r9pPKiNb1osZVC0TgaATYyYjflax5F8yyCOW1
ppwHKjQ7wnrt1De+YFWAS2HY7bhXThlqa8xFAa7LsDRbcHsaT3KFmicIkYvpOiQA0Bh+Mxdy+uDg
05UWX4HK4NOv9TSz2ek8kkzuyiQcmISBekFqYmqQc42GxhTgSxVyaKp6H+yKHSmEUiNJGfs48SEc
AHJLJRgu3QGGmNaJfqe0VAPwPyZxsXBNNH3L3vcyJlS5bTyZutLytQPNI4cKMoC/ACLH7ofcrUqx
58EqXUYoEJ+QDk5qayof/CvJtE2rFgjtg2ZjDemsU9HyYFfKKYf4lnktvlYprTMgOjNiu6aD1601
FAUWIi/8lTfA09urYHKEi7M2rS54BPis2MeQxPjAwY+zOOBj+5ZR3EHHlR2h2MQTLIw6o0mbmKHf
gqeaJA5Nh368fKGFS/AW98YcUkbqoVyUQ9rNb3JUkJ8IIc9zVPxueitkPUL0aKM2vNYiRyvP9bix
q8ek1hOurlkUWbGiPMCUBQc1QXa+qsY6njZTSUsTvnPXI3bOpe4SIZFrtwDJ625Z6mZ92aHPiTam
wGNbRAwyKTzS8UJy5SShORq8dXR3RrB0Oj+Sa6ig6QN/b7zFWO1fjomGfcBM4Zv1CIHP+xp1Hnnd
VXXvgH0iZXkA9Hsy9aZXII3p/RcNGj/hB7LNz329j698WtEXJswzb5GH/nTnNwFgUFiDXxJNTWdk
aBdY/FVc7lM3UtcWHeIQaym4401mszcuWlRekOZGxUQzN+OOdx0VPjh9nG6k0vk1zuSasTXnGKsg
vMfBWYX6ZcjsaN1nwzQz9wfoTdA4j9hOibya3E5u3LiizMKc0pzkfJSaNAOpLjVngD4ZwgCFmSxd
gnY9p7itvV6d48tAENcS43zpIfB86uvauZQyyGxE8wQOranRiGlzwYlFy4Zgr22KOYxopLzPt1PW
9+KY+YDD2LcvDZfpq5PlG91KixsHTNGJpkJFcl7dl0/NFDkI0qJB3XM8a01Ok5H1jdUVrvlgkz8A
3VzCSda9QH2ORAnkgkztaoBHW6QU5H6ggW2J2p7WQxBny54MSEyppclp0yv1b26F4gzFUq9g3SL1
CoGWjAw5Udfk13S0rXw3ZCElV5LNSQh5XjTAA13l1ls/gjhCxGTnftENCbBstIDJn0Y8nfg5fKa+
DBZa0IVZY9jletKlQbyWXeZwiYwKDWxq192X1rST+8QyKn5tFoEF9CaXtCWd0wtkcL/N2hXAWxxn
rZi0J9V6MXY+GwLFgtA7cBEqHoNmlRFJZyOZHL2b+fX7NezqiPCd1KoafQmDf060KhlpUzFmFWFs
fQixhwXOqgxyPXpsZJLE6M8Duefmygmg8y6MMcUoExWZdtYCSzK2GkfBeOviM8fdQU+GLlHU6kdD
TmtnljZ5a1B3gbchXa+/7AMMnhC4OSlqLNc2V4yJ8gQSMk8IWyj4SPpVD6tsxWxlyG/hQ02pvwhs
O/a3wB5ne4VvTvqlgVhbXNNr8uOVS4TgKQyDjnCxpin3WmP4GR+vV3c+AuDU2sa+R5DhOGmK5TgW
hUZ2D5gLrOlVb0JVWkACQdxAuNAk0a+28eRspFf5ezX53udQgUtfxlGLStBFFsZpqjQGTJaoyBc6
Z0gD+EyRkVJo6wiOWPuzOcLCzpCLZrXfbsKuHG+9MI3LXS7hFK8pmnO0rJkLRzQpynBuloIEGEfc
lxhhANaRYiWxmCO3opWDy+B70O1vVdb/N10Dho62ngjHn1Xhu4c2VrF822T+88deS3HhMfQW0CwP
FfVrwf1aivMntoPrazYs00Vk7vBfpThVOt0t6ncPLSNKo3mK8aMUNz7RskU+goESxyhiqN8pxY15
7vKmFNcowLGNOQwr3rdgApEAaKiJ+QvT/qx2J1ADGhsZev5H2aXb0HS3HaKgCiw1Rq/jGP9e6wIx
l1eVZrFvGPs+ZIFKODWtAz14CE0IfgJ67yr3pEwWpH9sIX7AfszM3ZDSq+V/rOFa3ONl3vj+vuko
5CPvVBhqKyvterLbGwMRMlr7i6mphgUcOep6+bnX8nEdgdHx7HFpeeAUoqfBBYbsiJb/r6ZBmn+r
Mus4nDtcQ5QUp1zWc5hHp80MD808Bf0HfCwvhxTeEjsg6hTIDFJXSUgXTidlzvBHbxmlSHBoECzq
sH7WVHlJFv0WNSJKfVnBh413fd/cdRDOsCocVdGTwBAItNVc04K5mgCINMl9EIGKzrZT7t33EdQe
McR3sfG5spyS8L3uweEMsNSLG2WbTw4JREvHMveGPq1Hsrr8ok6uJVylM0UlcTJA/wGNqa3rEKCj
n5doKcfmK5B7/ThuCmM9mv1tVjrnk7D6E9d1ynsxgvAdsqTbNplSX7sEnLo5jCvZKBq5QGFqqn3H
zZdB6NoJe7u5TgIVbU1R2YDvmP5eIHeuznHA8xeN+hopa32C+H8TV321axFrP48B1F4cefGNW0zJ
kVHop2mfzthhiEwEjW1+v3v331tjrouMf/5jXr3+zE5+/68kK39f3FYPzcO7f4EVCuxg3z6r8fK5
btPmR49r/pv/3T/8jky4Hsvn//evb0WbN/NvC6FHv10lzLnn/8/dvavn/Dl8eDf9PPzE9+GVYXxi
LEBjCZaCPduJeahf1xTNEJ+ceYqN2MK3XOaPrBw/+nvuJwYvyGMxbTI7fTv/NMxPlsEyg9uJ/vA8
vvqdReV9d495lcuKoguXFQ+T6F88wBjW4mHMgBoDX8WuaaU3rWeliuSoBuWH3XjDI0FiwfbNFfqb
SQ0L85uF7PVVqUQsnNVgAFg83y9o8NrHGJzuvuPswFOSxVfVSDTU/+BFKDvcw6LNLPD9i4Burryw
IXsvtO37Uaj6WoYVlOWfv8r7Nfn1ozCZBJKhszfo4sNHaQkhZujgwbGPUlSgZmjvbZg26xCvzpGe
i68/f7n3kpnvL4d+llvGFBYbzvsPRdwAbKFW7DH8oNobrCu8Yg65DUgaf/5Cf/cVzULd7y9kfZhq
urlP2d2LfZ8qYxWhFVtQfspfDIb+7u6bM1lQpdHD/gv+wwWplkWRu88C4mL5SwR9Dv00naQTmOkR
aHG6hLwXrX7+0T4OzA43PYNIJnZs6pY3WwXfDgoJyobemXr7OrPUqrdVRAusse1VQIWxmQpfXrX0
ENe5SMWdw1xlg6UufIxDF9SmFbSEjKaTvSMXyoMuT0AMJThhx7/4Av722jDRtph5G2jBPt5YSrVg
oICstlW9sSS77dJLbLHMaNC8mNbkX5SMt38xQv2bb50QOObpDNP9VxPl2yszEmwC6djcW6qnUWuq
aDZs9L8YMP/NI+OhAAcx47EmErz0/vJDp+vo8ep7zL1yKWiGHq7+twRDz42lyEb++df9Sub4c4Qx
PzTAEXgxFmHOdwzr378gEaCJUmWMwa4TzhqtRn9PjkRanCiAigUfkexiNEH0mVeAX9pkbeRTR9xD
ZRnt0ajr1QuyliBcTVneAWUWNmV7T69ekERUC5J6VBScutXk+aseDn2yRBTuXsp+TMlJ9S3Im0ne
YJqLmoGeic+GLP4/e+fRHDeWbeu/cuNO3ggVwMGBG7wJkI7JZNKITpwgSIqE9x6//n1IqbpFllHX
7N2IG11RqpZDJszB2Xuv9S0zg6UvM9r1/VjV75BL28U9aKs9ER00x9xgHhOgXkqpP4wgKHJ3JN3v
ti1VboNMEsyAGbZdB0zmKBFxwokVE31SXaHiay7P7ngIlEG/LkfbFyt628mzocWotaQ1g9guLFPb
2pWu3/mDzCHmKo5+UzMJgemYl7Rkaq3OkNvxMJKYhMyRiPGaApagvuHJ1ErCR9MqV1XXqKhUvKop
bdD0U8RvQXHdvskwx7+YaK3yGnRifK/jWJ7ZOdFfK2MwiOSzayX8wnl0zsSYZ86ZNmeO9HjYgnOT
NITsrJjC9lbVExHjiGz9s5xoZ8UrG4EztTHCKlj7CWFr25yQ6WIV4Bx6t5H6kdGgaOTBRBWs4IMY
aDS6EYsZ4XGhgSkqaGrljUHmlKxqVocd5KzY2vudHOzNyFb0KV80bW7mYDxZwRyFVlvbIdmGRktO
DFTV6gofZ3UsMo7gxQlBT3lswp8rbMW+4/USbPnb4ZbbjGK+2gpUIdtGfLZiblFfzX1jnFeqEzzT
lM7IMI/DXNua9Zg85hFJ6psoMTCCNXLsDpHd9PQ++7KmrTeTG7elIZnArrCcIVmFDljuOFzE+6Vp
Kgqu25qalAFW/hxpeLZcXYlg5mjzUL7Al7V6HIFGccTE0MYeEVsjqkgaKIM7Qyrm8s5J8Gos9FpX
5qWVeAEq/FcVAhuJt40Vrek9iQcsqyZJ82E8xi62ap+EyWrQSfQrNP9YJJ1IKa4HK3czID8DLiJ7
+NJGSQtWrsDByB1Kj42+0rmAf0jeDz0HPG1iklS9BIcyPguZqmedRsMmn+FUbHOMYDQXB3IhNmCl
CWl25CDVxRJZR0RBTMXozYDXbyoty3nE1JpOldYPhNhh2O07FKyjPbuQ5K13XHIqYgNathsFMMvi
caTJxBsmAm2aVmocr32y2F+jUZN3AnXh07AkZViDlSUeei8swoIomGdkq+mdtDLjOtHn6AVGgN2v
Iuk0xJoBuDgrRu7mMycLwX7iSoi2xM0W4CMKhSjcSZYvkRi4QARFZS+q6gdf+QTNA6l/zKjMfGbG
KrJliqMVzpOT6r5BUGi9ROo5lAmkJUJTIOtuDteCc0v6c+CgebEUVb0AN1w/RZKiwMupK94mLgPx
p1re32oiLl7NRPG/2rlNuVAMIngqG03ej5i8IqybcX4Z50y7GL4lZPviRlyS4ZkN6CQax+MVKDcY
KkpuRV99JQwvRCPCHIeHD9/XwvRlwpSk2bkZsopJRpHrGEIgGht3hez7WzVd7sFR7e7BZysB8c+q
gxM4WhqbhBlMqhfMcrjXqBavK1S2ybaKyL10Z61LItxxjk4m5NCHF6oe0UCyFNuYaDX1En8p0dTk
oleBFm8SI9LehxoGO1C6OhxXUw18fSXqIWqZV4vhqi2D9HooJmKtI0PRDiab9hJHeKur685gTkze
u0OiXpPmycBp6tPrhPvepvwq03xdt9K4aoZM0b2AEd+dFkjChEFQJWc9TXL7YmQlL58y4n7wwUkR
wXR1sESzAlUFLGHLMwsjiw42oC0qbpbjvHVL/CLgCDsLO8gXI6ttNuBqI45MU1rs/4qOkVnB5Sz2
SwpVcxFJMJQbROvxi1GK0vHAB+f+enkoMA86lMAry5lhH9f4I1k1BV5se5ijdN0rljiHOGC95wUs
lDVzhHkLbq8k/yqqlhaxrEoPm26f7oCcqOdKHovRVfXA/Fob6XSQmNd7bOtmn3udTvhJnyjNPY5W
x9gQTDGTyhqr0VOXZcmVmqf9G4177Y2NuMTNnEdc+bIOw+Gs84MQpXPREF2qVLaEtByGOTGPQqra
vR016m01Mf9flROpsbvKJgZkPeO2wddOFiTZsligSJwHFpqu2jE1gg2CAv2bMcYa+S9WnYy7pZcS
eyO4KOHNg6+OOz0lGHJt2jUh5ASLwPC005jSXK+KHi99RSoZVJgUbzv2zIcY/9i4Eq2TPTAWY95B
AmPXnvsOd89KQXNI710uN5Y0KwPAORZfIuh0suVJsWOGr+e5+TzWQ5KvfTHge5VJ01dAzoYOe67Z
YotEuZD1mxHiD2/4Fuerq5tJqazVWJJULrvO5E5UR3Okc5r6r/ooyUYaIJe4wOF5dPB6kr3HziP1
aTD4WCvZzBAAQ7eDOEyJPcDH/KxPA8OXAexl0s8mYBJ89aBXqS+wNUfBUHmwW2GiWgSPkLejM2JE
cJEG1cKH4y1v1n5TXag0KNtNow12vwWEzovKTO0p3kV+bioHNS2Qcoy8CZx1YSRYgiBM6g+A9wk/
DBsaoy1RQ48qO4XBbVXmbp6RwOdZ9SRG+F5OJKdzm+mS188lU0pa1hlSk+s506wnUQ090ciNHC6T
ngrB48XMwMy19AyptzEwjHWrquGb0VaeS8IKJ4gDZspcx270GJ6xbi5EiwGrGGEU+NY3QddqaMsM
tnsedjFU80CUyZFo9AEIgUWA0bCCDa29j53edTvhNwS6jFhhtmLylfEKAEI8bqjdiZdSirFUdhjP
sy+monf2rp4Gi+y/CLwRKJkFuLCvkTSHd/7kL+QdY3aybe2gUQBUxWhqk7b1yVYfDnJVqi0vtabG
6/bakyRbRKuQ3K5yDQK8Ubek6FWSdMGKliTQdpxc4LRxXSWXU5wcijHJ931QMJcbZ1l3nuMwFPYG
vH7Q5uOgfGs40QkfIcQgRkvEIE1aGWHAIiZKNU/vJu3QIVLoXZONCjl3sAA1ryVwDBu5UlGRtS3j
gVjj9epm/pzeJdAYHDccZwYZFF0y3I7E/K5HO1RuRwRu9Xlm9n17VsYOqWJzGsWPXdRbP3Rq/9vd
/m/60T9VPEuD60fj6vic0bg6Fv+VPef/p/mvFEn1z42r05/73obSjd9oW6MiY7gmhM1Z/70Lpcvf
0PbRfqL3g5OCduK/mlC69hvKLwRowC6BZ6EG/tDZpvmE7nV5fg0GTP+oCXWSqP67Qlv0/MgLTWrO
pRkFOvFTWwMlTwevdIki0LqzODpA9j0GZfFSlExTQwLpGNldRbp51/n2vtTTPU2QCzLiU5nwNitN
lBTqV6tk2K+wOQj18S2YdRLLggMoSTIvVoXtb7TouWnFk+KzLMiIEXU3pSWbwLzezE1zyA3g0QGE
ZSGrZyG3QuziL058idSoLmkTEImw8SHSF16xd8pV3WwNe49u6RIAhmtZFyIA3ndgFN5tKxQaOg/d
GgOOIOC3AwK1oWaidiRYbJ3mZ4zCRjQEPO3dlZNcR1BSihs/Po/KTYU0xWdWjKUYXeuWvNLa2Tjy
LP2SfolX8Sq99IP3CgroTXVh4HoPcGDizDfcdD6km3RjPCj+aqrc7MmetuUXhsVZ4pL2SiPbI+ay
id5C7Sb/gt/ztgJSotwL5l/GskkOPMbe8Jthh4nyooq3Kik4M0wLZdzC6/DKaOC1MK/O0vFQO9XO
7K4J0Ai7TdVZ5wNxozmBKnCOtW1DkAPYg9DrHqdX5Ul5opY4/aieflz+HT6379//HT6L1/ZdvP7+
v/49fja2xla+9u/y1WDOCBxcDK45Hftm408bZ1slB2HF8IUSXH+8aJlj6vu0zJ7SIwF56sDKWHyt
cCJZJFK54jF9lkueMjq122EV3owEerfrUGxdSuGzkEgUQDHB1qlJNLlEVqgZ8CdXC3qmIBTZG+fL
RZciyLF1LW3Lv3l/Z8WlXe8snQk/JCeXwEDTzY0N+OxxWH0lmq9njpy6YMXnPVjC5cfky5LqRt3l
Ok+9Jy/des3vs58Luc6xFz5ts3pH9KqwLw0yxkPiYmCydJ7FnnHckGI9XfE9Q1R6uZe0K3lbDK68
na7CF1/dOM1VFp2T2zmKXU42xKrcAazl9cdCnt4E1OHNJbpqMnGYTW7540V4P443o/5k5PsrU93E
yiO3agCVgmaKx1CWlE72RDGfkDTzUQmY8SLhs5RV158tInteHPK8NmoIaldhB/18q86ebRGXuc75
woWxIeW9uhhDqNbAd70y2Br+he5flAde2uNG7glesa+fDHA/hHOj53Iu63Yfhuug4KH2JnHbKFcN
Q61sVtyW4kq94rUEH+Y2Ol6sNiQF7e33TTWuCuU4PF8g3yTojELGy6UHXDMKr0tyA6XXHNU1YQPN
vHb0Q41+6Va57MM1f6OY1sjomgmBPi5nf58KmPvvfvQANpDstbVUDgNN8OdR8deNTrasqm8F1YJU
MFeLbFVimasgsNaRumIoj+36PKW81iLid7vV2CCOPVD95ghky+Tg1GiEENfz2Zx2XV6pzxiJUJqI
e8Qa1U1WvSe2dIPJy9gT46MobmYCtsKyY+rlljYLzKWQe8Qvu/xbVIDV8sgRIxopIpqkBa/OLeW1
9rfLDTxgdhEbQirGM22V6qRDI6h5SvzJC603Z1Ae2niTGru0PJv084xIH4b8ZKiG2gN+KL7pNlc3
CZ519V5NyZs4n472swDq14RL5eWJeT+k57oAvW+vO3pY+aZLr9TpFtSJLDd9cOgurIeB9VBzi+vs
mkKPfybpKqf/yC+7i+bi9NP83PdfUVleJbwBF00QAT/Fj3+Mxmveigv6Vs1wxsI4n88PaGBZp5JR
hRurwUlasTe+quSRlBFteuG2J7pbGV+apYfQHI0p5U56UCAEyFUE+kSvTLafKQudBbXlhVbfKlBu
LMokNLtBqbiST2HlZw2EJAw/LmmHPAF7AsDD8qw27rI1mYyDDTYaKchM8JXhm4+NyroauiSBcFZz
qm946xV77oBz80IwO0eGZbjMMT2bvbdbO9ul1kL6Six2+ZgO5oZwzA16SbJK6Hc8m4f4pRu8CriN
rC7C4mgG9wXvRAQXTr6z4xXpWHO4mY/I7zIaZ7M3ikcYA6uWfIMAVYRPKlJk8+ygK7UFE8tEXLWW
zf/HM1E91zgG8r3BQxu1D9IY16V0mKcaSKLg+BT+Bj3OO9pIr4xZYmUGd409Zwt5Vdz5WvLC25yA
A7K5x4X5gmSQNu6q7tSrrGXG3Jnewreb52u1ICo06L3A0V0kjl5H67LJTVzU5Xlqqitjws1Bsk9W
1OtheB+Cg9080H5AK4lAMFLDTexcsafO1tAZ6AYELBRTdB0ZuVwraFhGWq1e7SBG15oeifZlNn7R
gmUgTTKJkOslD5wtR+6KZQM79PNGOQV6PhlaT7iKdhiN9NJKx3vSIb6JXB4CeRkuDEIGgv9oa/o/
zdKw0J7/euh5uxj3nrOXj6aG5c/8PvaEH4BxgSwCHRUioM1/bTgVzfzNxrjLz0so4Ex/2Fb+PvbU
fyOxlkY9trzFxWAyGvjdtKdjIzVV4VgINEBSG/8Ix/gZqMJMAEUGpEjpwKnBmPR5Oliiy57GNL0W
Y4SmXpli+ylf6k09syg9KyP2qUOlhkb51uodCtSxqZxbVP/Dt7lMkSUGqh3vyQmjmkX+lz7ok2qP
K4Uq5yxdCt/ej4S61Sv2eFDA5pvCXAwLaimHcI9f2VIOlcXDuBumLrrrSDJ7qk+V9Xyqso1TxR2d
qu/gVInXyEyIZFT7a/NUpY9VZT85kU0Ucn8q4SOr1FG/n0r7+FTmy1PJb57Kf9HDPHWTkOhE89Qb
oANPn2Dq+miRhy/9g3IGxbXhr6SvUFY6PYaaxoxrE7X02sypNboAsCg651NvIiAhkCgyfdnNTDaN
C2eUNDHMU0OjOTU3/FOjwzg1PdjA0QBp+z7O10oy9reUufLYomVDRVLROaMYXQLbZumE6JaNmuZK
ptFQX2ltpcRnumQ/pJy6MPrSkElOvRmSaKsHHBp0bLRT98YcR9x+ZR1H2nouRYpPTKcz6NIet46R
QnsANG9pA1489YOmU29oQvyBBhh4zrgjXxp7vN+zUvdyRvahhTJg+41GlTDLpeVEL5v2Uw9HUCVz
fVAaKJMJ21M7U7EJV0kXpStwmPNtO8UTvSzapMANO2DD/KnZSNqdhp6ETgPgNN3tmVPv0yEe243l
Z4TxJaWTDWsBgPCo2kmzzwxVI/lMRUiMxtOZ7XVTtMu7f4QJ50aKD6T3ny9X/5mG43/aoiYWjPtf
r2rfDcpX0Vtdv538yRdR1b2ln+Qgy9/xY5UzzN8oVlnB9O/LlUrd+kPcwS8B+Mb2zvTW+Nm6JQnX
YF1k+VkotSggcIL9WOOk+Rvis9OsUjUXPrj4J1W1WI7+s8xikQcYoFUWGz3cWdrDH+eekmFFCKQo
3Iaz3uysIXrgmJuqyQ5WhPMYPCUK0nkK1qnWIt8Kb1pi5eYc4abdx9sw5Ve6egp3GHbYHmuUCvhf
3E4llS4n4J3Q0XOZzXu/DjZqoX6BlP001Om7xGIxGdZ5Zyp7sEzqqkfjgrQ3/tbF4gw9+T3aeGJH
fZLjRFc8Itq/x45Cxhb/EQdsJJqYFAF89kyubAKMF/8G8C0Mo7r1MmvNG/nqyto3lZHUARs/K1g5
RP3aNV/4qMscQJLY0YNEM+Yztm2MaOkJwNaXjQN7kMmeKpL5Yp7meRenyUU9AkME6MEniOJ3e8Qw
QxI1sb5G9bgUlcSMrXPN37cd00QCC/dTv+TOcfisTV6wiznbzNeDda/l5fePxTwWQW5FfCX4eq+I
gztHuRxLHXQphgYyDJ6GyTyGAZtYhhzfQjIQA8knwf5arHLTQbHaqvfgOcsrWfk2LleoneOAEFgw
pO6s+Js/BsSgJy81GDxyGiWOsLI7ykJ7yBqiuJPhqTen+6bhykUJ7eMpC1+G2TojAqqEtFOX6wlt
Kp4y89jM2ToO63YNIONKQY0+D5wnYXCNbJtCp+uuu7a8SlSi1+KJ70Mat+MNtkExNFMr2tqhHrt2
n9rehO6MPHr7sWVGV6REWaW9qXCndFQ+s+qN8qvFiJtRbuhqKWBOvYhefOYG5zY7wjWzYoUYP5ns
odtW8DpFQHUtr004o7G5yBs1Rd/XzZieRX7Y3shYbzf5SLg3jvBxn/rTBc4wYCQNO+EkNMc10Hei
UbD14GXrmXI2ZBgzDfaA9RIgrnbNLfJAdL2V3qzrtqZ2M8yIHLQFZiv9fYxlED+D3I4+7eZI6lsl
JSjAzADiWC1tk5BbMx0oB8OZm91EyE4Xao2VxtPZCGhcLJzYT/gRBsiL5iastL0mkxtMa1eWytUn
0eYq044TKbuk/P1CLMTC9PH5p5+mss2h6yc0ky35x+ffzNVCBp1FTHBaVriFjO0Um4x1koV1n/5C
1bGo4v54NBqFBjb0Bd3x6Wh9p2mKEvrB1sJtt5Bjt7XVbZUifxTxevaJxTIGmscIK6Kkefxpnb76
3in8mSH1CeOB7HL5qiyqxAZAIuT7fvyqeabpBbmLwbYgtA/eVLEyFcgzvK7jeWCtOV0I5h+Onx7s
PDsos7X5+4/wSa9z+gTgsFjSWWnZv34STEndwBZpaPRW+v5CiuyAZe2sqjJvkum68JNfnO7FMPz5
dIMC5H2B7N0y+M6fvrEO9b/3ubg+MifaI6YXTvd1ctmWPPL10MYuJpBbmVSOFxrDfSzNi7Z8EVW9
Y1ZG/4iq2Y82yBrOEencg0tcZd15Fff3dmFvOpHs9LI6Zg5h67CP09yrUrh9U7nWcMYxtNeviVHC
H4WBoyyi53hozkjIPPcrlO60P1U7fDOr0V6h3XwaU8V2S107TFVRe3xwpksEFMYIFnxStF3mgc+V
zvQnYNXEQozXtgYW3Q/ym1XVj3Fj567kFbYtO+06lJLK2akB6wZ0gItpvhcVy6ct7pPJvg1n4IAV
/qmoJj7PsCcPRNA+j7pNwYymNFXju4btHxV3f65l/aBs/c82VNu3YmnqNx91sN9LzX+pZP//kMXa
PAB/vZXaPr983DYtv/37rkmTi+yVBQJfD3AxeAe/b5qQ36M9A1kIko4q75Q79qMyXESvCGJVdjOw
+PWFIfdj06ToDDBMZGRIu2DZLRCff7Jr+iiwRPcmTcrMxfIuGEvwt318rGRqW2yQwE/XVXwtC+hw
ZYTbb2yE/j2Njqv+59y7j0dCKqrjXoZyusjSAJV+Xi8hFE8+QWKurZWRZ1W57xLBvYSc+fX6p1P/
J6vjR1XfjyOx5QS1xIkCDfDxO9kRhtrR0N2Fr7cSsaS+Gqdfpa38ydeB8MQ1A/NERJnzaf0LDARI
NdWhEVnVLnCK4LKZKCdt6P/x9wLlr8+c/YdvJPHKMmw1SGhAF/pZdevrJZ5AI1nrcLKprYq28i+c
aknjrbBDE1NrxA7Egrkx12nQk79JDJ7f0KudwW12vpnlhICOrQCZEjQVvU/gb54+1HTnUR0V8xen
i1R97UOS6Ql/y4U4BmGTXJJgKeptixziFecsE3Osa7ghlcIqHhzDn+i9DSNJr0o18IsiqMz3KJ9j
gxl+yJxfL3rjPZojxfL4K2R8PWUVB9YQX3+Tyhgx8dcFjj5lQCRHJUiI9d6PLbQ/nUCSeVSTnBFY
u8SX6tiWsGFqWU83sW6tVwik5Nn3wscqPiZOCukgsaavIzkSj2EjrdhzFvMAM4meziYIOrSILQP0
fR8a1bDxLbV5Q/GS+etUHacXDJTjwzhk2XuWRsZFVRCVR8807G5GBFUIbQLyFPjiMiT1uomMRzsr
JNFfeaG8NF1l3fkyS+781iCdKZK+ZruiY6iAsi6Lu0c7jlMsHVqYtY+ZPXSXs11wprGjlE/SEvmN
AMVPZ7wdyA5VNDvxBpQykdvixn1Eh5K85E0UvfDUdM/hRGwMr/mCGY1fiBJ1ii6aZ0ujZ+HNGldG
VQLm+2nAJHxl6xOyHtFWw9clFsvYZtj8Gg9Thv0Vj59+FIS8XSPO6UniEDryG1H1ycMobEZq6OYu
keKFNKK7NvmSdzVcvDzJ5L3Wjwpqu454q8hx2ofRJ8m0Qm5F4WNO0Ss21+ZLQxBiuhFTO1zUyYAU
fRzNVIXmH4wH2xnJA9f6FGhhWI7qmzoM8SuT/DTG58741FX7OsCvLioKAJmj7aMj1CdbKFHanhde
rtOfjZRDKlKyH5IoLzVvxFdarAhaz69bhvnQgGY0DSuKOmG5WhHk7PBnslevxyVbnk1U/5QMVkjk
O9qYG7uOgsfOjKxF1LmYcmkHETwL82Vo3Qp1uMbPE5K+7iu4Tm7f1n5NYoFWvjZVQ0DiEFndo1Zm
0BWFNeDVLNqclrZJkB2G0LGiprQKpnhqrCRHqoNeMscwsU+m45zd5LodHnxs/gINg4HiQbebjJRX
O5kWpwzCx7QC1+OOqFVSHI0pT1nKEdO15tflNy1sVMNVyIYP2a0o6CpCsBR3NZ2xu4Rl31nVqhl+
62TKsBDVs/U1YzJwLWrMF1Quls/WojUTvLy1U18vYGNxPvmIr9w2ITUe4RR0dlctQbSsypkQIYSJ
mfG1aZToFcl4dkXUWwwgpyi5b5wmQPsXEYCGWdPRM+Hpps/GZ0Ym9IgLlv3ywPP3OnID3eixeMRo
z9VK2m44Yuaf3uw+4k4iFSQZPD/MiaRyEmbR2ITzboV7FWdhAklDWVUE0d3XLJlPta9gCjA6fahW
LDg1ikSMWM9RNhFl35iLrFANphp5bdGAO9F9HQl7GJZx5pK9Vkv6U/p0UWRVy9eUyoC5ScnuADrz
GzTGgtmypjE3DYJQf59htj+Ozqiz6yzMplqN6N50EsxBP0JNnuizzmSxrIUshpuAL5BsoJEwLixN
WCx1KsAOY7q3No0pgZwFdoG4Rjcio/TYZib2FuEsk0gQWyhWTez/57qpDYSKGYCMtSziM9EeHRhX
lK1gMUuL5MpAMyp3Qi2SNZJr1YYAMAaFS7me7duUqGuSqjQm+0SSMIdZzMNeqrM+W1jHe706mzq7
1qnpLbLCmmFUHXywlXFV98D8iRKto1fJ3bpwmzsMqWloM3WLk07vPWy0XeYSPx1+hU8Lu3XMjeAt
0iZDrgMj7q9kiulrBa2/ZB6ktuOXziRxna8gq2mdxbYpd1SpDsD9scC2FukT/ZlE65tXn8yx0AvV
Ts9WiNlYfBusrzsnD4TjRgM6plVp1fIhl3mQIjew+lUYKepb5xMv7k6aVDNalyb0pik0XTZBGSk9
c6vvlFlUBLCSGO1Vmhke+sUV0em+PAdFl96qSeq8KJVRP2lEzjdMQPHdrYa6DS6MzG6OqCdLfYui
CXpAYUfMf42Q1LlVVqfRnWKV6stQROON1IY682j8M4Up6HxcZQg7Ck9Oon4tk0F7CMKemq0dFJ+o
z75ihElJUideZ1rVi8ratk4xKOGeFn4BEC8drota1fHc1toVrwXr2JS1OnjKKDYCjN0rJl+wPPAz
ekyNJiiEHZpkSA+DudznQc1LpoqNvOT5y+kF0C4hcNQYp00NsukbcSzC9LQyNbWVVYuZ167F+uVK
raz3SqQbwCWwH6FmHRZyRS1amxw1LazPWm6+l4qz0Xqg7ot0aV3NO0tEsAHJysF56TTG5aiRQ7MO
O0a6Bg0mg9mfU30Jest6jtCzWZ4/98NFKdHfUbGLFqJFG2dnvHvJp2amkSP9j+cH7k3tucB9rIDP
0XiBxISWt1td67md1Dxbprvkhn6dpyRgcD9FrACEp2BE9uNuvKSJTrlaTAZj9lpMsfTKyqm+0lHh
MbXmIr2m0rNJutTLI7GqDd0D3akZ16PceyIqbh7PaDNMT3kXo6/mb1OfSRfSv6aO4x8tAUh46/tt
et4qBWNQpg6gWsZoMdGrJ/TuQG1/F5yAvBimOokMfAH1ZjSVyo01dYLp4wnmO7CZJNoD6MhhqnUa
Cahwo4KFiBYop7RteSmv+3Z2mDsHA5MS1ONFcq1VMu3PG62qYApXgSGvhYVMHXxGw6WDGQKd1jiR
alngqxeInjCnZ0Wj+1XDtB1PfFu690yhB+DqyXne64N5VmP4SrhvCo08oSHqr+JAiGLboThUzscJ
bgRmJktpPbsKULVrllXflhHbTuzfzKRcEsHaqxZcZIgTHylJmYuRpCIM4o07GTFhPxjLuPBSS8aX
XBmEuZpoO+xjpcL2CtWWOKRkHKZkAxnISVCFtGJ6IEtVXItGtMEGwu9Uuw36V0a/wmRj1FQTLzB1
FjYgItXqN1ELTQpnLfkGx9BirrWaxobdXTdqZnoEfTA+13GBkMbg5ZiuEobm4SqO7f5bLaTPNhJL
i+3KVm+FG0oQXbzpl0/eTYFduaRBmYQazW2/l2PRfOvmfgL+YxY5OBp8GghtaslbB1NGMzDFVfvS
U8DYNd7YshCrxaSeDWmq1KtssFK6oKFRVtfzODbNRdvTYFszmNMdRN9qv0uxktmovpWyT1Z0HSXq
cqaQL9agoboScw02x08d0RBrYDSxfhm1qdiABRfzWTb1CU9HaPIamqM23xMFNir1OunUNttEvs80
Ke1EL3e+GRBNukJTniPM0YMZHCAbC/NZC6kBXO7zyuflrAa5+dKUFsQVF/Mc74Q+SBx5wTwNDYTm
p+Wj5qMxXU+kOqn3Prah8jkCC1NdJbKprKsS4T3vqjLgRczmzkzeTiXhP+pa/Gctif9xM55FwfjX
jYmH5zSNmtN0Z9O13cc4QbH82d8n2JYJnlhQy2K0PeH3fm9TYNy1fwOGeJrQUAb/aFEoGkGDCzJV
1XScoExf/j3ZUWh66Ph1l5Rzkz+I2vGfNCm0j8U2NgLMwhbazIWqrJt/LLYHq4siTW3v4i7OY7dG
B31EXW+pngHUbbvkxLnkvgXJmgzc/iUBU/rG4vmWY5R6brKgPaajnt1okzpvG1Jw1z+d0j9pOHDW
fu5NLh+PdzjkwCUchdbM8vF/IrEOIx+8ts32rorJH9FEtwdzZc+rhNbg2d8f6mMn4HQmGJjZnHCb
RZOr9fFQbW8NJAnP7d2koEjrhjrAFBfGv/AQij+e8EWrwOoOWJbrqH9qoQxzZSpEUIX3fTGQgGKy
mQLocTVWBVCVpqnQHHZ4eohNSW61dLKJOFQukhoiVshr3dSC/Awjy7yeodh8yWzOOJYQwIITy7fl
3yRWVZ4nfVzukGjr2NxCH11lZUCVddTt358x7VOnmqsD7BoIK9tILMu69emUTb7Ua9j44b1lKXAR
uly/GsKS3jgB3BCASjaSnbbHk2BRaE7llthIL4CTsspag3KonLdpg+kv724NCUSe92X0/aL+7+r0
35pJQ/GvV6eLYl5UNUydWYdOiIOzb//3+x/6vixJ9TeuGHciuzt96VZycX/QQlVWH8Y8Di0+fmCl
+WllUn/D3m+ruKTgq32X3PzePhXIcdDniKUhKyG8Ejj8O0vhx5NOv/mvW3Mfnnz+GgThNCN48pk6
sUgtU4ufnnzVig2FxtyA00tT8GIWxiHr7Pi6Mpcm/k+n5perzPdj0Tg1oX4zTGfu8vFYiOWAbKc8
dQSJkiXo1zamlgCW6CvUxP5ct5Og/MUhP642p0OytsF6ttE1cQU+dYeJxMviGDeKq5hDS5U4oXWt
wx+3/1+exI/L5/ejLF1hxlo4sU80iZ9PYoplvvINPDsh24zwzGKy5yGeN7pNKHImsoOR0435+5P5
cYH7fkwQBnRSFhQEt8PHkwlOpbSM1hpcv5scZMBAITxS0hHctlYXbP/+YH/2BUH7L8u1w0lcbuKf
v2Ds65UmKMTcHrfxUc8d4xuNgWpXKX25B+PjOL+4bst1+be/gDcDBGO63+ghuE14fj4t39yQal8k
BQqCITxXm+llDP3yvOuM+yY2nAPI9vOw+lVGxeebZTmoDRsCsAHHNNRPzwIZ9iPR0fG49MTgkmUm
Kta0+BWf+Y9HwbGPaIQZCBMLosE+nsu+KjN6Zym6JK3sj4jAogsqx5e/v2Cf7w42NMtuYwGRqEwd
F87/zxeMPEh7Lmu0pqWh1XcYkPHxCrM4a8ij2f3jQy1+ENQxDDf/+H0aGcRhPBhAsoKlQ5RmxWBg
VZuGR30Iu3n990db7rSPNwbcSNYrVbBjYRH5dPaGqKiyosH3pcS2v4udyX8Iy757YPoTXGTaFC68
3fFXQPTP9z+nE3YzWQYEFCD0kcuv/7RKBq1ZVaWNcyzVzPY68ufxPLad/KCXGLGmKadz+fdf809u
EngOWCFYJhE9Gsuv/3TAMbYrW80K4L1AUWiH6f7OtqbxF4/1nx+F7D6AHmwvPj/WkbHMMDKwjrog
dbkl1Gc1gj/4xUr1JyeP6SFtWHSbOu868fG7+OlsMeSljPt/7J3HktzKlmX/pcflZdAOTAMInTqT
KTiBUSW0csChvq1m/WO9gu9Z92WyitfuvKdPEBkRcHHO2Xvtie47835X3BBBL08Wg6f3VNfd3Z+/
u9/3Dp+UInA7HK2X8daH7w4DsUdAVbdSA69kVgeXnnnQ0R3Wr21l3ua+GqJBmX9z4/xvVtwlWALV
wEVUwLr79VNydbMqVc/rxh8WuVXabXZAG4IDMhr96c8f8Lef7bJHUfp43KZpIFziNf76cnReKzS9
XgeRpN1fT2uS7+uaFsM/fAquLgMaOdM66ieEwb8+Be8gnlazsvFVZEu1EZWYo3YYzMd/+hh2KeMS
LXU5oZkM/PqYvPMB/w0oXBYPap83BT4nNIjKf/iUgIsH1EHzckDT4fuwgMmzGmTh8JIHcL8ja4zT
sCcWIPrzU357B1ixcDww7rETcmn/8JTFNa3Rh/ZxYS2IkyrW9Q6QzhzmxITs/vyo396Bn49iCnqZ
3pIw+aEmMGba1FNO0qxyCalFLaYN57i0mbS2f37QZUP9ZcPFM8GFhcEtch2bq+ivv48aEShDf5QI
Yr3YZE9fBnnIYCZiK5EL1l6aWMUSep0sB3qeEE+JpM39+R9/XmATrCyTQEJ+Qvnhq2W92qSqYaLI
wZonpyWG8Lu37Kpt/ubz/v4bepaE4e/xPJfnfFjH9LFp92K8ZKjV1Dvau/g29KoPCeTRpz9/tb//
hh4PIKIB7C+3HIKRflnH3mq6narox/Xj2t5K8hsPTcHA7h8/hThVigxAOiZ7/eUD/+UoWWghTDYV
LpM4wsiaAklkraf0b742ZBAfXhT6KxciGZ8IiS3cng9vpJvlObgeTER5QpNxC2G36rfGlHbfpT/E
6o2Qt9wpNrLjfhoNWRvjve9U7CT7pC/S+tFToHl2FjJ5tk8hRENvexZmZKGyNq5I7Vy/S5ikRAPm
S6F+xMyM8tCBVUqWHPQB9ZjYPTJP8uQNtV1zSB7MvRKzUCdjjteY+Vhq41I/9cEoh5jRCrhs3EJN
WjgB00xNbs6xswA93+fp7Iy7qfcTz444z7rx3p3jZdzk/NfOdq1rZE0knw/FxmxzjTyyLQLGMLm7
yD02c5Wedd63z27aYChoRmwEHZ+uvY0dAOpvqQI0RMRLJVckvTSgwPB7jICJ5hmCAwHhZn23Bm6z
HOcezMu9iCE97ExMnfMV9+2lwicl9UxpP+UtxNUaPjB6K9OKOVML0sK3w2xl7kNzIcnu0n7wndBe
XeHcF5VL270AtHafkzKKsT1Dc79xW6L5SATgcrXRhd+6O+3C7Xm1cC8ZmP7cwv7ESDslarsl86H8
UqaOl25bv7ZtHD52ijbUcHUVDZBKhoNyRom932zILVfelHwm+85PwkzNTA2r2cw+GYy41qMftMLC
HYQ7gUmMarI7SUf3E1a+cjk0q19Ox1FJZpX9OBu44to1oNEPz5ZfbVzADPdZhex4ZsB2n+hCNmEl
UxxmoGaRv5UV//p9CiEcGQTcpnxjV2DA4FB6zH49XZUDAYCEZp5qbAd3GrSu97Q4fr8c+96p3csA
p4IDvlVjkjtJtBhlMuhomvtUfPVzWv028AJj7m8UUF91Bsjg2ttWMP36zsx2PSp78QnUbcse+LDH
/BCjGm8EsReZZ9kkTPiDemyHTmdfF+W2tk0erUEWwta12wH5d+HR6kYMHTeGVW/qqksklLquDCYZ
WV1ijN8JMjKGK8cnK/CH7nLV1qTcDMGa7JzFNm+Myq/TU98m6bwdlWd2B/6I/lth+LWLCFFmdzgg
unca+OCrgiYbxDmZAjnrDRfsqrnrSCQfHEo+HBnf1hxdCwgiJQJxBLbkjV8NoKM1ftcAoaEVdIW1
EYVbYaptcnxnAXhQ0OvGCupFwZsgcXbMShmuKcjq+7m0ZQZ0nXbZ9UxWVr9PSQf/7rOoxj3c7tr4
VvV2ih9WdPX5kkKwXJVzLMrd5Lejf7TTwjS2C4tnYpLrjjfDZCfJeSaioXwI7Kww91kzE3+YMnyx
tqaNdBsOErMR/Huxz4QxLsZ2W+T0aregnipI9XlctSE7KScYgyy+BrEEK1eSJvZuZ2adz5B/jXEv
+SedrdOD1GFem0Ib9515bA6DldlJONgGZkinb7sY/BtDhE3cy+LHOsiMCzATqHSDwMIxD66e6ukN
cEfXH1MqnuCQESRin1u6vc6dhjnivQwDCY58V4Grjx5UqnU/9AnMPd575UKpGYKXzh2ya6MFf721
SO36YZi6T67TtkOotg4Ma7ZF3JKEPCWOXz52ykfLIYwGWEaQ6+mLMwaXyV3RpE/NlKNBIpEqyMOC
5X9TzPWkQm362XKQSWOjte4dy0XYTcF/mIrUdKOaQW2Fn0ip10aK/vKdldV9r1WNpAUZ6U2xFN0j
G7+0GNb7Itnb1siuUdf9gI60aosn8K8oX6zEn9U+IYWy360+mvfbJbaMdJsKZva7PlMudGdb+P6W
OBL0d0M9K3/nmG0HemfOVfyK8oZJ9Nx0qQn1fBAkTUxBdmzYL5xDYzKgC8n9zuo34m8IX6n1Grx5
JQdnaKFE8N47Zm0G4j6zHs6Eq+A7jpd0sqJO+5WAFmdkKvLrsvTgxJuEcDCw1EHIIb5AYBrqTm8d
Sw/LzhhHc43SeJD4mhgtAn4NgILgPyMb5pSyWsydErnR4yxF03WCDwIZa/Zat9r6C/STYwdkqtok
ZZlbn0iNAeo3SycJTgZHOeNNJpCgeWgKcUfxlqDb2TWNG9yTrfzKttYZ114jkx16O6cLWSw4i9ss
dsk0lY0j0eKUYxDOAqPpadGoQTCZmaTlGqmmKdEuK59kSnTTRC3OzTx0x8bFia2c5HWJTVppC9hr
I4yBduHvZGRWhsjfGkUnz/IwzZstl0IyzNWPhmhgtXWypZxCXiiPOz6mjcM89gpRw5JaHbimAhAQ
xivnc7ao6TE3M2JeKwFuLyxLJW5bEUuGlG0+TuQ8yKRFDzkG+QkHF2PGJRDZzN7lIIuR6dhZ0Ygu
BCsB4J93q7LQLgyBOZHRoqvlq992UJhzx55Q4qgOj6ryEl9sJsPs/ShoTYJvrItm4WBULWPtzBqp
V8e2h5xkTaUVsumSEASPxnvxhzqtjxkMM73tUxPTQlNPJBHLJlvu6fotdQiGHNuyAgno7xovZ55O
ioofMi51nnHIAHGrekxwG/jDRh4R/gJTi6ywaY1k2wz36Uo4DX8POCZGzzle+Q4KYUHwTYEfQpZr
hb97Kqg4DSa0rxZHH0u+XokAGRF2kkjkdvb3lJAiDsAJ+A3XzLq/ZLCbzIeLagT4p1YOg0j5OSAI
gnzrL+iI4GwAbDKfwFdhg29KqzuRMwMumii6qdx6dQ7qOBl7eQP2cPV39BZmnwtS2YU0SZI42EDl
AtvcdrLAJLG0MQi+2OiSWxiemIaGxK8Gm5ypcZzOXZ2v9lawvyOpNeomvS6KcraQiuGwe7TWanTR
g0OFuoGSvI77AhrefFjxUMDLSBfPPMdDERTnlrvEANkvsEgeSdAvZifP1kkrmUGjpSRcx41nY91V
IvOdY9OtzZBcWTYB7t/UxFWB89XqZEJmGgcpAS5Ic50ibIXttJ+5tlhNBDkS4WneTaiNHNLxoCjl
st+PHiaSAwINaCFtWcEPSSgOCXKqNVIjJufjHDpUgq+dWBJ9UiUTeB6mTLrCxMrf+zrrAtzmAVFK
gUizYqdiTy/R6oM9jmj8IHji0oUKNu1y1DRex1ew5ZdxT0Nv9/1eO0N5b4hmRKOn3PWlAZvYcAfv
dBclSjkPqprGk9uTWwQoxdJXSWxfAlQWeFYEvyPs2cRNr3BzE6s0vurEsl8XalteNyvQ5s6Ih1pi
+q+KYTdmy5BsL/FLGHhQJdtd4n2/4JK9TTMvug8Xw+7uUseAu+ryl4PA6zkaN0LX4sZQ+IV55euY
P69ZaJGP9BSgOZgAhmIMPGojBAJrRExcEjd2n4GQqsxcf1Ec6lOoO2HlG1B7QxGqMp5eutyHUZZM
1lRvWrP1nsjsQLJWmya0D4JNBm9Tgn00oDEmaoS25avxsFRmCYZm7eonV1g2idmjcFE994sEqpF4
kFlKZGehnaX5q2VlOIx8d5xRfZOYdvDqFiYD8jcDKaWe/QdzIvEQNVNOihiZEyAi07Qbf5TIN+C4
Ly3LMO9yQIM6x9dDIogcnnu9pN+aQtEyXYH5GBE12/Re+0v74mX4fZw45i5F5gTVErVA04eJIDwB
IjJr1SWH8XLeDCifq5wmKHErsq3QZ5bNl0kMEj+gM1dImfOS6CvCX5h5auClQaY6D8KL7HmVkBvB
/QAvvSPWzBA7hZLC2xkFwNRQ1u5EYBQaalI/LDJlICfk672uc9TAJFE5V1KMSXIiaFF86rxEGp9a
34onVM3FeLt2jn0399qwQ6IjxAMSCQgrnjF6uyDV+qpDNUp4Nxi1n4Ka5iu6t+aOyJgB9B+iNYph
CzJr6Og0hpRgkgxxOQ7ieG85GkZZjmWruqfnMf1Iurp+L9vRdaNK9JyeIA1IlAnMuf4yE1LsoHNR
9dCeM8hINHwI2XFxSsd5VsaniqS1+JRRk6pzQr5m/IZguFD3SxwsJn+gg6h615iFLj4VzjgR3kRg
mm/W4N+XZQA5INAebkRr9B2K4mHEZ9mPbPIXFdT6aZKsrm1Z1u640y3os4hocvc16fPxyaESVNBm
5GBHJvJrnzcpJxC8QZnj7xZhjud55c4eynWlCmGxZrxzhvbSZUaPSUSv6gSOnLbx1y9z1+vvOWpf
RIwBhw6vKZrvTSs63VPwJEW/YcfAMoR8Nd1VAZb0MK4rD9G46rkAr5VlPzeZbTyPOZs3e21JmFgg
S30gR9NGno9u9qZ27BLTomiR0kku6t8T5IkBvrG0eG3d0k6RctUlOSROZoeetQav7qxFe2cVHjE/
EPJst/2qM+q4p7JiRva50MtiktIDmXObkioQgwfR3qe0VczYm1FYHswLOWRRjJ5/3CXOCr+5ktp9
cjxQufuZmyAS2pFmQoCJdErzcw1hUkaeLIQDhBXuGv3Y7ttFwsnWRgAfus8BUfBPdda4pdfEfbwZ
nKRFJd1a1nbsZ/fgko3ubTqumyTRm/P6tJID8znxAjR0DWl8rwSMedc1aa3It7KBkyKbvPF5Iqmw
Z20YF4IjL79zIa+BSfZ1a0HhkLTQNnSH2yHqVJ6Ue/C7CIs9vKbfqmBc2fgY0s4bj8gCiBuD7E82
tEfMkFBnsRIQE3ZhUjX6i5hSlV1NbmNesoR8qfZMP+N4w01DP6i+QpppCn++qc0eSozVdALYxtrN
D+uQmQW5CSNk3GkUIttfrD58VO3Lltdw8g5STnB+x5G+M0hjg5iCJiOILMz80pNXY2Um8Ep8EAKZ
17YAtNzKehJkSNZsodx10a15l6sbTslzVumZ8K1V5M/c+BbunylHaKhil7XfTRLXPDoyIrZcmH7o
6X2Sr6A9OeqbRIrbb5BzAFDOpVmUe7i+QwsODHIYh0yABItg2SCJyiQ3ivBi3v/cTewym37B/QNX
DMIdfEpiJMj4+qFIPqy5mWaAiqZ2HL/zXib2FgCGzN6RV9bd3uBqLE4x5Ahzo6G0Mp4elVkefKWH
eu8TF3zJV/M1pHHyzozPVeWQOVXbedFtlTGsX+cuY9vRVWrelXE2NcdCrOoNUDuSS3PE1gZxaS0W
EV+T6DZb1SMwbYf11ekl308tNxJ9A2VxsaKiIxMzatCcoK6Fl1h9NnJvNMNEmf2w75OWLhXyV0r1
p4JbXMe5N1meeC0dI0sfmSlKUifidi1Yp6lrlP1DaZeALl1vZt7S4Qhpr/3YA9syky4XLvVcsE1b
sbNTsqBcyaSXXRWrH/9wu7F6526r31oCtSzgGK0u3/OZy/fOk9ygN6bXWOZx6du8eUzTpAV8VvpD
+uQNzKppAnT5y5AMDzUeP0UNgch24/Jq2HXLXTcXJK5BRo3i1rUOfM+f+8q8Aux2WzfOO1kcAJNb
+b0urfktD/x+W/nYUz05nfrLjVO0wLAr4rAKc7KcbwnhJen5P1qWUowMG9SmEgQ2jX0m7oRX4xR2
rRyBt0dWWg4hs0dZm/gulYykA7u3gGTf/offzLFSVH/U5zVAmgRcBAhMlevbQNvmI4WZmbGiU26n
C8buuzZoZuhPHSfEnxu2vzVSpUSNZiLtNuH5wxf4tWGLCNPlzcSFnfFth0gN03Bu4yDqDTwJf37U
xw40dSFjF0ZIF71cwNjs10e5sz0PF1T1xhRZcZ1w544c8gOP//gpTEQI1LloWRDUfOjd957rDE2a
i412pDpRA9VX6Frsv3nKB0uxT+IzCfHU59zNmTNa5ofRcJ9A37UGfDYAs8p4pwpOnQ3s0Lrbyr5Y
boii829qAUQhhM/switUBqFhHHuQrm3uP3/+1P/dz3hJObKJxMPEJz/8OaMbO/ir+Rm5LetwGmQQ
CqM3WBni3zOL/y+/+l/WxTj6P8uvnv73f5GIufz4q/jq5//l3+IrUpd5HVAKSEOypC4qwX+Jryz3
P/llmFdcxvoMvi8pL/+WhToW6M1LuAoQEKQ1YCj+r3UVKidudflzIHaRSzrOP5FeXV77/zdZkwyL
8UTal6ez9njkBwWPDHTPjmQ7+AbzN51OV2MZnCtQ39U8ffnLt3L3r3/0r3Z7z7v8Yx8fhgbq8nl4
I/Fg/rrSC43CvO444IdGVOtjlVMxnfraBIKmh4aTxGoJ7L1O3SB/V6uq/X3FHXvc0hPxD0ZfCfwx
FQuZBpmO23vhd9rF15Dk/Z3VuX59wBgxpDuXJoI4dj3ambPVIa4+sGnLazsru+a2SAfryu2zIbmp
iUtdoilQc3dO3SXpdqtjlSAc2eiXyBpW2oCmMGirmLlat0VnrXU0403h/+SCgNo4MQ69PQaC4Q5N
vDR3o13U9km3kNhBhnRVdXAmB2Bza404oTT/0gBpKA+9tmrfAmIIO250qw31t5eIQxV2gXST696+
I3vZz0PcLTDJPbUG7YawG1awVY6AhZqVFNbR4HDYDL6Riutphk5JKkujIzVMEyl0tCeKbl97jVld
je0FfRaVmj0Yz6MXD0crqPM4rLDpwMlsM43Slj6QAvrCwb4xJ2GgO0r4ETe+kTOIdHudPEOdWuvj
2ozOC1Ufpc2YiK9JXm2BONxTA3kRHm5AytWw0L0FSD1lMX2zfsVHifdnAyyFfwnyeoR4ADq+L/fZ
RMtSAL8ruV1EHGzJxhvcm6CVD4lHSLUZD8+BAOs0zEx7RGq9plo+EXb60FrZtcO8HqZi8d2FQLIh
wnU8rlYeZQVuBN74Y7f4Lkx9KpgsqfDTMrwJCx69ybPuREDyKVjo+Yz4fgh8YZBmD3u8a1Uo3CzM
JcDHeTqM4zpF2eQcSoovCKvT/dzl59WoICznYtdXDd2zGXNRNsfRJUsk6vidwWYnG8yx3A3y7WSM
tEzj/lBR6lxbs/vg1LhAFotIh946LTK5bqFtREWPsY1c5Wpv1v3OwTfmj2WUMwiIclPcjKamLa0e
FjO5KVYlDqVpnSDxbGKfK5kh6XwXubom9etgo2aO5nrZy2k5rEt9S+7XgTm1d9V4452LqBuNXZik
Sj0pPT7a2ti69XKz2CV5kzr+ZA/j2XDig3DydauDATPbGh9XO8+PFGcpho0sWpm5b8DkXv6mjMpx
orczLBsF355YjltiBZAESibLxA6o0PSFByCH2l6xPAi/SV8IOScaINC3F2B1KOmW0+KhE8FMoxbB
d1MAi06C+UZmUGVTt//Rz6AejHhk9rakj+ggI1Wuu3glY7Et+uvWrJ48pggbtwvOJKpe1Wt211jJ
srFh/I6rcTMD/d9UC7euwCicXVXnxKS1zbyLbRxBvmU+w8UvyXYBdBGsPQgU8lU8zMOJuLLoMGKW
Nb4FgoqUVtHdmqXva6If9SSY5QTjnubGuS71q2fPh8HOgCXVIGsyt/+aqoDovSXWO1sDGl2aWBAy
YF+LwDpLwmKitV3nsEL6sE2LPAe60a3R4uV3dts4+6Bt7wBl06tlkK0nEkdpXNKG6taDFtTuNoBO
ggF3VeM3Z+xaD605zGE6e9MWWgEDXggaTM2UTzz2euUkUI0qLLihbRfv4/KzVxt8pToIx0HwWePr
Yl5cUrvHeBvXLq2m9kfDRHiT4I6jQejuKKG2MPNJPq1ofSt8sWWW0gmW1u242vwnQ3buU6PdZ4IU
3SrD/0udzqIYd2uOgTOtTuliH5O4OBs5xVsB2tQY4/u+uJStHUvVkiTJxDkhzRkAmNEtuWfb7nPi
A3i05Egs7OT4dFOchWmu9xg38g4UtH8Xo8DZDrii4FHKJ8dkSJT69k6K+ZkgdHx2SXcAW7T1J7ya
K0+zFfMCq3DI+UvN9aHgmGac3F9r9Fr7rGjpl81VuZ+G+n0pyRn1qAimZV+bRkqzLQWan2pAvTFj
PnaNb2tpggfwrY0TzNhQC4BBSWftQArOV7Rp3NBB/X6sR3GafSRaQzr0tNa6wnhOSb4+aKl3xK1v
HTqPkNfje6YNN16lvnUuL3oDXLjJUncb+N22glCF+OrnzD57qgzyKvpJIl7C9alcegdWn9z0CPdI
SJZbr2IAyyFR3/DSN1vTmJR5PZcgmcypF7eGXfVRoFOSBMocy3rb8dsS7Vt6/UkGMKtUTNsiD8Zz
05WnrrV7nFfy3Z4KtgazKDgXwbDADiXCmq+lO/q1OHV5bZxdf8Az68TFQTMLPVh1dp+U6s2xbGzC
5tOArxkqstwr1OvkCa/ypQ46+wd1p7ipuV8DiymvZdlc16kmgAQNQVi6C73S7mvQpk/W1Dg/lqoE
Cup1t5Ku9X1B0grNmWzH4fd1lc3b0LJFB1W3HHNhHGKrnImovZCOmX7kdetvFfUy02FjE8v46zIn
h6lz38eGH9caW/+ANqC9I1N2Optea28LDOQckXX1xJxB7TUS0VCXpc0XxY9UG/OnWuJp09CCg36a
mY+1RFou+E0z8xpj5Dujs34XaGJ+58W+yQoWVeX0OnSzugvFWgHoq12OWaVvNSZwix6uqqOkql9q
7mph2/Y+837SFgjrfmaSzJSHSKFNTdg1Xf14OUmFTDkJ1NHg4hoGIJ5z3g1Co+FSpTJ/q4daH1vD
pZPUBlujWT8nbXUv2KcoFwj3xbx+bVWuFTHDdq7IU1pDa6afPTodwB+OlzUtTn6T3buNuvZl/ej6
mb01l8S7HIDT1k0t52FFFkv3zyjx8hnlo++tbzTkqFtHZ08Gb8VvaWQHkYgOgEGl7+lH5WfHEtdt
3wYRXqC3hBWxwbCkr7wgX9jWPbkNCFH5jpToG80dgonm7MG9SGBiyZUn8IX57PpyV08EDTttI8Jm
9d7Wump3FIZyN6R0woj8IfVULPatrehnrBAt6rWYtqMRH4vB3vpVemREcYs868vkzNe84c6VNxJF
QXsbZDFEWFKBb5jlsU4Wn6zsgVOiKkyuzExDhwLmtbOezYIeAJOX7w00ZAIHzwAx6MEExRevsG9X
FdzmQ/bUjpfI6/JapRB2k7b8RvI9IeK4sJMG0G22Goc1c+/QatzD6N0vlvOKs5SPyxWDixzbIBrd
zVwaXwYf4UyDNp1PSwp0N38dJ+uTIZlwZ3I6M+x5CngRKwLhT472CNOCQAbUIcluq4rZ0xwo2rd9
99bmYiabO7bIZgo6mt0q4VLmtEup976a2/Q+8/OK48UXEnO9N9U/ssmSxfEydACUxuz9IQGVN1+z
MdNKJJ2qSplcue65zSrD2wszJnSJHCcpDw5yrvpLodbiZQIWPHYoMOm7hUya7Wt6mAZXQtsww5y+
Yho5kpH9rQGN4u+k/r8qui9lUIA2lkLZAECLmvHSo/iLPi2pLb6+Euh4U2Fz2OQjw7aGl+4KEGKM
UztbZhXmbtzf/rkm+mARuzxYBgjWUOM76KxN+4OysVUDoxPb06FjEiBPASQAFk/5QJ5O6fsX5loX
QGHJmTJaSDhJNwExV1sIG5agjwgALB6p/Mc9IRv2axFb6W6CHWdsZDUQPVeQVBMRM97Q38xX95wa
HNeVXcDPEEtNQBtoWuOJ1CE60An53H8jgv79W6Wy9WzTR4sM3ewjX62rZSrLUWqSQFT53LtB+Twa
5UFUMG4OYhHylbmAb2z//J1+6MH8/DFBMblkKOMEuPgJf/0x6XwOdmJMRkggSZlFZMPYn/COOP1O
kWAWMw0fGZQ2bsZKqqqZKmNeyKm67C/kQgVdIP5G+PurGPxfbxdWAfS40I09DMS//kFjEriME5QR
at5mRgi1f4bDKq7xLGR3om0FpByJGUlM4u8E1L/V9z+bDoj3L/ZSl77Br4+GN+nrAC3XJeU8+Tom
PimEc70qhosWrsFQydXzoz//ADQ0finzcUbAI0GFTCsMKfJHztJkzUpKNJWRLtdTJQ91rLcQO//8
EDwPH18vhgCG5xOQDaSKhsuFifrXRYs/NQNl18ThkHbnoGie0Luk1Mx6jGzZxI9zOqmoFO5pTovb
tnKP7cC+VxETdVjKi+GgJ5qiBiwCkYY9ppFBf5pl+u4JfYwTXRakxOfcXhq7uIctl0Zmz9jWVukL
GC4GK53T7h0M7jJIw5XAz56K3V2ax6Z0TzLz7tp8ijxTARVsCOWyDkPZMgkTitE/ARCwFS5TMDIG
R5/D0rahVXI/u/K9wtquYr5cl6c7YBqvyoi3gVs9Nn3zbbWrsz8SgEQJcVN604ty55NbGhZPHl9i
DaCon9/wxL/EtnXK7fos2NqifMi3OPVTwoi641iJDgR78MTYOiKXMDKIgigyb98485GZy20wOvLc
+/633BK7dSBLcEpoCa2XaLWxzB8hMN3Al9gt2YQR2D9Vth8haIyCwPg8xd1jOnigKOKrqUgOy2Q/
ZE0QgoxWrLD+rTK5mdnqhW/liaw9MD+Gv3MDc58v2akS7ivXo+teJDdpBVjA4n8sEthjrX4ZIbJD
X683VEeM48TeTcW3gsPNMrOKE2r80TjNE5skeQ7Dup+y6RQHoPtYGpFo4k81WY8wLUgES8m0yuRD
aluvbpGGgFee16A56cohvcMojE0794QjduQoeJs8Jp1Poeppg7d6do+ExJyrvLsBevEyJdnlYnoo
xgnH//gFsSaoMLt5sLPpsWSkSGz51ujNz8KTB4ALXB75YfHG3vZ9+ZQm5gkWNVFkIzApJrzszX7T
7JK1ppDI6zcClucwyan/Pe5IoTTSR25zn6YBWA7tsA7mKG8R8TjmvRbU9tNwO9j1E1yNadd1MymW
sSq/1Y0td8owr+K82a9WffYqvW0MFAuVbVRRLLIrhwDBOViRm1X8xqjw121Hx2BN/b1QC1hTyCAt
UTGLy3AVoO0FmjvcgEjl2jnkN1CWzlSjt6LreeWXyt+JlNAJrz1TG56ClXWmoWbvGFfkG3Nc5V6r
EslNYmWHtCqW26Jpr8YcLlWsV9oE+Uha/ZSDZ0h3UiOupmG+HB0lPjm0po5Op8U9LZJ3VGTrpWh9
GcrhM+nTKDvFsoZGVQ1HzWrbZk32NgTDk1fFVTgv3hz1fBeGXPfsBwOuqQYIK5sGUtMrUXshTuxb
vleyT0laSDEioq0DoW0tYG27ZvYQEHPpMizkdt2CrKzMrmUfH8pmtZ6XmdSbZdFPwSXptFviqEK2
9uK3nERQVuorNQVx2HBH27jtAJ17mCBRmYM+93P3HlvuqdYJ/AvRpNvOZLwnlXMdpMHD1OsX0U8P
zF3DpE/XUMboIKVNo6pltW+a2Hl1mPueRJceVh/ykJ26oVUFhB0tyE79JwMsXWmZMpINiMyYv94b
3VvDG2/cOXnrUXpos9sjdT+YlbtvY66x/b/mFi9rw9BCm7eXqD6LNwWJ9JemhdtLaD3BltFIg0B0
8671CbBYilu9ZF+r2twiOz9kpXM3e0ao/PXcL4kLvbfcGUGz73zzTa/gL8wXvbb5KcgHR+2dqhTp
S6/Qtw6TJDSEwRDFSBP1sLi2zfRTy2Ml/HFZt9Uy2JuV98MTU1BSbSMwJLlNbrI8W4+xexm4eboV
X8gpZRypkin0VF4/lkQHP+gpV/Rj+dID9sbEas+mGOv7DkPAjYGYb4/mltl6Xzw7FGa8/EvxHEiG
siiJ5hCuX/6ED78jg8n/PgjzuI4C8QBxNO4k3oX2XDpy4+xGnp0N03EtYlIW1XCHos4Pzdk23ueV
DsUpHQgCyeOSLtjsG9fA8s6VT9Jbk7kJKSCjj/2jYPlQNtHkHM0Hw8j7eFNl8pPOkPzlvdMjUJys
O2huyGYtPuXZVw2XSSQ+XxNkvac8b5drERsIncukIDFPMuJN/OEW+X+9R7R99IIMNg0JwYIM3g16
jjVcY2obaEfX2Th226kUV+CPoM5YThhTnETSo/5HGgMsUeenOjHhGkC0offAxfL/UHZmu3EjXbZ+
IgKcB6CvkmSOGlKjZd8QsixzHiIYwenp+0v/Bzjoc3UaKBTKBTmVySQjduy91reKWr6jCvsQCxgT
JYmk8gIAytIXxtkJxcO4zE8M6+/cldEuEViq/wJu98dp1XywMt+KJ2HQi21FRn/JKjP1E8RLHy9B
1xi/Ef2HWC0ULchpU7R8e/HTnIfh3Cns6ui9bjw9oC3uXmTjbWY+qfkO3iGZLjIPol8Z0+fn0iBR
MjFz+VibNlR/5DbbEFemr5wTADRC82jDyznd2IpTNOoWSYyIWA7Cr9v7TQ6ChlSL6jGOwDHAy/IE
kSZIV/S3F5mdg91vIyYmm7vtoZKOMoDfqaGka1/Op5zzzaOcJdnRAh3gFmei30gdmESQRF1Y/ZGg
wt+s2W1e+nXuzsC3cuJyNNbt3rNqIh6j5gPGWJiKwa1f4e7Yd2O10D/m5vElhST34ilaA7+4CZNf
2fPCO5vPdnaQ5yENVYv10HThEUkyYwxORMhb6pD8ZErCQS57TxuPNzzHITR69DjyfgkRqIUb2bi2
iZK7ojUYTwAewoJk97405h+FJ58t0iHjYmbhK6fZfxKiJdULr/2HoQqHrlKZuX9xarivDLM9lYrV
Pcy+8dBuPeWID4akMA/TAt2OS3iRtKHpynf9gWxK4zS6kian9vvx2QDOZpCZfeq8tXurM+/JB+nE
Kc2O1LsOanSjpoIZwJMvj5SmtGY8WV2nmbXan+5H16kw3gnE5fnCeF2OF6zD8tFjbdnPwcyWRgQ8
wtaxbcMU5ZXzc2amd7SlZz2W5UpvuQuc8Yy6eD55yjiitpuutu19KzPvkwp/y52Dr4/akDuUsAfF
8Hdkx2qbghuTgcp+Wc130QzSpYXvr4eM6NzGMS+Op35hn/+lhPeAf+BLbsMhp6iwCRhPDIQee8N3
c34WhfHJcjv3z+QV3V2Wb3uimGF6wpjG3aBldsijFp2B4Uybu0fo3lwWGxFkZ0Co2hhBYRLJBPBC
NFFlRQq2S77NCUDNU1aTgmegPYpF4A1XhKEHYM/jU+chXiI16RhMhHSW5D8xjDB33KL9Rc/b/dQh
DYssDZ1EzGo3yvqTHb89anNGPCTCfdnXnyoHfKiixkuEPV/HdkiKW/xHy4qdz/ob/eqzbxsjZwV5
trvqbrZn0oRdfUWX8yWqaEuMilxmmiHJ5MHXZP6xMtSxULBUiXTotRooBHdGPt+bnWx21RzBvKJ7
axQKgFJ4zWsDdfFYH3EbEM42od9yyyldkFNDN93YAUt5zLsSLqvetrfQyt5EU6PU1uSOyW5+bTJm
+I7Xs9d2pDXR8KdusDja78ZR26Q+O129u1WRzlxtx97PmcgRKDKjQXY3rnXklVc9M+Qcb3ki3jBD
X/TCKypS5z7QhnswJs/8oD+ozsSGxkiTgt1gR02qBDUrWsicM6toOk0HfhEI86QHmF8it4tcscZj
FxxB6OB915v5hV6/wKPB5OZPWY3NwaA/8Kg656lp3OWh7kLnxZxR3QLbvg5j0+691u1++fN4Py03
5H1UHGbH2J5ER3UKmuNNRNW78qDiedDfaFK6j0FmgnO5afFrZz3nkoZrPstfoa9QypiKdLIlDMbH
Xq/T3w57RbJO6GiqKTjjAUSpBWG2qzMOCFtd3rW59hP02evR4wC+F3Ilb2CkTJ1zJk2jXVagHkGM
tw6Jx+2UX29rNr6c4KE3++bPOLTLk22jJ7WCIXX+He+z/rQhrKnL9onKmrlvC/W/Mt63LnjqJ8nl
HvY5WaV+vpJq241hjPCNzWHckFI26Wgu6C0zAgNIJtXhbwUslbZhFlHB3QoRFvJTARW3TDw2Ouj/
PJ4vmJSal9X15nd/Uh1PMI1vfZ18UrF3g+qMZFFE5mwdJbxeac7h+4ApmVg58rmS/dGeMwwjVaqn
6EBNPRw3p3xicLgr+vHR38TjIisUi8OzRj090Ec5EJWlEU4xw5Bj9FdinEM32pHONRtTPC+YDtqC
BRXX0n4lNxvR82DEgNaa/Vh1WWz3WBmLG0A6n9tDrozy6DOgYWn5nCzCC9gg7wlXvli6P9PK+WJ2
gO2oLNMyD9w09NmiZ7qBMCEHhKgzfvdikVfHdi565A4AJvfSdP2dw5yxJVAMl8Rc76TXxRB3SeLN
5YNQtrwubnSJAlk/uzejmt1RLmRkvU5ivjZ+PiIyFg+C3r/AGrgQTzaYP1CBY2/LndMymfiZss5K
pG1/isZ+80gXf2bUTRHlqvlnYK32LsD5x4VB9FfNBDO3WIgwEf/sjYKgNbtxT2W5veK16p+iHAcO
AuIwnb2w36m1y/Y8PiePSN64tPNh71S0AdCyCqafmAJp7FkPQc9JrSqKD7OnREQ5yGzGq+4caN2p
9qirZ32/Oiwz3JNM9LvMv9j+5Ozx4fFAl/ZTPkbPmcFlF8FfaVtjHFTRUwDeNy0FcbtLrwnbNjiW
e90DIlv7gNCthro8o6BT12KLkNf27QnnCiVYxCGogjNHumW5pjjAqjPPLjlLUkXfDoo0gsM/9eYh
irO6T2f0L6IlXKLu6QdMwbsawBh2M9UQM2CCqZyz1THPsZw85OGV72K1h51iWPLshtW1ZrBzP+Vt
SNd2hgk767vJ0N4hr6E4z/Qt7VhHW3ARGLn6sRjOq5+RJbwO295uoSiPsmuOubbXYzblL4wTSNNT
NL4pQPbZ4MMkNCvjCfPVSRtT+0F6DdjgiuhtIs75vF2WgMt6GgfUtcqcXpSA/Bnm40PTjOHr5FWM
pYElJwghynRoEM1XM4464Y6EyuvlqEPtn6O64Bw1rt1Rerg9ii472n3529265U8/wxGeOy86L/X2
25R2eCbLG85N9VMIl9ZPMIABltfNHLpU5b5xClo8KvVMfGRbD6/IXL6zkvSnjTU27VrnkzCNLh5C
BWuZofRYzEEaVkgISAuLt6E8F6Owd/aSX5uyQ/pf8zUpw9j7rv8Af2Mij5vCwJ1ewkU/coXKZPJb
HE36OGoGLIUH6NYmj8rLRH0QLMd0eh+rKQN9KYbokc7oL3NF8Lu54duqrb8M+PDM9f3JtN1rYU3w
b+vyA8Off+DMa6Slltg4Wh/duWf7h3lurkSPMOZotvAYtQR8kvEa7BxT/B5G2tRKMaGmun8YXfdK
axht+lA/jjBndhV6Q4S93m8vqPgVgVucNh9LrxiG53pywhiNDqk82rx0LUabptDoKJfqXMxW9wcp
u31Q/BU07h/a5uHM5+Cu51G9b4blpYa1uRMhJ3U9Dg/24vJOtnJJCnt4E8J8w6h5zVvceWXv8Ebs
BeC7QbKEa79aXvmoBx5ow2yemDP/8jD8EeRYXQZnWePZEegadHmxFoULw68byQNDnJa3WLfU1T+5
y5NTejg9a2fg7mFu3Qpoeqp06OpOEUk6eF8RvHgcBubJjVmQSZlhR1llRCgr/29HDs3duA5vhWhe
tgBhApCI13FqfkBLP3IVIS97/MfaXJeh+5i95hQJTrWBcWshygVEKwIK7pFoSQTRh+RXMkG2lJF6
YnihAH5rVlo7xojtumwYTQ3yUon83jHno8YvfISF3e9gBF+zzLrAqrgPo/G5gza8k6P37iLqiaVR
tJyT2h+wZuiuNo/VVrwF8Fu4Aaa9ezOLZ4TmhstbVZkHHzsudsn2A1Rz9f7PoDNPJmk2pryjPQ8T
GxPqzmfX3uWquls0cbYWrUW+cbc6mZ77JZahigtiRx3VXUsd8HunD48CdaxqjhdtRcxO3ce2IF7Z
sF36ZnSRFu/AnPrRzxEd6BHxCnmpFD2fk+yPqwH4fqyGfj83ET4cg4ZsP5gv01C8i2L75uF2Ly70
9ISxT5PmmUhrsGB0xcKnupleAu7cyGK4OwfWRN4VqWy6evQXKkqD8L2dtxj73KCJT/3FAJ3D/B6t
/JXRcclpaEPnbITX1W0FbaWm3zOiTFvl1x9RRRSccBqw6yxB7s2XQiSsj0S8FelqIN5mav/Z5OMd
arnpAFx/P2DKS9qOxOFuma7CF+2uGb0H2gbPc+h9iAjx3E2uztOFJT5KNr/dg0gfjz35mEkV0VeA
W0jpDB6mh4F8nF0pf3mL/GqKyDtwxtpYFRcjdgHNK84odmYnRechYWcpTmxnqSn1TezbFp30DH+g
kWWPq9fcreZ0x4zpPhe0pBypW85kuJQCb32bFw5iTqN/QlOoGUw5B9PPCBSt4blvbIS9RUGf6QDu
VVg8FBtpyBWY1FATvo0/DI9NNmRpqOcnyyPB+QYZ23mNUDgR+3Mdze9mn7/2+F1BrLR3JHaUSWnW
r+7qZtwQ3bHhiIwLKvOA3EtaofN9boqHYQ4fhsy5mL3hJEVTNqjgpi+FJR2TUvNSdOahcRm8bVNI
wSSm0+ySzlyP1FAFQ9cpwwjTYFdPtt58Vy67ehHaVOx2qeJ5FbTH7SbBqIoPMKyNhAAagMe4h25h
ZaQuZLEZjcfFQNyB7OLJhu+eAhpQ96bTvZCNhYeDHsAxtzgQOARD3FC8XpqFy7thdHFVL59RuSHJ
GrPl0RR0zNy+ZVVzrnlUQO8eO/N5dNnudrVdGud1yf5MJEnubLG1v5fWMu4DNTSxNqPUmjMAeKZD
57Nbny2AFTsR6UsvI9yIogdzMJrRpegbsn4HY4hnWT6OlUlfLCN5go9rpGugX8fM4IZpAMtb2WDt
DVJymapCnuCWhfbggyQeA7wVRYigDpLB8I4+dXz1sQBe18bMrrNh9ekgO73cZT7CBQsLFMz+MVyI
AAqW/BICta6cj4jp3b7XYEIjintyRhLf7h6rllExUIHgzijY3jkz7pgLIFWzpIVcsi6HpCUf8QIV
+9nLaCCL1v1sqnA9TrgOjtR/CbL4j24hwBJvyUl43hv2FWKiJw7OVtj8qVtyzQu5WTu8RT83YFLE
6vpX0oUJnrT1e+5rCBAGIEGhGecWWmWpV/s/aVXOqYjUBTsvRGWGCUR443ZwoWsk5mqBbS66L8ZE
dVy1w0vN/siAvWKPN5uz8ntnrwt7j1oIu6wc/24eKcPB7f3Kxr+u/pQOkV4x7xvHrvc6bOh0/aot
L4+b11/DxXrHtAKfOJrvWkbpiZGJb5jdxElWctqbAxFDqvzpocZJ3a2/mFzry1jnpwquPTrFL6tt
5wd5i9wQGw3PlkQU/PUFKGjvJqtz18/ZGZ+FgfoTSYGMp96CQtAw3qm6CaQjtQt7SX0elu2iV3Xl
0X7Ce1Y827MTHXIHnjIqxokhLHlpv0lSaxPDsh+9oqzuPU8st1UBeSXtjGcXMPTKiZoOYC3GPtGC
J+5QLX3bx75fMt+xsIC0B2/CHZ3yS9kEpqmRHHRJN7wYpiJ7O0Samd1614U1cm6th6Owh4duw0BJ
PHOfbkKinWuYeCjfuYqBWRXLzmnqArxElOF0egjlBjdC96/02r2D03eA0Lwj0g8eC8fCRBtrarcz
X970YzL831i6mSAGPZ74PnqzBTajMHox6Js3+RtdCGweQHlX9K2JxlV/ZKUn2CVyj+TDEF09GxSz
hduTlLbVNMtsguSYiGXJshn4lTdxUhGxQ3n708uiA03wgjF3c995Ljb9MvB2gaFO7YY4LMoWdNbz
QfbRq7yFONSbzf05vUdzdz/5HC18Dku0LXAoxuvoBQoVUv4jK6aPad44zNH4hB5i7q0teqMl9jJD
7gwGTMO03mjbErLcdQdVUFTm4y8yCUkwp2tFDDY3Hh6IuHJJ2RJZ/45GJFVTd1qr7F5P5hfBfM9y
se4GYnpoNIyIajH83lIWHjpkPVGwJbPrpHqQZB/0pOK1I/e0QtzIO/6LYPXBrIrx0GTTUz3Pdtz5
QGi3dmn4lQ1Pn3PMt/CSSTRhXkWNVtfTp9Ni0ComK3GW7pQJQtuDhfbTMF2d4lfrCHIutXE2uigl
cTDhnf1g0gz4/3sGyGNwcioMct7lV14p9q6IDqJRFsc+cD8wzjz3gWDclrM6ifaS0z4d7fHMsfKo
F5IRti3tSZnHVkUjSTFuDZ+xf9M9VOq+xgoM3uNxoT/AXXPi4HLwhvJXsI3DzkbCccJudVSehThy
ORWWe4I+UxyiInjZFuRGo91fFDCivaAFzhlyQw1RVt9Nlv+F9PCXTuoVO9wjVfmPumwu1pB3SWA4
77nZIOkMMo14y6V23wy0IgFGp7sw8BHPepR8rj2/Ve36RBWmCImy9hw5LlHbJK4YCp7jvvf31eyH
XBj6vjFYRoLoS31vqZUmWztNP4XtcyzQWjx7+ZC9ELbEXBp/WB3jbTzXg2QmrwgmKp0Be3NlWDQX
Qpl0xi2vpTGU/3ds7PwtyokSrTehEXYoFXfabOdTZhLW5PVOatMntsttQ6pqoU5j0Cs1coTZxHLo
3AI1OuzPiQ38CRv9QPgnZ/gyLLI4y4IvsojFS9/RJt3pwgek02DOJLoy0CmhvClyfT5uBXvZL7aT
ktPMLekFZRcjSsE7CymDnMdhOjiu+Yt2KXwGSviQzfWR6KAbssm0DlR2X2MTRI+hM3wQZBzbZlY+
qGLsSL9UoHKisNqbSqc5nvbnMre9xFn9uw2BAfqHdGXco9wAjfMgh5dS+Njqi5Ynz52xbyM/dgbj
jz2UIQmhGSP6EXXY4g39QzFYGFxDAhdRLpvLNqWBvRUoWaERcGR6mHL3NciKpyyglJPbF61ML7V6
YaSbWwR84pz23+0Q5AT5H42UPDHGID+thf3oV/l7sLqnJhpexsHD9Egsjdfflkmz/ezaItas0Ftp
O0xOPfAUkJPOWFMZbOh1D6mfVgCN2YNDOM3vCj94GnW22A8COu9OCKNEveaTWIF0mW5fOD65zcqv
z4klhAhzbEyjTphO3eE3ECBPBvIkEbVWmV8fC4Wpg5hQtDhV+AHh623zh0dzDeZ4sZntYRpl5Oh7
sdcvFhcKzARGSKS40YjPsZaJZ3PG2KInSoNEGcApysJ5aQEiMbAgncXofuTd+CXqloKtZyAY3LWb
S2gIWdFWzfPqqismWjsNmgDzQKPTZrMYR/iI9/PKl7vQY8BJJXqpBowVTr4GoGHaPjVded6MOS22
bm8BiU2VzaAXHNW2H4U+raFD2r07n6tViJOELMHnNR7kVJ0N1/mBm9BPRiMy9+WYXzdHT/hAq5+y
VG/9HKwnNYKJGsIqjwsNEmDw1HNQd/uoIbWqGfGBa4AfDIAwaQ4AQTz6JQz63Ha3ZagM9CQupqU/
0HZzm/EyAI74eEloNTKeSfvddXAqLpUy9oPu/B1K0eyFSDh9s7Z8IKEhY6psrlVj7efaz9DyuMsf
Uxs/1lHzjrWHatPSPoM65mocqIoDV0NW+Myrj8U1vwumbC/u1GEi6CALGLW9MYhHE7IuVPcd15fi
5uJVqImdFjfyWm/XssidZxv9vQI65rHTMLSOJXL5uCAb7LbEvc2yuPO2ACTWSOXdh+8AzPVukBxY
wX0wO8cdvhP0MDDrrjqh4XkiB9xGXyXOvrH5p7U0cGGY7SvnXrhnfpuUUWMfxhXJUdB5hhWjKNJV
LDWZI7hFbiF+ehpMlGtkA/CD2rUBJfCZ8gvf/RbtyyFARJwhmOx+Ws2AmG0W1rpeJjfI6ayGoEEv
TXHrdJm61omDvBwrTt1K+9FuTK++XyFJybTbFgopI3ehA5HJVb4uNs3JFCcuqRtM96MgtbxOxeVk
Rg6Pi8NMvMZ7VCQUQetnYAdrn6oe3kVK7E9Tpt48VdwHq6+ZmuZ9/TjVRvs9aSoaQwws2kLxonel
F6xjGlAu3uwtNY/iGFFccISqqm+fsOfuvVt4vjE6oCVKlFVq/d02I1s9EHHvyDR0kz8krdZG9c07
jVGue67V7d+5QuXYEdS20nsG4IjH0TKc49JGRh/T9/vjasdmggO4iQ1X90k29W17txThJM8MhZAV
Wfka/cxlx/ta/GnjRRGW/xaWqtav2Z6m8GtBbPJekAJfpi7PAG/LNf3jlou5e55mq3cTcDH1PSE6
wRpbVdMfFnwN6z2UpsZNQlTU3QEanSNS5LcYL1BfIdEIOSbVxJpgmXnxrEkd7CzQcg+QIqyO7JkL
130je35fS38NrnB0o+hSb2aof1Lr4bcfEVP2cda0ZrgDXjobxJ+SXgXQ6ZZkXEAhMWk0FDTgjHHj
GCG3hk9XImdPXXRisEzCIaMmk852yFeStw5MLa1XN8iiMsVNYW3w/DuD+O9p1OX94JMBcIr0DF0m
xHPX/qEfUyyHgr4MqqLK1xS2BdkGDp3YupuIRFbYWuKlmQXDVtxK7cto+CR9G8yJl6e+hcVwZhLb
dkkjYI2fc+A59v0cYEqjL8KwIxuAtO5q6RhmbKwmJ6fFmqcvOljdTKEFX+qe4wq1vGnWFT1rs7bN
Z8tfvQ+Vy3lNHaERKDhjFd20fEbTIZ6r5j10RckwtBiBf0nw4om+CTXPpoa9xei2WTNOdHogjC50
JxtNis3Zwn60kI9Pz36z+e5xzEu+mWqCfc7YOeyDu6DJ0YQgfZUxl9Lm2L8M65Rgw+1D5ltNZTyW
QHqNu5q4Dl5LBuulN7vNPnkG1KyHzW/YPljQUSJHVj/Nx3rDdx+b00hj1Sim5ZZClrFwIBssXtx6
owVj1v7w1sm88BiXNVt/L8whvFToef4Y66DZMUHyHBkqzHfI4+8rII1k4xgGKpPJmNRTOxDuEPdL
NzBL9Fb1thm9+7CECOTTygyH8qDyccP30NsdfVKIVMMejs6NlXIbV4YLad0wTQT5RYViJhuS/UcJ
5OVVOXEfWu1vxCHW77JiO9k52OKRXlJNGYnrKM99H7zJlHvc29Fwb9cVqUnmynkNTTxX5tqyjN3a
j8Nfpxu37tCVIYvkbBK/dqhQzjon0vPsH4aHZWBXbgFmimJeOKPmY6irEwpSzuqV3Tao+Co1ecch
LLEQaIiAz55fvNblggp2sTFyEfOYzTaCEr+d/+b83vqho1NCm61oOKmAppqyU1swpsIG6b6OtDgE
qqwaUYM9rMaGC6GUDr1at/gKFhFCIahKcFSdFX62dTNclykarx70JrYyu2IaR++K3tKSr29BtfAY
R2Ot7McFzgHxRrnTnCByhByyiWD96m0bcbdcdGPfT8j6jm7T4ojZwNhjOfNadaZYqJnEjCYLJ4De
+qwLYiMp0hzEWpTLBpEdZsTc1S1trq9DdjzZQmioMBT8k5f7Jap3CEXVIQSTxMxD3tTja7bohGaU
eMBEzPLISOVNEZteoiMmL3XsRS2O5WrxtUTDcvtyQ2W8erhz8qRyHOcIRKW4UzR7r72J18jlYBDE
FuIDsVdBa73aa6Qn3qxJGJ1lNKcxm9cXXfTWdSXdFCCCoEsZS4LJkpAM+vxEHBaP5UT3DzykoL12
8HXHqibafHpEhNV/IKxl+aCZBHAs2lyqSsfcCpUQW8nayMkpG2hUrM43Ng/wMY4s3VhBbZySKluN
KHFydNO6ZIxHi6eT+8H0+ztZbiEIImh6p9bypw8fRBkHXs9iD5ILTeW+79ls+5DvCZL//Ev6fdXG
vtuGoLSoL+adO1rjPdww8zeSJur9wQCvZLlF/oimhr/mskJgK1lMUCJdRBriTiAT+duiMY6jEg83
PAYLS2xYwREjr5ZeZsrSssh92eHT2q0YGcFL6Wjy06GjBjmb0AMxQfI0wNkbjc+GiIafyIaQ7Ybz
csVTHIYJtX3zzqiwWVPYgig7TQNpKPPdHK2K9lm/LXNxs2QY+/CvOQ7qYYrwZlH2Dg8qGtk0HWtV
He6FNvw5kU31unm+vi8DTMJScCPEWAG4l1q7wSZa5qP/MnY+4k7Efvjl3DX8zLbS/UBNx892NtXD
NeSEVSREGdRMXDKjeI7kACbQG4PmNSvGO7hjo0o5fVOjj2p57dRafESjkOhHg9ZFYbJUm/UrqG3r
aTFM8zdxf+VdM2nyVHxLQNP18EcbtcUBCggF/Z5Gk3CkeEo4RQxOgpqJzEegQtMJoCTBvMNAEbWa
VCSqne29aS/NOzLUAsOPV+R8MxuSnNacyBecrcV70Y2gHwc2anqg7wL0Zx4En8gp5mdOuK/g+AAz
ULgjWlbeWr2uMuu+9dR86oAur+9OLfk/0zPFfn612YmeQuaF9aUKJELwpYRG6xcR1lfpy1gwEUVZ
klWpE4jiKope35FwHyV0Eis4uMpQD1vZaKTlhVV8lXmUoRdxx/6tbEqOlBuanpgRX43ldgrZU6xN
PiGPCP/wsfMn18kQFqm8N+6g9ZpvUgflV4/SxKD5p6NwPzEOZrwXeMpFVdbrUxnSLqcSMMp9kdPO
RTkIJS6umhvyyHZuLthGrrQRCVOQDxWHCajJaJ6XQ0NDgwfqnzuhXELvRp6xGQxbrXW1/Y37kkqP
+56c085HDNpWsRM2jBrWMcrtM/gwWii5PVaPVt5UdPNNXMP/+YtTGTG1xXohEmQU22WKhuiXhrzz
ZW6YvxI6csNzsPRMXca6R3jH2FfC0zFZNMqlZYlpOqC3MFyD4kACKjqbMUC9P1aC3adne0Zs5PFj
5u2Bgn5KfF0gRHZSguzFaARvsPMwjT5lgJh2ebZQbRdjrnl12gOAE1VL34ABif1boqZJPKvyLqbw
WXYnt4nWXUEv7AzBA52bQqr1tayTM+4ViZtd3GIQ+OZUkd33eH2ToCSV0swDQqOAJcTUDMwAg40u
I1k7dYj/xVi4llYzAulCN7WC5wJctQNX6HcpDsjm99xxYE+YJTTvDtKyYL8irNTEQUQ+2N7Z9ndO
bvnvM08ya5kFNBFzbHBLdQ59e3qpSc1ldud0Eu2osERCzNhk/1H/LpYCdbS900Bp3m80WYXgaUUt
CMV9od+aYX/qNkuzeVI8+5DnsAM2XBFl0c/iP0NoRs5mJOYclvEt+vQqzXIl/hMRNJYD3hvO/rrt
cXC1Vd5Fb36Y5weM3e6L3TMxXQBYvxe+Q2XZUnKZOzIK1w8XdhsWQjdEsuSr4qkYl+0BaZX9NG9+
LhNTdTd5Oj7N8slHE0vX3jOh8YK/pT6Sa1E8BaAUnbOj2m2vBX2NhmHROxwtPASlfJM9kmQZivqP
tYmc7RjJNE1d/36zesr10hz9Dn8W0aF77WOKFVjYm30HxoD2GPTPgKlBwwMEaIgf73tGgbt+6/Wz
1a7yjLSwfGC8+WXB2NCxmZNLlOYTfIv33q5XP8WhwRfatDUbSS2V7SKULMgt/M/2P4OBPJBldHu2
StTsyeCuy3XThPzGYSa5wyfaK9PFzS2c5dHicZwM/jnMottec0/G9Ojs2zUb5Q6TP53lfy9A85sn
oscHi9agggp+9eE2hgmQXB4lX3vsUrPd83/chTA6OAtQVZl7OZYZL35fkIiJIMv8Xd/uFST1mAk9
01z3yt8q+94PIre+V5Ctsv1mud7F0yry8cVMXKA6E7wIBkt2qBmwUH10ZCOiFFaHhx5j0xyLbTVP
9XEoFn7+P6tAbhmZfw4x78MJC2uBO1+6Nc7KfysYnoJg9WhATWUYZ2pGKqcLN6Mz0pSY8wp0sShh
+p5f6QdeTZInsFXb0nHY6d41j4g3Ec8jVGBYQolCM60+bwQOZfsJXR3pcPS3VhdONShtrvu/inBk
8THfWkWE+4XOgNNeEabBSVYaKWKME9Wu9zkYmugYFb6S5M3dhJDgh6PDlnUsXuvGc3Eyq6Z+N9pS
jDHtXp8pLrIe7moEmt8AdhV9fUQcsDgm5QeA4KikdqvIABZ1ANTMmDBavsnVHJrublgXqzrqht+9
k0bdFQnIfPmDe8inl9kvXg79cdE0pDKJ/MTx6SABAI3yFzWCGI0jpfLzUHYlPgh/NHE0g9hXEPDt
9aarDrHrbhuNkkNhlbi+dygCbfXmTQPqXOoiJkVa+EiksPdz51TB1Lz/5zuU9N7HfTPmtT5OXU00
juCn+5jDavTFZHJyDjSAGAab4EuvgOob4gCsUIEUKEwT9YpecAE1xPAxvHIiD6U0TvEnDgxZcABk
ZkIVndv2y/Hpa7Lmr2sb29tKl9Wblfmad9IVLwuynOzMsZ7bz5ULoxfUUPX76ETc8iVtly5pgzo7
sXnN9iMCC0JADQiLyMxYeMeE8hrHfKSXLjqOi+X8oswPP2qRpVVobPvJ8l62Dpr8VBqHbI7y97y0
FyK9m4dpdnF0OJx56EFAxm7z57xidI2lTCFRUn9tGf3EpMdq6Hns1HtlLj/++fP+Vzio177ln/+6
/Z0vIstlSejCv1i4//un/7840cN3//DJ+PH/fan/8cokzv2fd5d8qs//8Yf0Xyrek/6W6/P3qJv/
vIv8v6k7k/W4bXVr38ueMw9Bgt1gn4GqozrbkuV2wsctexLsm6v/Xzr5E4lWqU5qdvYexU7IIgiA
wIe13vWjXP7N/+1f/pWt9zCpH//9z7eyK9rlahBwi8fkJ3Y4j4yMy/X/+u+WB/jvfw5dXPwAnPTj
n5y+5T/4ExWlOX/YHHVDfWKOIgvPdbE0Dpy6/vc/mrD+0FkdmVjFpeHoOgFGf7GihAFGin+dPC+P
xT+Us79ZUc4fTNT8Kf8jK4O/Mf8NK0pwj0fGzmXq4EK27oL98TjB0Bfj5yOXdNKOIVzc6FbDwPBl
hBxJoILr9j8Sls72Vo9z+cYSnDltUyyLIKlzpy+vkbAlX6n55NNl2jZDccJs+tRb++dvgm0iDYMQ
DBBaK29tnhfVsga/nadJUYfXrE8Ka4u3tUFOfPYg2BM8lsECtTohToDrnnpr/7o1H3LaQpcLkutp
c2C80WDRJLfQBJH9eIV1M+QBEisj1t8wrUdfH3WUN8/ws55pfUMXgLowFCxIt6e3M/ORmKQsuXXZ
H1I7iOqc8ldcfA5YZG9Ju3C+v3y/pzbePx/v8f2W3vDobcNHtOuO+wmOhXZuqqtLuwJp6iL62r18
p8Vd/w8X7K87GTSgCzPb4pP+9E5RvGzq5vSWslx7m2hpfplEU3/Cav9cRzHsBTDoGK7lrG+iUfrr
7Ca+Ld2uPEx9In7WcIVvJuTxlwaQsK98SoZFSfHvwov+ejrORUm4dITluqt2bCjUFriMb4Fau6S0
wrHdm+kQ3ruz5d4XYwdqFzEa1HVbu8ehWTkXZ7SuR1lGWJKgRmM1QtBVT2Rdc/+01FHV4NnlVLP+
92NB4DKHYeBwF3edWEQxcbFKR7cxK6ZvnT5pB6HPyd2YptGtoTC/vfxMK4//r0ZdIHK6APe2gBOW
t/2ocxqjm1qGFd4mY10ib1faxzI2oD3pZnDnGtr4iY9ec8BshbKsS/XFzSsJ/sD0Ou1f/inPDBOG
4/J/hqX52+vtC8J29SC8bbtMbFBSsfXtOLvtPBTK//pOpkuioqebRG4y5zx95m5ZYeWBc9OT0/7R
HOPksvZmez9USeK/fKdfg2E1Is3FvG8IUwqJEvDprfKKmcxJzJtYj2H00JSfiRdyvyovnburgYPt
9xwNJ2CBce9+CViGjpspUcPnl3/GM0OW4xOedqEc8uVbjZzRAlunbHHD6CEmfc6U/AxXVmEvmedb
KGgc5kMbwVwlm+uX7/zM1C51ZlrBJwXHGfG2T7pXPkcsJk3zpgxT16c02e454HC2STrV+0AU4Sls
6DLDrdpbkr4FghF4qM4X9un9OioSfHONGynsZTNaw0zZ4HAt5UVaOd3HoTfHmzpyuw+x5gpfCwrz
Q5203YmZ4rn2fvwrVh2MOZ5zJ2XcWMS6YprFvPWzmeLq0Fmc0RXJ1B+m0lOH1vSiEx3umS+AXDAh
wF0APZAn+PT5Ue5E8TCLm5b6yhXlb8sXPebwE8/3zFCVfNGEA5OC7+gC1Xw8abRDHehKiRv8sO0u
sHrU5FGubxrSVk4EMYrnbrUkGdsGCzOLVdjTWzkhVUyrFzfE2Tj1TtlT8xZlTruXSMI9DGd2eDvp
zXAZG/hxC9mkN1ZC2CH8Jqt6cIayfEVwivmKEzPqWIZVkxb0cg9/bgaVgMpNYRKsaOIAf/oLXVJz
NGmNN0LV081QN3InKDazFxrswwT6/T5Kcm/fxHD/VOd1+xJM5iWcNXWq7y+j+Gnfh1ALhxRYDYso
IVY/xItara80+1qb4vR1kGH1wjbV7ezebg66RehChJbkIrbLbBuIMbtzMwTxpB0XPlwvZ9qeaJff
h6LQAfiSeo0uiTXlauqj7DiU2CGv0YtnBLml3S1HrN7bOFfG1gY8f8++qfM9wYneLAaxyBP69yd+
w9IRV00CRMyQDgtazFIs25901CSqMBIWzrVmxs1tKWbnhhi04JXV1NoW219x78Vj7Bep412hCIbm
V5jFG5sw5M2JH/J7N/7VEp4NttW0yA9d/ZBuNKFOyusgb5LvgW0pzIDjpYt908z7GlglzJTLsK0r
3ySb6Kcn6v4jCTfFVhAIeUmyGcdfvaxfucMkTw2xpRFWjUSEy6+dksGycT3ERGzktJ95bRkkn2yA
11loJlEdGd3Y3Vb5lwAK+45FVkFJCZIhWEtjy0q+uw6AxFZQXfqJjdrf3N83f977MeH2mQ2SMED8
4tvjZzm2s2quULYjNlSkxV3cLYq9XAGJJHgD3IOzCZXK7qE2EWfVNV8ig1Nc1y29S3QIpPVwcmue
WJksc8xvDcQkpDPlLYGgK/YP0U0AAyzz2s2G9FA7eOs5OcSrj+wQBgpE+4cpiL0EckrxCkHIfKLz
PHt7WECCvEdmwXX8c8exrkN9+JqwMLmfIg9tE8aedDt4Y7OdiqG7qztEXpw1fUoxap/4ovyaNn57
em4MHF/oy371adeNC9npmSOuk6KpfKm18aEPS2fvAMu5y2pPfBaICX8s9iVKhHocXI5edukQ54Lz
inDePPfaf70DsVhJeHCpLJNl63pmQUAB3X1OruOynL/oNWpNSkYhFpg0BORgtjZABVRXuW8HdXdi
Wvv9A4vkRSyTCU0h+AQ+bQ0tGmRqesm1aCgRB4FqruDap19P9P9n74LfSjCF0u7rZRMoPoWtILqe
0QehYm76yzqHEsBMwTlx68h9Rp84JCQUbIN0hBphoZ2cnMgcgROb8yeyMAgPQFEd7l7+Zb+vbHh8
W0c05Fl8/b1VZ8gClSE1i/DFeYY/YgV8lUsv3gejEVKSdfBnlWAUGbQnZvKlWZ92QtszWL+Cllto
WOaq2eEJooPItSvU5ZDYljOllsJhXxS7qCtVvM2GIKTDDeF4atf3a1u3vjVKVHa7UOUoDa0euYWb
Jecxuq4dCwNuhWM/HzCkoIJ735QY21vOP3f5PN6FPdjaYSDMz9KmZq+xnbgAn5C+qascX7MVtG8d
CRRKFPPdLKz6Nq96LAB9+K3Wu4duSMwrtNuE2amKoI+6IWmHfzyxSvh9QQ4MnbgKe1knsHJbet6j
/Z5Tc2yJA+zKqJbxkdU1mNEoMA+1VXnlzjTm8O7lHvN7V15u6NJl2IC46Cee3pDukhuztK9GDBa7
sHOrfZpWxYkp8pmnYlTqnPqjB2GHs7qJHieKfBIL7JUI3vSO5HSlKkIoQkJk08UwR9rbl5/q9++5
w4rPM20G6DIpL3//qBmLdKhZdNRX7VTFaIHHfoda0N5rFpbrl+/k2Ov5nxoVa1/Khbw3HnCNNqwg
IY8J+U/GnMp2X4UW6StNqBcf9MImmc6NexBDdpDPHwykyMTG0enQxQ4mZgC7CexbYxAsfi3Ok3x9
wJ/gN5NBnMk8VhEKbjwSr2HXxvk2KVz7gIJ6RJjTTOX3rpzzHyRUNRVefIQqG9kppB4NiMT3AyK7
m95svW9NhQ5z64hIfRGjRMlJXFY77KSLLYIzMjf7BnOMtFEVRB2aDVskrxSvq2PP2zbe3uiMHD3K
mEPjlbNGalGTZd/aEOx0DhShQVduIieIy0ZHFzaSCn4xqCx943C8hCtPmd03Bn/9s8rm8TotHYyJ
MeZ4OM0ZISeNIpVxGyH0/lE6SXLPNlX/2RSjcQdYLAsvCClCsRwaQnwtWpGFW42cbwUxKrO/JCXn
roi69OCzzAWem5LASHMbcIRxXaQyvQNWixDEwbj5QBHAiA5BlgGjTYAgjNdzIkt0R0RbcKJtjPnA
CbVHGCmZ1DRemWGyVl15mXQeJv6k0n7U7ILetZhUA+T5tkcPVsQa78D1tOLAqUBi77Oo/mDAsOnJ
xWqHap9EYVXtKhlE84Vh4taE6JM4WFtstL0XLNSsn2YEp1TvM/tjDXtsQPIewoBp84L/BLuEJzec
9HICJ1oSNJCxm8N1qUn8DR3V3mbT6hnGrgzDFn4GGyaCYRXwm6ICsgUhWnwKAYG5g980uYmkoULD
sC3NOC83VmUFr/O6xzpDiAgagVSLjTd4kbToAHUbKw9mqRkJ88TRrY19H0kNiVFyU+lNFu4CO8St
73mxCBAWpFm5Q0pYHGDluN8sHIESNTF6Jw7dYrhiXlb07xkG5EyPOuoPZMc1ehazltOl2Zj5J1ZV
hsKiUgVfO4tDMH57yLlhHk/pZWc49XsmRXgD4TSaDwiYo49Yx9FQpM1ofrcLvrMoDSp5D2zNAPTT
lnG3zedpnGhD2NlUqgrchR1In7eDLrVPbmRy+y6NIOQoOxuuM3J9rQPovgDVWdtXqR/2tRdfxRE0
I4SlCXUCrQGYckHUKKZCeKTTNxzppBSi7AS0K8KSFNwhzbQL5czoMzKIs942LGelb4SGofSiofN0
1ySMlfEhTByW5h5HVcVhKEcwiVNtDdmGg2cWStD1kFIpx7WzTZbnHWKvqQ2AAmKmAkQXpv1XkJ8O
0XTSiTDJWAuneTIzfQ/cNryRg46OlWO3jFjlBJ4JYmb7IizC7LViMRhtULLiiQjJjLsxUfRXW1z/
YXUpSgsdMToVZO2WHru7edLIv9bHor4uFc6TTclL7qFf68FXaYcJpgQCjlOiD5uSo0NATy04AdV+
ClCst6+dNhzurdEwMgxQMVoCgoSTcK+ZbvAep3zMiX9aVhJdFBLObSZjJppg6Kp0W1cmSyds96Do
Y+UC72vjvktZZel42vvGdvIdn0rvm5p0IbEWBC7IZOXk7k06KcRBU1UO0wVC+4K08YQ5RwbK/RqC
MWAJRFH824xU6grzpPtgEpTuQbmxatQFKXJu6FyzUe/qyoZWmKahgX6vU81b/HYOnE2OXIFCCDcx
qZXBRNxlVYdgw1HLAjuOje4dKRMEwIoBQw3VbljcnFESOjDn2vwOFwfTTtgb+CYScrfZz8FSc2Jp
Yb+XdgxcDHM1SPiRjZWN9c+CicvEi6m16W+7SSOeulJleQeajCRbZ/SGD7roCTc2auOWlsIubCOn
fscL6O/DwNHfGnGm4cjOix6/Yljo5Q73oEx2UE2wjQTm2HgXoyeiYm+EsfPWYzfrXMwlpwgbcpiM
G9u05k9ex9JrARsFHapWSGMXqSVmInxrpcOciIcK6yxaqnyLB9kFpDkE5nfLHeJbMykSC7KwtJRv
aXP0Flaw+kC9xfja6+X4bXTyzt7ZaNveOWxd38ik9t4DgRpehWYAOBCxtGbvikbHN002OC7XORvj
eKsLohv3bTzod8S2KhhslKAARDmjZW9qJdmHob1bTNuM2Dclvkk+fWRb+rFnJh/ASogflGKDNxnH
aBM0zNG+LwOoP5g+Z4dzNdbYN1nCm9vKeo6dA8t6mLKYAvlK2q4FHm7WSfQedFaHPrMu3qkB5UOy
U2S4ITrnVJvgXTol2b5dnZZXDZrIj97Q2BiqYtyflzo1oI8wn9J+y7jq2svJEnZ9PaGOfAAabMGZ
6szokA15iM949shdM4oie4dyk8SIqCIqW4d3hDggV9C6oapC2rBzx4Uc4/7KQO8m4pmlRcE+QZuN
R2XSmLUtCw3SRasFNY7rcSh/wLQ3C5xAfHE30yzrbuPUltdfqjEtruaEhYRgwnsdDxyq/LBsABwo
6nGJFrpedFdjuyjro9jE7SlF6b5GOxyjqjRDpnQTIctnRMBpBS+zmMtNtVgXtmSB959Q+ceXg9Fg
Iq1McxGg9UK7LzLS18kMIe2EFFA8tmM0UpajGkaoSy1FDdzPzLt7ttwzrpPWzLSN6qz8G6Ei47CX
Tt03t8MEiP4yzDzbh+yEOpaTVcyUlNGtb9EchK9a7FDfcPinSP2LLr2TuaN9LU0v7CmlFDLHRKTA
urSdlyk0q9iZNpSJKyYcL3lr2u0I0g0B7iZnvc5HoWvr6KIOwgaHdJXpVzq7kZn9pzNoH/LSGlOS
7yIP3O6gUJUXyFcbrPGBJm8F8w9rwokNxRsChfCPmlpWwjBDvBwN25Ee1cOBKMCIpqrVjQvEQx4D
FooFPsGO4vku8ubuPX4X1hR9FStqaBxH7TLbqj82lUiCbYgCIlnoSdGHWK/t7xjk8O4BkxuRx42x
gWXEGe4sjgldtNoZalJp1fZdTxo0MyDBlrAxpsVzYRa04CYAIl1cWLh0qezME4qb3gkxdVeuaX2M
cITeQMh3385zOL2dqL0+mCKS1qVWKIowbLs85yLXA+wpbjsCoQmjXl23elLHW8ek4C+xtvyw6oEk
wrY3Ldh/0fjgwbQFG264zH8w+hxMhboKXiOjFsMeEFwb3FcWXEimJULaWWEhIoNnMuPcQA2seoCQ
iSf2y8L6VmOtgMc/KZZvT1n3dw4xK5/BoaK4Qz996xpWs1Mia6MDa3nmlGEAeXwhTd14pXlg5PZB
5ZHKnfInnw0wWbBXRt1d/AO5dWt1fY8iWM+rywQJOWbrYcrvMqtEUKOPcQH/V8kZ5gb5NSCZIllc
yFIGP4JIz+8V3LudIkUNulXopgOSP6CyG5Ppk1jvWMttLHoT+KlEc5S3R5unwT9EsC92hp6mM0vc
zvspYNC4G3haebrNy57XNwEOELf4zYwQOK0M7Q26dYmWgaAjAnrmwHpbZH32DlVR0OxTPvk48pfs
vh4wYY2S28HS6wYhvCUyTyaCM/vJ+p5MZfKlRa4VUzHmnWxt4TZfWeh6qOObISz27dRS8umVyTvJ
kG51Ww8T58dSiykHIJXLH3RSUFim9azVdxYWItCPdhB+gLRDiITlzp9Hd4RPCtPtipQa5M/KGKZ7
L69dMP64dFApgUa+EGquWP5M/XSwKZgGPtaLh75M4Itpdb7Q+VlsHcza0HbQ2ivzdqRx7jroPIlP
apQLliWQUc8+rWHlYZVaj2kz6aGmX3C+Ud6rue4fCsiE9gUb6bnZukSCfM1xSXwCMDrdA3SOsm3h
tQmSxrEri61Xwer0mV4Dln4YBtLNTHDxNScxAdgO6szLyRPeX+ZtXIB11tIdItmMt3PIw+xU0/Sf
TGqKGuKm0Pg+TmFKjx5NhT90Ig3FM9sAR71V4l1ucG9wFp39dGYwFVu84/IjGkSSObRYJAQgibKw
ruJkBF6tIWYb/NpJAdmGRoVLpawIwthQzk7xFGZjRRnRG1t7a6qxBpfaWTasmkifbqQuO3pUT4jn
PigC8n3nDHiBVSXhD4pZhFry7UW3mrXaCA0n6eTBGfTgZyZ6PD8wwqh5MR99Wk4jXkUt1sVL3sKw
Y34vwl1kGON7r2ZoN1mTv3bDDBRYPrTyAKsuYmOHBg0ca7ZsbQyYJvdwzQUVV+pLe6dyMY+RqIC4
lDwmF82o22BVhb+5idIu/BrVjQ5YTJUG2R0RAg+kvyGXIwocseJQgCqxjVx70xkScWsF06XZsukZ
fs5prUGem/BqoHzDbUPlwnM+FfzJ7TRUzT3ooiWLlAa7IOwqlxeVHXgfm46pY6+a1hEX+JiIXyXP
N9c25ChpH9EvAZ6NKg7A9wNo6p8pMLAHIraTBV3pYLaecL5xJVSWy9JUuJA/cBiNG9PM5gxkGiu4
XT4MXb/Xcqu4smqObfe1hS+LAR9PkORYqy4rQYLeEJ1HVn9bK/w1O7scycJpu8j7LI26aHbUYhQ4
Ck8rX+MvB/1WVy62FogB6tXMzA+zt4vZYwLImj61tVmZeBJHF7JQmbgPdUu01l5E2NN/lVX+Eq79
dcaAku2xZG71j//zv9PMvVY/irdt/eNHe/tF/R8Qzi2ytb8PW37Tzd1O+MK/1I+Fc8t/8Kdujhra
Hxy6GIRMIAVzhEv590/ZnGfwF5wqI6YTlKAIGP1bNme4f1iSw31OtqRkGy05l2zKro3++x/vD6q1
wvaQ2S2iDuQs/0Y297SSqHFCtUQ/8gue1toQro50i075tZ2VN4HbethVUOFfPGqHZw6dnpa2/7n8
8uePS3mJAgSjAy1xjKa8DJLxZjJlCm8fGyrFKKI3NqPrjGyLiuLm5VsuZcl/Ssv/3HJVriQ9x4Fc
47BfMSogyFSR2o9kK7DFyWxMwn5HSpX1poWunJ6oJh5rw6WA+ughjTGxSruaSz/SvEBu2Eio6yjD
57V9+YlWp+H/PNKqIFpRzYmgB5Q+AUx9d2koIxSHoXbDD1lo2MN1jSnsq4Wjq8n66iafEveN0nrt
G3wGTX/18o94Wpz95zcsD//oITWyEemhHTGVcpRsRnQ+p7tkyLp3ZiGz/Xk3MZ/eJOpbi2+pU/pm
aPZvi8EV0PMrV8I/1crxRJ889roYUo+fBFxbYUfENvroEi15MZhd+ZB6k33qXPrY9dcCjrZzRysq
aSkG1yt4/KzO58I4If459h5Wp7dlrNq+rbXSd3np79KJncyB2rIDRMuZhXF4+UUceYZ1QrCOk4ZD
y6BE4dKXO0205d4WmX2iLx27+mpWSBKyNGMnUX7J1HPX97UaOMpkC7B7+devBC5/d9b1QaIo1Cix
eyjfTlkvvQ5ja4Jz3NpuRwJbb7mgHDtKe6Fe9vepUaXxpRjsTF05baOqGytvZEx1ne0FcESPYOIx
tSlHcuzJUv3ET3yqovjnJ64mjYk6euk6TFPB7OIbwXPYRLtUhjLf4wJJ9E8khs0/hOpTscP7HF1x
pu+V28JROTYzUov6M1/G0tEeDWwswAMMQLKOGm0AKtXJyrnXis77+vKDHnvXy58/ujzpOipNhqTy
wzIs7k09DV3KpRLn03nXX00ZYYzYTiD48jMEYYSOEXn3zskj9/15l19NFu1goy5B6uKTEZe806I6
+QYtLz8x3x1rnNVU0YmwzijOVL4GYUJeKL3h6DWJHOfMYbyaLLK5drwicpXvwhIL8OmH1QcjMeb2
ROMfmYz01eqBD+wcRAEfhaluJ7xszjBz5jET+g5oMdR+vvwOliHxzBddX00XSEfklDlUIJEEj6+w
pIC00jrhkt459Nmrsek4Qnj5VkcWD/pq8dBB8XKCVgdv6QwcWVhCphwsi3F0bj1SHsS243m1kGO4
KhpOTAVHOsGy+ns8QvpIr4TJ2Z/vQXvw9oQfwGrLIeb9u5itv6eatSPCrMcBIuxQ+uwIipAaOqZW
Yo81lD/bPMNABzDQbqcTuthjj7Ma8L2rKSNY9qEAbl1CKVQjoYl3UfHu5Vd07PqrAT8qRzch2bJi
TQ1XbhOc3t/h9zGtnHf91YjXEnTaBZU4Ss3AwYlF54TFzrITL3slXv7nZayGfDk2Rl7rSelTXJ4P
5kD43bcoFPG4w7EYgbfTXAs2J0EubEnzKC1uETdQ+gXNrjsnpvxjw3Y1LRRG2EsheEWa6r2PAejP
75w6jWzYW1e7O6cZfxO+2Zrm2BWEfN+qywGgObbtqyFwnBNzwtPz+//fjGyQng4a6l2p7ph55buc
MjYcnjfS24WZRvRMSAEbekcTkwYWBEuAQ0c2ziekZea3l5/t+QnJWisiojFOp0qyvNAD+I2YT0M7
uZwMNKKvY0U+HiratizvX77Z8/0dZdbTJ1UaqkrOqdlCNa51Gae2wNdbj3NwYg4/dv2lkzz6QNsV
gUnVSP58m00aismIakdb9f7Lv/75CdXyVrNBTvxtt+ix/ciWRAu08DOciy7si6uuUtiGWzN2foJD
TrIzH2c1PUxWjgm97hm+OuXjzqkgAIj8xMWPvfjV3GBmQdJUMGZ9e+jLbk/q5viWulUeHWYNhQQE
N2f7crsd69+raQKBmlXGJftyGNp58U7MLmeBZJRa+JX1+GMPwOxdq+F/IKoKecrG5SjXPPGUx3rE
anoge9AoTcHyvGA7e2nHHZGBek/48onrPz/9WO5q1eApdBQNiAVfTSGnWKxwieN1MYgTTdKM0nrz
chMeeYyl3vK4Y4fgiY02EIpqcslRLX71jUmnO/EQx66+Winggc+VtwzL0QyCtzNwrLdkslSX5/32
1aAPbBAvusseVQGGurLa4a3WxO3+vIuvRjwETrfSjJaLj6g5akfq+7oKxZlXXxrs0XwCgtnI+7Cm
2RvTvCaf0MNjTnjLeb/dfHr1SDMqL9fom2QVVF+SMJrA62DLPrPdVwPcrRBIFfGo/CSfytclWkNg
rMbJldixTrMa1SBBhIK9xq+fhp9mkoJE1QhLOa9pVsN2KlLO0MuCnVCdl4csscPNrLfp4ayrO6tB
m+hjQN3EK/0xia+KnuMDwHrvzrv2aqRyygQrMmNCiBw8FdSxZ4SfVn7iE3Sk0Z3VSO3GPgs42y99
Dav/vjUb+7JXdfb1vN++Gqkth01ZTFygX2gRx8IabCEUOtX2vKuvhqrjoWoyFUt3L3DMu1kX1yGr
qtvzLr4aqYUd9v1ImcTnZBB6cEPOdkpYElbEi/NusBqsZEVxes8hly/cGqZQRwY8y/fzJmBnNVQr
U7kOmLvSx9jxRtZqR3z8ma2+GqZRAR/fswd2ZPYM8H5s6f03BVj+4cwuuRqqLoduCntr6QM9NOet
CrSEBMKu+YtvwLkLWIBnyu5Huvwv1eujOdhCKydq4kH9plUAxRpC6bpJj05U2I9dfTVchYMduMzo
lGUVN9ntAEAC8k0j1KkFwrEbrEbsFBHFg7ayJOJFkBrWZhXEO9kJyz5vqlz78a0a65tYpoQczYJf
glXC2eYO502V9mrQgkKNoyzgPADJttw6VZnsUBxVZ/72pdEevduWKJc6sShR0DmTt4G0bkRhZSdc
IMdafjVilRodfdAaWj6ahsOctNk3W7lwdF+eEJYe8nslBzPy098OVCbysmGkZQjqYOAi0mF38LGQ
EWsc725GKemnVWt9ePl2S4M/d7vVOM4bBLJ9oPiuxCpxNgsHZrooRnd4h1wkaM583avBPGt92ich
bTZqI2gWFcpLFwfJeVOFtfruto1EWpLSmRjQIP2hfF56BACft5yyVkNZr8FSgq1mKe7a9QHpQ33l
uOOZi7W1t8vQSqszkVL6k4zFDTEx0ZuA1i9P9KYjndVafXoNp02EOXkZAmmTnEy8/DsCWJtTTXPs
8qthrFzDbsy0KXwxDbm75R+rj5q0gZz3hMZUiEbHHgFdGTjlqyQP67tCkP1pJWRHEJd7Uwgwp5tS
xjOpR9IEQTaTXFdsmrJcqjmNl/xI5z66a406SG6pklNo6twiwDtQpFDTIoSofJTrQMafK0zJWCmF
GNN36TBn75IxI7eoQh6utjhoOMUASuonkbK0PTyTWL81Cf8pDmOY1T0qG4iDRADI1PoGVdM0LxsH
MH1PgLh7N2LvIkHCrh3s8bHpvo8iI4Xz9vIQXLkO/y7UyFX/LbxUm4dGz/xqMsnVdk3HzvZRg+YY
apKTVYewkKQN6C20vRujk2SDJiC8kKUCkx599EKiRztGmugpGsRy52dmBWs1gSpk56kBkoW91dw+
tIURv6JQ9SUYcEIUs0nkX9IAhMNxWHmvghqJ+Ym2ONahVpPrNEVApOKwJL0w1w8AuXZGVmQnZqGl
0z/3VKup1SpIPBvSuPTnpq0csP7GhOfEzu2Locwuu3oeHl5+o8eeYjWpNjWmnRAsmZ+5Rv5OCIWT
ztPcUxX4Y5dfzaZjgwxilioHFCvJUy0cQmcyz7w868ev7Z4Z/EvEYTLzI9kTGzW3DQdRTueqT+dd
33n6gWsJr+hlOGW+pB5zABnRblqi28/rQHI14U1BP8DBN1I/yWr7UxDq3utK1M4Jz/KRlper+S6Q
GkHgTZr5Su/DhRVdE87i2aem0+f7p1zu+mjZQgavZleia/w0dIruMDWV8b2PJlM7cf0j33q5GlzE
BI34R4gOk0DRkk2mKqDRMiaZl7PVPHt/3vtdjTJh4RKRZcRTlDkQe11NbwH9zieubh9po9XQikiA
o1oWtb6yQrxmvagJtwIyalykHQHKm1IlyLvPe5LVOCtgxXRdkmkHAO3pTdJo32NvTs/bIZirSR8c
ZtJE5RgcYECCSbXL+rKvEWi+/NOPvGpztWhBSMhZXGHUvq4jBEWO6YYWePocf1OeB0F5ooWOyG6s
tS+2VcrJvFjVPqrSqb9Mw45EUx1H8qchNSN1bcmmia+8XiU8o+EReCWBjlpXo0Vg6auOkNlTbvUj
Q9NYdW5lE/nB2UzpW2NUAaj19PIDX3DymF9u0WPXX3VrS8ZY9zyt8N0x+9D3PA9Q6FOCrCMXN5fe
/mjka6zS9NhuIh8/nXwQFRHkmXfmgDTXk1YZm+xUKi5euKM/uWa8Ewa+g7PaxVxNWlbD63RqM4Rt
z+DEHR61nzJgN/l57b52n7rgcA12uN7BrXV9l8Y6kdnIkrfn/frVWxVDPuWAx71DENuEPI3CO4ww
GT+8fPUjk9Wa9DbmgYE5M2W5VtraDa4Fss/KxGhhJ5QAleFsK02d+SSrycrDzZW6mu4eqiK2t2M/
8b49s9+//CTLx/mZpdNaAylMDsFbNYT+qAdW/MPpCQK/EoRODwdNL1S7o743FFeOron3L9/xSNut
IQsNroykIqnvEEMb3hQN+DAikGL4vMR747w1Pbs/RRc4MvwWQerj4dfjGcwiuD2HIUhmLCIe7uJN
bur4al5+mGM3WB7y0fiOiIkl40DTDnUBM+oCl3KKznysSNQ57warMY5exaihFwZkXwXxxyEvpjt8
W97uvKsvj/Xo51dIvZNxyjVEVSW7s34SYKiNU+f9xxpn9Umf+zGGvkxeqqZP3WtrGqAV5Xhozvvt
q3GR5lVqpwFbVEtYwWXNWvy2bU9q1I789rUI0AszEihJIT8IhJIjGxYoPjtpVvIsKaO1xuOZFWJo
pu3cH+bBs7DeBsNXVjz4zEZkXGfOHWstoJtNQ+PVYeYHUxL7DpbTS7LLgjOfYdX5MTp7GrKG1AfV
kV9IXWtvskE3HsJwbn6e9ZJ/iRwfdVA1gx7pmZR8OcTqqoV5vs/rNvxy3tVX3T8wBt2Fdpb4AxG9
3b7IRgKzWKKHxnl9dE3OIo3KqtTIDfTG6d4beVHe9xA6ijMvbzwdvglWVAZvMB4Kop0J1J5GosTR
1CX789pnNYBLI5g6m8wgn9wwPN4uPshr18oJCHv5+kcWs2viZz/OyrbxwC/ds9h3sHPhKy8OyA3Z
hPaJl3zkJmudnlOHDt6TgHcgyoizcNnlwcbIKgviTUhJZvvysxyZMNZCPZSjjW7oY+KbnZI7SF/G
xmjEmSeQa21easssLMc68Qt3Ir3aCkifzZLK/njej1+NZKP3RnKhuPxYG1+qiIIGjvPzTtrWCrws
HFrbgKDtD02k3pjLm4BtcmqEHXu7qyE8jLOcG+y4fhhVALKwq3eEBKZe9+AlojqzerVG8SWhnCul
tNi39Qj+euoSU7Ap4AGceeq2wKMff4i1cXCixHIjH2Zks6s6VJ79eIr4cqxrroaxciLXnVD9+8Sn
tQezCuqL0ZnOLHQvsOzHP12l/YAIyIz9jnjO7MIWwrouooQi8Tl9E/vY0+s78LSzGpMi5gvc5YTF
3Yjanc+qicm1lG5EEExMGQHMRik0XxRsdzg+NB9e/ulHBI9yLZYLNUeEdhZCQ5wrj7h65RLX6KTs
YPtKYfaLo05+Jfs4J+BPS7QvpDrpVUI+EDXqs85Q5FpC16Ya+aYk2vlz2lVfgN8TlwXE493LT/h8
15LeMiwffZ+FWfdWyum/nw3SuHSaiuCoCUvTeVdfDW7bJgbRosLh10noXZuDZR28KT0peD7241eV
hRK6hO78P87OrEdOnevCvwgJbAPmFqqK6jnpjJ0bq5OTYAYzGDP513+rjvRKaZ90Wh+3kUJTxsP2
3ms/q8EnB2wkuQkLVKPNLLpd5UQgel8OzSoGoEn6rjgHifgVjvAhRs7k/wfm/l9lgSXukkZVg4GR
KM/DhFS6L3D1XxeAWf4+7n/eVAGVf/nqCt7fF/82kYsWhfQ0SpS4l4PH0GIAkAp946+8MvyuFE4z
RqBFGTEzl2Yt8gqtxWM2bc34xsH/2vOdVBm6DqOKFtbL4yL0UF4KMqaX6vD3IXrt4c7NEs0yyBu1
k5dbiXbdRrHqUG1i36pCd+OLVTXM2EorjoejcRDe8UDY3HQbC4/7Xt1Zs7oB3y6ovCSX5VDe0tX6
V4PX7tMvgAv98t0Vqm626+FaPMElCTDHLToJo9XOYXeWbKmisKGmLc7UdL94B8MQHgX7Mo3oOH35
6qSa0YrijRj2NpG3nVo4DOLaMv/7sL+yqLizZOmgg3YSFvmuPkZDFZqYC3MAPsDkvdi6ZecAOUsX
RTa7oPUAN3qgJs/zvBTwUl2mXbEcc4VwE+D3YFR2SQ7kWXUUJinyRZH2jSLMKyMUOws24KuxRgiR
JyUKuEDRcTjJQUQ5E3DBgmVf9h80vZefubCEzBItQXk0t3HWrDJfUezet6nFztKNpxXH+VBejqy6
BvxsaY7xBSv09zn0yq7jGlrAqQMg5h61BR0Fy1egEPozAANvsftfe/rl3387zGM42wPsQ0W+9AtL
0Un8Baaeb3lyvPZwZ+V2fQgal8XDVw8OzGje/wzD+O/7hsVZuGLqIEJJmuLcw3HritJC3nodFBI7
v6mzcuEkaWzcEpEzv/3hb8NV06Oav+/VnfVquK4jWsIBKlmAKxp167Up0DDQJu96vquGGwDigGwf
bg9DvYafRcmS56au37rAv/JRXVOJljGwgmUE/yrI9W8bZMrOciI7z1iX8Kn4tmywGkP2dmD6CnZo
sH1ayfjGbnNZkf/NfANc+nK2k5awJSh7kdNV0cMGZQg25WAMT32tlkMj62jfHcOVxJFatpBc6Mux
gmZbUdZ3QOOUp33f11mz5YrhJgL7fdOTNTd1/KimN2+lrw2Rs2YJjOK9CsJtTB7fPHFY5tRHMm/U
gEeCHo3bcFjlvlYccO9ffo6q6em8TKXImyEA74Ql8wF0o2DnN3CWcJTMG0MTBH4J6CJrigii/TEE
XOyL9SNnFYeKkWSLId9pK+pfRWFV/kBSoth3hXNlcBsc6WZmFPafMHqstA8j8XndlyKGM8zLcQc1
1q8ThVIW4eVwLKcA+MJwesuD5ZUNwlXBgX0fNRWTXj6bjR6qEQ6LtDF0V6kdv/7lu3cwSqQzlGXI
f9LhQUSzSHXXFbvS2yDkvny6iq3u+YDikQ0KMadg7TRwqbNBi84tQKPeAii/NkTOCi7QcC9juO/l
YA2JjMpiuVoBMnxjZl6Cmj/scqGzhOEH3SXgMHt5aUqrcElUxNyYoi7GQ6Ukk2k7NnBsb1VdV2+M
22s/yFnJJvFC05YLPAHJbN4lCezRofVaHv++4b32g5yVDB4XBegvTnKv5NWvzm7hx36Mgvc+gjk/
m4Om/+w3zfr1738teGULDJ2VPXCBDRbctryDwat8FBKeuAeIhFrxrgcB7F0QKSSjNNyVg1sQ5KAW
NoslyYl31H5pVpWUWaFskxy3uvXBtZxKBsxUJEv/AB1FtOw75l2loR43pPgK5uXKFOybNjUUkn5s
us9/H4ZXPqkrHYPHfREE3YooxS/AKAWw8gyo/752WcacgJz1DQJyNgi8/PwrYdXPZQD5bd+bO1sE
5UChgRqBy66/KlCqdXFFimZngsqVjQ1AC44FZLi5N88PUeO9Fxd27b43d/aFEdyjZYvnBBjN4EfR
RJ8ABvy179HOpgDKPFeU14hIxASN5NxsV+vQ7yu6I4vzct9Ee2i5mg4vzoPxR0mqj1Wk34jZXpuH
zuLfakDWarTY5wNIyddg+C4H0lJ/3+3W9VLpZnCLhd/inC079oXGXvIOCZgo3zXori5MgCi4dHGY
5C3sWFIVrDqV2u7ra4TDw8tBXzejQ1TDk7yP9E/Tj9+2udg3LK4UDBteM8KdlucBLllf2qCNzqSY
dh5/rkKKSykQ3fewozO8/FRKMX4ZSnio7Rt05wyvxIhiFkkQVcKo+w75ui63EYik+57uLNEkLlpI
jwXPfd3C6tXo7gEAkH7nhHFWKUHT+NJ6mOzadJPMPBh835nef9MI4JXFRJ11qjwy1WrGLlBE0ZbD
om+9jxrWvTE2/zqD/SHycDVS5YyK6AKQbb6uRv2IoUWAB+jU0W8SJhZ9XhXbO+L3R+gg4AQ0J/Mp
amzZHokUm5etCZACObp8fpTgAuljBH4jgEY4YU/Q6bcqU/gXc7BWhx/LceTsjbd+bUyc475qVqAI
V8XzjYbI63Zeots0Gtd2Xyjvyq1WGEKruoxx1MFB64RaNBCbMBXYt1JdaVVDh6Ja7MzhH1ki7kiK
ezHJnbknV0tV88udbwtEHm8o83U9JE4qtP1p11L61yzlt9xTPQcAX1bIJJiNTehnEeLol+E+LBlz
XTVmE1dBAHv2HPmE/j7qJf8A+6vtcd+7u9tAFbSxgAVbboKNgN0NCvk4evtEGMzVv8YXfrACpTeH
ZR5/9svCnEgvxYd97+5sAhO8JLyLQ1MONtVnQYYFnTpbc9j3cOe47mdW+wrM7xw+VyodpujDIkCE
3/dwZ6mOkdd5fENk56Et4BSDuHO3wir+066nu/ovOgPq6gNgn8M7pc4VuovSvhdv6e7CP9/KXPXX
evEeZP0EDaSYzRcKpt0zsZN3M2hv2NcwAfPKlxGBV3Y2GpeE52ujm6s+bMfbLgz3ISDgevny6bUS
Wws0L8/LKfrGguYpVvuaPGGK+/LRC/6lB0Mbga+N4puiMc0VSK/+vkyQ61PE0VgwRDWCvF4t3snC
XwoJV+qD0b1v4jin9gI/N2D7FcI8dLwdPN+/RbvEW3LT1wQF/3aa/bZNTg00RrCoR2zt6+aYLHzF
gg1XWGy0gY2WvKEemzLtAR18FXdN0x5D2DovQIz2uOvv+4XOqgZyBXdivfB88RL/iKJNC8h6ubOA
4mrCvCnSgfAsz5F90c+L2ezZt/O27wLhisHUGqxlzDFtmddcRUlPD0O07Cx9uhKwbfaIYjVy+R1c
WtDYTj7CKqjKdo26qwDzZDQnRCM/ylQyHKcYjcRr1Is3qFivxD0uh812kYU/wYgYfyhWFFcVOcqo
/Lzv1Z0Fjf4HtMkTE+fzosY622A9AIR4p0a9b0a6vsvFMm9qZhPPOzjVZNCZqUfYHpuP+17fWdG9
hzZSSwaeh1zLMyQuMp82qvfdUFzlFzJxa1HHqJcvsitPVTk3x2Vc34I2vfZdnbVqhR6nJMJ3DbWu
82js0cSDdsg3kouvPd09gluwf0HixbjH/N2a0D5rI38f0gU+Vy+PAQWxDAx4hjgfxFh9gbybvl+m
vt8ViFNX+KUp0AR9FUXQd9vyfcw78ZTQzuy6uv3HNo74k7/0vsTpyJMR1lGwi3iKVIm4ec+UREfE
y7HxR4rLFRx7c76sU3EscQctYAnWFY/7nu+sWCpkELMCGbmWT+FTA++Sj/36/3Tw+594ibpcNFOY
gRlS4pqCU+kDiRv+Dk4adtdyhRPOy7HpYvhGwkWW54J0Q1ot45gWc78vzwIz7JdPj4RlYbDKOO/A
oT4mavNuVS/0u33j7izXQSS0riSL84ui/jAUHj1Yrw52znlnuc4ttt/xcj71IT2oCGQnEvpv2Vb/
eS+grpqL0Q3OLitutosyU5FqkKOulB47b9+Ud4lmczHV1u8vh2vVf9764SlR9PvfR/3P0TjlTqRc
i1U1AA6L3Oiy+wLKsK1y2KQ0QZ5ouS+qBf3k5cQZbdssXoVc0XJx/TA9nNZYBc7l33/Ca6PvLFhk
5jSEklGcFz6Fe9OQtP6YyrkS867wg7qyrtgTG8z3cJsY1gDOQ1Ll48Xca9/bO0uWrRRmw1vMc8N4
VR/A3o4oMNWc7aPUU1fZNdWaN0ZzhH3xfLEh8+MMpkZq5+s7q7amkIfwAjtOD4ppNvH6K1m8t7Dw
r31ZZ9GOdKr6YUW0vS2BBv4eij0gVHcljKir5xpqAyqAQcLIWE+lF7+yQ2H1m03El+Tzf1OAsLF/
OeeBbo0aJZYkh4mNLM5j1ShzPZJoffB4X4trHsB3AXT/4XOxzTDurDb4RaXCU/7XpEe1KZioMZ9A
5Ay+Fguo5WfBeH9VQT/3YxVdEkLQ3qw//j4HX9kEXJWGWirPlo3GsbE086dw9oI6bcoBZmyBXb2v
f/8jr3xMV3o2qInOcPTleduhRfCAUsYms0ILQfctU1d+FvZ4WbIgVl3befxEtrB9Zmbep/amrvwM
lnmrKgqCZTTI+yFc4Yld2Od9Q3MZst9utuO2wQZ0bHlOptCewriMv4wA9Oy699HY2WF4gNPah5Yl
l2jhA5Sx3eoYpoA9VCb7Xp+8fH1kQQgsWgcoocDBeApZFH7lLZ0/7Xu6s8M0FeDiYMnh2r/a8vtc
qfpqFHyfQInGzhYjwEuBAF4i1yVqGPbBrgf+iDAGCPm+DdIVoW3wQV2TDqeTp9C2X8LMCnjn8q1t
5pVF5YrQiiFOajFBz9nVJqtRn+5Bwtg17q4CLQHwYIr9NszF0KtTrIdreDdE+6aMK0Cjsl2LWXhh
jhblBQWHYPg4hnZ4Y8pcrkl/2HsjZz01o42plEuck74NrxZYz/wkBl5SGQ27U4s+jc4uH+QE97ul
U/ty1XACf7kK0BcPprcdwpx7i71OFONruqzLsq+TCaZBL5+/1SyymlYhcuE1og/ub+HT1ATKP+77
3s46A7kdygyOQfORX4Fn1WBgatjvq15TVyU2sIGt8KSG4tDvolQu3Q8drG/Bpl5ZBa5IrNkITs8O
D2cMFHd4X9UrS9UQs11JHOrqxOykYZSxomuginn/AGCgTUM42n3bNfCuToyjjMpmDpfwsaN34OXb
QyBHedr3cCf0Vha3waWKo7zbtiAHX7HJDdhiO59+CSh+O7iirWx6zVmUg4XdpwWj/4garnT7Xt1Z
xaWhQ0dNwPJJNcNRNQW0bnTed9t0tWH92rHNAIaTh9t0L6jfp2MPD+6/v/m/dYY/bEChs1bhXgpr
US2ifO5Z051R9DTXBg6/PTzw+uERPCf42oaS9X1aktoTKcy89XS4VEAYQN89DE6Tqu7gmR6v9g5G
DS0sSnsP3t+89WGXOfNK7spj0dBZ9g0yBjDRtEhQRpCtVRWAsLgP7muQpK6ELIT+H9ovGeXDok84
9j7XbNz34q7sC32pyWxDZFYXK0ieyGHKVRu+lVb9t8T4h0/oyr4iv4UNoUVMNlPYBx35BkvVJ0Dc
xiLjAIcO6VR6wbvSr+G0TpqwkNdz2eJ2O17MxlITFpN/jIJpjQ4e9NTrYY6H5QMhxjfHehnCJeWw
5FiOGobn333cyw8eid7Bz3KmadB66jlula93qRLhpv5ymQZejPQ8XODyJZFyyFQAWGHawsj959/n
+2Uz+cNYuQVsbx5a2S9IKFrAEz240UoeZ8za5J8o7tjHDTWNz3//S6/s9G4xm00VmIwwQs7nuq1O
kZz0t8QE8NTe93hnywFMMUa0Q5Bb9KLpKgRmH3m6nY3s1K1mt7wfYchLcILDul1ntQm6ez75uH3u
entXS6hLaP2gDEVQ1cVFWq6wQYWf6M68qwuhKztMoKRiYd7p6UeARZ0iJbWvLwnu1i9naH3J6RY2
CvOoEEWqbPEB/pk/9g2L81Gb2FAfDqVYyTwcb1qA9bEkfb7vlHL5c8gVkyDWOgJPTZoHYrzw1woX
mad97+4cJGE5VrENY3zSmZHvS433PhQQir3VIvPqNuds/2hDnRTyDxEKznFzS+sFDt8N0fWxlfC+
TgPIaT9CAs7v1dps7AZJjNZ8gXspwKsret8/NJa091XEe31A7mJ5p3Qh/YPd6tWmsti4l6HmOKJQ
60/LPSwnQ5vNAha/sH0Fs/5gNLBBb0z/f8ukf9qGnMGCuriM4HoVYpurYoiRo8L+kh1hDLbX/RZf
FbZoxJ0ELOwzKkP2FjKYDn1qZaD2aWKpq6JEd1dRMoFWbeJ74b/T2GAv3DfTXBHlWggLkRiJ85pq
z6ZBo6YgC2S50/+DujrKjs4JFL2orIyGsbwDIuZYcR3vixVdKWVSzwU8PvwwtxwIPwX88DVMLKt9
lXm85csdZAMGEEHXJcvhV8WPpddIcaL+AUfgXSvRBc7FxaTNvKwhQiQWpzjBka1Rctg5OM4e1UNb
Xm6RiXIhEfTCm7Jon2Qv6l0lbury5rZ4QvF5NBh7VQxXVIYmiyPT7gsvXDFlD9sdfzUjNu9mQ1ER
JbPrbtjZPEldLSUcyhqEQpzh5mgg7wBPNIXDS/HGZ70cMH/YM6iT/+EjfEtMi2nDRh++2atsQUwm
6Hwurutwin7tmjz/kT5uxg7jgnruRIb5wzpLSUGIDuRb9eJXEh6u+BGUyNA2NY4JreNn3a0NyKF+
52+ZRedgtgkZ/oz9rvteh8hgom0c4dm+H+YcHw2vKGLJLcz7avxeieRZq50QRvqvuPa3y+XkBQ3n
/RLmUMGKB0Cb2xwlfX/finNFbgljCjErwhk7BfKWsyI4TzKsj7vGxRW5yVGtc9sGNOdTMt8vstIf
Ei6qz39/+iuT1pW3URZVW1uUFKKSvtkyKctuPaBvxDwNAHmv+xKArswNMCoYjncFfgMCy1QM5Qdm
+3DfxHGFbg183G1VzDQXVSeORVVu56BnO88aV+gm4OweTEHLchFVwUnNfoeGSn/nZu2SzXoQqjuv
aVhu5lEN6Wo9fZ6Dem852RW6RcgWG6/A8/vE03db6EMNDqe5N8Kky5Hyhx3vX+rtb8sKNKExkEXF
ck/PEQRJ7Od48SD9+8x87eHOdoo3B1lG46BZSlvdBHVZplR30Rslu8t99Q+v7irY5m5dg3ZGStof
O2Uz3dVjlIFjtIENRnjPTiOZ9Fc5E/P97z/ntUSOK2sTAi5oNuAUkv0AWYByG8Mx3dAB8uuSmrqb
Oq7qy33FNNMpWEXUV+BgIkF4oMKnY2qRYwqOY9iSObVtV3ePEx/UTS0qv0kRLcbLNbrpUA7/++u+
si+4OjlZSXtxO6T50gZmTSPIbj75kCR874diHy2cumq5sYltovwFuwLcyQ9DMLLMa9v1jeP4lfnj
AtNIxbzOhpbmdiHzWdNJvQ/Rnrlvz3e1cs3CY5CDfJKDdTIcwJk31+2gy31hkAtKW3pa6KFjePrc
2JQ2pLyj3k6hPXW1cnSCciiKW5qDpUKvaJ2Q99wmb/XbRK+sLOccnyvUSzTY2nnbJwq5m7buv7RW
N3WK1pipOzA/Gvd5W1EXmjaCnDJOigb5YDtMfViBq+98ptuuKURc7VxUGFGtIiY5l+CKHZkM4UTX
m2Z8C0P+5zlKXPlcrTrs+5dZtCRJdYapgDhISCt2vr6Tq1OTP8TFSH3UCznPJIviAz7GPiUtccVz
Xqlb5DNhF7/I2Bw34YeHRg37KvDEJaI141qMEYrweYjjPUMJDEhOxXaVsYmrnGu8Jh4tLGtz2tXt
UwW7vjQWtPv0963ztY9KsTB+OxU3LmumOj/II13Nn5C1r+7qVb3lDPXn+Jy4yrm55ciHdGOQF/0A
vfo6jO2nuGDiG+gYg5ea0RNT6o2F/9GXwzznBcimuzS2xKWllZSEWzUvAeSSC6odIIBmKBqbq33D
5pz3S8gUWyoT5Mx0VT404Qltb/viLOLK6jZTcN6sfZDXelo+srIKTzMJza4QnbiiOt3FJIkVXr0p
4vIfvws2he5uQBp2jYwrrLMha1c4gOA0QMr/s6nGCe2phDzve/plH/9tusqJzz0iED+HG3JzUsgZ
oGhY7wPIE36JL357OsXxHsQR9/OxhBgzhY3vCF9JG+7cQV1BXbNxEK2Cyc+XJhCHeJULKCvJPkkH
4c5SjkNdjFAvBTlkAOX3XkYh6jZ7E03E1dPBxirs5k4EQOutw/UCz6R8DCp/V6aGuKS0OKxwC20X
fFivjz9pTZsfti5n+cas/PM5T7izXmOvKfpSYZsrFaCVqe8lzZrOHpRNqa7G6gkZ2mjdt8BcgZ1k
o1eAGIWTbKPbFXgY230xzG9ppi46uv/eBYirr7NlFcA/yvNzxOfrcktJFT9Elm3A6tNwLjIxxe1w
9NGEQg7Dv7HqrpXnytjqWdVz37Z+XsIq796ntrg1k9S7IlTiathsHM/cL4BeB0uteOhGOA8027bs
m1yuhm0qVQFaWAmwezzp4xDK7zDes29MrVdO0Pjy779tGuEwgPlssS4Em+cf42bVx9A0b3k1vPZ0
Z1EPLacjUQXJtWJ+CsPALkui9i0ZFezDLivgT/OJvHx9D4V1BXorySX8ODXUAHO3hSm4T1UzpVBZ
LcNxLeDHcuVvQOlm4VrP60Vj4jWHzZLIfpjAY4a0FsCxf3hjqUlLtiH5EC5xQrJNt2o+iqGNRAon
2hIqv9BG5a1NuqlMoamPw0NiBuFnY4xOpwzZuinJooHHE4zjhrLKuKnJlhVr5S/5WFWdyapu7LY8
pDOdzkmBaOw4LeHE0xAGeRMwxFPbnTaqIFbZNuvra7SkzvpGN2M/ZXWFas47XcCI+xyWyAgc5WTh
fVaTKIzS0qsIuZmsBM1WFrOVqFgO9fSuhLHIFx9RnvnWTzCmxoPDWWZkWrw1U5X16x90ZnbNRjWX
c6rAFywfk3L0y9TfgojlNa6/S7pA7PIENSs4TpEZGpoKvzbbdbxZTFDY1aE95YNoA5DIamPL4RzG
ni9uaO9ZkikUcexdCD+16rD5dhPPbdtfVBPY4leSrnXCE7gm1bp+BhO+/okPx8UxoUQH3wMijLin
vIlwpoXVWqeDZ7wgVb7PcD8X49BcTwaZwGwFyNk/A79Ph6sAyNAOr+hrngWxUS3CnCh4hhkj2zIP
LodxVhVe8EhCjyXvFKynrmAIqcPzBih6ceCEruKzJcyf7zQhFYqyyAaW4TX1xklkZVf47AC7ofaf
sl+q9lh4fZWAMVYG5n6sIf/N/C2Z66NBLPFQLDW8vwJj6Xa21vI5rRchzBG0Mm1PphjI16CW0XBd
LAyoNTIO6n7thfyMNyyh5wJVsnnq2bp9LqV5DhGUPtce+EeHod+wovqN6I9tN22PyjTs87KNpjqS
jUGsMtFKdWnfVB5QzgEocWmjInKY4sh7nwA3e24MbhNIciSDzgZDtkcCLQk5i9IgYzKG0RKeG9m2
5BDoEFkhEMnKMS3lVqKOvHVRf44CLe9gBt20HxlwzckxGaT5Aq2kKg/bFlXma0V7UZ7oErfbaeAB
J4+VUDM5rX0lqlONOiYm7egv7SMnRRhcUThbrXBPbPR4WDn3oasPvbU8MPROe6ka17E6Jpzq7dxp
szZXNAoxJTF3ixIcahOIJOPY31FK9+qtTxsZI0s5VCOcplaTVENWsj5gEII0Czl4uPnfSzuN/HFp
h+p64Dyp/9n0TOJTFyu/umEShiMIB+WIwpeOflVIJH4nQxQ+BD1V6zG2+LpnPqnprmBbhO9p12o4
6o318/vZMjI9hSGGJqs1JLywRtTTdttuxHua4toCCAGyfPQAR+dSpR2QVl2qlr7z8fYgW9xLA8fM
Q7hgnZ8SPrXLXaNN4h/wMQU/BqOM/xFd20xPG2684gClG49PQaL72ziZkIuEMsJ7RgNEEGWyWBtk
tcqyTw6kD5L66HtyvoXbE0q/ngL//0Z1uk4eLn6+Sqe6pxfzzGJA98TG9PghxBDKA+N+44F0CpXp
zTbZrcnmaF2BmQo8+n3SWOLo0Rkuu0kXRPJ4oTkOp0Vi5N8LWy7sTGGJO95ErP8sa++oynl79osB
36UFGHQ58ALOAVUahd2FutktMeFHNnkM9ovtGqlrAJiLGp+MoyNoAl5jveVTEKD6I8hs7wb4YX/n
K5/MTQlZ+fylmkg73VWqrNarxgvCZbycDnEZpKxrNdLAXEJQ6lvRqGyNzayyyIjoCw+RtDx6vtL/
+KJeDpOHzAe+/0UaY45tI5LDWhqTx6SHb7sBnz6y3beLhCCtJjpkUte/pA+FYAqbBaj+efhVgLF3
oit6Plv0Yx3KecYVkvdJ5qupzLZ61iluY+F7pCm8Q7tA1rwm0fR9M2EL3snyRcO+jKQxFvP9EvAh
A4GqPRSoymaNXBAOci88YsrIAkPBJK7ZKi5uKunNSzbpyHuASynk0SO3GNalQ9d3OvpMghwECUEK
Cft01sGSFTDExRGgi2OsJ3qAb9snnGDyetUdyXxQFYu0KJI7u7amSGF5ERxCVGtnUOa8D8sknwkL
xDPchMj7qIngsD57fdr5OG7kQrCj+7LMmBq3x2E04xNMm6abviL+16aX4xONe5HpsrSZz+LuUWuF
H9h4yZkG69d2jR8nuI6mKtYqY5GMDiDBkBSTklw30EZBhr/GgAhX1SfAG+KHYO6+eapEynZTcHCo
luVxVWgAiBJvPEgBFsvQCxSnTHKuZ6RCwwaSA0rF+65q3tOmXjNeMJN7nfk8lPZbqH1yXNEFmLfg
S6ZebcbrqPIww3tV/vSMCNO6Ld5XEXvWJnqAEdVNkkTmpNf2wdo1Mamd/fIHYDjEHsOpTj5VCSuQ
JQJHxs7zMVQDPzcjjJarHvUaOgxNZherfmJlR0Fma/2j6ywYaT5X1whO9LGR+tbfOA4r2FQ8MRjG
fhNTf0XJ+tAovWZB47P7aGnygdn3NToMrnBQ+LdxJO1pDolO/Ykvj9O6zU+6rre08gzPsMamO0Ex
ThLRR9qWtTh1EW4yvpziDMGG/CLUtj22KHNfxx6mbwlG9GEQXZP6BYjf86y33PTkmy0iDNoi0zBp
xrSj6rR1IAFRwBVz2tPtPvASitYmMRYp5HgmK0hAvgGpNH2XE/0OZhbNIFYZc7+Pv0DrWJ3HwANo
Bcb0Zwn31JTGzJ6jre/rNGagRmOhYXgMeZJlAsMRWC5g0o3lQyyqLU55wounusCBZqLRpLJvdXLE
HDnyotMHqSS5N76sntkwDnc28shhVv6JxcVwzwiCSWOa6xCBWhZEdX/0o8qHLZdCiERm9mVEkfus
W7mmzaCucDMOb8Wy3JfS+1hLws5YPMegCOPjtpgyVSKw6Rr6JKsHea2N+CiKes4obNqzOljHtIFH
IaoUVXm9+D527ol+Ze30TIGwyXrIDpt0CdbhiJqBeUYvpzp03CuLdFrK8RzX2Gm9jfv3gI3FDzSQ
DAeFXb5YKN0Ps+xGeOPQJDVlofvMbtNSZRsh488Suovy4E9jV2ZLE8sDjCba1AAFiL2lDb8VbOVF
vqJi1kCZU1CWh5NnhkwHXnMmms/ZJsWa0iAM0xVhQUbs/A13ScOgMQp4lHZoRm8gfSFcw7VlvQmr
kbUHVU+tzZI5rjKisSUGa1BcT/BjWu/RLlymECVGBx8moYfpot8EkoygWZBelyKQ+dIJncm2/Abm
Up2CeVIAYxgHhzWe6McB7LKs3GAxhD9CYnvuqSATsPqMnRJdDzehmu7nLflU2uZ+UOp6gtvROUpK
U31Gr2lyi3iQde9b8DFwyPHFfIUF87Jl/krVhNXSQxg6L+/7ot6qQyAGHA4h7RMgeXkVHBVSauXt
bMfk1Bod3DVVG8oU3kQRz+iysi5lXpvgppFQxBcKe01aGmCONYbiVsBR62uh1yAbEPk/hgmvUrr4
3m1r+VGW8Q0CoOHOo2qUKZvH5Sh9/nUqxuuuMTC1aBCk1Yj9HsCcZ8fB2/J+VOoBqIcnQ6FbTnqV
pONs4yFF2yfPZr/G5aUtWRaH8YipEY6Iknz/OiniIThbprw4HVa/u8bthChIacPtVwnYTL4K1Q6H
Wm/FETY5Q+qRdqOnuaYlglf0dGacF/WpZKzPpprdDyihpV4hmzQmQ33S8RB/JigKws4KnqMDoFpp
Ixj+F266abO1GDvVG/9KluV4EDhBp8wPa3vWBPMUUEoaogNPtT8bWmqSlUHRPQpbIUPyf5x92XLk
OJbsr7TVO3oIkCDIsal+4BKh0L6llKkXWqZSIgmAAAju/PrxqOl753beaeuxMmtrsyyllAouOOe4
+3HnmMEyN6ddWlQrjAROngt1v6t1KtNprQpt4GPXb639ZqNuunZLMiEsStVIc9hdYeg8HLyWaIKw
RXCgAO2+GOaGC5wapkwHZ0qFel2SZm0fFU3pA0VPgVZxIyYnQqSndrXdF2SNQ6iG7FyknmrXnqZo
9PeY0eabiFLUxWRPzIgQVBPmkZpxiec2iZ5mP/YfywjP1l5ZdsFUqIOsMk6cWjTi1zCQDfN27YPH
oVvUMVQUCzITHnwKLSZsyl3fZ8PKaUbhxeiz1jj7M6AYadN9fuZrygvppQOmY/QltJsSW6umftEV
rD2x3WeboJwEJXEWSyXfh3qxT6Ahu2u/zOiOxTBcMmEsHrG6GbM0oeSU7mFTLHIll2E1ypOhVpRA
aBN175d+kqUyIhY4scUKHRDs06otqpsC3rTVy8KlTTK8luO3dGsQCBsl1N5AmtJ+Waox+MrDGteu
8dq8hOFAMUgTT9D8xxQsKdOvsTG+mNNzdz10Ot4zYcb4FNRDfNXPtXvjNYh+zDnomzBVJmWVwp9r
6OBBT+Cud+02w8eLaphMxozsxps1hENqBnspko/JOKu8GcmO6iS7CvNOTAU4gArzU7immF+WYb5c
N5PcAg2g38+ROBmCL3s8zLVaECvk68t5pZZn3sT+BUUncXkcD5BYwiezFplJsZfYLaM9rtgMPeGI
S55kI9Qr1WxBmAO5qQaI8DMf7UijXylOwMotolBDihMz6ldzQCleXC7b6ZZAN1mgCU8/sHXb2xJP
5SBvlQ+xN3XeZ8qXHoABROoCJZelt3hOfmClc0GUfHrvtgnP7SbXksdTajO5OZxwjdjlM8IEr/YO
AZ71aF+nECBCts5BYOAXJl1Y0kixBypCN3+bNTfrAfnHEdbZFEU8kN3zZWmD+1V3OIlj1rdToZaA
Y09pGdmbS/32dSH1rLLN2pTgYKtSiPTaGpNJRernhrcbYJCQQIc/u5ockjBO92zY+XDbsKGZiiWJ
MA0CD+FBJmoYE2czAKBDtBHkwkOC5l6qfh8KISuEwnBIDq42ptHGsJD/tGhEcqcrUzY4WW7VzBTu
zxAiZa2itbhIomq7rLBg+DKDXSqbMJqvuG9eoEBKrlwDwEjhTMiwPqZ2mMsByIHXTV9YGHWfIrEo
XKKW1RedVfURdUTezHs3FjHbTDFEdXSQQRdjVyuI6qxayFSOnTe3PUimHE2yevExcwePP+eAX2Sx
II73XAw9UIaAdW+ASec3CA79Me67ugiHpSs3HJh56Mb6BIwN490GHBXQCwTBbjt7yHH/IOEEUYgm
Vk9t5XqVQTrfuLwJ3MuMJIUsnOfdZrBujQ+I6dsPvcKJPNPBFRONw7KDV+9pniaWjThR7ngyNRmU
w3jCB73IDG6IoSooDtliYBU9VZHnn9CO8gs0SulJOQyO+IEPkcKvBB97X6AD5CWd2hfMrezg1SQe
YpHcCePqV7Kbr1Mkwb9oVfAuHmAepatnpI3JE3yi9JjpFSGpmYR9Mdq+qM2xhoFhJwpoctWMocyl
QPKZZQtOwQXepUDuzA3cX7qMCTnn4wSx46raDVvkk/oxc2rzAdkAV4SN7KBIVB1iiY2Pfqzct3qQ
aKhXpLe0pObFTpuphLnj8GC6gd871OAviBmE7VcfLhc9A1CxL9WF8E17K33TYUcdxk2rnp/3iAZZ
BKUZzvBIX7YItn91fVsaNJ/nbkxlezvEJTWY2EdwCTj9VYGxiWPYah+0Ez5HdHJTrg39Gcd1fBwN
HpGW9RdyZWnGQrRgdNdzCXvVzx3ms98TDBWXcYT0tEgpnTkemBJsgr+jXhyl4mvuRfdt68l81l73
B05ZmGvL24xM21JqGc5FNeJjBTLcjkDm6Uml2/2GluvohwaHbmivRBS9b90yHW2b3AViwSeo3f3U
8lsRYVBc+AzYKCbf6pQHxyiVQFVhEXg793EHYAQQd6Z8fawIwxJOMmEfBzusz4sJb2l4bqC4pDnc
m7sSKqWvMWnRUibqLZyTMaej+NFKOxcMYeK3UaAWvCXDkMlhn75qWImVYsMGVqtYvmyW5ws2kI6b
MSqvLVxtmzWBk2i46xv0J7inKA4Iot+DrgQMgK7LcswSsATEzRkJDP6D+lBta5J3HntnDq7VZ1yU
Zrbz7FWSoL8MlqQtxpiZDP3DBs2K/Ob7GkjTqng5mOjOzQptqTTPdHWvqRUWHUMv87lmGprA2hxm
r31pVPWmAwVRcRyVM5wmb2uGqEYy0weP2JmHKoqnsplndHCNkpnRiGkLfXIg9ZoWCKRPLtpe06yh
8pusHD+IeFnDnKcVeY1xEwBVz80zzINPE253lhJIgPHIxwcaVTgPnO3ygbX9Ae7kjwlo70HWXbY3
82ZQw3VyOSEz7T5IVZprE+BI4jM2oNbG9qcB+fFXfdrzsuE1xiPrYbS2DKANK8qGnKt+upZETS6L
4f7zFd3OG3pWdTmEcrt14UTymGzbFbadmnva9wPq37jjwwEptj4jCw9vAbKqm6kOX/2S6LsxrMV6
xorN+rWHHiBfmKnwi6vwFp5vSzZDCZNB6TG/rbLF/ouQPS7ViFWeZQFYPXRyCS+7KkVdniFWJoC8
GnHPa2QMHFf4TWCLepykBApezQ9hsw/2sEo1sJ91u/uc2CRkl4YvE8tlBWwvqxh6nSxuaWpvu6Vd
muuIDCzD9NcVuLMeryBqrno7p5A0pzEUCBmGUbmhT3OQyh9bZWbxGqXn9iJbNE9uraHbaZOintGm
oAC+jZ2e2SVw9FnkWEk6v8AQfR4I0lR3LC9PIkIvawNXRHTGOHqG415iOwlfoH5FUOBxwq8bGnj5
VAmhzWMIo8j1sNa1q+4RIeyOE5GYkcNBYdScurkPb9qd+8sqgegaLwK/D4IpmLIUVFHzsGIV0QCp
W7qbPor8dNwYHX0x9N7Wl0G7j+7JBBPqrFbb5I8DFjBkpla2Vt+GKqK+BAQKfkWP/RcIXRgmmnOX
la2SImmtRydgH4KBcWw4Yi/vDiZPsOjMwOksByEAtv4cRuS+X60tGfai3pB7nDVkn+ZPqnYUYbwj
8XJI2tZ/GdK0vpgqbR9VaHd7lYhB3tWoSngxYt70p5H49nmyNYb/KN2i56Tr4ifPFrsf6/ncXdSt
gLUv3kZgon3cL8jFhbV8hIluTaP7Lh7pnTxbzx98XFnA7+NqN/j1QWd/Ek0k1Q1qd68umIOL8alj
Lb3A84XqZWYokWTbzXcaeMG7paO8xlqiA6OlKRYXkNCeJIho3RSCDzAvNdkUGyaR8KClLDrLK3MR
4rQASAqt+AX+Wf60YJIJTxN8XcMjiWN7z/gAKxk7VRsW3c/OxTihqv4nnGDHZ4n1sEe/dmwtaoc7
BI7f+58jnwJSYOxm5B6x6+KiU1QAI7IRf/JRbeTnYiz8T9A6IkengiPakFW49DqvxBLmabSCg+hl
Vy/o1Fz1tZ2saW4UMoCjIvVtj9ekId5cGaLkZdr36lrDBzIokaLipgwpYFV8L+JhznUwuvDWkciP
xdaY1OWOND9DkB4qD2klXYlU9uYx5XGIbelebRcYZBnNJs4A+Ew+hYe+RnHLwNWoz5oysCJN6pYC
uPa+FNWi1s9p8+IJS5BsO0iQcZecNpp8dhT4cdmkg8eSdCvbo8Ai9qXClNufhUzJS2DANV5v7bgt
uQtXOr7brY1ZnSVSLv6WTLslp3iPg/BB8Z035WLglnfoOscucVaL+dLV8KDLUrp4k2/wquT5Gofi
HjeDK3AtQY9GRCfYxIWJRuKLTvJH5M54hYOuoUAY6B4BXmOjvZjifja5Qi8GYVK/VK28GqMqDn4G
wJTjg92mOjn7bsJk9Z2D9FBXIE/68IEQIEBFMzKt743eQRGuqD3H2MTjdv4czYHvRsDmLwpwdkqv
QpPHSDN/gaR0e4VPfHeTzEtymLp9/gJBAgDsAcX7ahN8sDnW+NolI6YyiPqJZvbDoGV8dODKnt08
delJt27GeE8DETx67ocbsnHXFXhnmw/cg/3rIhMuLnhMCJwezWpyRlR0N61ye9ArePamw3SZkU5i
lGBdGLYnoipgTcD2mw4dKgCboqNSvKR0mO7Q/If3oIUqlTWtnCS8QOe0fw3d2ia5T3dT5TEg3HOz
Uc/DB6XrTA4hbRFzmo4sfWjktB8FJgMEbzfYV+r0om7jlINAoHt/CBa+hTg11wTQfkOpywPJNTmN
VNAWtG0/MAWIxSnyauKZ4d5Z2KEim3dKqmuwyd10v3kqgNrvUxy8t9y2bykA3+uxmgXJU5hfRFfO
sBXqfuDWMl8BIYFSlAl7wRw3+HLTkj+PJB5OGybg7Shimb6EdsFYC+8kd9rqves+JGw5Yfts/Jns
BStwEazBjhlr2xUa4YTXz20f+qyiJGjKPT7bILsZzHw2L9XwBHut/XuK/6+yveZTmIXY6/65qSYw
x3HEU1vOaFMfHVAIzGqq9dlGFPa8N7729LLGGYYjYEsAiTmc07KE1bUOci03rGFDNGjbCzPz7WlZ
6vRHJxXad8OW8Ql9aPNEK40LUU2rwUIiiNj3DqqRNlMoBwP4+CBJS7gAYrrjESgXXVf2VC3Y6c8i
vdl7TPT7lee7uFp0CK86xJ8ozgrdh9WeW6fpB3aheH1gi2sUEhs2bXIOIfnPpjPjO7OO9Wd63Uyn
HWjqR28qWZW0AyR9GCgmWCDNHWqvHVSAUhut9FGbHsA1Fc67Any6VblJYxwXXUhQmnYw9hWQ6jad
s5pU6SuAubq+qhXOD8BRltQX0NP10H22C8Vg39f6c4pl/0PZHSUAbOD6c+5BWeY8cMsDa7cluUbx
BJtBxw5sYNjSEH3suJwI6fiNX2wzXXpPZZQ3pEPEzjBu4I6ojOUXB4aO4YmG8vEIi0+6lzbQw08O
5POddCLsrlL4P1fFNjTAjUlrcIYDYK2bYxDCmDhPNUjtHO8sjYragA5DG7m3Xzoddd9HM7vgcu8q
lRwqndifYOpnke1TqvNQJeznefxIc0jwuzl3tlrugnGsVD5wbIbmINJx1gfV+BJ30F8cep1M3bGa
CMpyxCsHT+Q9BghMQHaj2xLYJS3qYOlU6WEEF5arAQBWojvvvq2gmTOcLhFY7aFzh4SrBSetXM0t
DmFyFSwEjG4yrz+AG6c2p9G0A5gMKveE2FE8Mf0QEFzSZY6Do6cD9qkXTkQNME4PyXML6wF+wiEb
8ozGZIQam7byi1im4MUTMul30UPJgYWEfR8AW6jKFPs6YPl76lxysw/1vBS0r8Zb3qTzjx3YwZ5v
rdnowfoFE6JZ9QiCeOHwP98R5pNjh4yS63UKVoy/wJEOo5m2q8XjW++AXQG2x9qaTC6M1NZcK/z6
G05FiTdikOd1toRULRoagycDc/m6InJiIUivnNFnGszZsCn6kAnBENYP0dplZE0pP5gkNT+nigMO
COBxExXR3s3PII+X8BA0ap4PZ2+duiC7mKCQCY17gZVxvR8rrKy+13NgpkzFqWflPKJ5y2FUafSD
pu0AXkK1QP6IBCiBx1oZYDK6h7gXt+JmULS9dlEHmXug4mrLBoo1s9Owu2EEPdKjb9/nJezLpDH6
Be9HEDzPycYsrlPik2LF+M1yzpiFoARjxmtidppejEsAE6k2QUeTVVjL84/rtkcjulG1uE/qui09
4J/wX3G4IRm7kRqcVd/1EWQZol5ECVd622VwCWgFFDxcRgcKBnrKgV/Y9yFc2FoOeBLmDFgu0jGC
BUxWGdVjbIuGxLiso9g1mnaxb+81rUN+o3sMbRg/3bifoal4nW4FYPer1IAFy9eQqbHUNQiPY7BV
7m7BbvaXpGrOXiDjGH1TGE+HwwBVyFz02nFbTJhCglc41Y3DA7XbIq6afomwlgyQNuIHMtYbZm/T
R90X0OMG/8XFSfeTiMYGt2ABkuWwEeyhWnSk2J/KgAugMMFVySSvrUIbAcUJjFEv9YbqUiCkLcKg
n0Dvkcc1Cs1tByKcgA9pyZhzyADrm00SHJyhJv1TpE30zbJ1eoMQdLlIlW0EPt5uoSVgrJtPC+0i
nW9bJ87E3Jaw90Z2c4gKP6Kj29Ht4Qodw1ZRv2djsCddaXbFkgJ18sxH6P4euZj9c2saUN4kZP2t
Jy1+6di2TQNMeJ5eelLDr7Bf/csWs7AtEGfi91NSd+7rWovI5nWwNnuOG46jFEHs8YoWvWNLDisT
iMqCearR7i1RFD0IKgJ313KTzBcbTvC0JGNraY4K4G4SI5Mki7Ha+RNYzFLlAi05AADp++GcFRQN
BZtWN15PRrZ3checZItnGH4XHLcFjiizX6Hu43nmGBbHTMYAjCHnSx8XqNNVPjkRtHmrsemQ2XUH
fGVD9KqXqZEBgOlt7vpLNkwYBzF64thNdrfqDBgS7Aqtw6PdURJhP1EP+iaaN70da/ilmq+jBJd3
AnuIoiKgR9oyILHUlElSzcE5aWPWxR5pSm9nXAvYc1dMplmQ9OP8ZZrgOWCyNoVXFcqGjJt7RInU
0OLV4/gMpyn64JJQ3aukWb7jUqEt5lgbmE7JtDUKnYKLv0NEGEKmEPNxw1704OISXGiKGLEtrD60
j7cgX9am4TlAA/FG03oDParMitdOkf16iOb+euMS9Ek8zW1pmWJvnuntKRCdNC/Ug7a7GNIKPxIY
o/AXS4AI8c9kkhqLxhVuWzkEk4mv6sDQ9S5pA/85cb+9J8rOFRRO5zmd4CyoD5NlbIXcLlC6GEXI
iiroalMSmM18JjQC7x0PkSMZCm3wDdLBHb9jJ2PEl0/VVOcIUYwuNlkhnysW6piE/NOsC5Jk5pgE
DnHMBEUvHOBHkoWweQgLBa2Hu6/GIZE3DK93XOqU1a/IpLH9czJVQNANQhl5oYIovEIH1gePkMqg
y82qjTefS+XsbS2wxFHsvkadM7t+DeYotHmzrR0pjW+2JwHtwIwPUWM6qWsruzJCFGZdsHDnIndx
u+NE6MPGIq6PG58tJgbkSVGnmoyCH+WApGNbncaRqG8BSMs1m4ZeUcBXywSLmFH2a+mbAKTOgrfx
qg2CdC3lmIQ3cdPrV+8YmvpgAE3PAlHtEPxtYIWWHbvIOcfI8lTJYQtPkgxNBXanr6oLCF12dG2C
MtDQNTjJd+xXWODIKR7nPPI7Dy+VPX8KjPn6sVtJ/NCnCpgjD3F/gkoWVrIWDPswJycnIRqD69PY
4zIAXS0RqD4sqOGh8EC51lBdKDKpG7Rc43KY4dSd4JdM6XtY8fbZeVsBv1iJB7AXDOSAutOag04j
DcGCwwJRCZ46eW3m2oOmF6JHKwafzx6EKNdvxAXTi3ZnSAmy785cmGY3DcJQHKBJOSStP6R09v7Q
TES0RQguoYZuJdQofGPsn7F/AG1pIwd/vu4Y85910vRP24Qw+4eKh3itkxjhWZmMsHWXNZCTmCJO
+/YDfduI7LWwx+UfeYN2PYkbjNpADNlW4owAqt8kSgIRHkj0hs41Ao1VtRy2d4mmLxXarhbwIR1D
IKyO6cM+ivXWIHBd5sPMhu8L9JCv1RTSDvhGOBYRgiajvJ97JERYVqmxUK1Bj7KtdgL5hRESJ9FC
wy+CjACNa+Wmm3NEtjxiVqoHxH2Dbz6AmdvtZWP8tBbgeCKQj9pFwQVF7ygLvpGzC/yu+89masTj
HGMYhRQhgQt6Z3b8WBJ6XPyd6SbNeSWjE0E6QH+Vqi3O0xo7U+XYW6BwCxauu2JIavZBlF6f9qEZ
oGfy1O7FBPXph47mzuZ9zJF6GPIGANq0rxUCalMyDRDB7gOgFKrbuwZC4vOlj/W7Imp4q5zAixTM
HOIrWKJcQeRmdDkk8frZDn6Y0Xk5GLIMW2VvVKVDlpOpJ7RIEaY0H0ImbF/WM7Fo1NC0xAcAXOtw
aOdUGwz5u3DHJVj7FfRq6FOs61sjbqtkqNrrph1xKjHT8RW0YeRqcNSqUwgtXfZHCxuk9nZKjGMg
kiK2HgIl0xEV+txqd3yqo3yEwYd96aAeXf/Fuuw/05T/svRYTZziE6XnZQi3osOGZv1HlJjh489t
Cvyya7GRfV3XACzFSPfubMc0X3erDf/F5tUf2+b/g2D9V2NRbMwjUHNrg2NcoWE9kRpv6XFMIQXI
EG3W9EUXRuhLMQJvPzBMu3fa68gXbYdQ0kODEasrUd+NOK2cxH9u2exXO1KwiK0VUN3iEIEsum30
VlD5r3I6/snuSvzLZiSaf6YSDsSkN1H3VXZL/2MFZL5n0dg7+OHQHnDTn7p1v9qT1k0vlEnD/UiX
tb7aiMZ7F3n29Od++i/rVTQIF1j8+f3INixh8nAOTkFg2+LP/fRf9jBS0wY1Q3L1cZMuKIORmgMC
wOifW+r51eVU+9QGicbvbmnawfIxjgRDCo9s/sWK/z95J391OSXniEUvlu0Iwv5HoOds6s3Dn7sw
v7zumDNCizzU/YhX8ZtM0xJJ0vZPPjC/vOuunyZIY88EoIo1cjkZLfEx7J9y4mC/+puuUFVwF8j9
iPQ/eWXr3h/6PfpzETXsV3dTtTvdosHYjv3g25+x8/rOh7b5ezjCv72v/15/2Pv/OpKGv/0H/vxu
3eZb6HZ++ePfnm2H//3H+Xv+79/5x+/42/HD3n7vPoZf/9I/fA9+7t//3eL7+P0f/gB+Gwj5w/Th
t8ePYdLjHz8fv+H5b/5vv/iXjz9+yvPmPn7/7R0twHj+aTi8zG9//9Lp5++/0fON+Lf/9+f//Yvn
D/D7bzfW2/d3+/99x8f3Yfz9N0L/Crgg5mkasZgB1D0bGy0f//Ul8VcaMHjGJxHHihJkhL/9xWAH
ofn9t5D/NQXglqQiioP0DxvywU7nr7Dgr0IEqCdBBIlDQuGN+H9+tX+4Of99s/5ipu7etmYcfv8t
+uOM+++6AlIDYuAo4MDtqRCc/2q2AXOBmpit/u4njPVX3aZYd+siuakcKoe+P9WtkVGb1WMXuWJc
AYXzzK1xOgA02xMA1e1Rt6AZg3yCm9W03S/r6F11rZDihSkxgLlDn0XQxX92gEcUekhTJ+CPlhBp
nxmEcjaqTjFlK1qFLjRiirK4HwCv1wwNNkCiCojLCgsK1q6Q20lLgnVIQN4jLiN5jkhtoZlv0iYY
zQ34IzbOh2nnenrygN31ParnxL/CiVCz0tk1tPexaM/tdMKC9DuqZCcvI96IDbw02ELEnawoaQog
mz5gTQmSxpphbRsapjHAahj2Gj6rhgz+OMFTzz9x9D/uMZ2WYLxzcae/kd4ScRLYyfEXwR+ONCaJ
6+8oY1OfVwtDPk4XGykA4yUwRuaIL1L47x4E4kggveIAUw4JirnIOBql+QD5d2LvxIxwbhjCOikQ
qbkpcjH6LtSQnofG58mM4MGigSGLOyJRkl8MUcLSfIz60QF6nmKg/VqRpliBXH4dErXdhGBP6nwZ
/frp0FlM7xHSR8wtaN2AXgFRq5/JEMZAwJKwekcpG+QxXFu3fIEcpAWT4Wp4MauyDZK9/d4FEDtd
hp3XyQdWjBr5NV2j3d8JV6fDFbikMC4hE04tBAgChvfd1kcP86JdcogSD9SUdV1djgYNeybB9j4S
y0VTgo0GtkzA9ldlCz5J5a5usM7ledysOVZ/PbiEMOFv2BMzT5jt67DwMBx/HvGqqQPYHegxIBMR
94JVsIqmUTxs5QaoOizwJd1ltbXsc2bJCFf1YJ6f2tBiHWUXhgc5mil/hxoFT+hM8RQ6nXIArOsD
wJsLX37EkFC4vIJL35Y1fW/N0bRbcsB6jE4vRwaAHeZcLRtKDJ56vxlNQsAEB3ilMY5gsQTqNZOq
WzlRp86yie2LmwJ30wgsH1x2HGFEmWyTtr4TZ1kYFjcMRLqji+kbgOweAr+A7p/BDPwDPjkRXpug
J2F8o6OQRcU2BphKHfY+TstCOKZkzXC/Ibjf6mMcYeZrNRbti7ax+lGLRUDLUJEUOHjriT3EMWxd
IcrGtAy+GhNChpH6LOMeRu+Plu8Jtm+4E4A8qnitIZkMoVKD2pB+ayHZBJ6hLbJTcoZA7/A0eAEp
A2dqxi1EUjH01aijIEECbHtAtisxKGW4QX17wtY1lmwxXy9f+ghj+xEriuqhaawjRbKvfY/dLgdo
JpriTmI+j01ddNW6tNhT0+Ras7AGAZkAjsvg7g+JOEJ2Q0gSWItlBASj7phKAH8+4+itnyCRBwtY
AdBISlZVS/SstMXeJdQBi75tSTCBEagUgEJosyDXANwUDAescPDmK2hgQEYWjCJeOZBCCab5jn7H
tV6W+9XG0YMcxwDW8Asj5CmF28MFPjgpJ2OS73RBMtcpWrooxmUH+FZIBMGgk/YGSuG6ZSsk0SZE
yCoQ31Zl8kx5jRDFrMZfQCkMsXErRqoPbOy1aDPHgoAVQPaZewNTba4CwInhPXMLtCeQwXYcoPRo
UkiySfsdgcL8oZsFTnWG5Q3kPO1uwYQN/fUnIrfYxYwT371200KbMgGNiYyvHpFQ16GWUZ9BH7jJ
IzR96detquxzVAMUuJULcet1JOi+l7EATZMLiTQKCAIj6J4pkAksfszYTwQnGgOcuz3za+xGakSb
EqzhxuwFAKT4Dn2mml4HIvh4CHFpHOTYjVJPvEL4WuYJUiwvFmhl+Cla43U+8JoTe2tWGzwpAe1q
xuHyJy+baAyCQ5sI9mNuQozBWBAVtqTYWwnvAnBvFJJRN9jCI0sIO2qbIAxH1L4zLDSM2wZaF8bk
HyaxDYSgXaNT8A3NugEJz3idJm7LwFj0230jYVYs8qoDqaPyeG8rTObjvglsqbIWQCDLPICV+TLR
om6uIrW32NDcVTyKay474n8kNbxwoX2ooPTB0aA9hBAWqtjmtYnXReQTtiz291jZ4MuQ+A37ftjG
ldWap6SrcLzMUMaLO19PW3RhF91tB6H6MYDCOpqbCzjIAf1FFVQml0jVmO5nngj03WZDrYScYZ5k
nWnszJoCXYqct5yFij12cMMGOcKWXZWYbyktarLy/VYCu11PoEnplm0imsAUTahtuQhD9hAlrcBm
meqQ0gxVNUi9I0QRYK8B7w/8GlakzXQEV4n4IGCfZzJSwhJuZrlOLRKNMuApCbicVHbN+NHWZLNX
IEW5EKWtADYDweEkGb8ne2fWBCEe42gKOrcY5jPsYzPzIpHPBdi02wE0YTcLN9edtKRhoEtXbUsF
2RcWbLf/ZO9MduNG2nR9K43e9IoFBhlkkNtkplKjZWuwLG8ISZY5T8GZ19V30Dd2Hvp3V1tptQTX
6hzgALVwwUOIZMQX3/AOFyXKQeHOieNiOJNt33qnrTGjmyKtAhYguDVtwvpVxdRPO8mNR1uGAIEF
t+2aVgg5yQRvkm0Tf+2rbBR0M6fHjwAaAFgmYFXcGPiYLhB7IBBxzGZfQXpdx7dfm86Z24tBmHV/
CYmBxtDGNpJQ39WWXTvnHXxX68LqteGexUbaZR9hhKOg6zcjyCsw4tUyfKzd0phvmlCbw31XMTZm
iqmbpQvIkeYE1lbUKC435gT6ygkVpjMbBn7V16aQyGDlLbOAnXR0Ht4DcKfVA0BZ3QhLQNPDYGvZ
LkqWj8ycsK0PlmZKAQ47be5vEAuO5jO/zlx5mpAZZDdzrOPhIRu64rEpwb0e5xUzwPPJ5RifhGY6
AlT1XTl+zIp6cCDF+Mo9zlZUz9kMI6g4DRkRlXCQoFd8KdB7Yxfi/6zvJlAr17roy3umKsK6dYFj
5CBZZ41e3uqSdhxlzjzQui+BNPqA+82tNYy6PxHemBg34H2r8Wr0K6dgDlI0iQafHXMVDF0sVvRs
M17FJkH/XwXzH5U/F8mThpT/vTssbl7UQ5f1c3nd6efn7uKhPvyT/xeWQatd1P9eBW2rIimTp4fy
366e6/4xT55+LYjWv/uzHnK9v2zLEVL4pqs41N7/1EPKolbyoHuxxZVj8wf+roeE/5dvm0CdSeeE
jRIfv/WzIBLqL4km+ergbSlrLZf+pCCyfvgk/VIQOdQacLZ95pAcNSWctS/1i8BFbeTA/u183Dkd
kfIs7bU5H1WdOy1HwKHTGytT6bjjnhqjPWIC6XDUqo5+LzOJ/KwVZgXdw6Axdto6OXBoRjXDvhdT
ByK1j7l9e4s0dckr+1tdhKCWQBHTN6xr2d9ydblWoACpi43VrXclmhAadsAEdX6bK+3dJtBl8sCc
Sz0HQ2czTUtKcgfwz2lTBCWXKUwu3FCzizInId7oYfTBXfZwGsEQr9lfW6WAYRTTvg8lfa8bBTRV
B6L3oKMIBhlxoJdWQbup1PDs9w60KMcopxttJqo4zjzPnrYAUuXwgb5+D4dkaOsmoJgzH2PfD7+l
ZQz7UQIOk9thheC0UZ67F4DI4H4iV9tfjP7g96dpB6xvM9et121gnxbFEbw+WPTtOKIWXUTtXAQi
6ix9RExMig+U7d24RV/D7pmQ9Q1ZhZpgG9hlr7nUlhUz2C3pg5hKUJzK5W+CpimndudKhymq7YIW
D0YzKcdtNSHm8jXuSvPSAO6GPcfiVW2AmU+BjOvcS8Q3klHftQU49Gnjl51ggpV4jX/cQB+9sfwJ
3PCQ+MW5ncQohITJVFyEajAfRuWllypz1CPsXgm80VkxmMwfuBhFlEqu+H5OLzHk6D7XjIyAgtYe
yhklFxc1XGjYj4uayGLbKV1uQV6DSB4VZRnQEHDvR00TVwIy4WLAAa9aawiYb9XLUWQ3jvqUKh87
SgBBA4q3BhYVp1LGsbUdEZAYAnQ7XZwTHdFeGWmumiOfBP2idoaO8rPW6pk5B9RGSdfgqgPb7J2T
Q1jucd2DHGBIu6b9PgMIoHboxEdHOWjg4qzyLHc8KQ2GHsFgzRa6+5yLbtt21PRBDkQg2aSi6ZIA
dLEvj8xmjo1tXzgQFWroCuHeaDx5Icno4fR2LSBpbcDWhzoKceUIwgW8IGio/RWKpqqHwK3GJ1GM
lAEuY1O5icw4Hs7Lzm/uU6tD8jGGsUd+1MU11ipMZpzAyIYFOl0LjqN3R1NttWsPYkvXNIQGMpWN
v/V0hh4JLiMxwBYj8pk6VqImIVOWd987xiqf4M6AV9GEMe66Fm4qgheT8VknwzjScFfOZ28cQUvg
AR0izWCVii9eOBSeRchuTZSCPTk1T37VlKs1pslAh2H9TE6th0dVZsNHg1yLAfAw28w+oWB+10U1
+JD9rZQejOuL67GD4U2u2O8nF1ORYIFwLTYDhE98fgFREUChu+f5BLc5i6P2qRtMWA9jvnjnlOMz
EJa04dioOJlu4j5zYM2SGm2gAjUCLIkDfL0oIMMs0ayaXcto/6TIedqt6DroS0CUewbkoBEZPcBp
rbaWo337yABjXweFj8TyBtitLzfMJzWJd79QdKNVrS5IVwA3ktoj5+qjVTAE5UCTFp5NMdpnaHmY
2waRlqfCCvuHUmOEtUPIws83nlyp9mhl9GIPIii9lWlaMnNDF+HaYRPCVRqppndm5PR3prvYAK87
nw6ItuYJkKBAQgL9BLbuZpQxdE8P+jckHz4BcgRRFD1GYSwvzC5zRkjuFiNcPQDnR4fHpe3iVQYI
bYk5eXXk9djX7n+5KX825X5twomXYkQOVw5TUlMIWoG+5H8ORIkg2cd9O+lxN/l8qw1f13BhKLFN
+35JL+LU1LDh0vDrmMXOmcCupqddtNRHb/8cL5vxP38M6VtSOMip0Wd5efPZyWTDbO7H3dIDOQSk
w6vDeSx4exWu/l+Ul9ZVQErRbrRcmlDc8+vv/3K/xq3djI0L2sqtCnEKTGK4d5AVv22SUpJU/J2C
vPJiX+owrkt5puu5OPV6NDadQ/HvsgzB7wIW3uXILwGDkJPTQnSkewMwt/bEuW5y34fLbzUA5FeG
QtCmVfLTau3/54T/LtZX+vcXWVvvL1rjwX/9Z/f8b9/+42SoEv38a0L44y/+zAitv6Qvyd5oRJsc
ATKvvzvk3l+uSVfOJx1zfI7Iain8s0Mu6INDfqC5Lv877fvvjFD+ZVMU0CT/O8v8k4zQ8V/qUDvK
tRwOBKYVNnwAZR2aiKU50k55Mwd9EUagjsLI5y4Dpu/2N22nTPKmuXYNfY8xPMoC7DTqZ/RurFlT
BDcCEufoR13qfZsaYObhEdeSU30b8cbo+4sp9MovdIFTsLBxUxvnSTnp66bTqj5m/5YfB2vwHqN2
yB/NMgR7CA4ddYF1dnDSJ+NMUy4dlxi4IzJfIJ6W6bvfeSENtbyJqYslMOKtzLwpOUf6lCTEK0V/
MxBXuHYa0cNNHAuao8DEs0+mHeuTOvLs5yUyh3kXayHtLS9FZJezWaf2TSVwjf2CKBEU4qjyBbwJ
WXx14qJZJc86v0BegSHT97gUFqIoRBKmBORaEiAseGozGs49A9zQxvVJDDZhllkj1TLqjcP5uKRO
A+DZy8zt1AID+TQXVeKgmxpBxlMduj2frT5J6vOktlOyoJyaOd7BHy+8I5emWR/IPBrvehLd7Axo
uUR3o7Pl57xRjOsqEeGhoutqofEdOfV4gm3CGJ84Shrdhe2Bz3ksRJuqLxACRLtBb8yANzJriO5O
1ccwU1zUHzbMU+Z+Z9slJq5upLM2QNhplUMRgOeDGROLcjvYovmG6ygJW2/n9Tlo9TEJllZEH3y3
zehN5HbuoytmdzcG8/kisBcXEF7dmdXywWD+cqMkWgl0vybw6sqagEaAlIT97ucCtDcTD+0GTmEt
2bbXKWhc2kBxu0/7toQSKst03qw0NN65I/iHzS7uL/nosH5pGBRhgCgYPNeGble+KSXs0V0qqLZx
kbbKQOHw5YLKAZuN6E/mfyaUQpMSIgxPANgvBsBzhG2BN8FBCBqLb7bReSezPTAyXwSIzxuA1ZTh
fRtzn02X+7mmv4la3bzVsqdnmcddiAKCJEsGm7n4H8NoXB7Qy2jbYDYJ3GgOxXDKaMjTB11qOX31
QKFcCW2qh7aejA7YUUS3fsisMDoCK71yq2wbruSA5+hDKvwFkSW8DT4nDR6DgQcuyQkkrMirBsTO
l9Qoyk8DugTkKGDvn9PGymFjw8B7jKZEXoOKX1PvQU/HOWwYCWfZTzk+jrQpDoAlw8ry6u9jqkue
jHL21gBd+pk/qT7WZqLjnRr67jqLE/u88NNyZIPYMV3ktLSA3jR5UQaTZOyyRQluuE9tl1nsIjQd
xn7MoTuOcW19F41VXZU2hzvQ9GZJT7KF5v+cjd1dBA5qCejJO+kRJtc532Nu8g+okNCz7NOufcoW
ZV7mbYS6NCMX8PBIlrsfximNRqjimWmetAUU06CHJhuEWoUPWDenxk5T9c6bRnbpmSWKnKRtahkC
MA0e+Rbg6+iHMQA6Ral8vjfHtnu0J8YUaLn08gMYaKSpSm9pdGCSsMCoRHTxdhHpih93ytw7iSLd
nQP/NR9zH6VqWmeg1ragI4pPLCrTINelAQG/EurSMqfkzgo98KyR6JqztlbuYzU3ZOJ9w9/bdFk8
r05P8QegeyDu/SxuNtWsylsg492VCsEuTlWDWYphZUDiVdIh9VjE/ZekGL1lU0Zz2ZzWJUSbo6Jt
nfs87VQKM9ugiIBgUXzqswLlQ6A0M8jJxmsYfzVmc6F8l/S3RN7sQ2MrZHkjv+ivC/KocWtxI173
JbaZG+DPxRnPjWpQYsSLF7AUSa2Gn4zeY9ro4sJRRXbPGKIETlxoERTtMJpbf3TNEXYpqO6dI1Iw
7B0RK3AzYhGA1opull2Z0BlM24oeDTsvoUKi8Ka2iLjpp0wX6XyuemWQ7ug0f56KGFSWu0B7LsyG
WLokdNCSvh8/2hE4zE1f8VNvLBf+ANzcOH6yFM2/zUh/D+Iz6hdg0/uGomiJMIPeAv2lNWuXIR5J
bai7zTxClaWYsbLvVu3293aKvwUVcIsMVRSZfkMF6tg30pbK3XQMJtXGqAfroqVhDGfPq2Zrk5IK
3DJysq/YKSF84DC2v/lhNeqdZZbxlyjK7ZtiMscpCGXVfs6TOTvJVAuBzcomCuk0a8JHUEPUKlZr
F/dQYme1F7KaUwDfNdtqStz+s+YzDRtw0lTEaLEAGwTA6j11bVzCCGQQROcmEeEZds7oT3AfMKFM
a+qa9dcO8pse003SRT2wg1BWOa1meiD71Eisjw4+n802lAZVnGyc8LK0E4B8bRNT+MIgAYGeGeZ4
3JWZ7W99m2AOlcOMVuhgCZHRqbkHJ0f3S9ARP9sAyvicQGG3x7Pa7Sq9KsEAZSvbhZ+nLUB0blA2
NGFndZULsHTI3S+q1fo0h27xncYB8osIJKJqVsuQP2zLkLavJ7qxOYKSVwxbBhLLtPfKHKXsDv+E
FjkpGYdojtT2rUgb47ktUfcYXTtjQOrnPFlnTehDEpQEB1+G6M8A1ITEJ1DaLjfS9614X5atcVMU
oM4RVCkAdpZlnttbmFIzYQ69z6+GVeCaUdIzfAizZUGujcFWtK0oeR8jehIjTe0xjwgcngWJvRHf
gWumV6JL1LOuy6nbFm2Idh64cL1J6VkNyFcu01ktev1dwQ9/8gD2Z5uxdtOPAzosSMEwpWJyvKSg
/vuig0oYt+1yHsGze/LkYkTBYLerzAROxkGYFto/8iO6QpREIv3QgdMYeZseG2cIvfxJKoPZcG+5
HWzaaTW680RcP7QtsPLtaHf+04h82zmjOvszt55Kz9j5IehT/EQu4qjuapwcHR+mFEpTPdCicvo0
ev7yzYdtdDPg1JBskzJ3L20Gemjolbotg0i3aABQSsvn2qdU3mg7ni6FrFuE6Yh7Hpu6hoLvpmUB
MlTMI1QLNMiuu95zkGWKRe3vK6ND9tCkbAbVmutLKLwIYCbsIZsoE4kPacnprJPFJdYWqiVjdMVi
bZLBE9wG8cg8Fi+S7h4tRe9MV+lwm9RMzKnxy3RfFguDoZIdQxo6qPqjzkgdtgS80g34//Gs7a3+
3iBGNsTLaDyzyCnQjXJLn5t79D2YVAnXJWqGvnVXjDNHo/d74xzlCgNBG7RMH7TPQ53qUtQnU2ba
D7Ri9VXEfAc5NiQ+2Ddm6103zhzB8q5AZWwqacRIZYwaqZhowk1mVAzIz/jW463Q0v/u01wtN37i
SnNnIwPU76XskZou6e99RVEKCAfSDjDQ67CzThXzhvtoBlFOMlWXiIjN6bXToWi79UqI3qMN43SX
j3V6nBvmThlAXGhlGMgOQZ99tgFS3PRZCIEsszvjbnIs+y5sLP8MGnOtgy5fhZ+4y6Fxmag6mvDe
l/E06iUA36qPijMx0fQLjMgzntPaJTeom7z0tzB/nZAuTx7HRxED/z0aLrMRTGWL9JM/CsD4TqX6
K8a5iE6VhrucQxmOUM6heWdu4xR5m7V5Yw6b3A3DAloQeDQ7boADQ9KtQQExmv+oLfrZSEehQYBe
DnztDcjvqQOqEsEeRaKQO+NHCflH1fT/a7MTsdoW/+918sXDt4fooX160C9q5PUv/atGdkxmHHAN
VuSXWDFkdIj+BSKT9l/CU1yYkvncT6TYzwrZEOIv/iyBVvkSDJq9mhv/HJoYlkNpzSjFUwrBNrox
9p/UyC87R95atTN84UcANmUxgVnV23/p6UDV74l5MfllnE8n9NIRq4sYzv7yUl5p57yswyG4CIuH
kfzQLp4NPPPBKsx+EDtMy2BwmjNo7rdDP9z1zrSrUEtD9aqd32lVHT4WS629B8n7ZiqFF8LLBWGB
z2GK/H/Q+a55Gc91uPfVaPwRmJTHQqaSSRiTY0B9ggHYy1VS6AbjnM7oKZtxi9p1a+FSaMuPb7+8
lwL6P1ahtWLajue7yqHRcrAKyU0uNF3TjGo/WDTisUV0lMnkPPHamylNn/opf89We31B/zNLWxeF
+8MQjb1hURetAMdf98XMrL8bW6AT0m2ireiRN1X1bOwcw5rPK5POxNsP+bK3uK5n275kJZvOENO7
g96imqkcPbfpAsNWXxQTrC3LVRR9MEHeXum3rWHRH3Uc25PrMNJUB08WzrpC+XrqgEHF0+m8SJBN
dZ//g1UYlrIWN5wtDv0Fh2xM3WQFYsRN3GSnkN1DlOb8hkv+7cf57WihYYCHEphMPhZiFQc7PcVk
PVpiqBh5DpGsH7Ns7w+IH3lhYh+RM1vf264r3sE5v/K1EKIEgArslGB06LUKFwuiWY/kGKPCkikd
anBaSjhnTe3/4Rmjb84BQ1gJoK3HmORg99McdvuxQQgxHaN0X6HBA8MfGOjbb/Fgu7P5iFDsdQpg
D8XgQ889FHjNyKcjE8yqhtIVgfSx8vPiDv1W8U5oemUpOnfAg5ULOxwX5Zcny1nMEt51zSgY4jYF
hMP38tUpHbHqpMni/J1P9dpyFp4A7EOOlXt4kJt2lF7TizywXJceOi0u9BNgn+RnwD0MEfQyJ+d/
+20eHDHepkVHmJiO+YpEm/dgT9qlCzstSzIG4q5xUkv/Omuc9o8fzOIFKprMHi3m3z5ZLKKmJZ1h
ETpPJ5FZyBPA5qj3hY3YTaOt3zlorz3UGpjAPthsk8PvJr013BcU/hx3eoOoc8O5jIx/8FTeuojp
M/34AWD/Ne7SL0rmGlVZ5OqQWQ5LiMYVs7Cg6grUArvsz2gieBtAoCKVcG2+F+zhw6eigdovHOYs
WMIiDQia2S4X9fTOnv/93fGJSC/4b80DvIM9789VjsSHmwUNPL4tdZveZsCKj97edgdRiWdhr5Fq
+KRHwleHzi8d0HbUTZCpR30YaXR+ucOzHt0MpL7feaDXlnIUgZckTbDXDx6os5CNXEaVB9OSr6rN
crpuhU+3xprThz9/Kt6cgjDA5wL/+TJeQBXume0jnBG60U3dh9PZkFg9Oo9jv3t7pVe+kmKGiWiK
BVoHsamXK4XQNZM+igGjOBGVxeCi0DbBF/sHD0RUp+onx10f6+UysV2psYNJH6Cp3l4shrmID1bf
hNEHk57FH5nRrft7nUtxzXPRS2bgB6EIEajG0yorArRNTHr3yXBhQgs++eM3hxKta9PhciVcddL/
X09tQUsIknFXBKOu9Q49wnsJ+uCd7f3K52EiajvkzzwVzf+XiySDSOMQnRcYn1BCE8bslxFguHd4
Xa/s7BerHHwdTA4g3hYAEZJwjI+9GveXpWv6HUK16vrtt/b7UkzmsFTzIMSw4w6n1g6mNHMz2Fng
jFy9UEGcbJtZTnoHTN545wu9shbja0bkpnApt9ZJ5a9fyM/WcRWSkYHnpPIsU6o878YoeaCKkO/E
ht+/Exiq9W6ySE5Y6+ANjqFlVGjyZbRMgeA6GpR0Zon2nVXWjftLgs7GlnRcidv016jhDl3XIaKM
ubcyK+hDRQO406r6kkfwts8GL4LmnFlG7r2zA39fk/IDlB3pBFA/IsXLl4hCCfIXVZQHtbAxBcpM
ZF0zB4fKFsUVaWvxTh7xY8z/8iEZ3XpYlij0palEDhas+DoCpck8iHo/bIEq1z4kCNzuIsSQZu+z
MSKvuHeJh8hNDd3KEYFTeW+1dfsF7Bn2yWHaRxZ9+xX7iwhjfylhvyM972ZTvsfEB1I+9Cn3bJF2
9PVPt/cqeIs8O0Wv6YtDG1Xs2qJI2FxHWDsg35AvwO0oB5bw0cjD/D2f7t83OGeJ6hpVPsIdr+zl
t2l1Xk+6Js8b0cKdjwqErm41NCIgWZ6PouLbz/bKThCmNGkn+45nks2+XM1Cby6hr5jz1TP47DJ2
01055NC8pqmchw3mh/rT20uu/+TBXhAmizkEC0b5P9Cfv3QqaKEtsQF5E+Ve+AG9+4xnFoqyZrxN
GnwhpBzfCU+vPSOnV1kWCYtJFffyGXtTIqgIUjJAh8XYrCKk/pRcNHnCCDZHM/ftx3vl+/Ey6REp
T/qKaPhyNTsfbIVOBMglqhQEebu2vjHmJjuBw2df/vla63UIt5E+CdX9y7W82tHjPK5iZ1477WK3
Ms4g5aWn4E6X3dtLvfLVFChC3h4ulSTrB3G3jMvI9ULa3lgh11t0H9Wt5bXmrkL/fUfxmO6wz4ve
ucN+/3IezEt0FtcDuJ69l88HrLGHrGFyFty2vcCUFsaAOYoTH09C1BcxhfjThwT9tSbta0ksvcO4
aFhG1MQeKRpQ0XHvgalhYJXo/hy7HvM0DbPpo2E1zvbtVX/fMWDuTQtuh+PyC+fgDLZylrSBWVWP
S75fAGhiIwCUOO+Q9357KY8X9vLsEb+AdUtSHAs2wcELtVNf5UOJJUmKRCZObLMsPjYQ6hClKZfy
c75k+XXWNsi+JHPfv2f69/seotHAfoUK9aM/dPCgecJdiIgi4Aatu4sqL5ygARtLk3sZ0w+GA7Q7
dMBpvBPjfrvHV5AS+m2cf5MS89CKM0Npb0YhjNsOb4kTHFHycwZ+3juv9rVViKHSpt5DxOYwrC2Q
aWazSajPYQ5uVaY1SiNe/84O/W2v0PLiIKxvEDQdd+nLE9F1kx4E0+xA6BlqGAkZbhVoviTxuPyT
peimUCu6vgmA5OVSAId0Vzh9wQON7jGztQliyFzszNSY9m9vy1feHQkW81piGeHFWX//lyuhENDE
oNyhxlljqVEwZC63oc6rP+wm/2gYWiAe1+1Pt+swDYES3KcIxFAYtSNkZwbb+VfXQzN9+/bz/LbR
169E64SyhahMlvXyeeBp6RZaXBH4cKbrTYvOlhF4TAnB/AjjZKoMqz3Cuq/+851OKUsnhfG2og90
EKQzO3VStwS1r2HLnurQSB+czLaSf7QM+FSKPoCDh+7jkWZuizg5pjKuDXpN1cmAIjrtsHe2xY9u
3YtwxXsElcthgqGv1G/PA6IDiS2+l9SbyJt3bhzdYKEFwMHJTyrTPq4TmjflCJy48fq98kvrnUPw
2s785SdQB4mrnyPy2LsgcMfeAC3toeF8hwCbc/X2hnlvmYO47LawxloOF2PvaboAwn1rgzp/pyX1
+iJr+ABPuWb/L3elhVEEuL8115qjTB9hfwuqqDB8853P9truX4GikBTY/vRVXq6DaOCArSSeQ07K
LHRc5VRX3BRdKTI+tHNVE54L0Il/HoDXsRzTG0W2R6/55bJz71Q+1B82C9pcPVPxdLnLo97+9Pan
ei0C28AMKOAZq0DlfrkM+EODjiX5XWg6uHRUszxCXIY2ixxB8f/xM3GYBQd57Z1TWB+krkxz5TA6
PJNRj7jRVXGdBPgmYff19kP9vjVYhySSIt6mf/5bBW+D1ZAQ9cBAogYGVkBGe2fSyTv53O/vjsrd
hXe2gs9NZm0v352qJllbMsI3rZ2x44KWgLuZQn5XYF7w9hOtm/ll6CClsth9zA7pIsqDN5fPKEC7
lJJBDBXkCM2KZl/rubiMXVEdZ1iAvNOfOmAQEOkV1TviHihEUlJb3kHsTUEMQTztpyBlKJ9e1nnu
VA+w4W1NbeXr7lPs1OZdqTo0GLJa5dZnlc69OiFnwJbs7Yf/7T0rD8CZxyiTVgljkIP3jCJ/ih/E
MAWZagyI6maxN2lmfIptYJ9vL8U2OXjTHsdNUjkikcK9Kg+TZqyWQaaGicKApDSIlHNpDP6lmqVs
v5Q2ajo5SIgReQwwsTi0gFFS3rJc6iH2OqwshwqsIW3YmybD2eUBTQtdQuWJKsxsl8r5kFNpQaFl
gH4KuAynPV2PYtrNWtlfkOfv3DOsKzFAalZDdUTgpia6NbiffkxHkhEp32Eh3bN3VicHfE3kVFn4
LyMBYvJp/MnqMf2raPdd4ScB3DLAsiAMkUnP/eO2iJGSheacJeGj9HMkD3bcUt5YI5+rEg8L02q2
03STAPG2H0MLndM5ABMKrhX1S0xCApwJBF6KwtMFHThfqxa6Fiicatd3wk3RWswj275okxTTBHg4
WCTtGns21Dl+A2GU73xfFxCSUscpQU176dKn3ya4UNOpcrw8DNLSnqcnG7lTTDsWtGGdTYp0Jm6p
EfAn1FDNpUjv7MmOUQ6Ykjl0r5Ay8f0THerS+QgrzldHzeza7UnHB7aCbgY/vHNriQjmJpLlahVW
YcK7B3Pt+h+yJZ/9YGyHqT4Ps6aZL8dF58atERVWe4bStB5usLKwnS1kKPMUZ47SQX14Wcrnxgrn
57TqDet80TjKBkVozvKUAJebFwhBp/rE0uXYA07FJHCH5H3pfkFxVAAaHkZM7xQ8/W+SpMoDARdl
EsXDRpbRmT1OURJtaQbGyZ0BaA4VDYJytRmkROYT5X+m+UBjwzj9ymnLwm3YOGV4HaJp7Z4Kp8aB
t82sybovUPtNAVSW2n2YULTMS1ogSRGvNsVWE+GM1npAB2M9mVfIMvUhloC6xTs0s4CIFktjqtNm
LP3v2vKtZ13B9N6YAByjY7s3kbf3mxpZlTEDEnsk6tq4xE+Tu6NuR7hgdq9DEeStdIqtNQ+OfsZl
w7y37bhVQID42ZA0rPFnWGDqNEfA1EbcRPG/2dDOM5c7bQxNt1EQAxAgDkeF005B8rJBcyH5YqGY
WmxEW8GGa52wb7Di9TokieOoina5BCCMMTIKDtsYt8QnMWByt3EAmpcBHhwG6EV/Sj32YZVe4lYt
nkyrzZJtNcyLvR8zY7rxw9LTJ46J4uYutpQ5BbFsKxlkbem4WzDMDQLUtWk9R6ndpVtEF9WwXyjE
sbWFNDGiPZ119ypFTu8imj0WnhfXjQMgIIDby1WMYAdDUNzUUMiGbYXo3niqaoeaS8dZnZ164QxR
WI5l9DRWlCk7gI3YHoCs775ijOZ0twnJMJZ2kTFS8WYuWRAN4Oa6LStzvlBZZCEPPcYYSg3e0vmY
ZA3o033A2zlscTSC7r7JCw/v5cEYivAirsGDBlHYee1p2qzSifhZ2zcLorXx3ZK46HADlIQGAHGb
yXraCXlL4I/vanhwV8RuK8MEw0XD3UB1hHDjNSZWdMTM76gfdPfOACv3jKZBeu8PbVKczeaqJR62
jTttycFDA6mMrHhGEEHcxsMK6WWCBTQSQ5HB2NNEb+BZTGHlfh2qITE/4XAo2ruins0rUxvdpVgE
zaPRQCgGZf2ovBwWp89PjKL2q2MHXSSw7Uo01zXGenmAvZ33fZhDvzqZoSA2ez9F1eW8xpbm3ohN
J9rX+GoYezBB0bM9ClDKvdf640mBtVC/xYcG4dyYjBGJHpwZ0vOoHH1xKkfTuXNjE9sgA0mnL6lJ
wY62hBcbDYd98pLTOTK9M4GK9HJe93ibb1s0ho2dN0bo3LphPA6Id8yxC1mgau2PRWjEYps1bTGs
YH3MVAuIBP1jyDi/AepcKYxykNm0d8QSNW5CVUDjbI10+ZQvtNS+arM1v+K0FGW4KJWZQLDBcBH2
lTEhv4kcuw38XnRWIHrEPvfEEszRC4QzAOLN4YLDMi7wsxO09lREX3IxZY/10Fh3bl554ZHEFQsY
hJ0LYkPCHaB3Uz8ODf0YO2quQiNvixvkR7R/hzxqEu1VznHdTBWlyKbANuQKLUZTQmMIZXqGeTq+
JlRF8H5ME+L6VjV4Bm21h/vRtgQSWl5GyPiv1ovIjO4zP/eWc4VvUH8bd2j2g8vFFIuYNuRQ4RkT
emzEFDYC/BasgLsBj6y9xqTHuzfyHuBm2g39KbJf03giFz7ezkdRGeXWWWf4lPrgho/LYlqq75pp
/0zNNBQPI5j458Z3Pf2ENrsA+oTtorNLjCoTeA8aDUlCXbjOZ8JGbusNlj+m/4lo1bbHVWFHE+wA
Cj68YTss6Df9tCr7WFGuwzurcZvk2kDYVLDZPXfeJubk6f065x+uMgC58TWOu508EbCJ2dKF18ti
5w2qLG5AJldAv9vY69klS5pUF7iEjXhbATTPj6NIIik8LJ6cw01CPaPvSqNDEwRq84K+5yZbbDF8
7Xym+g9OF7XRVTLURftkT97EEUrC2MGnNvKeZRVCyRhNv3NOE2Ab0M1TMS8nszsYCUx/wvI+dDvc
5LGS8XjDWPZMSfOZzKhhG9cG8M7jycVa6EZmsykuNVYg5p3bZ210PfGm+/08NCOKgnJpxBHjxXjY
pxEs5sCz+/xudC05X82DXUL8lgVeFExbOxhv2Sz7E+w2G7QxDW8Zg+qHJpOYlX3qtMncfqnjhZ6c
JYBhAzD1lrPUXEacCVRK83wSftkEaTsgAEyQMIdjPQ+WvUUwQNSX7axHQlAN+V0Erew4mBtEdEvj
a1FkxrgXcQMPBreSxTmXoMzVEXVlLjANgIMXTN1UuJtmMFPrCBgKdJMiWqzpY9QamfV5cG1YH7qv
1PnAOLd7qtF5GD/IaK7otqhMihZvIPAjm6Idre6oM1QtPgKLTr292Un/wehMs/2scH0uQcfVvoWW
em/0zo7riY6oYaT/h73z2o0bW9v0rWzMOT1czDz5gWGxglTKkmVLJ4SDzJwzr34eyr1tiXapxgZ+
YPZgOhhGq83FsMIX3gBQeRV76JPnTtMHlvypQGxf+ljmCLtQd0vH98/B9B8Ba//flC4RBinnYfjt
ZfrpteDj/L//A7y139EIm4t2ggwV7Bg17e/AW53U+x+grWK8e4ak0gaZQT3UpX7gbIXxztBBW8wV
TJnDBe7oH6g1Pgvr/swr5yRnTsbp78w1e9LKOfV6UaoMGzOMUryNXCFZKrw1ersxDn6hrLr2MIqr
Dimy5qTrEAQ8R7PDztAhQrB9tkuFlAjSXi2IhtXiWyER7jhIYHkXkYIMvYOLkMmvQV2BdGkF7vMY
tutfrBoyJ20kLAzcNKNustdRc0ayCJTyLbtCdy+PJUJoYZHPhMNKyXD1sIu+dSDOy9dItgcfs4lz
3bFmpW/Q+BZbJ341CGjhaqDEOyEqPdlHVBfQJ0dj/CFN4T24ClrlmhPbZonCSVlW+F6jX5ysG9Tr
242SR/qpHmAUsU1LXUPWoy2m6bSieazAC6hFvLaLKdWQrE3CmOg6DNU7O4+7/QBbzAScrEb8npAS
6p4/2qPT+MhiOBYKf7spzQW0SQ+Hy1Mz91C+gCWq3naCh1xxvsAdEWZ1LIOfKzevPu1clCCFB6ML
1pj+3etPm3gikdvI0Nzes4ts17WSXuLzmqb9zvAS4xonFqypdSl1GyUwL4gRGgOnkNAwQN9zanLh
7OrFKrj6PvhLXYLXVQwAXdA2Yc6DMySR16ksvL4lgbw9Smm25aZtrF7g8Ty4GABbuygYmlOl9P4M
GPA8HkUME+YyskD0+ubS3ovZTXUQlcKpZLyhnjZtU4UPnpVD8Gny+otQoupIqfB1oWIej0UETolu
MGsbDNvr8dqijmnFaZab+DxaLPn9qZZTKfRCL/mjSu4/Q7GNzDUh8MlL1A3alzX4L9Vycb6z1pk0
5F/Cvpi0Y/UQ7vjlJKJpCFqEKsiM9KLLsCiyUnCAuofnIBGgYq19PAw2gT+ZR0ahkvV6HMDctM5n
kSQN9BXPsyiyxv2g9eHUo9bueXVnrw1qAoMr/F4dTzu1Ccv3LVk1TEpNEtI2M5XwG+Z/CqJCEARh
DGdBpWuwgjUdAzaE9IbhcugThLk46TTvIdJ8Ghe+ksdDhk9JoXjOSB/Ic6Je9rNdrOfSkx0ZZXpu
+6rU7dphMj5ovdSM66lpmUAxmyTaIxldz9qBL5WK2YSyVSHSAaN4CAR09H4V2BMmt4YeDYTkHNtm
uFFhUd4iTcse0XSkuG6EP5W9DWuMJ68zqexICHt6xhhgpAEmcZOO6cLewIIARxZdahGPon7JBqwj
CUj2gpkdpMvxFILPoK/82DCTnYSBgb/JRJrDb8LRLb1AOD5DjMZoIWuhI0V+vm9zFNC4Roq7oS9j
77jpzLCgIGB0/ehRnpGNcK2X3ZRceL1cGAikeR0tgqyJ9M9w0sF2lQBYyu3sbYsgZJ55H1OlkvA7
m/Kw/QgRzvoyRXJyrcdxiNZoXYqwuZrwPInuUxtbmWt1LNvujno+1CUrjPPwHHtMtD3rJEsBbXsF
Ooyli/WhKjZa7Y3tDkkSzFIQ+Y3iez8cteimRKESmqQ6+xpPRF7KHmOZdvyMaks2W6+hqHTZtXgy
uWUK3nLDiFaO12cRIqgZavrnMU6Sczy/UajBJ0jvnAqn0eIrtakYZmrU0OTc6dKINiSJT23ojpVW
kvRegRI3nCSp3Ew70XBGbYaiJOHXcMBo3lPmyrVbjBCD4T6JQixWatR4h22PT+q0EpY04qtZTiT9
MPzKxPuodTQbTsEWQXI1JF9kj3yLwE92aB2YwndLU++UTwqEVqnZFmJIyy/4VSh9v+J7DNi3wSXt
wcVGNjko4irhSh7yEDJxKBerEWYlRMS6a+1VVkVSs9cpylEHKkqrd9Mg7dPTilRxi/CmZ24sO0A4
AXU7diqevJk2TYVQhNNIkB7W4JUAF1fZFGSbsppaZVfgi/RAcThBIbSNIRC2jZ0NrtznMP/hhnuI
68Yt5PkIgl0D2LrymlOLciV1mUKf7LUmS2HvGJ41vrdGzz+TMy2x1gO+55ODr15jrylBCMPRe606
mSKz0JAiHmrblbxMq+CWCyVwqYUM8RZUjxRi51PA/syCYMRJqVBl/0zVysEn+hbduAuUQt9HDZrS
2ywu7UdyQr/YBFVl4gymKFGBBFZoGif4SQaUOGbPw1PauyqMYlPCk9oyrewcrVnbv+yattLvAlwQ
pF1OCazDzlDOLupOx8EiM4s8dis0Pe60judd+SWV263FaQPtU7SRmk7n6D1j9+rCs1VTbnkyZs4y
Amcm47QpDjFhOmUXgxQhEpvSslDs3cDpwT6kTT5ShX7bYe1ZnpaqQk+qdcFczrpZFlxzVzKnItW2
YZ9hH3+kASGWO7QK8NZUdQB2HDg0nBfhBBsJ7nmx17vBELXEgZYRe9pFVallvG4L0y7u8efppxPF
yIpwK0u+8tioVm6fZVjHNmdlrMsCB4ZBtlaiMUb7IohKu/uecSBz+Hv18cUBTHVr9lafoXmcizKK
La8PYEr3fhBWUeAGPT7XKAynLk5GvaNOQjpyAC+6uaD+GEs1ORbn455QfHFkEVMWbA94/MlVl+Ef
Nnt1UJdxNSXX70fdDm8KtSDNthQfKxOYmlgsY8YSB8XJH0VV843QIZxTCbpqyi/wR7uUa7WhQeCS
EiOGyYHjf9bYFQeHcqtpn1kVVt1HpsOvs4FgQIBjIqCblc0X/SgsoQTdD212CexHamHsscmQx+u3
n+zXUQgVAZMCukLWCbTW68/ZIR8VFJ0YXYwOtTWA0mjb2fJ0JPr4zSgKSDrwQ8+R6awE+TJKLHEl
k5M0HN0saOTriubuSS/V5pe3n+V1G9mcRbLh+8EDQG/yGbn3ehS1VvqhTJLIxYjHXANo0FY6Vp8b
O7c5Jyx4soGk/dMI/f8Z+P8geWY7onn3RhZeN1Xe/esWf6m8QUf0f/78LR7wn7KvL7mxP673PU2n
f/xuBmXT+gTFg58Bk+J7mj7/RJ9BPYCiZosFlY3wn7Qd6iy5NKgsIQSKhiBWfqTt/IgZBosL9BFZ
tg6J4Q/SdhgWzJYXcTmA/hlbBPqTAoBOL32R2RgKHuJ+Fk7vpVJ80EbltAqy66gSX1AtTwmhEE3A
/g0Kwl6JPXNdJ/kT7PZbsp/7FltHkSL2GNXKWSfhqx7ceFO38ZtihTP0lgT3HmNXY1UWQ7QxkHhA
HXpYdznRRJ37J6093lIbvbZ7xEUw4iOhfrRyfZ9Z3t34XNUyMDS0J5W8Xa+RwsmfutgnGojgueuN
fadG4jaVynVoSLvOtxA/Jht30Aj4Jnrrsm3Us0ExT9gS7nJTuiPduvRSdA2tcFe2ya61pB3inmT1
0ecst5G8USn6BkB/V2mcP1U0hp2iNdo58Ec1lPjH0UOzpIOknPZd0qy6fHzMM9j2KP8/sFkinBKl
hYuo5GdfDLecgqVTCR0z2xpdia6LHMryCDHKmEu01iVMWur1IgA839xItbTDJH7Tp+Z9LQafDKDU
1lKgbDTN26FmUjp1VaugRvpbCAyTI03KqT1638Cr3yC7RFmuS+YqM+926ECjpTBOVlYuE5SRrctV
g98ACMZV2UjdFrXta8VsdKcETglH4Z4/S+HOMnejYXLZXCUQqHnehv9saeZFkHfpGiVRvBUjlBVS
q3yKEm7dpkANszpFaVoLhDP4WN4nFV9iqktcKqcPYD/WoyxdGom8x6I9J1Apb6Re/qLnBZ7vA71X
QYiEXkh1I1qDmL4F8Hin9eNTXVhXoR8+ZAJDPTKFJx8Wo2Nbm8im3+RZ6dOUVthHWhougyjnOOyJ
HaxGmIdFHRHtROMHO1LPxmh4xL8LHxLzgqDQdnRV+tYiSJXk062PhApmY3UBxp96sz7aOw17bwel
AtwoPfjAUXlTCmknOvlDl5T3MfruupnfY+N+jT/8OdreNyK3whVe1ljYjreKjUaIJE23YYL9oZ+j
qBs2yQqd8dkSorJXRtB1bqfoHzurShzEu3cyPRs90M6QJZnoYmXgiKPqKRZ84UrZYyN/3dne2ho1
CALBzuPLozH71FkQOQEZW1F6LsL5E3jW9aB1RFTo2iM7s5asjqZ31Ww7s9wapTgjJ+hWbetdAnhF
yyqMHtDx3nJ7zqCP3xRRbzviUZAJO7lQVmEdPXiF/EgFi5aScob207XAOHPV4zZNT8q+w3D1i12I
L7QETwpIuPOt9bp1l8nSNzTOTs3EPCkkXo7WizPNDj6Psn6H4uQey04fdTftFG/2na0WN3U83OIS
sUN4fjdazAq61Z8RObuRleEx7+mvZdIlNNlT4pd9NE6PUW6c0Hd8xETyaSiUfa/jaf5ik/9NkemZ
qPXL3gjA2oI5C491CSoFdxTqfj9M77NZ980ri48RlScy2chNC3qpQ3YWmcZm8rIzxGE/YuBKfGEc
Cw/nCGh5F1SBdHCtSKELcxG70CREzKSqZO4iLdaq70lOEeu7spPWPhxePOluoyJ9TIW/L0bvNK/U
a8UPvzVZ+j2I+m+IAQ7W6uexfvgu/V/ioaS8efbvn7Lx08vzHfrlv0vwGioWsmFCZ1AQs5g5z/8+
21WVn8CMAfMsAyiEB/jjbNffzYnFXA0zBZKzQEF/nO2SNgtHGjM9QqYxgDbGHwmGL+cvFDodOC96
xGBfiemXJBbcgMKR8s1nfSCPUz4OIhqQ0rJBzEgfprGvyhvba3rpJKhzAzQWssDZde6xHlZ0Yv3i
a2thnANUJaNf+/D22lrkV8+3BjTJBo+LQjry6Uz6FwVVxTfzwovbr8OMO1urkgdwUE+TjDx4IAk8
Uk59HZgTRZkwh6AWWiq9EgKtRcrZTUOFtB9Ffqx+fVerp+S+GOLi+u1n+t0o4DvJ4ajNqgRur5+J
ogHWGErGMT+CL6DQV58kmdldvD3KfK8/t4Pvz0IKDU1hBv5ay+3AknMbX1s2u0KklN6KXr6wh6Dd
ZYbu7+NAstdyUDzhyDseebzXn+yfgYk4n+leMsfq68crSbLrHgN3tNT8ZDui23RS0XDciBF17bef
cU6UfnlGjQIBlG3QHkv28ZQNhV5Oc8Al0FRpm6lxKBh/6iVshdT0GED2lwcDrc2qpmRMDkqnbDE7
ELFKBHLLBGKj/6HRSnltafXTiJ7UkceaJ8Crx7JQeJiZNEDz5obcfCMvJn0kxzGMtSB0EF2QXHSz
MfXWem2NrFSPNXyf7e3KG49woX6ZlRa4UmhCcO1JGJiYrwf1tC6MhgQ1yrivzHQ99UX7jRIS7JK3
v9lvx0ErYyZB8e8Sw9rRokTwinEmLcg/6p5K8BMW0ee3R3lmVyzeIXBcUnn+nvOjRWFGBzakNApw
Ey1qWpT/aE6jUUmtyo/viko7x0PeTSJtW1eof5bVjumyi43uZJLz89FuiXKr/EI1piMNqd89vSBO
gN5Ar0Rb9sg6rNHzwKaLH016diJ0Wo5x5x2bQL+ZqXSDoMOSTgpclhffUp6i1Oo03nHaV73lyALg
sKPXNd2/REUO7Mgn/WUZMnVAPRsG3d2ZF7IYTrO9WKKRGTgS7kgbdDYeRWfta0s/9fXcP7JH/34w
qOUgZumxLQVlUPyiiF0yWK/hBJ1OxNcizJGPi3G3X3tKWR6bSr8uR2pcKnUhjkiOZGWx7j19iCqM
pFALsfvyIgqsj7WwTm3K16uYmq08baXmY0gHdqgpUHsFfWai1bS2DSdpMLPQkGZHnD66DyR0D9+e
57/OJwDnIOlpk8MME/b88xdbBbpYFA0spAxbv1UcbklGliMdT94e5df5xCiIPKmmyqkF/Pz1KMIL
A0qBJtitWjbG/VAEs8palHj91ocBax95qEWlkzkLHJzpBEaApI7vvNgA6UTJJdoL2ILJdL5Ou86A
7qobY3Xma0GxN4qm+RzpfhStAI/6FoBfS/ogY2RluZXX50dQ9797x6oCk1iDjgojY56RL95xM9s9
phVPn8Z2W+/6bmqH3TCqvnLkuY8NtAgM8qgNcAtgoKwktcqJEtZgC45tDkuk/fPb5XAGJwitD07X
Ys4kA95tZcTb9VGvvGnCpK0dyfaCb1WmAm1oPNW4R2C3DXcNkKLxBFA3xul2G8v+kQf+3bxCKwIi
Gd0NtqnFd85FYo4hAAsnNqXJHdkZN6lvNq5ddMf0ZJDP4jO9OhHm84DPN1PyUGhf8vGoWUtZpIJE
zvy+LneJ6BBcxeahTtkmM19229Cy7xRtxkx5YAWpEQBI8TmnkOX/KjyBdU2KEI3l4IrcNYJDJce+
wsklGn6fifHL7At6K615YVfIk4QO5lwqSBEUL1EhiKbSe2iKsRWnZgp0zRmyUJFWIKuG+FrqBTIg
bZUALA2GkCMo68u6wgCrIWncylUBQgREJzBhV4z61LheLk8XQTFratNyldCrnLqq2dhUc5p1NxhN
5/bVoG5Ty5akVdFG4VcfR5DGRc3UN/Zqbk++ayHsHnALoOa2NSqpDYJqWW44ijqq3UoOAZG74ASb
dFvZVlWesuL1x7mnnp7FVVIp25R6SoueMH1iwDAqfpiGg01GAHsIfG+AgHbgh0rvnVdIHvvJdSB1
Y2XTyvW1KnqIigz1GAD8Aa0upJjSzgYjaovZwCeoKmu0XEvy8cMCwtJ80kq1uSrSJLw2rQJodg0O
tXOjigRqVYZaMbpxIqbb2I5LfyujfoDvXJHFjxh7pV+rCpVeEMuxKNx6BCK96gCpXCEu7T2EaSSI
A9rco7HIwgtPlaAwrBNBgSpeW7TEDBdfiSB0NWx/glPDU8MHyDFytZ8ywqlgNTYjVIiOiLD6KPda
WWMKl0gPtQpS1HQtXtsstGrrCH43sAhOvd7PUONG4li78u0wA/JOhYrCFLr2lOupghrYKXpwmcck
RzozQwgVvJLqfyrjtKampXmUcUDw4m5o+7hD7Gksj/fA3uHL4nhGfQEOhrbzsV7y5mJiis6yyHvc
UaoYB0iHPpFAvNYyUDmMsJq5CaoMdwlJjNZlREP7GmzkoG+m2ZcN00bNx++y6nF+zR2zL8LhPDJz
CfbWNEnVjG+wLb9m4ASA7Dal/frBB38FS7RpimsJySNpNapGdVbXmk3TiN3AvMvUCQpAn0ZVjWku
GufbQhMTDm2I6nfZ/TDUqIpjnoQpojUY1dpSIMds7SExTB9HoFzKrH3WGRTjTiIOrRCjujYzdtgR
QlTugzZJt2Cj5CtTkqPPvYia4Bw8qF25qDOECcFCYl0EWGv0PJE0+RTgwGOuOAUoVCKWlBWOjtue
BI+7Dp6QlqXAGQf1YEOXJNtyBnw4ZDdSKPQ4FN8nPGnsTvVmoSrDc3G5RajdVhq53SB0gTWpAYA9
dAzfmi+JCCBS6nnEq2tL0XgsuEHDkgoXg3gHeBXbKaUGZAxRuIaYQ80ncDtq25WL/lF9SVaX22tK
vfBZorwCAFyaSJyDTIOZbcDPxcYA4yZ8J4ukiN06g95BmhmCJfaCbFRWxhBaEqD6ZvqExLz+IRmF
hnMLAOaT0FcVdGezIopdAbjuATBvbz+g2D7VHzQPn1PAW178hbKnYBVMlaFsDUgu9h6PaV09RWOo
MNcwUtNqU2ETECGqn6qPnYcK7KYsQPY4qo2JhItnVfRl1grotukYyDuF/CNbF1HlRzxObOh43SqD
TTWbQvKGeMBEXoriCpr+LOgRTGw7Bo4VIUW9Qvi7vKhFrn1M7Db6ljd0+mHYtFNLR7w0VSdIRfox
ppGXOn2qFCBg1IxdQg3UOlgDHafkjqsFKAeJznmzzYNYv/FpdBurBO1fHVPMIgLs00e5uupGP0j2
qEyX421jCBRtVjTcS22rKEFWwAhtsJwAr1fJ1brtEswue2hEl9IEygLNY1oo8X1vQG0HOKjDBjHX
ZdjC5hEOjKy2aZ7MyNOrhzQo9Iaid1cJRPX1sWKFtUT17dXQ+cqJBLfrESFA5HQGD8NQ19TLOD4N
gEFn7DizYG8W5nJYrCo0E5B+BzXSG7pLStL72hZ5Ljkuv0eJ/w11v/808Vta3S8C5l9MYm4/YU3+
r7P2S/iqAvj8p7539zgN3qFmRx3LlhE8hFFICP29vScZ+KuTqdl0mzk6iTKpcf3T3xPaOzJXaoAU
+wBuw0z/UQMUc3+PUh2yrdSsZg3PP+nvPcs+/QyOuDE4e3QdCQktWSGJW0T41UgLp/DqxA1HdYNH
WGiv60EqNnIenNrloH+BW1DeYmXVnKHBCkduVOtkG2NvGupm9pSEOt0VaLzjNY0bi2Qz1aZPjeUH
qEv12dnEak/cKS/hVyke6kOAY8/U1NauYkmxP2FhFl75MD9upDAUK9/SA3gmY4DTm9XMqv5xLV17
ZR08inSUNylhRLZuwI7dT1Z2HcaweNA189Ld0Pju85f8o0n9HzddZxzo4Tb1Xe7nLyvV5Fr/rlSL
d0wosDZMR2wtKQdRw/5nmsrvqH4hyzP/ZdEHNmYE6L/nqXhHmUF/pssCECVp+zFPDWawQglmnsNM
ZZ2w+0/60HPV+0UUb6KaTLitkOIDPWGazjf4Mhkr5GnUzeibGcaasc16HLPNKNPGc9RWjHpVmXaF
BYuZjxdqBgr7jCN7jgdCrDUkfEC+mQHxNvJ3hnflp4N3H6E0+Bj0cfE+x9pFXitKCypd1ks1I3aV
FURd7a75hOBESSurhxLtyErg49cq0Dp2Yr1rL4tGooJT2wjjr7ChRdXcI0C5UhOtandKiZv4epRK
9UH0SNV8yeD5iA8Eel6wrUCeBlsMhIPhHM+g8MSesI/D91gY5XsE4SnhIosujPcqvh/xugAzv9Ew
TindLgFZuu7MxkBDP8vRIVsTmWHtY+aB1J4Yo+iKLXinXGwGIxMRCgJUvVaNPwSO10qacSb7fnru
c85XG6K5RiNoGXHMGcDPf5aiAdytZTRR6/hxHl9yrEBSrE2WaSe0KPBXoyeqBC/iAYzZpg+rbrys
WpYsXVOTJkFTTp0NWi8ILQfxJt07G8Mi81ZaabZ3CdLtIeERmMLNVI5yncEDTrv6a+6lWBcA0y7e
6/WgX0BiCVt9UwchHsMTFiHtNaKk4qvth3hByjAVv2mEOvsuNSE2RxVRTNkUVoIsTtznG5A8On3p
FM6r51GfQVW6BlbfzbpScpoIawOroCXAzaLq1ooBCm9xxu7w9ylzT3U6fAkJCRR7Ck5sD73a7RhF
5RnEpaBz/K4gNC5pyVKZAFP4rfVqH8Je3DALKuJF/O50CV9NI7KjGXEwlV/rzqqDbY9YHjSCJgpJ
AeQATtokw5IDvlrb76OErA/AQCgR26To+08Y3RiuX5TexzopupDGdaR9grq8D+0BxRBw7xrmE14b
35YdB76DNVNcrtDsn0Ch6mZyQd4hf1AwB833MTZAAdrjdQL5S+3N9+iP9PGqH01Axl5jBiM4Vz/9
apRG3bnKpIyTW2P6XqwUwMhQF4zCuJjCMnyaQgvP8JoY41oJYU6vcwKSz4mFBYIfBHa89ihypq6a
6k29xtIn+4gtAEUbSMfTKg9S80npwrA+GSc7+uzbUXA1IioQrkKzjyTkm6BcOUogSQr5M3Ufx+za
wXeiAg0w4nDDPwHhEVLTlaEj7fswDDAX1atJWgUxDWBsFbUWPgl4UBcyUn8STUq3SfwqQPoEq80G
445h6J2C025F3itLMEZqvmrZGMmjakvgNJomb1D9BHThqKSrn5NRhY2hpVbjRnJuKniHp6a3s3IF
yIPtDzhCWIAnJReXIG61kRTjVo00T56jx+ZzNVl2uTa1LhKbCad0UpluZp0oialvwXpUymoEAFev
PA9bGWeAd/K+KXHwWfVd6D3hjGKXG7jyfnU2QV7E8UqoTYGv65BeT60UnGsJHDc3mpLoaQi0+H2Q
2AEdYOY9ZMEiTW/8scZHty5GYztFSgceo5KTT20blI/MmEFe03awcvpDJQU92sfFKVx7yg7q4Bvv
FQjsPQIa5GIrTc8MxUlFJu21ztOf+rBXYej7nXGWixYfLy1BxNkJ8aHx1wC+q3pnTjObfLY2adlQ
QZVmdpB0ACdifQsA1ZZ2eAEhZPHnZ/fBFvPLDvN//aed8ChGvHXC7/LM/9d+/uX2f928POqf/9w/
gDOCSw1sGPRwFUU6dO7/fdTTMnhnAWuFxTJzJFBT/3HQK8q7uVeMCAlmDM814R8HPT8SnO6IeBAb
mPOf+5OD/nVlkKMYEg34tWVvVEZ1tw+qTt77Ojr/06mdIQgmfY/p/g9Buz8vvijkdiM+QyVM/30P
4sZo63vIwSc0pNYv3vXV96j5JemIT/EiRPl5+UU1k8N4NMFOyXt7rpRLjsdu/PaVX/d0f155HvFF
BdrCt1Bpg1bel/6EAC1Fxfm4m/LtOJwrurQKu6e3Bzr0CIs0IMPzTwGtJO8r61xUZzRajjzBoe/K
ZHv5BHnLYRKim7NvFckZFMjXkr3KrekIB+3QfRN/vrx8qFqdhEQKL2hwCR7M4tPb72NeDL/9pos2
ohSFaCIUhdgLbdogjXpq+6hipHS5TOjJcXfZxoOjD8OKXXJHkHhl0uS2GspYenE22PqlL8BXJdbe
KpvzKCDQkU8NI4+doS92b9/j6zbVj8mxVJbExwYqdi7L+0GPPo4e1T3g6FP8zdZSpDm6I+23A294
NmJ5+YZF0lGoynnDMEdUOu5DdGTVHJgZS7FtKqFVndSseFO+H+PYMQaUAI50cA6sm2Xnxh9wSTcw
xd2nrbouCJGnfIXyhhlcct7uvPzIIzxjKn5m0T8/wfxsL9an3+SKmSeTvNfVJ2Oo92ijrqQ6XI8J
jC/dS7eJZJ2qeHmIPDnNZX3ji/Z9GmfrMbbJdut1P8oQ3nq6V94Wy70NxIrL0kCEIIzdQPfpikjr
UMvOI+gQlhX70Cqr3UDlu1OSdVdIG8XC0kmTthWu32qXQF+5H8YPRdtsgkHfe8V5NmJqjX2i3gUX
o5xdtqBWrXLa5EqygmGLoyIGd5buqPppniubBJIF1de1GWO71MpuqBgntYwBXNxfSO1jZ3euUX3N
FZkoeVxrFS0T8+swUYfy8N02ZzToTTSpSM5X129P80PzZLEHZn0EWxa6137MbsvqUYvOBD7xb1/7
Wcr2dx9wse9FUVelbcIawsHUSSkTarN2KDy51VRH9PoQ7KjXvnYVasGqVYIN5d21Sn+iD4M9CCGS
ntGxEumO6HmHKMxpbGeIbhAAS360GtvuyESbk9zf3eZiF81qv2yLivncdcW6Vz7GtM6q8VGE+CJU
H6fJcmLtGFXymdj5u8EWeyrLcoDE0sh71fI+jISttXVl1BW6bTDVbOlkTJ5EZLK09MvGaLAgxInc
N8y9GtKewpIUsahV0soffPhCGJcFZJLZGpwz/n8YkiMrECfFzvTQx0SwFdr3KgdQFkWnsxyHqT0A
94FoJp0JDO/14huOeqjJIH6FlA3+iICUUXhI860y4DCItJEv3/biPs/PPZrhhndnxU+5oLXQ9Ku3
58ihDXBxEngIZPRtyrtX4E9FiPMgf/z2lRec1B/bx1KTnTboBJVJ8Fl9fRWgctRmiiMjSFzxnHh4
0METFed+tpLFozUSTePPImgStOOqCrDznT4MZsh/0jlexFkUXmcGFjgY4uLTGhxZIweef4l+wlFT
pQZvj/uwGXe+xmkmfXn7+Q8cYEtqAWLErYcwOUdLcKbb6lrCoFL9mpY7gbv620Mc2DyWjBtasFQ0
ew6ZRuLEvu/6T6r09PalD72XecgXez+qK12MGh9Rn43Uxm7Ujxy4h97KYr+jdYPej+C6BtuI17aO
qAdE2k6sJthp1e3bN3/ovaivb95IsroTNYP03lVuXETlFyP6I1zZz0m92Ksw8cQayR/lfUDPTd01
x1Sfn6Gfv9mXloL/pV3CreoGeV/QeqV/uEU+b22MCUptYPYj68QMH+g3O0r1PoxOaoHEW67d9U2D
0Kq/CuEPCy1Zze6HfRXvui7c2DWaMlrq6kq18T11003lVkp7yhA0+SvjJGyvEBjFaflC0dG6ST/V
mD1JI3pvq6Ip6JmtUWIv/A+aHx2J6Q5NqsVmI3XmgGqXSVBUSRsVqTIy5Le/+IErzyDll9PVKNAH
DMN0TlJu8NZVMdd5+8IH5usSJVUEXpLSnpv2aU1FrY83chcgqX6NO7xjJrL79iiHbn8e/cVqKxta
zvQf2SqDraScVNqRhXDo7hepYZuGkIUKAoA4VJDGO5sikM/fRr91aJgfeUOH7n2xU1ATbnRkCqd9
4n9pxR7hx9XfvZR5wBcvhaZpgQE7JzWO3Z3vlMWRGz6wOyyF/zF/pZHrKRNGnsXGEL07ZsGl5B/Z
kw+9jsUGAYIYolLI60ibECukDZiUI+/j0H0vIhc/loHHxPa0z71brAsQQiEK7/Mjb+XQVFmsTVnW
KAeOFcE+FthmfDfIVwE8SjzRHaX/+vYXPfAEz34gL74oZUnEbIZ5jGrXIHoX13jaGkce4MCLXyIo
wzypWqQoeT2ZW7JGj+X4h667WJvB1KWNlXLd9lMSrbRj4dGhyy6WZtFYUljaOgp78i4Y197kvv2O
D113sRwHG6vYKuF2Gw0wqbhFhfLtCx/6ePOALz6epBQFKoBc2Ie/L18LcjD1CLj/0D0vzuukHcMe
QeNpnxUnUucG+c3bt3zouou1qNh1hAAAt2yT10w7/Zgpy6HrLldiOtmwPOf7DbbmTf5nRl0/Yotn
hOOLN4z5RF2VJZeNw/MQSMa0/avXsLSvikuCxKrmuql/PaiPZf/0d9ddFE8aVAg9+MDs/OanIT5H
muTITnfg/S4JEDJQTi3J2UMtzAV8N4j/8kUs1lyC7o6XdKhaasatMt02xxLYA3vnUo8pAE46Kzgj
gVdcG3Fz3QK+HHrImZV1MmTmX76V+W29mB5+EwBKBuGIwy7Aa+k0px/zdx9ysf6Krkavpi7k/RSs
m/FkGP7uLFxaZaUwyvlHZUKD+9VXkb3+u/tdrL9WKqK21LjuSNKAS6n/d1HkksSBukUpof/Knpye
ZtrG+7ukAbDB6y/XN6lop9Ie9mnv6tkOt++338PvCyfw6V5f1wqy3EJ2YdpP9qe++qa1EJPaeqV6
KPhUd5pfblAOenuo3y9J0Ouvh4pFJVCqNCfyZEpJ7Z3IPr994d8fK+CFXl84LXtgrwVrUi5C8nx5
q4wcA/rm7asfuu151BdrJk49G+tXYr1BMVYi0VbB499deLEYAWeqRWby6iEbG+bOO+bocuiGF0ux
oU+ZeQNqmrgROZNyGf7tDS/OwnH2dCWQYe8rrtT0pG33f/ciFmuxUts0MgO+Xxbs0YF1gjE6MrsP
zYxFRFppfq3a8+5h4/Nhkti2ylXmH9tNn+PCXxNuSBmvp4ZsKr2POsC0F9EjCI+rAKuloN2M/5uz
81pynceu8BOxijncMipLrVbHG1ZHJpAEAYLp6b10xnadQ7daZV38U54ZD5sCgY2NjbW/hQ5ydFQG
jvFQK43bgEeeSBWuxdFYoIA1EMHZQZOop4zyIsuu4oHOP+qnt5kt5UxktaQxvA3vLNDF4BtBhTso
K9HqroOVAV2FJ6zj0P3/DIr+J9kA3ODfnw8TK/yFkozrmKSHhtb7a+DEC5/Nni3ooWNGSgl+Cdiz
uVK4dbxP8/bKTnXp4bP13ILGnInzbGs1xWtIAbuS+0xSr8y4s7Drx68wW9UERrqMM3VYqwy1FMhc
RAMgnAnhf/0a88yXAGxKVGmljmINKxUYzuQ+1TIfWnKoESxwcNWwVrIdLA/QhofmLUtetWN35fUu
xAZ7Fhv+cNTKHks4lRuUhJbDeO3wd+nJs+AwTBYcstk56oyeUi+ra96mlz7XLDjoUx1z8OSxayir
oYaE4iw0gxzn99Cj/px3KXMLL2Aixso8x7SeEzfLSViMngycXwG4hqVOkMpr307+JAOEmHfvlXXS
1cjo8Zkq06+aT9Lr6w4+LfRJn8qA88IHND+iKtoUJujcibak/NGQjr+/7Xn+/7DCrVm8YXLOHd6X
45qi4ajI7jjsIkql9XRFu7I4LnzFeRcmrntEwzV5XIOB7+bke2xvi/Fz52ViGDTN5Gpcy7jbw8Hk
tqM12tT/jUGTAsuLkaJqB2YlPIfQW21eQ4leGotZoMhgl6kMkJqtoeU1wPnrrnzFS889/+d/JRTo
e58YEwoCEJT7aF3ybHJbIQ2Nmf8+uoGHAPCX9bg2cekJ1vnT7/Pu0hvP1jZ0gRI3iTGuJ+6rh4QF
tz12trQl3PmOaAke133lG7ubHzvb9J28OCPgzy7Ypynr3inhH7+/74VQNDcNowZNWmCAUGJli1x6
gX9AEGvkpoMDLuv+/XQip5mR9sO4hmwSd4bstiTTnO/RI1LjusJj0WSDAm5z49vOlt0Qt3CfqfFY
bWMc8+G26GPOVlwPGCW0uJgQVXowLOuVSNW1SzrjQnZ0xoD/veqYqf33qos50KwdfC8gT4EpRx2H
5rSUphGuNsmdnDNXYoZr1Dp8WZwgtb94XHltTYMivpeg+6/rtWPfYeJ6Iy441FPBnswGh+kW8FT0
rI915WZTsxzA6aryj55JS0MZF3a8MMSx7VemDWjnMs7t1kWlMSCwsoDqzxsbzZXNoGwBfppkSDGZ
66SKJ6UPTH7+ffZeWMR/9ON/hZ3WQOeRDcDsWoc8FbbHzP/9uX9653/YlcxZdLCcLGvgozGsE+hq
TOs+gQi6UNCM0D/H0p2cfRLyJZX3Tf9kdK8J0p/f/+6l3zOLHukgt3HV4KRtS0FVLfRxc9tzZ+Gj
yHpAUB0JFYe3rl6MN+4mc3m+5QxFAsQ3Hvtt1CvRhb+/7YWUwJiFDex4ykjOXzXOn0wkc2Q6muZH
jA78359/YZTnskNo2BPT1vDadfyIlv5Mv1IKvpB3GbMAYuoUUlk2DbjahhGSHOMfDUSKo1G9dOW1
ZPzSy8/iiUNaEKQHFAGVLkqAdaZXpvyFjWDuKtpYMu+Yfv6WZYQGD/ShOp4OjfttQz7bxIsR9FkQ
XTHkEHDUy/4apPQPdeKHhWrMFmoM5js8RgSSO9gkJoBcjauk1/14PMnpQwox1gSKqNwZIanzQ6Yo
rqTsFAc2bymoHGgMN1K2MPRxVeHiUkuKoKHCh+D7TpEM8NpwSqFuXX0JumDZCTQYv4Jou8cFEGi5
PimGKzMS1t4I2T/9jtnK1ztANFQNp/qSm/6U9IDe6r6NO+e++czhc1WjvpQkGq6HSy+V4b4Cft80
pH4xLDtiuwa88QZk+5zt0IIOSRr6AnURwoFgUWBjZ2agyhPEPAlUarqvQbpF1WpjVpvB0L0abcdO
gf4O5WHQPzX0K+TFs0Wle13pQvgp7uviXW4fLaGiTaxGp4wBqLQZahWD+3nmjvoHzTZpKkHRYoZt
fUjTJ5KH4LVtlW7yhwH6MGNZwSSkm+46ABH5WR3uoFnUgIMBzDtp6bPhjYDR3ckvpFI9eAXgKl7G
mZJ50qi7g8U9G02sSfkwGQerVr24sCID/aagQvo9CSb5IR5tr0z0oJCNnWk/2tqmqB13HB3fGR20
y0QS2kTTXD7YuQnTGClgquLW5bdsGgGMzrS2OHBNeFrDb4u5c7vxSY+TujHOtyyahxsymL7+vpRm
3Iz/LVH8WQp/bXq4VLaJ1SPXpvRU2xv7s96AHQ+eXjaFVFkkxTKul7//rQuzcu44ANAdYNQGTpIx
WXWwb0NDC7pFrsWEC/Fyru3oFEnUjo0fIkuKa7I3C2nG+E20DSUnUi8dsYy1u5bAdsf6gG9PTfsV
4feAS5VGD+sPy+vQe2Q0aM/Stzg0LWzS3MtCLMDl93sLVj6Uggh5ZEn9mLKQEOKZ3AxLVQHr4QzB
CEpaRNCg9ZDXiUCFM4/qnAHLqzR/zKy7KolaK5LoNd3hhcg9t35sdWuIR0nGhIBVINzI2u7u9690
4cFzlUdMWMZ6CeNYOrB8OrDu9PtzL3z9P2nnXxNtAoUtg38GshG+ydlqyBfScEWre6FEP5cxQx7e
GDAow3mm0CEV/GySFgABBahy0MsQsUezWfV2dmVvu5BQzOXMsVbUaO8fh3URHwx+YsVWNzkME678
mEuPn51H0BtPJ/Brka9kA3j/WUDHV+5kntlfg09eWClzaTMXnVyIc8YiV2sdnguOvYzhopevzOLK
b7gwh/TzHPjrW6tVKwnSYoPGUU0TIemD3+fQpeee//O/nqsAv6AVFM8tjHBIw7K9EgUvPXeWUPSa
KoDQR8XTLJaD7CXGlUPgpW85yyfQ08+UiiXjGgVV32IV5NOlx/WDQB3tSty7NPdnWz2TRKcD2IXy
XPNI0I4l7VgBhrzMcc+DbtTxLDi+llhcGqZZ4l+bhQAHByWqoa08VdjAL8S3RZ25jlWMTV3pKR/X
9ggnx3V+7bbxwlyfS0+VAtCy9HwrmLV8q4BIVMPAuREKRoesZEn3f5+Yf/awHzKuuRDVrLMW9j2I
bpa2qST0qWgbBxa0k3yY0AsIFktEnfd2PEjQ0gMOrQEJIfO90cE2sZnc3K7cdgxjpgAJ1vi9lEUs
A2WZTieKbl69jaYMKOPqqyi3kl24Usbgb+GBBBj+/v6XqrxzletgDpUG9j5umNpnMnK3GTovFzhj
l11Qpe85TCEGdO7VuGRo6B2N9zBlsux3RpnXnE3oSqiOp8JXi2Y9oa4mOQ4gX2GbFNjl75TisRz9
0roWgS9sJXP20zBINnNaXDjqhd+3fhdp+W1F2LkS0U6VXBLnTSph72IQYARdA95dWDt/Bv6v0BW3
6ItLm/MEsT+q+iD1L79/OaCofk72597yUyunYnJwwIX9F5SrYCKyY9ED1rtnFepkY/Ka4EaA0Nc7
mKoKw7eARKaPSvKqNSM6EnKvQbHDQosyXAC9ZPzuAaaS82fSNx66BiBTQ/c5gIck4A1cDSu47uZu
f0ZctQa6yHWQac5UbjSWDONXLG0IW6f5Ri6PCt0a5ZpWW3naEmPdjl8tW1B470ovZnGfTQeJ8ywk
7YkD8QU3tnFrK8nRYjZmOtrc0YuM892KmS9jv0+K3Dfs15ZtGDqau6eKNBmINE4wUR6U07fVHvUW
zarpdoITaarjgKJD8W54jWb5mu64wLVs4ZgAKdzJGk8ZPag90NLHScCVJDnI1f1UbZoYNoy7olok
5YY2+7G5z/W1qa3QsOynYF5Z6ToHFNXp9wXMRif2UOhrqn1ydNSaygr2zlGWd77NP0nbB/Dt3tsN
fxrR9JSaT2efVIAo8Oq6+Pz9y1/67rNNtks0wNhkJGpoLMnbXSbduAbOf++vmaqXplPWA57bq2hG
2U7XQvGfRfRDjJxrQkHai9MkHfBgOQaQhpz53n4a3yUlfIGMB6L4WvGcP73EoTFtJOtFMj7iAm3s
9tKxn8zsyxjKI2XwbALDuysWqXWv5Cw0cDqtEzTY3SaMUv708/31+2O5BadKgQojpqVrWGs5ubJU
zxWnn37/bKtupgx+5eiMWU/EwF27nzZRNzxow6qT/QHx/bZpMduks0YrBOMt8vcG9+c+zic3PXeu
K7WBodLhtI4DRwEkuY8W7N+fe6nuPNeUFsSs/iOw6dCdyvIqcKy3tAthIO1WUuEL5TgkH5r10Ywr
CvzWBLpXX6/KagwZW1iAUjRcgFqPy0k4OSrTOxt3KGkQGzjCRkZXk69XO4kDyIoOogD2gXBXIEGm
fqMvHWa5X5JNl6KqdhS8M6LA6F7yYnsKkwyewPSBsz2Jg1ZsrWRvaDvDCMG2vu1LzdnvDqwnlDLG
mb5pjoWyAZn9xgef09G/ZnDeDUqhJ5jBihqYHyK7kiRcCDjKLOBohqlJ5bkGIUsMZtLP8f9YwFzs
rr705FnIGW0ACIQU47LkA8yS3WCxK6LXC5nCn4r8XyNRgfwg93yE4gOmPxVOyql56obuyjj/+VI/
rOg/dPS/Hp9WqSan8PJbFxJ8OFJrrfdopiIybPDaNky0LxsXmHE1cM9gGhigBOmKDOulJt+1wByM
ifQKL6QvR5Jvi91/qjx/vdAE6XqJJodxXZrtp/YE6tnn76v00heaRZWkjwvAdfoJynXAB331Wip3
4blz2WxiqxnVGJ4rkM7CCuvrpteVZ0X/DOYYY15AH6OaT8DL3yhKVuai2VorzUaq8boAfQ52KK7e
fZzH8YeZNPeu7ORc0FTghVtYbFug/jnmg11qLq02BezWku67GnGwAEAEWA89vUMh08t1dI4Ox8r+
SHMDbb0j+n3VfZ2jC4U807G779FG2ZLYxy4Tl+joU6LBVly5rRccorfueVJ3U31ImojAqkaJJoA9
tHbf82ctkZe3fYhZzMhhhKk1FAOmv2p01fS3haIz0uLvCMfHIZ+yCcMlFfuki2R+Zf1cOC7OWWbw
pc+VVtFwj6/ve2OENXuN+gjAr5kOHnib3raa5prds1OoQDMewpJa+Z3Vhtw63TbesxwDKB1DptZ5
PQ0LwX3rxluuuWpXAuEUBBc8V5E34rm/1u/w83gDzP3vdxw0TcChtYO6nZ1M9PZWNe5IH0QCJtD9
LQMCw4x//4JWq9SUE4HaYFtuBUcJVlxJ537eW+C18e+TjWaESZuKdze1l6aaQEXaMPsaz/rnuCjP
FbuaUek2Pz98MgIxhly+smVdeunZelSpnrQNHE/XRv5iOt8E1ynAUwe3jfVsVWZxbQy9iknSoBsb
wK5rL31pMGblOUtG3mzVUD20oT4sQK667XXVfz/g4IxENgVe14rfEpgHJTfd1cjObA0CbAvDUlUg
5hEU4gLR3Pi+sz3YngZUguQCQU8B5NU1yE0dBCBD/jsOo4XGTs3KUXGO4sM1l8sL32zuhwL2GpMn
Ew/tNiy4Bvy49NDZkuvhZjMR/T9virLP79Pgj7vI/917Acv89/fDDQtnAGUYYPBEvbywoTApzfde
EV6t8xUpuVfFa/Baw5xoXgEIDWxPkdUluEU8UMCQXG7WUY0TRn4nQaxWVdumeizpM9GTBejgfmZM
fpb0HxDLBQ0gERYBeiEWHvhmE0wV1BUH8sDIHuzskKPjhC2NbqepKKHsAQiLBDU8iz2RrlmWGsrT
+QsUIl4lT9qySA3IX02ieDJaY7xBtlwpocu4KJddzVcpDDiMYaRb3u56tYKtbdTGx2FAQWWdJgtO
1EjlALgrgwqpq5H4KFz6NM4OUw82pxSMZr9QsaPAvKwHvWxawrdg6ThVpCdKBFppWPXOycnA2wXU
34THLLnpqAlI6b8fpE6mzAKLH1dFBWjlLr1mFH4h+M3VUw2sCeF2jdNA1m64+mxaBcgTt4kSQF39
96WdRIBSqGF1UuNTqPdjefp9el566Vnw47SQ85ZM6K4Yww5ebLp4ZphUvz/8woKaK5N4yfrRUBNs
M+hjzP1Mv3LxcemlZyGQlSMDQREjnXYgkeduWYbnLOr3lwb/86dkWTZngZBlhLUAKGGfGSSwHWEe
XgE7Jz+eGX0T/J2YGFwOF6ayVH1hf0vmM4XuteBxpHfdnX6Vc3Jh9OaKpdxOYE1uItDL9rNUP5Y3
5ixzyVImZ4qTQO2wVukjt/eauO1r2+ev9dfpUBEctuo9wqcWJg/j++9f48IgzD2b6jNqNXUySK6X
cThemT8XvvBcha9z6sAMPR3X1uT4OmraUwuFjGRC+3cl6p+3jJ+C/mzzB7NYg+kdWjO02AwrYJBk
Y/AJsv2Mn8j4fNvYzJYBGKSjPsBOaE2Wzfa2OwqYgf37FQslNvXirAEF6OGhwT/JbanyXDwvcTgo
w+4ct5V6G5TakaK54vdxuBAO5qL5RsBQQkYH8rplSzHouEKCLD+/1qJwYQbOlfPQ96mDIvDeFYco
515GF9ptrz3bh1RrGuFWg+iYW6+NNN3ZRLiAXpVXRuXSe8+WYwkqdV9lmB3NtOfjDg5Lv7/2OW/7
YWpb57/31zKXxnoopBh3qbEdexQqNVwKeQW6aMozk1aWfaZmAbvW/31B3SrPJfWJgP9ux3ErrKXR
RB2/rV8HVNoMGVbRhEewlPCAkgwoa1CUxa2MOBSx//svvTSCs0WsmXAt4hliT3HElc2VyPDnzvOn
8ZutWgY38tKhCD6VnaxTEbRFDcMLY1+hoh6TzG9Gtqh0I6DIncayDmQwYCtpSXWoTqoqGm0bPScv
eAIsiqPCfizl/VSvigT9yt1jbotlgq6UGArCWOne++6t4PcFX8jTUjRdOFi2x5xPybqGljwD33+c
DrN4kZfaWGkA3K41BbWelQ7FeE3LoAcCTRbVGiocvViOxR7dCyWHDa5yl6nH37/PhSA77wfIUwMt
zwBCr8t0K+DfEE9Lrj4RZ93bt92ryvOugNEAahrzAJKQx+lYhL+/94Uhm/cEMJZzQjR7WJMC39IK
4HZ8Zc2r8Lz/+XvMBcNw46tKUlfIbo0O7GBPrd/NfpPIzzb/6KEuLLVF0u0L6niV9dalCS7dV9CQ
gAnKPFFYbtct0mRjU/Ch46feerLNVa88Y8YCTC1FtlL7cDZxW+DWHPmg8I2lLTX8T8QBnsOjMDyh
sWiqRSRB4FebC/BdFxwwtBa0fvxDzOOgxyvq0LXCPiynczNaeKamuPEA1or+VRt8qVonidm7uoWK
Ut+hxB7Yhh0NMo3UDBSIOvPBoT5Og+oXdNXGh16pUHo0/biKfVmKPSYtYgtHK5Oi/9t2hVZta6fx
k54HuHL20Crvs/xYojBRTtQbQC/rkv6YUjk0pMeKflFLwYU2/p0DJLblEZsEanxfJauYqOu4z8JB
O0zTBsJmr2p84FpdS9rW9arTFS/tNa/tvkdpo6aZVysLPU9CppcYzd6t6zpo4i+5f+sH24V9qjsq
+TfFEJkdHEFEH0jwwiwXcp8HIH0vCgWeIyMsrqgMtucoL4eJR6MMpKH0BUuWw4io21TfjbwqWr7Q
7FcYJsGzsEYJNzRwl5arTyVdO/1XJi959qjWuSeXFIXG1B+l3WB3Ec+NRx4fC2j4GSuPgJKnIKXX
Dq6ykz4ED8HvC9M3xHdfU78C1tnI1Ug2Dg7465m2awh8vBGW3H4MlcQByFr2DYt5GqKRBNB467R4
748i3+pUiVQbTGt0PygD9e1s8nXrHlUzVIxcPthRPLaeyAjo60CAq2vGCrcrvqwm251NbAx0c/ba
bgIB0eaGBy0m7FreyBBBfwxDKZCj4d5tiTLARgo1CCxwGifQg1y/N9QDd07JcOryTUcO3RgO+Lft
+f82pDNOEi6LIEs+0GKHf63wr93JiUQAzjxuTpkTeEXq56ibl32L2nnEVeaqOGd33a6DDiXF/Z25
K9m6UZ/bsYGqBoG4+rbVF158aPzVtqMufhnjF0V8E/x3lhIVQN9lVukRIm1JHuRkG0+vsbrIQXkv
Si/pDgPZU7JTyRLptCdhQBUHdkkK1Jh+3G/LcsuyoJePTia7cOUB0ncHxjsMk2ggj3vUccJEahaN
nfi8fO5AcBc2OqWQXbDXMl9Wgm1jAnvHYgjhIxC2DcQVaHqB8+rCroZFqe8hCPZaaWd0295svbYN
+hIt1eWbbZyqsfYt2HGMTJzAAvdV1CRAydsiTwpaZV8meGG+OgPPy+JpqpdGO4Rdsha16ptJ42bG
ilWdq2OSSoXjDog60+SsKa7mpRcLbX655XK9gBobo93nhSu4g6oItCXT4Nkq9xs70uLCzbCcUiK2
TnYw9L0lH+Aw5cFaLBC4DlNECmzCm8XuFHWAM596HAgEKJruSsVjjpLqBJFThWtdHNHt6r5os4XD
JB/kiABs1Aps9woCXCKOJf1kQ3EwYRiZw2Iq1vJI045wbndJweCvBj4I7kYG2NqbUu+qpYGjKPDu
/ckB1J9yPbCaF5MVaGqF9JwmPlwOHgBMd0XN/Fy5B5LXNfTeZc6D4JA/YdnZie476eBZ9q7ACDjl
WwZ/96SxPFhkL3C970mAfAj0MWvGxoTIv2YPugJJHs8WA1kaaDm3Oh+tBtBYFT7THh3zPlYfRcZ2
KqiTCVodHSg6VI2GUNUHlL/C1CrSK/7M5OFdgZjPcqTtwBH/q4mcsZleDY+wmIlFLhMv0dolw2Gp
g+lDI9OXGup3MjSuDH2EIIZP7TO2qQh1fhqbCtZ8cTiMwmdT5luVEebjkpN2TUmYJmEroToMq4zh
furQkZoHlVgT/tzre9E8mip69++k6gnVU4muDOQ6+P8YnNLVpNcqvesxeZoYRl/Q59tN6eZQ0xfa
XsGMUcV9UuM6Xk1Cs4tSOHTV+7xHjeoxz+5hK+ymVYtb+lWsOmvci3mVk/tm8TrUdIU47aDdTNJS
FOdgWDkoAZWPnaJGOTa9TnvQrOPEobMkPunRdNY8wYnOFU6Bv7Tsk21d1YHewOUevDNLHU6Z9lqx
lSKhUptSHxYSyFsZriEOgM9K/Sunn4a61DjyPbqsjTtYsisTdx0InIZ+kTeLlrwr7SrHK9XJCjqp
pdm1SAbXnaG6cX7qx0jqhD/GjxAPKbXiO6DiU3jjwDCsyT4G9Nc5/Z3B/YTfO80zs8Ny2EvdSqjZ
sm2PqPNg9yRj/zHpituxPFAlKSITZtGLWb1xHKNShaE+Z606RNecgqWQL9UcDdXbqlIAVKiRd7FF
Uo9uWYdk3NUCHlkVAlfqc+WgFHVUAQTb8CmMrRwg/iTIjAP6AJck2U0oXhOYVkpfJvCF0OvINVa/
gpon81AhxKHIAJwvQW9fVY0eLR33HGqmGkYEvD0J7O/8rizCMdnrmj8UG9gTQvYSyVqEfRiyMa/I
qJsRX1beZHkxqGtDf5jEXtEfFQILFIGbsbtGgnYLvctCd2N139l2qOD6CQiMHDthnz7BtIdVC9wi
gedwzLoHCdseswFRbynQxxND3RZ/A10fTpXskwQy6lxas/Yt6SQsTN3tO7ZURezn0JTVctA5yMW6
hVWLrU24y9rS022kBFOzV1lMMKF3pMQVBBKWsih8kIW9pF0iMu8suhaITjVsvLIk8VKHR1JveKrV
I8sCUbXqAhVd8YLeO1ISFt0273nkVBLgeMJ1shAtZAfY6bkpR2UWN75Z+i2P20Jdl/UXKJGSciDp
qhX3cSlco3mBuWOQ8EMGU6R+2NLscYIJnzox39aCFhVrPXvh5VOuhkUP0pwIBVprYFPi1gl2dpGH
FjAtdS8jgH+zfIEeJS+rMkwiy+c4vkyIAMOT45yItZjaXWPUfpMZERHr2il3Cu13RQKJFphAg5Rt
GuDEWkjtpQxbizlYOBR9oWk5Gmp+pE3j0Tj2s4lEcBr8aIdmMYjAwo+OHebVcbMpezjayXfICxEK
7BBCG5O8qWXtZlnmj63k85qHinqC8Af+m4U32ZvOeFeVZRmfx1U78BhWH1hDvC3WLYbAxOEikyIz
74CSjiqZhlXxMWFrK5G4TEjnNRvlB0xiDcl1o6VhXxi+Or5LSLJNgIAF243JW408GpamwkoXE0a5
ariXGtNeGDIctfXzAnBgiZ5wZ9uix0kzPi3Gw8Kyg0RCQ1hcLdtRdjUGh0nMm5zWcA19heuKb5IW
OYCnbJVWc2NDDVibhUpmBh1fMNb4A0EfoXTGYKwKsS1McZ+b36Z+iM1jUR6Qe7acR6zug6lYOwmU
JUrj1fkCfBjPFHA8mATiOxpRyi28cnwY7rjw39rqNdz8GqSFtboo6ejyqYxqOBiyhkS8QSeYoWBp
1J6K8NzqGDWhoqNKjzrjs3eA+Rtx59BZ9EmzdtrwQMdnpAuLTu5f4QOBP6+tE6Xw0JKC4NZDuvUx
0khOjCBHFXYyd0NnuYqKTB7WLBYyctp0h6yEW6J6V/Xctw2439DWk5BLCXOAPrvHWWCIFOspLbVw
EtWmq+Ablg4gOzV3DKBKGOUdYCYSdT18SZpirWoVjgFWkOTrrIF7IRq1iOPBNcdrSvDBTB3F4Np1
JiQ2zPZ4ZnmWvGwYEkVYWvMSg8K4bxThZA0AStPDKPYNrUJa8G1mVV5ppwsoyD0J4AsbD7Ugzcgp
GNHmhPs9e6HRYtOB9a1hmCdp2jgVpGO68UIQUBnIOgqSokn9btHjZ8aW69TlkvdLY4DdEJqHBgfJ
PRg0qkECrRyOxdTDnwqpRt2BvyLcDkn8UKQHWxm2UwvuhmbIXlt9mla9V7M1q9+4FgemrWLz6n1z
hGkKh0A/3fEa7U02cjfJBX86AEQPx1q0uNURqMZu/N3FmR+3j8J0FnBNDkEuX2vOCr+DKE+pkUbp
GDpDoGlDEIM41GnRWNpfOZyEhFMFhTX4aeLTc7P0RvRtWI9ha+3hA+3aaOiremjUhdg1MHU0+6Oq
jlGL8k8t2y4gfOGQqXeMlpumhRaSQb1q48xIfdVMcS/20OJ0mJiPSVp7DXTxyBzzJA7spA6yyUKn
ar/s7ObbAhbc7VuENkvwLaX3ALe4pnon6uy91OELhEiDBsiqibIp86BcKEsgkYdNpcD9VQEJXEHU
zvhQLUswZVqt3jn22kCLGNg6bm9WaNeqIUy2FzE9crbtExPR8Tlz3sHkoy4Fw7PIUmxpOPxkLdT7
iOLAAWtC2fU2SjwTgyFVM4SKXPsF07Y98AKWovlYWxGdHmC9hY76KTT6exAUA2qDUh7Xp94YTjLQ
3YIUHu570NMYcSUiOv7gJLnFMG4cqQ+63gphEwGNgCf6OGhSAbeok5IQHz5o3jjiKIEzZJ9PXo8l
OMRVIKZHiyMlKHWvNM2Fc7YflR0pqqB/LBEqixbYfTYcHDiqAs7U+o0RP06s8Eoj3U2646vyEjY/
B6f5thu4GaF3k2uDP6EzeYLMfBhgEaagwmDznT6eJm1f9fF6atVAPbuJGmsnvptwHoeDUhQ7OAAn
ja+2OhyBtKhKLThPdBta6986gPQA9Df1odVCq9olygo4aHimvajZY5fewfUMPq8bxC0I2Vm2bXJU
NBoBETS8B23flMeTlOawQlK9oiYH3HAhf6Aubngjc3TutDxdxKOzbItkq5d9aCTqZ4EM1ezSTW89
jl2DiypkDGcLWqiwMqaFDrylKnTFVgWChylFmpOuZKiweDfiLI7aApBt4ELD7UgDfKdMXIqzBO53
QzOW1rG503DS4BbukfuTsCZY0+DEb01alGjbzkTv7RljXw8ugVOt6tSuYcPyGdEOXnn7DOZM8Dh2
e9nX0QUmIdMp4QRqqL6kwmNgNF8H+9sh6brhhatk722VPeBCZo+CCLgNyqpKscMR2ErbOjvxNo6g
tMNp4WDX9Z6md/lwPJ9JvRLJcNZqXt5vSYW7ZUvdmv3o2XqL9GzCuWidmGxHY2wD0xuIiJ5Vaa5a
ScFkv+YoJ/ZYRSgZQYpLUtyOd5NLcDlcvdYEHevnIk56bNlbjkoNnMWRmRG/Sb5hfIGSVuJxrDUO
Rv2ovQ3QRKq48DWdj9hK7+0OM3iMDGEvTIGjSqNt0kLzqQkvm3MXDQvS0ohKJ2B4M6v/ri3Tlbi1
MOgOxUZPwacHRTxK7EVaWa5JOs+RstBE1U3vdJztsSbgCNDaaM8ezoFnqSV8AVCR0T7FJkOQ/Z4Q
OOHJGuZxsoNz5CJB0ko0nCeUAuJjeP5m5Hug3IMqHb4Dd+eKiIJ9rNfb+1xd2M0O921ogAHVrPrK
mjeHx+tMbiOlwb6jjIcmLQOLfEtTZJRGqMZLYmvRkDpeOrFIxqzNNeSfg7EwkD3gbKxoU5COE2Ke
rC0bC1bC/L84O6/dxrUtXb/Kwb4+7GYOQO++EEllybbkfEM4MufMp++PhY2D2upy+cBXC7VsUxQ5
55gj/CF3otRfp0l3nVnPeEAfcxpRmqYs2o5c3RePE7fWwGytcWEIjcd02orGQwc6xxc+8vGajsZo
njUndvvwvZLNvUVDKDaOGH4tY3KqrI8heD/L2kvqbXua7NW6b7JVrS5raMhCfIjJ5Lr6Mco2Of0L
tXU18eCFuFWDiO2DVzzDWWH6omAzVaG6nKbPgYRlorrExGyl1PtYwnmP3nCEnpIG04nWGojt/irt
hYcKTcs2zo4RcbpM8E1Ik01QQmaxpoUUgUQrbrJucGKc3XLq0mlwUiptYN97vzP3RqCsU1K4VPcX
1vCcNu1O9K6KMISEf5X7piOUrdNYL2qtIpgVHiKmFiL364s6T7/bNGp8JWglmfEn7rl243VuV5L9
5TWGh53T+SGWPh6dyjtv8taWuTIZb+kY+oRGskur+9m00JrIrXJt15qwaUSauM1cR2qHMhi3Vm1D
CcB4Eli6joV2AqqkTu0RiLoVq/tiIIhb1UIPajfPB7pMEryH3sa73B5m02ATDCpeK2XHAiwlKC+Q
lMmcqvyjbrN7w59V6aMrfzRcUSNq6JajlZ6TFj2/2jpBVNqB3O97k4WSxnt/PA5ycorK4Xo25jY1
glgkLFUpXHW5Rx9gdozr1zGhqjKeDT3GwVBaqCwXWSQNEUKuRtzQHxooWZIg3ZSqda8h6EJ34g6C
ro3M+6GcrLs46zdqLR0atTuM3oB9OoudprYsbNIExX16j/OvR6pANp65xhAtsAHfcBzKYxVQY5KO
+d2hGV+Hk9kou6ZpnmQMiolIpI9ev/Rlj25urkEFFs4BHveLCiiaRHNEC+RrsTLJfquJAx45BqML
1/1YvYlWsUrlySlF2Hqpuk0lwW1yTVj16fPkqTsNpMGo4VoSu3IY+5Cf4P2LvjPmT0MNHrocj7In
4RC+z9HnGJ4UY8AX+lbzH/3K2rZFvEPW7imYiNxWv6qm0dYiNoj+YHY43UifZfdQYs2hBoY7Cfjn
NJ4bxIWbyv1VXWG5aOjBiaIEYAAO2xTq1mPQmNs+yF6GHtSunh/GUttIcYWYhCjEi8homEYxgqIQ
6glEcQQEvmd9jW6vCrZR7gWp3ysVz3g8++PeFK6GiFe2roM0sEX/LjLcXCfNtxocCkxkKuRcd1St
wsdlEu2yutGQb2uFyCeJ0uzJO57KcPos1FVRFbioCHTf8AtEuqdZ4mG9CKw7sToZUX4jlKVrxfI2
q0da1+WyRtHHVwBCDWeLdLUurW1VyNRmrDCzs9AKKhZ6+NzX55TGhWfJW7ExaGqW+aKpNHKmKXcE
9RjFG99U0SVSWQBVvpblG3U6BsDwzb53cvwZXCUpE5DUJ82HwdJlL+ZMaoyxWbdk5l/tcv43PjFL
hTFVyX8b5gPzv2eaqJdPLq6YYi+ZiwKGWhPi0p5TMElcOG0lUsQEOUl1hmJvRJRaFNw+SRjqKbgx
5HYhaIEtSNrn4OUIC6FCU6emrTfQWfRrmIxOzEQn3vUpTZiKVHpQqnOdG6uhrxY9A2dvEJd+S//J
uvJDxRHBu7RiaTdje8bF5aWwoB5Umd2mz5ib6sOnVt0a3tvUckwKxrLRilWp0glG5qMr3o3itjS2
qdVx5tZu1R+GIFvWbegq7ZVuCkuDXy+mD6pjt9OKbVu3q9rC5DX1oE/gVj/4u6bFQupQVtHKH5+z
cRNou1ROF2m2t/T7UqzdopcW/iQ6Al2DSHRNEZqmJNuhbsDKf6lZ+wUtXonxmmyRh+c0jEdoFBKA
LylYhUL1GHbyfdFrCduxX9H6OqXmVijWseG7fbMZtelFJO2shgaNKbiP/sbr115ZrlsBTc9MXAYh
Xaq2XXqSthTZCCMPuw3ehzh7CeuUHZY4gt5z1L6b42Dng3kfKihMWkZ8NiPJlmJw9ALQMwwvD2jB
LP1YIrfedv2OY2PDAl81lbipJOJA3H3qRKm8LtaTdOvjWqJz/yVPfwxbWoye4Yym+tI0HSC58Mby
9YXScUZrGUJaOQ2kacrWWWemjiGqzjDd4BEk2RbtvmE2Y1fCPYItN9jF7Ps63pv6tA5CeeMJ4lrM
TKo6dR+E2Y0Ehqtp6pVHTdCl6rKMu7XaYTrCxEJKDr5yF48PefRmRW9R/+JzBEjImsT7RnnJe1rt
zZWvHXv9pqNmy5AJ9ulE0jARhMSNp7eofrDGh7j9HGBaZeNR7db08EEIiuaSDqoSaK4ew1A4zJPr
Cr96kY6VfpKqjCtc+/KNSVfGEjdCsx36m7jCP/ioJgcpOITSQRzfBnmW8j6zDB3scZetINygB5oR
miYxshMPTnLcj48BnM7aOHbaVTKfgLdlEJ9GnYK0TN2k7Gwexnuev1XaspiNRWtO3MEdPMsdQptI
ZCLeEpx18l2NJnwWIO/pO6VS2BOoFLQBt4ZKAQZNVtkqyXEuL0frOhbwJ6Z7lB0ETzlNSrXXONJ8
lSngGkVypm6rWoMxTPY/XWv9xks/0ScFabFvxTdJ8NeKwobqD1Hk1sL9EN5Vgy1LW1oFGYJRcT9L
1NQ7WVsViuWk+bil/E/M+X3vWkM5CuGxbq40FdUSBr3M0Xy6l7s+3matqTxhT7uCWLRL8md5sPZK
e1JrjFalTESIxnpp8/ZKw2TQsboXTbxvAmlJpbX0rRCzQ5yuGjdrXon5N5NvrVVBOczKOEl7YwYP
aQumvb0TwvuUUVFzNgsnKsytGmxNUvO1arwL/Vl7yqKNUNVuPaqrWjxK6RUsfsYadr0yO5Cmvut7
aPXUyu2YSnZCPO69knV7VJIO+/WjUQcu2uirRPae9OAmICKIGto+5IgMDCj8zHCRGatqQzmT6qrd
mudWSDaCQv0j8kEFpky3gCRdsaUrKZwL/z310zerzN2ps/ai4u90edrLBVPnulZsTKTtHO3VhDzc
Ck1XI3yH5VJn7ogJSkgX4BxTkqpZtOwb3HMas3WrAMhSoDhyd4clIBLBNePmndi8yVW/BDKFBfUI
kZnDBwfuRhLOQ/EO8wrTeezH+EkW3bV9fjbbsyQK7o8gCpfyYGrg11XbgxFMakfIGN1/Izv2BfRB
uwAlRUOac/5xXbNeltahMH4Gir9UBBPDUMy1ketGzDDbtfhTrOQFPDbDvUwuTMBfeBWXCBB8pwP8
BbdP1C6wRX5aKkOTChxKir6JwudO6FxJlzhjGcbK6mrAKttP5GVqfZjecE6CelHQf/WtyvFhu2ev
ehx/A+j66p1cAJIg+GtJNH/HUmM05cQ/fNUXwKAu7nUzznklYnocGWUx+/7R2rzU4zEnjO/DNIUs
JDlt5IbfYX2+QIVeKu+ESmXGngy1mcMm09KVYh4p2xdeMn2D+/kKm6POQKa3l1OY+fU//yH931D0
G6ELhR4BU9p1pd1OzcovyLGZi3fSxojExSBgP6goGyrGXahprio/eGNCGnqVWcxWOuIwnRHJy49i
1V016TckjS9v7QKMmHTxJAY+YOOUrjdOsdDU18gO+EWxj9t3ZtCbsl1nzR1AH1U/FKin6whYCKWB
gkO8SKghqIQwBNx76a2shT9bmpdKP7yOnGaChUJt6tBzxiT1Z0to3gq/vYjSTNu6FgG5NoxmR/mj
/Zkku6hexIs+r3KjmriwuhKaBfY9P7vfi2hh9LGkCpaOWqNsiwplqPOz615sfaPCX70PK253lB0f
4KFGG+Rnl77Y/pjhydnUQkLMmp2YLMPhZ5H+UsonwEkg87tx3Elv00P+/vebVb6AEv4vIZ9QFgxt
NAjHKsAsYB6dNgvR0j4ZppDBdXIVpgopoHdjCfPMGk2Qivlin+wL9YkRhCDs1Wgbkk0UEY5Ysoon
rQmvDh+r6T3rUJTth+M8nQ9Fa9VJj6L30pUnSxZXunAb+B1YqK006SgPs5lS6fT3rzWzEP8ANf31
bX9b5oYcBZJMx3+X9OcRmZK+6rBhqPsnpShfwoKvGHjDz5boL7jrb581xlqqJyVLyYiupmppmPd/
/w5fnE6XajxKpraZpIZEe3+fR3Ot8PfrfhHtLyUPdbUtkNnk2XRCTiDGgFHwaCyZmH9/pw37CyL+
p+d/EQ26SFTEUmMPRHJgT9lNlu9F9TbvnpvEosvoMUDedMq+zvdG8pzVVxzrefZQCgIYt3hBF5PW
dWLn5VvaPVvC2TMeQvkJZ3V9pGGLmQYm6PU8tRRQ2PFp7eTJMi8/FOakmGDrcsFxfhfG91roAGNe
mIxsImslobtklIHdGAe5XRn9tUgfUXwNoxtNerOmJ7rPdhdcScP1pM82bNdpZR2FajdExzAHdpCX
DBmfC/o7elld+5kCJBIEj39CydCsJux18/Ogik6R3nfetgSabW39dvP3t/YVHPyXQtZvy0yHD9ZE
LXJEsywHxSDAJ0Y1yGqOA41+HdyjZWu+hNlG7hRUwirNd8sPfqQ8J16qQNaDlQs9HK/dUB58b91/
h6L+apFfBEs599VAAD+waz/N2+KbM/2roHaptTiGQm52JUj9rHvQcBYFBUp7zEZwS/Uh/da049pq
OfiSI436QhQnzKWZSPiGU9SbIN5Q7ffNSktGmoY8bKYahiYf/Hx6FMP6ylIz0Ab6jZkFDqKCK4nm
8hDqG39ap75iB2m4H+knx8o+xZYlVL4jdX/xrC5FtBo16bMplsgJtogP9D8ToBEvFbS6mml2FXDZ
8Mg0LvxOLOULbsqlfNbsMxCnKSvG0xjLvcOZWOvVD89C+aKaCuu+rUpk53bhhPyCm0bfJKpf3fT8
6H/bZJKQQrYuuG7gp7bV0ekATNL/zDZRlC+ioohTRyq26JVLb0xHf1ZtXMoq1YKc1ckATcR49G71
179Hm6+W2kV6FOt+LXTAdGZZkjpy6h9WXPLFdtf7Ovf6+QlMj9PxO5GPLw60SwWltDUtS/VScjmr
XFUWUHQwSIYITMJsnB89j0stJTUioPSJMuzy59bJPn520YuiKEKIWQxNFlv1WBouXZyfXXZ+TL+t
4bQKDUvMyRNBMTLmsr6RZfjqKV9sOVnzK6GXZUo4pV0bAIBTv7CNWlkpyXfau199xMXui2VkNU2Q
uEjKM5T46PSbCI96K/5GtOiLVPdStKgVo0ARpIb4Ofb7we8WVtLvTNqZo3wNj+dnafqldlGUqL0+
xIjmyikI87XV+MufvdeLPSmXateOtQSd/t6/FX64sC83pJozsBUZEWiSt6GpD53973f7RSS9FCDS
PR/VzblaCeN1DMiJ/CoPMvfvF/8iPF3KEMkWbsIpRMe5W9t3m1H52dO4lCEqxkijM84jruvlOOPF
vykRvlh5lypEqBeUMtJhI25wgIIbNOtjMHM35Ri5njp98yFf7J5LI09Zj02/ifgQ2qIzroP5ggrq
S6l/dtBcagMpGlYhfo2cg17W4UJXJScHbvizF3pxMvqaKcWtyQvVPITgEH34Jmv+aqHI/x4LTaTE
03HknmXN6d+EaPX32/1l8vSH+ka82Itq02tWbPXDToQONiIHGIFJG/x9hDCrMLxPfgfiEUpRDVdj
LB1hEGFvbXQwl6K80BlnJTloritdNgEAQ/Mog1VUKAw901U/3anZOE/6d4Ep24AlZ2FQpQjurFR1
zVFf5RNdWWUl6Z1Dw8xWUc/wsteZHSHEIlCF54kiCyOHvY5W3zAlO1VsgGqea6Ddoc78HCHZ1Hhh
RO9KVFk+rT6dkUuQZKspGTZyU7kN0n5m5giTvk/8cWNF/Lj90BimNneT5C8DSEldel0j5e+pJ1MG
mZDKUFHv0K4DXfBNFqIZ8/P803O+CE+whCWJ3LRHtLuBZnvvDXcaeCMBAGVunvOR5+M995Gwki1l
M1rNsomr7VjrzDC2RjMyl+/XqXHIPETLwaeqiJYPFqPyYtGZ73NXIs63lQGPSM5Xs/rIoLgxMABf
3AIVXPkqXB1+Ok5XZfweyS9QH2A43GYMDjN1PTF7HtrloIJjmXyUDZ2+TJ0QnHfYv+VQvlAvstW6
XiSAhY1hgAK0VqVoGTPdmAAlJQzqtXcMo/V+p7RPXWKtUrNfaQFNEhDa42suv0aYlAz9JgKXIV01
yVKwwN0wsy0luyo2g/xJm97u9fYurrOrQmh2Y8xQqWNSCT+5VnK7AlLmgTGJFeRf+/uxBindXY9A
5v2UJxEdDWZycNPASCGAFqK4L7SnOijBgKnrJFDtYRROeQPm80WSxkVLsVkE+TKe4vsB6+8kvM+n
wc2rnaIvc5FZPVKOrVQ5Bj/s0/sJF+Re628EyOOlyh/LYQdCVhAdBcB4O8oLtkGhH5HAWgzFWi+a
RVXf4J1hZ2HrKupbUu61UXMiPbOVXnrI6hKGIph07qoLlVcdBXdcptahheB637VLccLUGk5KGtSn
oSxm9Jei1aexaxwTJkUrCw64jdUQXoObNtLMTdAmNwTJ7sNu04HC943ExlFyKnCcCKaNAMFKPeKt
5yTA0S0txiPDtCVuQeOjS5AsnQ8Uax4wurLqOapXbSSvXna9jsiptZVgeVreAKcqdQOjWbfM2pow
cBPACnE1rEr9s+m8ZRha66xk4hUob5kPdBqCls+A1kxFVw9lJ0vOY6XM6jC2LqDqWyXHRH4PjesR
KgNNUpt2CNBUC+u81DaNdtMEmj3OlMPJA0z0mFjFjTkhx8QERVsI8BEE4WBFzaFg8FsObqo+jjjv
TuHeQPmuXVMIXdMvuzKnfi9ZJyn4GHyImhKQhAJku5bbg3or9v3Wild0lJiLeisNvAUfvRj8JVM6
w9JtCww6sCCrxr3h0EsicLEMEGbp9sl025oQgkpgo6K6yHhjavZQDQ8iKxFo1MCQwOs8O/VyoFLp
ovYFuxqRH8HxZbKMhdI/IHlch4EdD1BMUpCpU7rsla0IzEFvAuBsTC0L0L4JJICXPFZgFG7KSFkE
hoJFIgp/KaTGah+OwxIBKFQH3Sg+x6kJcOCjU8wF5jRSvRUyeOn0iYaOF97ptoJUkCKeNAjXEHdQ
DpdRzqq15zpPlwHTDDO6TcdTLQIw9y2blwHGaidDFrYy8PYW65hmZBM/CGmFKJECF0NeJ71542vW
uTN2wLdSYM9FuO0RMy+GpV7ph5YAbdSPQgInMIYmGtaOWKDTHJFaIbbF2AT0bBLEbtI8Dhr7swWm
g9lIp3wg1mjLIgSsUXUK7aUE3doM982QrcTQYPZ6E5soZpprwEFSE9ttgG3kzHvs4m0+XUkcYVL4
ULeg4qMXS1fXRaEDN6zWliHSnesWOSzOBOCnILLpIPxc6elNHrOMB21hgusXrfVoHTwDp7baQCw6
t7vmzpRAb4Kxd/I4+BCjZOsH55T5OntpPhB7DQCU8aD2GSEyc6fGf/CYdjXAglMrPej+s+kDhWfB
NeDneqxhFiOgoYItKpr3EUiPDPecPJ6u9VK8S8HEjynM4iEjLkfWcyoQEYMhrlbJoDt6M9iVRu9Z
q/KnqtM3nbgHlBogFIO8A6xhxEf1bKmEu6Z7lapDmBxk8cnsh2WUcyoPDCXrWS2338kqx/772JSb
ulBWcXQCa+iOXnagArBV3htGMFV81grkmKEBNhb42obhkZeuJcM6VPKhq15LJvJ+bzfo1usNEoZ+
4Y7mRquGRWncNeYzvSUnCjun1O+19FPRz130hGWYo0Il8Uk62uzVgMcwYboj18ZNFV0XNU4p/jmq
7tNwyY5a9R5X05Lw4MfjdY8dWChs494AS0cEBoOLrKrNxAUiHqimOKqhA5vbOhPtPgU8kNaR20Yn
L292XQZPAyyODsy7BLupk5lQTOmW9eSNJzHOwOECYPGDW386cxuOCOhINLtXpfP2lXgjqHd9uGro
CUOlGsJ+kwhbw6MnbB1iRkgFIPZZKSUdjbc258TpPnK4eeGYLNN22DcGVDeL/Vs+epa0GQKmrDXI
ToHFmogifBlvoTGkm91shXAgFe5J1E5a+5143q/+/mVuwpe6lHcL8E30IMT0O2s8NrXkhMTmuoIU
Xn6qfbTKSK0agC5hleH/BJMd/gDGv66vC3YfwH0LPyc5PcUeh5t3rtLUSTWfPE92crZnlNN3NDdN
2wG6guseNnYVCOuqzUGFW3A1z1YCMjTLl3oDqApg8N8zW+gAf0i5+FqX0pF5E7RxEXR0ejvwigmE
d3RryptAbte1UDohwRim8bpXVmUx7U3pqTLfwcAu5ER3jLxbBBPcS4hYBSiPIdIgY19hLrKYoEX0
EwRSwS3VdgesMBxuoiJxC9Tm9fi6zSCtRvKunrGEBQkqo75GhRBvFHaS3cbSTYPmwdT0jpkrruiN
DrXqewoJ1YqnZegjSMXQYLzBK32ZQ+QMNz08sbC51kAxKSP2Q+JdhyqjAZkk8g5J8AaUViu6ba+f
Is6pqM9cn1rSbI1DFINIo5vvkVlBYGPOkMc4JPZQp+stIkHSIi1D2OTLCrZ9z3S6AhREOJiq56nc
IfdDJgRd2cgfRAHVa1qJswJtK+y10j81BK4RJsBQL63yYGnHqnKa8EbOp7UYbUbeew2by/NBFQv5
WpF9G3AaecHWK1ZespH72tb1wJkIZ5oBnhOyhakCzpYKVzWvMoKyWLYLucmJ4kA+IRIpL2p76tNT
AP+MLmw+t6rDmwKgHGIZVmUtw5gE1FwJOjw1RdyHyXESnjkyQGT2jkLmVHSnMWJO6i9F7zBxeFbl
2ZxMx5dXwrDoT0Z9KIdp4c2zFnHnTzdydmtI11pcufgcL1SG5GF7aI3HGl5mshkIazrpsiaxkmdc
PFICMe99Cp9NdCZiGP/12evvRfEm8F+7ahdGDx7c6pC1kLL+FO1Y+K9WBZeKC0e3eRXOZtfkGgRc
E9Y+Iy2sFTzfvA5g4QwGuGU80NwWImKVirdDcpMzVzcwHQBo65qpvLFkaWnq3gk/bje2dnhgmHG1
LArg97K8b/Jgk1H9eEDE80QHOcXrsUbGBeV9Xj+n3rkO76TU2kISQgtQufWG9lEQi13Cls6Nt0kf
bjpsPzFdwOHNyfA8q+k/tfmt2hAhRIgMQb71QH8qIQ8AtnQo+GcAXnYNTbQTOQTGmzz1cCkbFp13
HDHuLEC6lS+edOrkfFFBxLAMpAvUOw1t2jSELSvGe7W465JVOzxG8ejk7RalstkjlLQVFJZKYJSU
Q8ZWVIobDIcXbDI48PCYcW1gs79I0aklvRB5+9Yd/C4sR5r+pfJ2ClNh+Zp2Cem+KwMkbqaDpu7D
bliZpuUg/tGIu5HzI1WfI5gOg3Wvmh8Sbn56mLt+l58M1b/LIGuHKIwgf9KgAO+0HtD4gBMopv70
kfVe8T+lBD2HMVil0pvXjK45kAaACrcrda0Gq7EvYbLvJIaYiU7tWz/EUQ4hOgY310JqR4Ghq+9M
od6JOX4xZdBQM+veeiK9ztv6MUAbW7daOFjBSrUQMmBKpMNB7Bpwnmnj+rAOarW81Vtrg5z+sYfV
b4ygWhMn1VFOkyDeSZbd464TzaV4TyoE+7/VrzXI/4F3nFk06KZ45rIZLGZzhHEftjLCAukULCE0
ldQA/ZzM4ahnCcMyAO6b+YNjQpow6m0o7uX8fqCBpiQjRJHJjj0ycrgckm6eigmLkPl9WuMq69Z1
t5kPITkpP0M1WUeeYkM5t80KQoR6HmkhpHSbBChZU+I7ED5Qq9iELTBofT0M2zoyrww1hVgbHhQF
fdwEUGHZuIG/itBbMev05EnqqoEJ41ft0VOVLZJpK9WbaVPmaVLNjdGKuzphLRKNTPSXe+1JgPLj
ZQSn+uQD7q+q567ylkYKtvkWq55i9PZjZpyTuF9LJqhD9G++Ocq+OMhmbMBvfXBYSzwI+NK7EVIh
nOig+qZv/2uw8IeT/1KhuJc6vVflctiZbXNHIDt6qPMMOjmogigE1lAjub+ZAvg0P5BqIP/QbYhl
u0mQruLB3Ij1dB+Yn5HlHy3v8+/f9k/91vnYnruCv33barJKsPM6amGJuohJgGZ4cl/k33RGf5kR
/Ok7z5/72/XV2Oy6MmGcV4iK00ziXe9vMxmHov4zFM5+KzGU30g9KONm23MetmN0TIxj+a3r7q9Z
y5/uYO7x/XYH6JLnOuuPb0gPZYJdL48pXJDSBUW29XoLxgXmkvnVgH1CCMu55pxKZU6YbN8UO2Cu
A4oKpiz+oM8/P/CLlmUACSyMGYrvAmEl9XdT+E1vkZOVL/SnL3rRtDT0DO4GZ9UO4v2ixFqXThyc
xDWwiDOFM8SQbEfyg4NHYmdM/LPwrUzQp5cccarPOafJFKhOCUGNc8BVoUkPcBaSjNL3piueFF9d
anq7VCd1GxSdGwhPKujwXDGvrPyxLzp79EM3Te/LybD7GCZcsanrvTfeZ03pIGpkwYaVmqsqiuwU
QZGKJnPpXSvm1iSSEs/sQt/D+ivLh1hsaa2ha4OH0ACZjMhe55CB4sk2iidkQhIPJtu26QAMiQ4I
kDY1SByhyAvNQ0CQHGAbDXk6dxFsT6gXs8JA2RZkFC9xQKIYA9JFPCNpYIUG5qHRh42gguafVTpc
M9lboguBVZ2gKpbHIN/Uo2drtAdlehCDkq4j9LdiSoK8gUgvbdQiXqDjBj81H++iJneqNtgYlonA
1pOhkLKHm7jcFrTXcFgK/Zdp+Mxyf1dA8ikDsNMwGFFnkZWV1u8tVKpz7AwYj+2nKTxWYchJTM7O
idpLEXsldfwB9ncPldFfeUtfkxCZMnjV0F6Hp0iVD1n+qeTlOjFHJ2lnZv+2CG7DanqKexIfHc6g
LrmUm3YRctpA0auz2y4+yPEBkCiaTl60tMZXJZXcUYxORvNhBW+qHDhFj2ZcatD0iKiz4kUli/aQ
rYXi1BiFMynFZ19n60aYqNeeDHUHiByqa7NPFcVFy4QiXrURU1p0eno9QSTv4RpV3bDsc4/mUbKH
7PbLWNwPkicTUEGQ5FjlPsY0h9uZWol+ojFFtJCMXSodg+nQkDlWo3+nCQ9jVO2s7MMIYNRqqTMo
pTvCKWh766gGyrbxlddQofsAaMMSP4ROgXeMm1atoVZb4K/+EMHZQlSsLZYW2hpZql5HhvjNDORP
g5y55rs4U8o46lgyXk/G0dExPA9+4Agm8JEAZtz0Hbrhi1huzp/+W6RDpDWTERDqd018l+IurNV7
C0rr3w+KP41E5q9wcVBYU0aBQha1y8V15OOTN4zf1Y5/jlvmxRFh+FKo0tXtd0N9aLszJ8A3F/7T
ZGu+5YvIr1tK3mcGXfIWaYjOmxAEQzsOj+NM/O54+9OgYf6Ii2iuGVlSx5PGi4XFUcQN1oE6rbJt
hFxJGN0F4mrMTOJMaFuqaf/9TXz1mi/ifDbhgzLOX6sKXhRjzgrh80H///vVv3poFyMqMw6CdGp5
z74mYkC+G+QG8inac/373z/gF5LnD+fUpWBu5DWgaDWFE1Af50i9CavwGBfqq+TToMeRNySyNtKb
0Q2Utskx9R7NinJkNsCDbIfCktMWiIb54zouqGbF/NXS000D15LB3bLqJDeKkl1GJv3NHX/xlq2L
ZyLqoy96xcCYEXahHjBS0PN9n5zj4KkvHv2hQWHNf5qQ41IR/LBi9HwMATmzZiH0ILoKaJ01RCQz
FxknvWTCW4T2+9/vbV7Lf3iY1sWkq/YiCVE5kz4imEMOkZHe4N+v/FVH51J/uKQGllqVldBk0XWq
jasy9V2r6TeyPq5yKGmCVCzqPHHQq0fhByWOLL+3IAdJNLT9bG1GvR3pz1IEijJXtkyaFl4AHjWy
c+PVj4jc8bmcRUpoaUoSaQZWoCLs4B4dKL9GSktEzs2L17XZuErwFHsvsVa4cOPWxRjf5+OwjoEa
J+G1wiA/w121tZ49T7Vra5WFyD5Mw6s6qCfMoukQKN88lS+2x6V08hhbgV+ixL+TkpwGSGIP6ATj
8cYU91/Y9f/8N/ut+r//i3+/5cVYhX7QXPzzvw/hW5XX+WfzX/Of/b9f+/c/+u/jSwfpPb/8nX/7
E678r092XpqXf/sHnLKwGW/aj2o8wUVPml+X9z/y+Tf/f3/4fz5+XeV2LD7++Y+3vM2a+WpoZ2b/
+NePNu9wNlSi1X/+fv1//fD4kvJ3+/D1owpf/tdffLzUzT//IRj/oeiGoTElUDWTeD6jzvuPXz+S
pP9QLVkxRT5BliRrltvN8qoJ/vkP8z80ldDMX4E/NRTzf9g7rx27lSzb/kqh33lAF4av22cqU2ll
XwhZem+DX38HU6eqlFunlDgFXOBeoNGFBqrVEjdNRCwz15irALKrhvWP/D88IQDWO7YthPAdqpb/
/G23P1bXjxfCs/jzv/+jHIrbKil7BlC8p4mXf69CoaStAv69QPi+w089n1fRJvcHp18YbfNUdVCW
hCmQ5ZrSbdgkMxQGJv2rjTuVI9YQKsS2skldGC4iqAXBQNNLwGOAegoZhsUhHBYbJG0ZUQedlpCi
YbbUyJfVktlXZRRTjJCVGu7J/RnONmUHxSHAwMeCx5e0UDSrJD50dSJx0rOyilF1PbawUCNtfZvD
UAXbeoiKV1XcVkSg+TJd2tMwQ8lqFMHdkDsWA/ndiKds4VoBdhyu9y73eutd0TcxoNY6Sh91mBff
ZFmpC22VNPEKy94XU52emEtlWDbAN4e56h6coamRZ7V2XT5OSQ3WQTt6+tBnOTO8GSVxeDkIzDdV
qMaPUeJDkPNnkw3HMGGiD95RyeRqTZH/e9h545tZWUK8qprJPwxTa5YN0Guy5aRyuxZQFpkIVhKd
flBdxVYQl/NabCi89t5ktvep7AJyk0CmWJEZU33KZpeYlbFN66qcTD2sc9XuuzkfkvKYdLmutiZx
aDt6KsKsYEi98VXUtLrZ9YM7fEjdaHqVNW1Jtu7EesH7XdWYdtSkTlWxTMN2UUOKUENNeltT8fdS
Md2HS68pear+Q+MwXbBNgQshyNZ09vC17zXowAQ9OZV9JMQiw4avCRLlbYUJ4CT4Jm9vpLfE6FNS
r3/lMar9Xrllm+9E3ivQutzcQ08lyyAc8op4M4DTpC0X50zMu37dzbtx6uabnH9CcsB3/jc5B59K
46VMimcpjtJKigkeTZnLG3oHdJBCp+0eZx0sX0ekX3fhoP3hWFQiKF4lUd1DG544IaSOmq1XtyiC
/QKD8PtQJOW3sjPV19jqp/BilAA96nCMi10vTXpD/ThiqNO4bQwWxZ/pbGITfQrLJ/1DF8prb6mH
8sLUVutSXYqktzGTMO+ChHn4ja4TUzLeXJTvjI5catGN5fYHN3ajNx20mPYQOQCSi37W1aEWMzMq
9WyZDw7QZRKVKCPiyOy2xuOlSkAOFxXv2y6d6kYUIYldVDZFt2coQX80dmcHW77zbNpnQkiAGc6I
zUqZqNYlh3OYih4bAGQMnGd5fFDLVF6W09ot0yn/MHRTDHPAWcmUkePAAfWRuGPMqZ0CtdjYgwK/
2GQd5r12ocLH2bOL746dukBL1NqMwDnLet/3mApuJ/JbAIjd2tDqB+FWB2NNwfvKzQof8VA5IFB3
JofvsOnuq9Y4120ZqA/M61FQLoMgpKmWYVd+oBk1f28jKAG7YsmXfiPcwrrtGps5wdDJB4rDkQBp
UoLcg+BaOZI6jrPA0uot6xPaSHK6xu0n/jnsvraLyOW1bvRMhZSP+aBCtdBxtw1W6ybOldjQx6Em
MS3FrvVlVR+saakeAyMpHRq/q7tLrwXyLLs2vEm1RvdQNGFotkEAk5YJoCj+pEOXLWgD8qIjmtdo
N3bScRQt7DFLuvuxzzDZ7CtdD7d97PqvG8NmfadlBoMgaCmKbxWbi96Pfhce+sWnB5OBlqX4Fedp
uW10174viqi9lN1kWEAV/BszNPZrmnIteFQrFuVmYRT6cwgnD75IAIw2HPgGeHXVRKl4Fqw4Odlf
9GgstSdZCpr7xHUzMLaxvbzN89F+X6Q5O+wYDkH10MA/oxuXllmd3kxT75mbwupzppVxxUjomCg4
uX2qnAXSzwKsYmYk5qYNLQVwywMjCao70mVy51lVBFnPoHHYLZ1KwfJ2Y8rYvgjxz5u7tr6uu1Lq
bcRKQ3/As9pZfSqqS0Xn4W1tYvzDo4YW18GzvI4nUzV6QA849g4AhaV14GMJq7B2RadCw0z/DLpP
RdPgH6qW6edOmT67qIOMxngQ23dhbhL7VZnMpbOLu6RlxYbafTQpVYBTyuZ1bUwXLbfloqf2GFRj
dozmiDZVuvr3sBCyFiB4lc33cp6h85U2xrTrnj6FmolW6c43wFVCaGhqToJxO3RlfSNwPZ8OSNOY
qxl01t1avMh8K0f2NVOnabiLk24Auu5U4+kpYvm/ELbd1N/Kh7799q2//lT/fxC8uatg9j8Hbw/f
zJf4W55/636O357+0o/4Tcg/0NNpbfvSxWLCXxPyH+Gbz5/YnosMyXMC7RLC/St6s7w/lENIZduu
IxxfB2se+Wf4Zjk2f89XGPvBohYYzzl/J357nlBr19HCdhztEGO6vq2cNeb/qX5Cwti6AG2YE8t9
62AqTvwonChbmzl4IXd/nq79eSkOUBW4/Eeu0eqzS/lTUfiuZqAtNPFOWQE4QUUD5Kfn/xcB6a9X
ge6oPIBAXEZp5yw5bKrGjEmDzj7VXsGZBF+7tCL9t1LP9V6U0PzjQSCEy1tYfU9+emyDzT2EOUJW
nhOjTKGHqqyn0Pn7ezmr3z9dRkmptC0CH+/lp7L3T5fxbVdMVKOBainztRmumpLicOkTjkGjdEkZ
F3VZAwOoTH4lUAEMwB9EhFrIphVJextrVbe2r9USP/z+lz0v6q0/LCBzcHzbd2B80R56fv99jEBW
2zTc08IJt01fPFSRIHXV8bTjS0JxsA4T/v6aTx/IvzONHxd1AxU4ATmNdM/5DSPbH9a0EHeDMgWo
yrl80dtutzWz6o5CF/Vukg0+EFkKmzMY7S1knNdlLOej9OCsxBLkTyQi/UJ18GmC6ux3CeWRo7lk
VqzXs0+unVzktF2J63JpGZrHgTn4rYN6UqVDJSH1jdSQg8yx7ssivB1ieunYScp3OrXMlvHw6QqZ
BYYYilnOUKvoGxRj5utyLyIuHkA3fxwWYb3SvrvQwR5nxMbhCJnPSpAUM9RUbFt64X+PnPD0tAUL
iJ3J9l2PbPH5K56k6gmWAboZBVXf85L82ESIgn//Up/XFP68inZdadsO0c75QNKSeUaKBJS6Jexl
n1cSnGdUyF1dec3WzVL1wib0634XCD7MdfnyP8H5CJjvJ8BgiVRwes5p2TQjDjQ0jJAQT3/Phe/H
rWnP9qTHts9m4T1/gG1O3lU3DjJoCS/Rtx1UDCk4/d8/wKcBzbOvT+ICwoKgRGD756QLh2gsZoaY
2WE/KF8nk01sAAVwnyWQp/ta2QfbSbzDMCiaP/CJbyifuYdFgqafrkcYb6OaLursgbSB+pPpi9u4
CAAIIh89NW76UXuAeqqIqNl3wmXv4q/wSpSo9HNyws0YNTVddC0vNOH1C/sfR+1PBb6nJyjleix5
pEc29/b8CdojpL8hnhlDRhYF0hAGnLvgYK6CHOash5uL5Q/XWdb9PZTEnxemMSyF7Xmufz6n7rae
7LBTiOlAefEpaFBcWwPDwr9/dX+xia6lHVdIX0jHO5+8Z0Y4b0s3jGHsurCcYYAdl9kLIfihB2bY
LT6EbGgvXPSvnqki6KAwJBzHfmLN/HSk1KK3aU5bEFdj9AvLnGZXVqCzh3x0mxMJbPJu8NANakzh
/9ZgydND5VwmxFDKYTmcWwpmrJFlMkmyNYNBsVcih+pUM7ywHv5igQcci/rpkCCIOjuZNKO/gads
NmNhK0xB3PmkGihNdQrz/vfv7yk4+nnpEb85fCKB8ny+Ef008vLTs3RNTADSA2jLWudjTR4LPX8n
LWZnptZFloqDdKT67gD5N7k1bfkYF/DOldQu1VqdH+vGGxhMgBJeaRhWv/916+L49ccpgINeQGHO
Xb++n35cEPqN9hx+3DKI+G7CFOca9KL9wn7qvnSZ9Xv76TKVlMDg+lWXHgdm75iBmdIRv1hrMcvn
zA7ji06E3ZVdjeaxySkYVwOtymSIh7tkZlqhb8MvM5IB5N2+d8FI6nCwTPGBI0PvlZ4iaMspYiOV
FntvypJDkRaQ84bg2++f1llnhn+OUMZhnbFXSxnIc6EKGzPlpWaBDaz1XgdJ83WWOfRQ6ST2LlHD
5z6kwk7UlaHpqdYMdOocZJODIc6qSaI/1L0VOVufxUs1yYERmGXMdJNJe85DDoTW3phqJeXDs/Rn
jCeokWwdf6RWF40JMmyXzHwjhmiMtnA4X2oIPh03z78H34UVEqzRGnu2WhfOTy+qWcJiUp2hFjE4
mDAk1fSB28qh0sXBJVFHtSOPgU8c2ECgbT3dJ+BXmRWR+3CFr3XCf2EnOj/61yzGFbYb+GzyRE9n
52PnIvtn0E8R81Tz21x43y1mRPBLWSio+Uz8/P4NO887WU9vWPncuW9r7UlO5ecPoOgzH202AxHT
NDOk4FxlUtL7xqhwOwxFe0ShgskntbctZc5sX61FJS+YX1iWT3Pbz98DS4JNn/iV3fcXhoBBLLlm
FFhTuUWNQVMWPfYDgwSE28PVEJfLbnYWce3mXfXKWnocrYIGkyxKdPt67goUv6nzqcYL5Vij479M
2gYhleUHqBlGqrPC/+a5wQvCnfNNlTTUDjwf3je1Bds7d7B3ROXVSwj3QbZGHrAM+ZJHSCiyEoDg
79/SX15J+JrE1hakPWeJVd80dTs2k8VsVfmdYdiRGnK7bCmqvDTGe376ck9yTRWZgHV95Z9zEUzt
G0e0QbRNGkecPl7MgUSMjBPIbk7ozP3+tn751h3FEI/m81sjaTs4W3xwMYcmmCoimQ5Yoh+P8TaA
Hlkh/aNR/sLFfr0zSoTKobejeV/OOTshqJtZZxObVSiX0INgW7V78KbNxs5FyxhLDicnztIXToKn
zPrZh82CZkmTDyuPVPUcjzT7i933VklbsGSWyR4ex2K+rkZ/k7Z4KCXTZab8YxpPV8R1LyyqX74a
lpPrcchxx3w68ixXyY0YTDAtVOzi0dt7IaTFtKPSjGLgpTf5y8PlUpLAUPhcktLJWV88DRHrK5co
Jo9Kdze2QYYQAbhTSX9nl8EKYuig6V+KNNao5fmzVT5LkAfsEtz455LF0W0LEQ6MHSUkZcdmyNNd
6mA22ExTdKwyF3BQsFWpV9/UUe9fNW3Y3zgRStw2yt78/lP+dR91+S2u5O6pFynvfOHoZGyWmXdI
OXa2dq7qKFAGDfoFOUwMIIQK0mg42owqHgqcnegrzDSmhhfoOr+eZ9oTAdsRXUfFZ37upG5Pvm93
eVFvLaLrW7aS+hqaUXVoSbd2XhB9zUS72vmgs3TT2bmRYd0d+4kBZCoH4stceMenB/O/RdD/cVd9
xH8ugr791CdfPpX/4OMzz8qg61/7UQZ13D9oX9OSpi7nc+xLNsgfZdD1TzjuCE1oHq1J7L+qoL7z
R2BzYgeKGpjjUCr9VxH06Y/WLJ5Q5s/29t/oYT8VaP69uhQnAfPLVASI5r21n30WGfS1RTtzRt8Y
2DHg3bvEvwv7T+Fq6dCDFDwZ+6jmByw1AYfeHIoaT8Ub14v2YezuBPV6q6gPXoTzAxxpzcxz89ar
3wrzJp7e2ADAm9sBNWh6DJC7pxSjwq3Rd7L6otXraL5S4b1wHv7+p/hYFfznvMT+TFHxH5UW6zf/
L+HF/xsqCnfdAP7zN/iQfGvbT/+4+latSJkfuoxVfPH01/6UUqyVc0XtOfBpMxLqr7nMP6UU3h/e
urUGkgAZQcX6CfwppQj+4KslIfDXGv1a9/3XVyj/YNRlFWVQmVUBgaX47yvxWNwGmshASIr67Guc
4M/D09b0VAcXfTHkgfMJ/n+F+WY/9J8dHzHuT4/mxRr506VoH3h87xT9pfDW4/SnVKBznLRpmvmi
FT5UfU3yZYtevxCF8DB/OrL+eRGWupI8Ifsc5OHWboMEYr6oHfZj4Sb41qb4Zvz+TtZf+u+V++dF
VvmJ56MApMHy/E5mikBLU2DmEOj+q8QL8FS53nQ3+7jk/f5K57dDMKrWiIozX5IqnofAsrSnOMRc
MaWsWG2sKMeBoc6Y5fxvLqPRWji2tslTnt9QL5mRU1F9kYS99zjEbbi17bI//f4i6z/y81Pjefke
qSARLREboenzi6TBMsxm8k+iwNtmoPE6QsjDCWCX8atAxNTNC2SbXx+eRKnk0t4n+dXyqYb50wfn
dkHbwhE/SRkWuIZRhbDq9qU6/F/dFUubQHutqaFxen5Xqq+muMO5ekx8JrnxGcEqgWk/37JX5iDy
97//ENkubA4h5VNnOltEeRkK24TOKdO2d01V2dkmcd2+xroqPUiZlfe/v9xZoYWPj+lsHuKauLIL
cSI+v71FdnJg3PWEFSe2RkgVPtfDEqVbMXfrfGNdorhkJj+7neUoo50btgEn0jy0b+xIR8vO+AKw
Z1Tm6kNdwPLbedGcEMSZOMTDERECxc5p+dAVSD/WgkZ3GhhPxxo+T4R1186uy7W7DpeX39/Y+RKm
DMeOR5mVKgAkHJtt/ufNCGEHIBS4wbHpxFEFU3tduNo/GS9MXshif/1AFLsdezxKbl7a+TEfSt3a
Oc50ZdTbe8uL1HZozfjNVJVApr/UL6pI+eXPlxnXU6T4zJdRhTv/6vPGOF2N9SlSGXAR02iY+MOy
Nbfn7PH3z/DX9cWVaAHQhCKOEecO9HPapTIampNclmXblZW1y8vkJQz5X1xk3cY5ATk2OBTOXhQm
SCiXQuZsEaIdfUWxJJkK5/D7O/mLr4GyNBVQydgcfY2zrcn1EssZVHEa+woPshmtcxqhvE8b0bz6
L67EBeh/03tCU/P8uxMRynZrrk6pbpOrFGHPoaqYvYNb470wAfFXD861Jak4aaP3y7xZY2w8gq3i
ZFyLlm2RjbQy4pdgp3/14NZgWFDSCKiun91OIjLUTCo7TSVAhEnI7hgz53yRlIN/+/sH95e3Q3yy
1u7W8HxdZj9t5ujdTANu/GQFCZroyUvQNDGL9PuLrO/5bO1wJ5RjaeOz3O2z70DaS+V7fXqqVPBJ
1LnBBWCAi1K48r50R/PVqef6439xSWpyRBGYV6KZfX5fMWah7mRSFNaAb9MIQxp7cgpInIYMwPQg
Ai2reAkuTnHklzslIKUeSVDKsfVLtUapoY98tP6ddGhNMy5pf0HACcekY7FNuzAb3U3aGya9glV4
5dlt+jl4UmMZr+rQ5hNWvq6f5FpTxhxfKKv2Us6yfU8dFGWXZgvCHZjfn26mVfw15s6isXbqArPN
2gB9WFMLre66VTYmEIUNt+lYjTjC5mXW3cuk1Pi3NVQDdvnSQrAI/pSiZWP8SVCGsO/dxKeVDc4J
5Zps3BCnYuRsiQia7jJ8Urmh2qoerdnCeHp0O5sOAEOs9tK7qOhl6JutmewISfvU4+HR8Ei2yimm
S89dFN48GseDfVfgfuYE2ZxcjHmnX1dOil+HZ8J0Uzije1HOWfi98ZF1HuesN+/zwSd9S3PGMflR
KW31Mi0RJgzI5guRqOwQRc6Y7ZLYxnyq6iuHNkM4wlIu50HuomLGyodiGhZKddMyFYv6uOO1qEw7
qMUMW3mTjgbp26LhsOS+YvQ4VSCIaOeIKd6vKsD3o82w2S7rxuI7riTZ65ZNLd+GXh8+NI0J7W2E
kefBmAgvB6ucna8+DQDGYTs5frAjp172qL/n6y7v/RQNY2m+WqZuHWbSujTFTagI6WCnefOqN46d
8RirUGzCpuzlKTJDVSJH6BkwKHF/yndoScz94MvhQzBl/eeQZdbtKh+3uU2ztONjilv3fVyH9IYd
+p2ud0L2T/u3dycnHlHnCoyPVZqkJ9MV2R0qwsq7RtdoMSHiONWx1XPubBcULce2ZhTcqvLwpA0n
HzWx2j40YpITikXsnICKK8g/rLh7qpgRTsh9yciazrK3RujlYx4VzrWe5+gdCnaG1CG7ZStghaEM
UvSyeIxkDxRILA2OgkZXA97xETNHg+lJamrVWsXBTalH8Fn23WcTRkzGzbGDsNBLZfKJME187frE
4HIURgb6WF3hdoMNHQu9EC29GGea8++oDNncujx31S7ti5hBxqhyLmhxhcmb2up42otgnBZUUZ8l
Oz9v0wcxFR5WwqSVABt6ZPEYpBqQ75E9AYfRcWTRFkLvcB0pN0cPXxjSJDS3M3P9zgyL2m+tI1FR
ZO2GMbbeeqqAvxwOON4xT9/kLkPlvVkO2grrj/EYJCwnezDHmJ2tA52Fz9xG54ntYHfqwA+LtWzf
SaepqpOcqzZE7ZDrt3lTzNC/cXP0D4EPhn8vxyx4a2DO1juvSVzm/iPbr7cCwXC/i728eINgqyk2
feAgkkzV4M/YvsbFFyxhk4c8QZu6NxO76+taqYI+vSz877mpSpgmKBT530Xdmo0XioZuE+8CIk6h
1wa4l6FtTUQZfpFdEklUs6B7NnZfwaSqZUd7PHfzFCSJjGFs+JU7M0/k9fOhTtTI7IFxDUZpYYSE
ocGpZHo7j7UvAvjiYyW8bT72achYroda30SxC5mJym5MwbDrf+TW/1sF/B9Csp8O1HVO5tkcy8dP
xefnYyxPf+FH7cVD0chxQwkQwDANl5Wk/6P04rp/rFoE5HpUtxWlFMKJPysvlqZe4wcef87/A1Hn
Khn4lwxS/0HCTz5qu05AlUHIv1N8oWyzNqp/ijgk5WRq+oiiqSivQzNn6WNfG2tATsJHOtCWoq6X
jvFl4BZA9NwuKXPmCJgJZHxWWvZXl6HW6n0xD9iQTYkTTdYumdT0dfZS0x9TXUbNZVDY9uyAlkn0
N0EYlvDV4QsVv+4xQUBA3mahfpMEoQZOn0U0Gpc0lc5Hl90uZ/bM6tuDk7J8tzoxNis586KLgP7K
uAnDJS6vo4Qp6p3PhPiA/d/03keubg5Q2I0+6CgvGmxzi6yA/+GmTjtuyn72ONZqGryv3Bwjq13t
oPACrxEZq7njQCkR4ScWUc7ebiTBCCypQZ5UrErIdYstNo7XRB+rBTRa5crgOunH+BFSw4gbjt09
zK3u2UaT+X3T5fUlfu2aH9bhD9gtNX701Qe/hiRXDOXXXOUYJRlolRMPd9MbrAEHSzWflL0+YvbG
izAo8lPSoI8Wc5Ve2/Zwg+Ct5G0MZqMKCv9OgC1pFs8+xnXTAIg2K9kHvQ+mJ/cJa1u/KtFr37qF
He5T3/5cynzYhSB/Tlg2IbyPvXeBWsZXJCLjZezb5fd4Fv1l2AAlKxmjf1svWB3bRuc7ILr5LhVZ
d6p7WugpaG7wJ7nf19ROckBa/U3nmsgl3ArMgilgNHZT9kYMrTOjqm1dh8ECsxTtXZQkIqTz7mTt
qyHIpvCyc0BdGVAqzklbheb+zaIiGiclYHhr3DqhQNK99dpovMH4nDA0jRi6lO50arOiyV8LU90C
RAzB88ihDvelzNrtWA2ZvxFQGF2sOn2BkRojC/INLmTEMHP/SPcbWXpqs81qUFyz5RvYee2y5wjE
0Kht9mUw0ltOI5+/4Zf+aO11O+rgnnGdXB6kFQzXXWpxqobuRCxQlmpr8ET3HuK4dfVmEMP4AYAJ
ybxX97gzLwxOpNcIq6rkkreeqSsnV59jO7Z9gADhkF2K2sb5evLaj13OdwPETKhDRKQVHfNIu/Up
LJb6lOvyzl3wumvjuv+2iF5cZOSSbzN/6VDQG+e2FKvzBXF74Mm6Ri/qFK8KbWkAfy25OO3sstnl
U2IOQ2QxUrZ49Cy/dKj5ko2XxR1uf3PITKfCvNwa1YJNam7abGfmTAYXaH9r91bGtcac2nFB+7ly
ufJxt/Dc+nUzLPnRT/tvXoeH6EiND2+2xnuH2amq3nfUK6tXdYeyEaSQnV2iGIVIGzUpNB+Us/W0
U8aHD4ZJJClvrpgJQX6SI5YKezGlX8Y8y4ItYzOvraqycAudRgZhNsMwlVu/HGOgPML/CJ05RrVn
1BfGwy6ysauv2KUcBUqn453GupFMwkVN0l3Q+hfv/Lm49LnP8jDBePg8GmwBh800tgleD8abv7Ih
1AqHKZXrHepCMALQu7U8ECUn69fOGNTeWrwRDA/amZRvolt28VTG7ecxH6EVhV5pNftxDIFjBdaS
iQ0zbqLCblKHwclqxjjdty2OzWM9kCVTurzqS8e5YwXPe2GK6pqSznCsowReXJQvH4zfGph4csJK
dmRO0Pair36KlmrwBsBgjW9fxNbqlDaCCTZ2fmNVLUgnjy6gmzFSYob8W1krhvvZ+WGfWuqVTlcv
X4Rxl36TWF/0kAh2z6hKNp2QjX3h+Kh9Dq2z+PjCN504qGD4lkVZsHOyxHxs+vIdXgDikKD7ucwJ
tw5Nhy2qg2rbLBX3nQkccT3xdZqt5HrswT0wLdXs+TT8d5Pd9pvSJMulTOIWIOw4Q43A6ZR5OH+E
UCwVdfRw6E55aX8Lkiq+Z9MNrwK91EBFZgfUELsI4hWbOpos5IUoKsYva7l8TPuoOli2Wj5SsEKn
loZhepXmZX5B7zS7061fXmK7d0OG+n1uCmb6FQMrl1KH1RVTR8vlNA/9gczCvSfZGd43spqObLf6
IsnG6FKPdfjGm/NoL9gQmeKL/emCwbDpJuGcafc4sRpvW+LgnY0i+OCZMtgHdARuxyZN74zfHH3N
7KdyGu8050l5yuzGuqotTMPqGJ9Zb5I8RBh7Hb9Eyat57F8lCcgcNXWPJfIkQbwaoPT3F/Fdx/O9
YMe8SGt7PLbEfbGBiRGOPAsC4Kp2P9UOyivZ3VoFE2OCQxNbX/vBbct9WKZ35H2vIpDEis72YQkM
c+aJtxzSmqnn2OtPaTs0B2H6aFPmc7+1E3HoMWfZDLy2Q+ube9cshJmZpC7SDNsYTKvvLN2e5++/
DfyJf2rqazI1PzjGiYqu51DbB45+dos4D8ndi55JJSv67DvDcElJzz0Kk2U7lLrVtZM7J1UVYlsE
qMpzYb6QL053QIEv2iR+bDHBJNlzb0QdYSRfTY8DLrY5x7qcDBnscgy94Xs1Vnh71hvma4dN733s
AOtFaXzZVdCPETHSptSYwMbvombajYN9k7QOwDbm13upIXwm0XWa0y/Fffc+xsgZid4lU6Dp3m6B
7HhD9RZHqVMMJE90Fhwt0aSXUmWvUuhbF3NWu3hcdaU5QvJ7kya1s9GVKQ5ogm7lpLmX+RBUHqMM
VKkbfhtZPsKndB7lTvRmMpvFiHhPjSRjX/Lt+zgLg8cswLF7GRMSf6uJ3moMZK2t53fkSTDPgBuV
Y+p3u3pWrXcI6gTw7ZKMFiy9nNRm23Yy/+R6y01dMnEv42LeebL1cNMDW95TaSeHTtv4iztF+UXT
O5XdXzuZB7RnGGoIiF7OkGNhIO8FjsNmndmvYiR37zTAs11ggxY27VIMG/LVIpGwjJkCdEzhXWgS
Vo70objpyMEYN/Tr4dINquUD4mD7IFoT5Ls26dTBrwLrDsouNJrOmeCZ+X1ayCNtpPkT9gEaitbk
WkSTCwpvpmtN2UTwTRMP4113VO8w0WjADvQjJnzJ2EW3ttv3N0vnylOPpTM8MQF9u4HqH20m0+B8
CvMovZgCn/+znyuYQJ6zQLk0/us6JlsdMy/bL6sL5RhlwIwHXrpbQCqMKBXvujD39/2UoASh4H7t
xj5ZXJG2u8kfh7fMm+d3k8nu2tq1brIICqTx+HYXQv7j6NaAJ7BXu0bZc59Y84eGgP5OE4dv/Sq7
IQ6cr3yGTvEdjzKxm/O+POR18RB1KR80hc+tBuNqS6CzFGSvIAnGxxnyDEwlpuPKSUU3RC2Mfavy
9dTZE77Dpt9WcF7sxOPph8s34KOfcuXEl7EaI5Lq5GRa66KTGBcLnTY70WUB8r0FXjwzRyA2VzjS
NE/lI691/FDEQ3dlRcEXdFHNYWzq7FR14h0Vg/Y1eZB3MQ1rH1GWD47NhwrdxACKqCno+RW7Kw2y
PodO5SfFnlUbX2lyZpDAgjHzfB6927bJl4dJLBm+x563M66+zh0jjhKJ50G7xbRvvBSKHcba74Kh
i+791Kl3Y50EoEaN2Aejxbka9F+nwbtLqrl+X9igHVRhf/R6hwH2yS7uwhAutFPMEY7NiAorvdjv
Rdwf46gi7JNN9T5ZsGKPGMO8hwz9YCdl8b5Phq9Q/C9ynaJya1Pzwe7GQ8oQzImijv+5yrrqUlj1
cN9DP9+XpO2f616pz5UnhpsW9OabIGs7vXFCqId1FIqHcmJ1RbLqHwYbSL81zwk8xTEYvgtjmQOj
meMxc2yMx3rFceZ2Kx65UR+Nmww3eYMILJL2hG43aSxI6fkj3t3kVXmFqmOEppsM7tGufedLDnR3
y4gDnC+Mgj52uA3sK6OdfTYP6c1YMwrduX5xA2bK/oC/qHuwZd5iBV++G73ZOc7eCNZQV9TFY7VB
22v2aS7bi8EPBopSLh5X4RICA1mWy9xW1XHpIHg3Y4I/vT24jPPmAdDIOXTGY90PxV0wAGNv9cCM
RVu0SMrt5TaTaAMMILJLK7GyN0sW01GIpDiyRqneZd2lsf8Pe2ey3TaTbtl3qTnuQt9MSYI91UuW
PMGSJRs9EOgCgXj62vS9qyptZ/1eOa9Jzv6kTALRnO+cfTyqWkRyny0g6FomARsFnmcFF8QDVnvl
Tkod0zLakSAt42IqxGveoxeNfftEALs7KSe9kMPB4+lPoOC4a+4dxLnb1iCyLHoB+NhJkeaHjFct
nN5CV1ECZ6X+CdCi/WgNTnZ22TXWJZPojZ+nfdwmy3PSRhCUq3lPW43zUHA62qaGCYrdAhPpN8g3
ikxERkwL1XFpAItLWWS0ME/WQHymWdytBeCE6eDUfhbYT2FsWfldW3fZA9d0bpcgHoYbv+w+CggH
a7gFoA08JLdT1xrRuQGnf8w7iga4vdQUi7hcNxZDsHhQnJ3LRZ4Mb87Pk9U9SOYTawxjXHtSDxnA
qL0b0KvphVw7XCXuV2yNxHsw2rerxYFK31EZQHADkGxuY/svSuE9NNejD4y9duXa4sMMYAE4HQTk
EtdFl5gWpLfZDw7zzHZqi87cOv3wUiicEn6WAsceZ8HdW7T7pXJz9qCcXKan3O9d2rwWZmY/66yf
gMO7E0zSRX3j9/KOxvjzopy/Dlz6X3mcD0mb5oDECOgXtevvDCkFnF8NQ8gVRQXCrqyJaUdLijXa
SIpN1UdkKByTsLmXqSqGy+8cXfyNnKBT+rH94pzKMNwlXnJxbSYAdoE53qQofMrC5xbutmW2EZHo
8OJcEWOqI4E+lyXfVBPdRwkNfNZE+kh3+Ts6Sc2GX407fyndkyWz/dQUmqGfPoBV/kqTPOC3bhyG
W2lGL0aFwq6tLLhdOMGekigRC+z+sJqrj8xu0n3mjdMlHAJ/byMWfEWGn4GnGu1G1XpnLNFJTL14
NPwi/yavG/PoqHgyiEAN6XKu/ECcUU2ZDrhB/dQF5RPC0fAyTNF8C+LV2CyTdD65GryHwmAI0XwA
IWneZzX0ZyJfbbVyihkfSiqoQDevDQIG3gMGGTS7CxHDRzG+ZGaf7wKGoO+F5XuvanbNnWF350pm
IAHNKw/P1g45gMQBXDdKwCON+9VpUREmd3z1XfXJIwIJeHLaWzHYxk4lMzRiuiMDF2Na67TF1hsr
94ebuPOTj6iziqBtkD2AwtIuaY/KlSBI56WCXed8yLrqFJz/AbNkZ3qbxpL1s5LlyLqdgd8fxHjg
tuZv2HONjZggFQthe2uXmdWxQkWJjWhp1xEgjq1fe9babDFse26HOu4CNxOR1T13En3EUGQsqmYG
fOy6QPpKm8uv+UOrINtGlpnCg+Z9uMZ1hkex6M8isftVuIQuwD6zvzRGzTYZIkKrlixdb2C4DRxn
2LVm128YNaiTrSNzl3b6hjHzeV4CEBmcuxa3HhiTCaBZVe+eqxDAfttgpsDjlwRfm5y7bySyHwr9
Gxhp0G0G6YPDLJSIgyQKzi3/OIZpS0wV9kuVYQ6cep2tRK3pupiIFRBjrHcQn9R7NVrqZujaau+1
Vr3pav066U5vnWUKzrkumCK2tvvdSBNjbdaGe19NUAAJ8VEumo71pc0G7BncfI/wh+zHvDHb7WCb
I2rC9UrnaAIMU8h1sAMPsusI+nGlZo2HZhDELqO8TszZpu0p0GGSz+A50d2hw4x7sJDu131u/zAG
HXJ7KB4Hu9SravZAcTC4WwVwY+4leaZNNyY/bFlEFEM6/r62KeSwLcqnu75L4zrq73y7AAyzwEOc
/dxjDxzq48zR6QYvlj2vlqGwqdZB6TjMCI0bOgu4LM0jARjpeOtBNdO94ZfttqqjBrmuj5BHYSlU
6mqwSuYoga4I31EOSq4Dr3pmg6ZjxlioMUzGYOXi511H+LKutHcwJZ4R22I2T9coyyG1Z4eokHe7
NPVBZGFBM6wSu77NGJAm1JY4rA9c68ewwBgDzzwsw3xfKEQl4iPWzumAxZS2sOIx6Ya49obnNlUv
MHZAfvKbfE2r/htp1VsbrDoMEW9+AVEyXJ+t4WBb+bRDBL9Vuodf5LvfmZ2Wa8jYZTz3frkV16ac
qVroU/ABstrJmJ8Tx2djbYrgrqQoYmpTuRtSNR90qhbcKcuyLd3sXckkcY5c18fkRPwsBXHdDVm7
K2ldkWcbqOdjlzX0ypRTOem7JEWJpwQnoWM4kHbKlgOQ3qdSInHgzpdFNyQIZZHMXrqA1psyScgg
L1FRNK9qKH2uzKaCoy0Y07zOeqDWVSDdfqmsWTzlkqdsxRNV2gdnZN1h3nMNqBcRbaEUyVomxvDB
Gcg6JJWRcpEk0yjBGQsWusGsnEvC3eeFh83271LDsxiZjah09z6kvOVscwaAW9o4Tn1tW1CjfT9K
k3t2QWpOb6wIDskFcJRtHzuri7gtRqOVncTiOTL2rB4aq0QOch4dI69v5pR419GdeY1Avvq1Ote+
OTkrbST2LYyR5Yf0fcZmszS7ZqOGEc0zR1WGiu5F+2DIl73fpE9gAoutXHxOaMTppuC5IhPLdBDZ
LZ2r/qFJvWPnWt9gzmLfrKwxlnU5rEwVfMIS0S88A/Mzqm2x80210G/FhOKLNVDeXhYIHDWdRdtB
aduN7bL2VqIJBdUzg5k26zbXzfVEHl5L0SpZvKik68d7e5gaHoVeBfuobgqqvxPZPOTIRgX08Kaq
H5t+FicTGWhdDoiVQ5/WX0oqAOZVPYvpMgt9U2WwrWyDcNqQYU+pbG3E7JrQtKX8UmE0rrsgee/D
0n2YcsN7EBb4ITtbzsrmdOh3fvPGeJpjxejB+RTcCFgfr4wHSrpg0DZ39ZiJQxkZASInkvkLMavg
4IjQ23ZF3r/aOlt+OEnT7YhWFEwIBR1GXpu8Vjgf4nRU2cqRqXXg2u8dZispfkT9hOMgY7EIGRe0
w3VW3IO89NRsfSrSC6weWnjLe+0vtb2vc1nBUaL10ts7kwummyc/Kl7yfIho+hpbNRzyrLZ6h3xV
1zsnZRdeHvtU/XVUPXU0ELU2Wj4XY79Fum2IzCfNimxiHOWsBatGyYHijTagr6WdQMU9lS5dJChp
Zc6GusRLSRXHshm7Retun2Z1M3AiSoOZ9H83vzMFSuqVzW8DnCfK1rkma60n/UVl7R2C9DFdTGju
mROsAuYJe3rAAY+ZcBCajEqWTDQCLXExj8xTc2BIeciB02vmnd8Qa3JSxGuPhQ4OG0DhKQ0v8BGK
G0YdpOGy4C3t+1s4Re66o/gBppWbbkssCHuzVcZt7030JCNFrmUR4pBnYacJybdkd0iECK9uwdo+
NaYWX3WdBa+pTIJzRx93bGln/pp1YXZUCKN0n4BAesaMj7Zb63abTlG4DzuVHmnTqaftLMZe8Pvk
g6Z9io1eZGmJl41HBqcKwNQ4yEy7WNuNCf83KR8IOn/VaWI9Mg4415ZFkUUmpq2nsvmH7nu1g94l
eCOqcs3pu4mljfm+GsYhgPu/2Gu2TnErPV7dlQ4xZwn0qW0gRwcV3l1ylHuEni96iGBusUKNa8XJ
9s3vhu+UGKWrqh/9s3CoreJpovoVICMyod1eRqXHb1KEtyPu6k0x5eOWw3l0KEzY8SE+UXjMtX2f
tc4NxSzGjmn+LpT5DRysfS/86GT5oJXYioruNgplenGZCRA4jeZ1X0a4P6oUv2krB4Y9I2R8g935
CbjeDTMO9kPu0fddwFNpIv09OG5x8bt8K7V3zJnk9ZbDM29lzVtHTzeSc4DDCnUaNgIAgKhIH6wl
8/cIANl9FRRtHEnX3vnKRrPN+KOjqI0XOyq/CV0chki+NyK9bhrokrAQ5hVCQDKm97Uw1Qfrbf1F
9sHM29glW99cbl0D/nAajGG9NhAHNr1Toh05pjXvJ9F7j44PemRlJnVBgYfl7J1CzZtFl/YTWuz3
2U+fa89k6MV7d/ZwTuzhMOFuDaF4RXV04ydBepcKfsMVHuqAM87UH+CuhYdOMWHC10EXAc70VSLr
BZi1Y9xMltdvLAv3hzLgh2Qu6zMvdGg8gsHrHqUsH/Ka82vSunIbMtZcZVZpbQxh60NKpA7KeN3S
cRJ8aQrHXDEwJJQ0z/WlNmzuf6A9KtsdvuHZ4Lo6pTfB9UvtrZ4y9qwvNmbtLJucg5yojdfex3QD
HouTW9G+ZGUNTDG0MFtY8/tcWHodGhzaN/gjwhXwc0acTlNfUlT+jZv6H00AB5ADsfnUhOwFTikv
vkdliLZqfXDSZMs/EBHaL34KZDeNWaIYN0vsq9n4GrgNBFcWraOSZLStSdd0uwPHfZIuu9ipnKXs
b5aBE1K68gjKnmo0/uRr38vEi3tKNawTPo5iJaXlHo3CGdYJ+TRF8YlzMmd8aKuIbCLldrN/xAlu
58+MO7JiXUbcgfcl3iWaC00z674lgemf7FHX49NPT8L/t2f8rwhLxf87H7P73teQDP81GnP9D/4n
neX9lwkT4cpyDqFR/Ewd/Lc7w/uvEGcFlmkeGdNlFMh/8z/uDI//CGqFH5gO1kVU2ej/mDPcAOMG
EebAIVtCzBZv/H8Qz/rVIBmYlmn7oQXYBHIE4YqrdeRf/aaaShrhECVZg1xKA5qL/AZG4+gmZrHJ
XYVIDJxUfViMcP+Sk/nVEvLzk/lWbAZmeKqJmPzmCGW6VEKNyPL1MNT19W5kmt86n+tinDoC1HI0
+9F4mMKx/D7UU/03HPVvidrr5+OKx5PigLKCBvY7/gkjmxjgJnKvDgI4ypqRq3PlPSMvDip6xvFX
fXfthRyqUWryB6PAgzcOprv7l0fl7r9NMP8Kef3VOP/z72AYCz4A+zxW1d+hOWIWs5YGU/ESr76E
f7qEG69MCuMyOjbfAx4r9ReT8a925p8fSS4PkzHYW0zAv4eJOehX2CMNDJWF9k4mQ/lX15lmDgqM
Tv8SIvrzAXMC2/YIV+D+dQgV/fqADWpW42RS/zdqPAGcZhTVldVIw+VqZPaw61VuiptAD+a3f/5e
/90/EvgBv7MHSB3D+28f3PjBwh2zxPiZ9P6Nr4qkODrKYOc2Upqs/vnT/s0/k/eY98e6hgWi3/kr
YhqdcCmdGlu9751kgakylZa5qdLis+6t6FBev+p//szrV/d/TVU/f0aAXTaeamLZBD9/M1UpbU5+
5XQ1opZnfvOslh+vYL34y8f8+aK6ROdIWOAwxkb2x9Oy5ByuS4p2y6ryTkM9fBbuRNHFta3SkVYJ
UoQi36Kam+YvS8SfPyHedNZOQuf82X7wWyqncQamBUJxOPNYHlYG5hEqfCb9qTmX93/5BX8Wov/6
dfLD8TE41Vh7saP8+sDQvUojqA3vlVFm8RLI2k9p+TKnnYXkMMRK0Li2GbnNlaticnCZYkodQwhe
iiq5tvHMVQ1ErfvLn/Xnd0DGhVXShifEBvI72I8AVNqOCfIfaDNnOXF0W9YNssB8yWGL/GUt+ncf
5nBCZWEg6+X+/mF6Md1MpRVropi9E7b0fOelDnVZgzuLt//06b1ubgDdfkLQiJv/+nX7rHYFD1JL
fcUU7ZB1eXprIVLxl7DDn48vtAbwBUyG+VXN37MbI6ZfxqEpDcRQsi/FYlQ7Pc8edvsOdLbvRemH
aShu4Ykh/4Zt+HNtJ8TPR15jrMBvvN/WoLEZuF5Tg7rOApvdbcqJENiagc0afY92FIbbbD3/8feK
y5LINetR+OdL01lh6jcJXpXM1urO0FX1wsobbv75U/5Y78hphiw+AF9MoBS/V4NMmLcKzb941fSW
cRe6VBkmlFwdy3yipNYNBVMqO/xL1uc3LAErHgsQ2DyfsTKkCCxQvz4zbW9Iw5FqYroYZdEpYVqy
r65G63IAp7w3Kr2kOwmEY46bduKBWio//WRuSo2cKfX1jhiUzr6crof9f/5Cfr4bvywf/NA/Y2Ih
2ec/zzNOW0bjItFNNBe+HVHXK17F94Ay4WJDR6Fl7kThbXaX1LRyAWhuDkPB7TPPdfk9D6JOMnpi
Dh2H3NH/9l7/8RJcDcIYfWEB8tX9EeWVKtdhgda3Hq0i/NKPsv4KbtjyY3+p8ntdNIZJpSxoRKw7
AcdAS5NJjBdNZ1LDAfELZX7N3p4CGWyiVNrHIODyEbvkTtPNUPVoL0ILluQStoWK+2KSKPjRTKqC
nxHs4CKa8rPteZjW0i4lBjEVjvN2bmrar4XhcgB0xcLk0EyVeZl9FX6XtUWfNhehothiAqjmrUBu
T1Y21+MgtpmnI9tEcJnx+ZvferNImYRkij+Cse6D6plcovk3W7vOsVyaxA0+AquCCcnlkVmDqjOI
8HwnCfYdqe7o6TXgtCsnPNmpC0xACsnpi1tSWL4V8LVvchOdNP7np+b334VVnXN8BAnSBEHE//76
QKuqVBkueiY3N5WE6EG7XkxnMPLTP38ON4bf3lggatdcPmZu0oU4tN3fDmIFYdUx6rMrrB1zz7sB
gZ/LtVpauH9mjn6kewI4srHyWJuFINwzOndJTn9zguqJ2Dz2ztlXqXeDViuaTepH2Z0e9LYqs7Oj
bIMZLNFcJK/CXbOnJQ+6pKl34/DiZbS4U8eKxlpdme7cv3FZ99Q15V+1LZmf1ToR62HO/bgVcxXn
Spjv87DsCWQUr2ZfcrsNk3J+zF1JIyNHrXAF8c4cQJ9fVdfF0sXG77r765KYb7s2cfdMIsRdp+1Q
nvMcII8IW7/fFaOZQEwJM9b+dELuZz0INlnjUkacBEGj1xXhKfoBZiY9M5LJBe46rEzD9LdTZpj9
JomMTuyMUvi7LKO0G2gPAqY1WfoLTNGDcIWj3/nRoZUNBGY3HRNevBMOmLvVwM7Tb42qlk9gEqJV
oqdhPYiSUc+4FPeWFE62GvkrgL11vuHvI5Szo4mchz+6Gu4TcxEPnRuUj7ad1d/dYcK6FWXdQGtY
5Q0kpwQMjGRKbyfEAGfXVyFTf3MYoh+9sPqWV83wXtGwGXu0THVxpBM4pQ54wGvVB2q6M/Oku7c8
WR2Aw+TnpkuuA2+H/u8o3PYOWgNfvnmDV6BfC2JDuzycBoeeAg8qJikbd9yblvc9S5avRpEhl4wT
EPmeJ+ohMxD62mnqiL7k+EUqBKi30eys/YzNEr9f8oKmat9hlYB6r+1Pq0ibuCD4Nq9CjY1z3RJ2
2kZ9FZkr5sf2Zan94lTXHpp5ZM3XsSu5pRXNWGi2htczbgzacN0aHIp3Mpys8qZKxEeQ+Y95gQVm
6m0i+miy2lm5kOrJ9TjWi5jLhhq01La3ApfjvV24jEWoqtoYqUDBzvVHP0vOYx5D+UHmeiVwqj0E
lRjjCp/cDm+9LjfcpdodIHjMPjyIIx6iaPDW5cQ3WBiGHw+GMR4hIYw1EzdGQ+s874MnKy2eMkZW
dBomfXUoe9ijm7rJsdXS6FFQQr5UXzCYU3Xalh4N1E2aso0YCJiqaqe7WhvmrlIzkHLLJQI1+erI
Ndvn5c7fpJNRIFH0j4lTMXyClthNzvZKj+8L76XglrriW/VWvUE3gkpUPLOPr2YWLrTxWQBfrMtt
BeHOi7WMvE8SYHR+MjS1qs3gNOpWtINMmABRb6tKJ1+nAJbjvFIdRjnVQ8dP3fusy/znMKMSgbYS
B89V9sxIzToEUfoourG7xwWcf2YS80TT0uA2Dk/Up6UbvybN2HvvQul3YpQVZXWkNb5y0vmMXDY2
Zchvverc1wKDP8+y6x4Y9ZRrKesHFaW3BkmpE4ZG40uR6FtP0U5bpjmlDZ99kz+HafSZzZZa63DB
4JNeWKCQ+iYZByNIKG11m4j5W6wG9y1NgcJXnn1rGbBRR09si0Y/OwEN7rWpTqmvLk1KG4Llt88p
zbZXf+mPCRqjCO03xO5vZpY/R96MSdtv/XXN1H/NNPIdet7ElFAsH5ztHpSjn+heNbfGgPZh45kA
QyCYVDW4ZYohPQueLyblK9lbDx0VLOuMTffcUhrbW2Jc2VLB2msL+lV96xZqNL+OlmpNX+SZoyfN
zlWLxCN8ezO3i3FTjwwwphqx3gK0xieY3lH5mcnoeXZWdd0y92iMdZc67U1jRcUq6BLanh2M6/Po
7InOGIwTi6d09nccczSHA49uQ96RKa8Y+ov00XZ4f8KmvS1hVND7VHMKzr+HWUZCodJeuOk7pFzU
WO+z5NABhLk21OdYeeOrN1rNkdGyOLstjmy3KfGd5vzpysDfLuRtOVjGWhq2enSNHt5f3Tyb+I10
QL1Cj4Ngx9qMz8vrVkroAyeJix5kCVoLqU7j3aswYsaVXZ+kNbw2JcGRvkp2dAw0K3JLMQM4OjwA
1aw9TzmbFDdwLGQ4UC1aPQeUFtW4NUx+mDp46rQ2Ns0wUdxobQ0vva84e61QKBR6+XxfFuFH6i84
4cggnqEyjrEwso/Bpoha2qyGRD3I4DCsWjdXNT+ySwzBQnzYtNh3WRkeo9FpsXI1P0KDASGfnf/g
apit3Sox43Bps88x0c2pr7x6CzaqenRxqzzrpONHsSkHkcLQMb051CVjsSIeVW4pANpxYt6J2V4Y
SNvf7Toi1GJx65+GJb/kNXb0XiwPmeXurVk+1o04j5N4aAZVvCrV3edpDpc0o5TYFuGHteBXb7PK
OWjZ2whLSxH7eVKurK6PkwrzfTbmtHsX/kPfyQfcL9kqoivV4YJkaHXrdHSkesJ9bksuFmGUrsIu
vSvK7NgZ3lkreW9nHYvcJG9st7wpA/GUaMlpE61kj5T+o9VkqQkfnLMUX0/fNGdpT95qpt/6Ci2h
DSQSCz+K7Zxyp8GHZVO50w4+dS22jR+QwSFlmF3dUhKEvfeQDOqeXEvqbC2+yBVj27Vbj28BUaRN
oNydwYKDi63JyhsznakGNyn3jJrmORrrD241eHz7AfJiaROm7VHgeBY1trI0WG66YTmOfaRjZ4re
WLzp783110QyP10R3hUrx2cqmhnp2cpt8+KqStByTx1j0/1ghIdgIX8wGuzWc80DioRRY5CvFuaU
SYsxO5FES0Zjk7WUjjZUcZJpjTuz3FE6jYebXleMMA+lTQjbadIfEe669WxE8H1184l9dlyhCkTb
cKK3j1LSVe2Sphmkc9twnl7Pc/LkN93ZrwrEGdtvV3Uk3tPZOklid7dlUk57L3UtakqI3zg2r7HZ
Yfb080tFw+iaTNVNS6V4jFN3V9XlwayemDLtk3nZLJLa2M465WZ2CYiwkKViZ26aaT1jNVx1JUlX
Ws5jWXWfucw+iF8c0ut3nfn6yTMpeCJ+i/3P68v1UPf8FzW6VW9X1qYkYEQsm96gLN8Zc4Wjq7fv
QounznzsPJd+7W7Y+Y7xknCDm6kEqB37zpqzYy0oknZLQSbG/bQreRzy9qRN5oymnUGypjNv8Ixt
Wi5bGYR3KMzPZp3gp6TtdsSF4pOkmPK4bQMcxjUOcY/5aF2+kQ7bdM783IZ0s07stkNrxa50XQIQ
fbl1wuoOLbXaqkm2sV0787pzKsq3GqquLGBGq8izqK4thpuimDm8+zSbYHjLnGTeR4onIW+cXeZR
W57O/WOH8aY38GaGaGu8cvwRdZt+MUfqJgNlnisD22Ea3Lg10pOvjJPVjkVcmeV49BcH54h0oQ1X
6cnAOLlrPU3oAz5ljek6+pqj/MRJeS2YHR0M5NFytyzFSYcNWFglb2TTfgSLhzF7LgqMz5zOOVl/
CevuDipxcztpP9tDteItCtnKsaj0tpHvoREYzzk3lKc0jL75k0A6Cg54Sh5C33jy8HuNA2Kh8t0f
4MwlV1KHa1wQfDUjLHW5L2o8uh0F0Y6+5CF2OTBzhC4C+Ybu/T6NIbTcPiCf0IRP/gzHN4Pljo1N
7xQo72NYO09lGhLAMwIkju6eWc59kKr2xrS9fq1bAkCzcexHkmkZxl6Gr8GDBTYhwAcU16m4M8q8
Wg+JqpBpgwPntR1RsmEbqd5j/uFVG/Tz2zyRROJbv9syeblvu+Jb2ZOkWYzsthUVR69RVbgJh+6H
a1UkuIgmKSQlXKPiZTDpK+gW8dnC6bJE5B5EuDjPhkVo0p5pcK1I468nKnaOBLdux8DD7mKncuul
BBPpeCb9EGbde1FPZ7sSl5z97Nhh49k4XIA2bF85TZqsHRceO31SzOtH6rzWTb2w7HE60ayo54D8
VLKpLb/ZJ1n7YYylOmLgGtdBlt/ifLtthvw4y2nC31dEO9GObEJLYMSGO5drqxczUIoM0EPJbNa0
dR8Xjp9sir4EIlhc+6CHfRCCx8xYXHDWBfFSG80Zw51eIYFs9NQ8t7VBeLEL78x0yC5mSMd8G3T2
ts75lVWL77jy5/TiyG5rlskhm21MZY7xJhs+2K+MXVQHvEDhnOyayrgjdLwNh+UlleNLG+UskEt6
CIIex6uxMccIt5tyzu043LcTgSAbF5ajkzi6Bh/KBZ+qJzjzlHX2gJnxqS2Uu/Z0f4d55RXL7m00
OXvqRaxDH/I1GZCM8GXMcZEOz642ni1cLqcubO/nMH3orPahnvAlUFb5Zspu5zS8dtpzzxLL/bod
7GPvRSSbVBx24qLMnhsKlxl27m12NfsYLWmXqd/NSsVIGgcquiz2maG5wRtoW2s/bDCI9Z6MOxkd
8jq5t9yGruVAlYgnySES9dap55e6qsNNWlmxsrjfqjLk0mz9GIW6vrrEjshm+TEdNCJaVWDS2lVP
KITraysd4geVjYesK+bZp6+r76d16c3RM3fH8TECbF6tO9Mo642hBJXGBgVL2DocC+KjRyyrBJzS
s2svY1QNew9WyqUbjPIeekT3Y2gla5/RD5wgOyd3bnD3twhb+egax0Qh/6zT1rM/EXW8F0PWam+Y
2XwzOn467uZxUi9d6+H8zUMTQJyVG9U29yb7LhFGwt5tycQ/tCSS4tGzy3DDK0VxnznMUywm66mV
2WSdJ28MnnzKI+5sBOYNJeq32k6eonC5p/PF/EbxFM3o4TvLnSBL9M3p9e1MdmqV0wpx9PHTsfVn
tM5uie+Pb4oviCdscMDDUHqSupm892xMPQHSljFwdyiyS2KkTwp3h274u5WqHhLu0ZWe7uw0ukcT
pqiqh4peR96tIgqnIKYXF1sZZbJOkyH55mVFeZsVNKIWGCqL1lwnugg3S+d+6/owiGs7Ic3BvJil
vZ1d/iPtrU2s/nQI9mwy/ZwetVOkRKRVe9s2/UlO8gv9ae1q6MzpqQ/sNyx3L0GQo4kuWNiUWYMq
GdBICBtgEPUM7iLJ1YBT6FMejdwAguxLVnpErazelPuaRQV6CxZhcuOPtUhfyeLYPHyi9VYl/zjX
aHFKVvhTOA2S0U/aBvai1BaX0bTLKPuV/bypKZOlh5JcNB1qk3M76jbfZMpOTozcidAU7S7NF/WY
CbIv5wkQwTv3tfQbBszwrhJlt1U0DDykwkbtzanzWEbDY74wPyBabhZc29ns67uraw0bTgrIaQIu
Am+AG1aRFWcTJ+Mjb/r70Ku7nFP+bUOUp12FEZmLolHGM359VFg6O5fHZez1ge2RGko22CdRc/er
tC7ugBstx0BHX7TZGEfoVXepU3xx+UFOrdu0pKoi/WL4NU8EB7ghHobQfK6IaAG2KbN4zsb6OdKI
Cn5ee4/UqfNP8C1K5xkBHtTYRRvl+fOdwDH3EQLN+yAzJl8mWPIreDkvnQUDIKML/rZIDc7nniou
VUh3DgslXsEcN3PRKbUCKIg/pSalIDxvFc4DHm+Lwf4AZSQYLvwsTNXm/p3RM1E8T9zPXTu/iwxF
ildnW6vo2lXjZidGJnjSO0zmshknyo+rep/LRJA69SQJWVhFa7B8r7Y12jFlA9OaI5WFp0hyTLRV
sTXbNrpHUwrX5jSBGQJbUj4KLhY7ogUfYStwQRi4Hwoa71YkKp9FBnVa6yDulCAvANUhzq95sKrF
f73j/9dvH9Mek/kGdFZ/GQWNcyvHkeaz6yXsArbA9JVGxRvqyIKSgi11jQvAIvOqzF0ERfVquSbF
Ok53NAoiiXl+dZBl0mxGgNW0MfZKbqUpBtKmXkDEYrbIBtiVcWgXv7jpa18c89Q1aJnMlnbb+sQa
6KxMHwOz9C5NMZ2N2qaoy/GqN1Do2VszXCHa1kDMs6a95t3Oyn5L1a3zPYxMvhHLUSSB0rx/D0tA
1LfMzqsMxvhgfYirusw9ifx5m0ycSHg3Unet7KzggVu8KFwtnPk4FqpF+M5W6EkiGv1v5s5kSVZk
y7JfRAp9M6mBYX3j5r379Qni3QWlVUBBga+vZVGZIq+ypCQlpSY1iDeIeHHDG0zRs8/ea4egI6kh
nVwjeGiIsJE4htZReQT+OhQKA6Waz6/2hjhVefRJQe3sIy0uWcTNOkxlcrQy0TWHMVFZjTKNnnu0
FA3vv0phmTqzie7oeq2WuvvI+TP1uxN1HPoWbKD0K7LJ9JzJEfriwDPYpxuTVcIrWaZ/NhHw+DZD
z8dnldshzlreBuwfZ273iju1ae1aQiLewZoCv2Hc8VPxZJLw+Uqr1L9vGfTTPVxwVggd5sL8wDV0
drk51P1+MIUMH8qR29zRJRfibBPVQ+VqVKXeGr8k2lQXPn9jGsGaqBWNcP8IIIGRHzN7mjuAkYND
8VBvT+501N1cVndO60735UxAZOsMprPPxhHSQIcHjTkKrRENu6tm8wvKpBlXlRk2v4rMqnudR9+t
NrlXuR7rMZBD6xaqyrTtpgawIVJ8NcZT5pvGhoVlFa14RRkoPKOMSEDi9As3OUrqujPsNWP2zloM
guUU+/Lm+6qCYOfYehdp+TjpQr83OZJzZH0bOkcc7K9dAZaMBDBasOQ4IayyH5GVHxYk1nXYZxap
tuxPxvU1G4ffUFFVVQQ3WCY0KTdEgZx7/LbFgmbHZIXOAAaJCUdNmmapHKHlNrxnBHhlwEj50WVk
xGLTN1gVpb21ZXrH/Ds6SxGn3Y/AFDsa+oMoiH/X+KO5KnCFk/Jur/wr7hMyOZmkaPBeTYs06OBN
X7Te8I7OlmBP24jejOS8hlXZ2sGx4Wtd5UUQ8itGntz0HRyGYlWMUQSlAsCS/0C2MoRtFY0cBFPn
z7veHcNsVct54iPit5VzHgITRoWr05bMgBjdY9uDuEJjuK1Yt5a2cxJ9eOST2PWKLlzXmWIAaAKH
MYT5cBhQdcpo1zTh7J7BQ8zNpsX8HcVZJ0VNsUvrB9Rlkl1eNbVdV1semLDfEqaczFNQUUV1TYbx
FuhqBNWiroGtIKkXr7hYI/Cyk5am0xz49Yplb422vayTSfF1B0HLYYlDhc0rDo5Ub5tW2cUDV+OJ
2o1yLp1zMZkcBf5o8L9EO9g+mSTX1NqR2O65qSTnzo0StZ3qqM+2medKk9MlJATXkDFwsB0vs/NU
kESwTpHy+pIIMb3S+7DyCtlSyX47JsaQgPcHEYNW3Lu9k1eXomWVszb10MPlc2SK5TnyK9O4RL60
xZ4/mXxW0mXlyVKhh4rZtdfU7Ril7KCYj15T8cpzi/7KM7yobTdSUr1xMCfo1yGCr+B0k6R1zoDj
WuFUjUtc1Mk9jWTdHu+Yvu15XonU0YxMjiZad5qNZcoF846kuziwf/tLquuNVybTFDftE6b4+cq5
DXnB9ckEheW+yiJ/h0Xh5vbQ6DaOp3YVkf4NeeUm7o3OjQlmcPepwUFkvQFb/bZwn4kkM1v4Ayk6
KvC27MmT96S2ezzd0s3eCaFletuTEq2Z5rsu3yM9c4kccUmfiYhm3N4Ez4LXOzdAioPok5V+dEfv
87S3RQhrdYgIKi7gxDZJQ4nImmeZKzqAo/75tkrZDkA63yes1DzmTlh/t0Yxb4i/n9OkKL6Ir8wP
hhXZD2MvtNhpKlviwFjSw2KaTwPu8xVtdWKLJcNHsCkJEtllD9UdBsXWSAf7KDgi2iONy8bOBjNS
pka+xuTawpiwGV8Q4ly+k3nRzHndR8Qv7SljZfJRiFqvzTLq16p26xhHfmmtzMbgZzoLybV1Rsoi
VOTul94RR7zF033ASHof8NzF9BO+uTV0ppjtrP1VohawLAsU1u7UnV8Klqs4ih3QD1bw7mgEHG1V
IJoIFZErGeREsG6+Nyzp7ZwOOxzd2vISdl2ASK/CaxENGooBMjYWZ/BNWd0XI41NqtxRMxx96YEE
pxx1c7Z03d85CWyJAGWSMdsj6ZLdTrs2e7XMxDkFcvjqCruk5Dw8BCKZzvPUki40HXUXqcA5YimS
bJU6+RmIQpCLa+15UxANRhvNnbGhKD51NiWUZ7H26Of6GowspVUsqgEU90XFE1Zof/4kv5nrVZ4Y
NvN9LoAXiPA9c2f1rsuQ14RjPhj8SRfABv51cNgGcbeol6PJtjhaz6zJ7vStQ6836vHH9dr+oV4y
yCHdcMytAH3I8nWwRzlgNed1DoKQlXtuFhfN4vzJWkJ2ag7bjdPM9V3vpua+gxmDSom7cSEBmxe7
KjfLjY85hwJsMAUfGZzirZE1JsFUdtmsXSV1Jm5ILLGSE/pwZit8ZvZpydAGAW7b6CGVrWMtPTKX
uXRdLAFZ9DR0A1wAzJo79o8RO7wssXdZCSlvFRglGR1dL9vFNdtLaozdF/RK5y4vxt/BrOkx6Anf
Mq7A4WyIp5FGNMxDXTXTofURzbwi8k6WQK5K4ILt3FbfQEEUej9MdqD/SNBH0ToZ2/liRyYh6FRz
6ehkuVmWOrxDpAnpWE72o7fsmdHEtjcBr0lzesQCYjzPfq0eOhZhXFoFJd8CYiaXv3xLLbTz1lse
05mZeM4h9XgIV9PUBI+JYOEfNnl5iLox2st8SPZDHiDCCRIYodkc+bQeijpb/mCeQ8hOkRfN3O8e
DDfp1xk3eqbWPi+eBkdb79qzU2CoQAhHx87Qanz7ak/Ra+HfJFSrIsE1eJZYmw1WAtx3kA6KqGJs
6+19IRZnl2TFcE+He8kNoyRkx1bj19FJ/1MV9S+N2yQ5IId8jrkd3LWN25KiGTCcBv3Af4c1Hrvt
iRTtzfGv7Yw7TV4e56DfhqUFYcDytm5r7KekHg+eny4Iot7RtjUt9IEAeNXMf3o7zzf4Rl7Idn97
CldJYxD7oPcI5I15boCzutwUsAcmNpXcZuvTOWZRMr41qtvVxjDKdT3XMkY7mc4FE3dPtCN7RO2u
T5NZPo5cmscQmMm66W9UsoENpIPL9thMJs+pNzMNp5UxZ6e+I34SjWN6wtah+EVwHEY64t1boVOV
4/K0QGdYF5yfm1FTolbqHueUGW3SwX0OzPyL3rxw64VWumYHuOHaZb0oq9ijpufHKpo/ZG/1m5Cf
za/R8CoSjhaQaJ35ZQmltlZSaByCVb/MhL0m4kjGUkVvSZVUiJLBLPg3LLhU7ghUdR0mzASD5iUG
pLM2TqXBxNyM2nieiEEf7UHPp5Q3M/ixodhHKGbo7FN/7dsQ0YjYTcxmODuFRVDHGb7Mu7AkR+qi
LM9uaO7QDZk/GLbiOnQw+kUU1eZtRZ7SNHAncZ5uSO1RRcULcOsudr6ZjYpANPrKJaUPh4A0gPZa
WH1s9UF0UjXcqMxLvUczCeg8p7T9xYMc/AlqpXg3fOMwz8axmQeTuiIgEGeE6thU3YegiO9+GLzo
5OcVRDaqqPdtZ/QvENusU9ea4blJW3rw6G0/gYpIaR6vgQ86YsCenJtXDF1GsuEoY7HAZuwBMjSp
PZg0eznjGYzC23WxWQQfUDgxhPWjrW2TomI14an7wa+Nu1CwmUiZ6Z+lIcP7BIPppgQ4srfTZVri
cS6bR9OWn6HT1+e+5E247eex2Qey8TfCBbirpll9RYqlfomHGuiFz8lMHM2fmLouM1L2Y6pJNbHA
SFsrHpFzjwZZTHZ5UryNshk3CUX0cAGDaYccAudI0x6dJXwHIPWHVa5RL29puB4y0xTJVQdq59gU
1Hax125ArQ3JtOdTHT3R2F5CQZCwg7Kg72eWlwbghsniDBCl2hD/RiAKZrXBisCnTXhd95Z03C6R
NcKoW4/UKvUr1DnzNHWGe0yRS0jxDG3w4qa2+TcjfbRXHdexcQZY+CI9v3/Qrmu81CBMLl0ddMdF
LW95G1aXienqwcm97lglfvNoVHNFXD0FOeQH7UAKyrOXKtbswNZOPTLPk0i9IN+XG4+Z0FyNSPXN
ofRrTnmf9CUaddqN7tpQ0Hp9n0qnuKF24HumXHkgG7YkL1mrir8ONCbWJsTaCWeyTVDK5LEhKEbo
qBYNtA/ZiPwZxA+hc0xwdrgWTetx/bX6E5AHWJPpwnWt9BYsX4yMGodvYG17tQSoCAu+TR8VuYBu
fA8HOwufK83p588Y4VBHnPDayiyAD7NYnfXqYqPg3gQf/xjWdRIzjPvO3q6RF0xZCbUiYMlaw51G
UufZSLKVUsYh/TVVPrIKvRFoZFYcbae2vpyetLaKFs4Hz5nYVDjLWUas+dJyrC+NNpI3e1m+sgn9
xvNYdxce55gW4lwUwXTnTGaxDaShidn5twHZbX7cUB+UKZNVG+WXJhj+CB5yhMIJxgWIN9iCwgsR
d9yCmUbKqooxWdVXD4MUBZNpx6nHRXtvJZDzhA17itVRThjZTpqdlVatWJF/bfiefCPAcQRGYfSD
bxQ6se3aetd7HoG3oe4vZT52cVcWJhsqEgk4sP2VaWFoyTsv2mZzVx1s5oXYmcLvKEjxNeCd3FWt
pd5yw4JM2iQp4X3VdvvBtls+QHgfmHNvhY5Tes/PG9sQ9rtTMeUgG2rdjNuF3M22yOBOGgu/JANI
+XphU2GcAGZVz2PD2Ln2Kw1/pzbqywJG7T6MJLSudk4NCDqSmk34pGHG5QmpixWoy8KHXLPhhhRb
KvKJac31nH9mbnoOafbEVWvG5YArhVkk3Y++A0TVM/W4SfGSbFH2jCGutfuo2SRuiRWwAwpcPFeT
9wG3gIJKi1sQxbJesGe4Uu9LLfTecmTJxSGs9YqmT/nuDB7rStm4wXvnGVgDg26uLirx8pMmA9qv
uO8l7LUYldPBHNfGaN7z0+Zw7puc32HdLFTAIAr8Vx5LzJr/4gDGYYkxxzcpLXHo1cLyzT//F3Z/
0wzKHTtAUv+455ewg0GgK/9GBOCQQ4fhisCZdRs4FaiaWYfqk518wK5X9d2N/MwAvNdJUvLETjV+
Vk7D6T5i6chtLJ9upGflDPZaliozfis1s4ApBmoV/5dd+L+V4/t/abj614Kr/7H7be4+q9/+P5dl
/f9Yg3VrQfu/x/yeP3PGoV591v+a9COc8R9Rv8D7N6IGHKU0JeKWI7PyHyBmP/g3x+HxcHm7Oybi
C+7bf4/6UbdGDMvkiSHJw/NzYyf/O4fZ8f+N0IvFmAHA+RaV+G9hmG9f1788n34U/vOAklHCnu4Q
DbD/9+fTqTJrTgmi7eoKtWmF0qEObjuW57aWzpdi6yViM1XNJtcLghuYf1w3GkVIJ9Haz3z7hfD9
tEmDnmD+VMlDb6KDnqUqcFKVNzTxPNj5G/8ffQ2MdNkvfmv+yQkBfqU691eWM1fraAZFAVSxY0hI
y//CTm1bwf/xTQY+/maXHJ0NvtoN/1NmKLFbSJxUEuIzprDDEr184YcbDKcJS5+1TcwFECWFQPPa
T3w1wqZKToxEWPuWufzuuxCoP5Pyw0Cf9i6couA1ypb0yYxChMaq1g7WJV6LW9cWKRnzyN5r2xkf
QgaUesXBBNwlU27mbmtcSvdWOPlfSaJplCyFHON0Ss4yXDgHkpofiI0KVWXdl+9Oaj9VN3cRqYfP
qbTZXRlKW9Z2bDk1OkJLMJzR//NjRCXD4kH0ABJQ1b9kLcRf1VBhcFBQ/bvdrNOuWfc2fDNXNWyN
KHQ/S52kF8vAqFwryDurCvzKlfA3dlmkq/abfk/5VLA/cDGOttl3w43rnVqHmgXuDCStt+hydVV6
i+p7vME3E9UZ1hoMfPBi6LF/d0t0Si5yC9wYbMG3Kt0EwhfkIbQOTa3069xRhgFLPppWVaCLTcDp
daGcuD7gj8jp5jCjfXrzozkhfH/ZzQY6XZHf0+nb3CzNtFObZv6XkcPY1Lxi7sIkZ2HK1W04ewNu
YJu4+ZoMyXQBXyKfUY6MrV7Mbo8HqbjXDXIyTRE17vARGgs9xX+Ud7MmztNY/UzFVL4vSWqdZnNw
L4xT45aZvX11B2p4HG9MXxSZzDUiaGqvZt4BK26e5lbQzIji28n2J/I1SqrbQfNf0hGrdYpGiFiX
rmFYuw0e4u5oOIF9JwdCpjMb2HU42GorpOg/FSgDOXR38MPppHAXLBW62de8VQ90kLQPmEowXFlw
Ias05Zoi0x9OIuMIOBJAwmKl26w21QmCE1t+6RiHvC6tVzzyUDsaR+0aYY1xXprVR+Eq6kiCef5b
CYcbpFvM4gkhFes7IjN7eAEunJvaeKZ5IxyOdWPOf4KCUL+JYTyA5xHhw3A8xZjvAJbFgsxJsMyH
xbW/lTMi6aayWfNJ+ALSBGmtYpBw8IkiVmfsnoz53vON8NcJ1SXLwX9aIA+8cdq2OHg2HgTrazoW
G0n/BVUbQ37PDaVY+1ONTDpZIOlw8WdZclSp9Sh7pHlRLT9+4x6GKdnAoBrOedRXWzI/8ULXBwAd
djlzO75p2zomkf2Nd9heOyaVJdZTC2VsCZDpSolZbMweIOS+Nmp+7vzumAjnmYTyUyGqR+yG+xwD
YeRU6zCH/DGIi0PaIUm4b+CpZQBWfJiKOuBco6Wy7j6NXL/iqafnkg87zTFcPFNrVyYvc+SR8B2/
Msd9zgr7Y85mdfENVkwG40osPOXcIzD8gCASLE2m6U4q41zM/nFES7B6gGWwgZbut4I+sSpxNUiH
vbgaWessAFX9sn82o3rDiRSTgOEhHHBTujI8K8HVwsi7Z3cuYW5RwW1Om0z3q3Tx9marV51gnu9d
UtldpvBwLc53yQUmNqSvLgNJQFxLVbGnBunZLYgGdJMn9yrL228nM+p1XuElnSxvXRTz1VLNOxmA
8NeIHGPvd94Rt8ez9oS7MT3VPJEy2Nh1mb4hyeDmHqOY+BKKb3YccXy5+RvEAqh11rBp/BC+Dgfm
7QYNCMUbawcoYBqnRf5b2+1jXjkyhr7Fks2/m3XZbRaRViuveiH0/pyFdxn03txxSRgW9U9CLmU1
tdyjpZ1cVDCsXIV7OB/0YwAXqParnWD+slo3jImTHMvRxs5vfiyNeZ2IJwUS5DSxEq1K4zL63G4R
0R745a6nLmQp58gtTKIbYKV/VMu0JnRGgrLpN7YP8NJQ/UonrPRdcWk7bwPFLPZE2MZBhDlnAK1m
c1LpvAHDHiIGNBgBAGjDfxLvqWC9LeUF1I5eic55y1nNUSP/QFXNFa7Yg4U4vzbD/Nj5qlxhzjiD
estiyn3gw2B4LailW5m5uKIEXvlQPxm9XAkWOTA8/T4W0cEqyAU0NcVA4VTHFGpXGzV6V7zOcI6l
vN52rtIY/khd3yWhF6sk/VR4/fU8TXGSRcFuNgVWv95g6iK2YHoXa4bItXT+YzoMJxIYd/UCLC83
Xj2nRs5m+ZqBMSYHhTe64K1GGwC60abPFMNfA8w11SP6Z8RMaa/RgBAjkHEm4Hrei40nIi5BH8Vi
GqKN10Hay9Mo2SurO0+VdyG2m+9c+cvnC8MJJN54IfJyStSAnJLmBQNaZZ0jP7PObRsWu8LsZwWP
yKzv60ZNzwtL3WPtu49MzGy7KuwTijIZeAGARaKqTHnWsfJz8EY81iSS3IBnNFXhPmeXza8dKM7E
heIoTJjM45RZq36YN8r5lNq/8dEQV7zI8OMowg3b4pE+idC4BNRG8LwQlelFXm/Hok2fDOiQHfU7
JCDGYHhMmurVUv51cSrndQqgNZ1nSi9CAl0kILejZlvvB0c8u+ynvE0f5VuE1ghi2XQJnbNqX0NZ
ML5R5LTqDXFfmbePsr0amvnOTcu1rq3XwEAcmVvQz0UYgyr+AzhIc+hlxdar2K0FU11dVYl7Wzv9
R+B398sE3OsmwM2df0wXXkQL7BpLwYxOIp6//BOyH4eVHW5VL39aUDmrIKB3QwBrX+E647yU7s9Y
By8NVM6V9OS47mX5RecNoQFDrUXFDN6r6bDgreE5IjjJTfJpSO2DJDJVswXsC/mUAegte3FKDJeM
dpYTX7inmaK8qztAt4DeJ0D67LpTnFBlVj/P7UAZVhM1PCCww3H6Fl7W8vpqj7Th2CsA7S98xX+I
HK7GpDnYnbkttMr42ZjvUwbRTjTHuVB/sapdItUCkquQ5aM/Uy4eyV3xbYUb9hce2SL16DQlnZC6
dUmwiY8sxO8FAMddoSQc8YSfrEGu+oo0uVQ88IiUCRBGc9+ywIg7cBTSzNYLbUZpJdbRjVg+BWh4
E/ydwACaJnlQVywGxZS1mzZvz3k4aIz/QG5bfCVwlpdVa3T3tlsTnbwB091a7FLZDWsjb/3VbT29
URPulho3vCacJwnAhYM8kYSLxeDbr6kX0J02iMd8VONahFruacngq25ArffsIGw97keIUitTtO7W
vVnph+XGWXR9atWt/IW0KwpE2W2HwdrgANlYgOt2YUONaW7jXTNCmHpmb9l7UQGdtrljb6o5e1eW
ZNVSHo2yfnAzbmKag4RVTvARdcCFuilb/+NRTmUkMJhwdo6+gCrvcN1uRPpVJJLsTckBaVlwl1o0
iyA0X/uhfEiW5WK5nl43QRvRXeXzs2+TX6xLayS+B3Jr+G86KhpLI9/Ws80PeOIozOkOUJtsrm/7
VbytDvdunq2T5c39a8WNbZ+m4SERgvhr121NiVSUIRQMS/aXLE0G5Ll7LYzhHorxq0uEIU2gNqIE
TgMRJnV7KP2iOkH4gtQeBdepJNYG8fAwG1Q72Z55MbwbO76SH/bElda0YSmb3czxUZKXhJJcEWzA
EZU2ZP6apHtYlHjNVbY3OZ+Jr7AxbkGcVJy1wRvkXOJO1Yhd3J4K3E4mW+3iJVhu0NrbIrPiQbWg
C/pUB7rQKFt/2ZfB+Ia0iO3Eu7eHiHKZ6UVPIe9xY9co7wesX8oGaDv2cMgxH58IIxG9MH/bHqs2
HJjblexE9O0PQiBhkKU6LQ4hrd6LinXbjnun9/pPOSSboONrGFvbvzWMftQtdmG29J98rZ+hTt/d
3rxrqZ3js+zienbYjJb1+BVW5QMhGTSgW5KPI3Od+x6tWZOXEhfqHH424PHYXdAFFqYH5VpnYaJS
5+2uB2hY4xKK3TZ9Br6e7aQnJvyGxAy7jvoSd77kKQ4PvC3Aa3ifk4KPgUYKnJrr3nkM0+7YBf7a
8sWyHfIB5rJfcOyYnc9Bnz9T0DXEeZGvF8/5a6HhWtgO84nOMHt+xng9b9pA7ZxGvHZO91gWLdd5
jtxBETPs23HlGopqkWncUSuXPZdOirLX49NTa9+PGuKVfK5v1QPMiaAmIzwfB4v1yq68ZbCb0Y4O
tTf6Dy237Q2sQ0I/SWNNB5PylIOZBXS9UUoA+2ZxfiWm17cQtxkebR0s+7q5aYTA0DC/YRSbJqzE
k5lc894tyMM07Y063ZsGFUBR8u2VvvNuooCzpCVahYgnE3HPIGWlcT21DK99NqYxRXqBjCtkvGd/
rJjiqCQk5zpZzm/BgMGZIawb1LHo/mp/uI0RGRk1xnLr0LgUoWgpaQby2Ldcp24sf9haNacRd8ve
sEJ412OuD1otw74lF3MXDD5AZ9Q1lp148x8RT3BrEeqhiKmt/XeB5Sz2Ch+TY2WxSSMUF27xqwTb
OQjbH4+z/tyY+Q1GHNnJi0+g6Ru9fj6CLpLvPqHotS6XqFiZQEmPls0aAh4EvXWBtmo8FXXylKsm
pNvAwAVuptmPDeGOxsegI1PnGLoK98Jkx4GVkKggmaTpryoy41ollNXRqnicKJzeNFFd7Wa3ndl0
+J3/kwyYxbhODDjEmsy9Q9MVzCtTT66vEJxWNKE8q8J34tby1V6BenjVrWF9Ng4/fIpnfpc6Cp6W
elEbu8ffgCaZ4pJ2DmVWvIZQe1atEuZu6ntJLjBsbBbxWXMxbjku1q8hg1UDAqHvb5oCMT3tGXgJ
h8Y3nlTK8jhO2kLH4CqIu6V15B0TOdjZLgmcjuauMPuFizR+5P7k0KVejVusbdyU2cxelqEyLmYy
8CpMtDpmkQXuMGIXFjHbs2fKMsoFmJoZumbua8tYBvsxDIr7og/yg9WwOIiGlO4oDfGy0yzNRgvb
ug5ZJfO5ad7atNKffq+I2vLcN/qUMkLt6s6hH5GMsfgynZxzFW8P1FlC3KJauSaLmbnA4rWaRsJv
kzvk37TL5ye3cTW9jA6XRjOw3DVL6WCVO3ly75sDxQzmII9jP7aX1vWLNabQK1/29JwDlwQnqNpt
kIZdTJb8rnUY4ZreXBGhn+5UPcAJKAwsEj25hFPj62a79P3yZbisly3Xyt6b0YLTGOXlQzumyZ/c
Zq/vp1zs+ct+7BOrurTDON8A1kH2EnF87Cn+YaGn/DY349kH6evOfcDIFXh3U6HB+jmJW219qPzr
zOuww9gGi5RA2L+V8PI/TA7hz5DKeTsnOjk3klhcm2bzWzHb6XOig2lNcjm4ukrTkxqaYiMd1RN0
KvBS2x3bwXBi143DsjgmdSWuEDs4tSdyMhhG8TdHqr4vbLO6BqmXxsJlV+o2AbnKXo/nDPb/R8GO
KfazwXvIrJAeFOiQJ5c+gyubezI6ILy4GYe1vy4aop06K1TNO7QUFzl6IWaapal/cI5xheTOyg6q
re+9SFIq1zv2S2txlcMlIk/W3M3PZtDzlmHA6+El1ykZ1MWQt5Yoe7uIpI8bsx9PDCniEAXSvzJn
yDX+3WVd3YwsVD7Yz7LOyj0rURwYNAts/CnCdziHkL9yCDWxwoj4aYxzseZVyqKFKAWER/5oBReI
/T7R8TAwK0DcyXKqrMbZWJ6RnAJbXaWunvw2ELsoIflL6xCRJ4F40w2V+7TggI9tL0MIjTwazKYm
5T+RLuo9W5ZhFZESPHXY51/kZLpHKxkwgZKOeVrwlW16SrlWbRjIFfa/Ht3An61nMnl4W6Imoj7O
nr3g3jCN9oGcRnl2urR4L5Qch22dN8Fl4HO5bbIWmD+RPEjvYs6yPd7igvURy40L9Q1VbIZ2eqqK
rje3mpWtusxNiXYK5nUUuGTytl8T8lPPFbvhF5GUvQspMyqvrTfX4BzEbQR0+EDaQY1uPTD4Mbi7
DKJhF/rPlVw84mEu0crcHU9BmXnXktsJTXx8iXHnWPBIqEcVq7Br2nXXF9x//GluQZY3wNXtVn5b
i7QOTlb+05LZXP3I5qVgdDE+yeKuZhP/SMbRegsVDu+66DiiEobYS9eU3nbwcxaSFVhlutWSJ6go
9U4J1ZNpABpvCNPfNZ2YD5bRqq8JOty3tqX9NQjTxrUujKMv2BPHHHyQnEPMWVzukWXlzcgzvQYR
WN414cXmgtRBFBLeZ3gZXJIIhEy0yFczsPyPsEybzz7Pyq+E0jy5yZOy249ReivBEIqEN6xwsc+K
MnouK2PZqglc831tTrj73CAlPd4F1DZsYKUwueEqTA54YTmiyF1JLvUixRaLrvwU2pPeaWP27rPc
Dp9ZPnAJaJ1hONeDsLea0kFvlRVR2fKWxZbYsTp/9dsi2CjKkLZQm0kmRkM7cWBIOR4xIFZcat2s
xU41NIlNCnS0T5q1234aShbIM4Beu3fcj0QV9h/XGAfypcTI3SX37FhSlobAyAL3h4Rwf5jw+121
zN1XgwvKFZhGapGt5kNaNSI8sDnkkLekdF76Ftl4G7WLeJal5e90JtomhlTvx2XOernMrbj1U2Nn
1ZZ7AInBcY99n8xlWY4bNkcmANRsnq/dIo2LIC3zDWOL0K63NE+QTzBal1Nq3w2y1vcpgOVbpU6P
e7kqAHiUZWfHE1WVNHfZRfbcGpFxMM1yeLFJoRzmiROJdGDavuOK/UnHOaK/rokQjYlgk8D1z4Zh
k0UZKV+qYZincm/QD7ShE4lxwpLQDoZ9iuecrDYVeCjviXlX+DI4Yfgua8QV0Z1bjAWnBOc8v1GL
CgGeCeLxLNLXZo7wwwn2kw4SJbqxcP95U/fcy1ZCeTdRjDJDLxgpUOHwfQpjg1M/3IRDFVhYOtxb
DgrCMYP1aG9ZZC+7zoYbGLncr+rO42JLJct6RBN+YahLTqM/NicGzG5r10o+6ciwjhPubAthw/Ee
UM2aI9wBMO+FO526qGegwdDNPJfVbO5BS+5KB0kyk23wlLJn585viOFZNo7/1jWGvxv4nl497dV7
RTVAhf/eoeU4zT4pCjUMnAleUF28rAqWWNf5e9nN9SaLKEzISjZPK8i/0e2CEdK+xxkCyxU3yc5B
6J5egaH4V0YMq77Mtmc7ONGA8W4WmUzbSnPqXKl5aa6hKYeA7sS6IPhJ097/ZO88luPW0i39KhVn
DsUG9oYb1CR9Mpn0RuQEQSPB2w3/9PeDVFUtne5bN06PuiNqKpJiZhLY+M1a33rRpZ18MK7KaOWL
KDrFlW6frMTwbju8UzikUI7MSVV8zy1d7ShFuscBfSNzIF+99JrUMrZ/ZXavSRE7jDJ3jzVp3T6X
RWqcCyvMrnXWdVeBKgllstn8Z7HCfmrX8rLuoAQ1sI8hsIvqmikTV1brW28xTNxinwEoiUAMQTVI
w75/ZCwGa7GNQw0dJgWwOZXg1xHjEU3TRceYU+mUUvM8cn18apiN14rp0j5I/PbOQPn5AKaB4Qv2
keo256iJNmCvuRQyWHu3ns+2ARDUsDEhNa/7sum3zP6LT5YH9X4opnxkVWJOW8JnuXd03UGOUc2Q
X2YFw/rA7W6bjumXaQ/ZAxB1sVWFb12wDVzkRQjItq4uykfEhjgm3bDZKx+rH8ooMkfsNgzfkVoi
s0VGWW/Mvt52DlMjRPDNB39XSUtGgqY7WNmmbQ1x4/jjfNUK19qZEc4Hd3K6cwEHGje5q1vGJJlN
rUbcDdVMcxMEKbZTMUM/8R8I2hvvcrfKt7bhtCNEcmGH9FVVvQvxXj9mkNMcmophIPHdzhtq60F5
DRAQzzhiYEoPhjbR+ZZeddfw8FuXjYtGyQuLVwyx+pVDZrhUzjSfRYKAOKKvIe9EzY9EHECJcJ3q
NY0a66ttCQfvPbuLLClN0gFRXMIDI/svCnAzZO2lpVidoXeUWY/lnp1S1+f9yVRBfg0UU75NXXiY
pTdeWHgRmeeXXUPApa6PDKLHG5zXqoUhzgRwzRwPSgkM5/wyoMOanTG7SWzBCaTy6pQLt4LgUhTt
lsdY9WEUTv/IKcSwgxZ1T2tFdWXNp8n0ShSEBMxFhfyEikAsZJ9bEUuRVDYEOhKujbEchrgzx0m6
olgpnxDXm9/QccU3VsmCbgyyCTtTNJybee63yRQ0qxa9+8XYWGjkk4bLxHmWqkG0InuMDqkZ3MRD
jUGhjlWwryWsH1I2RH7VabYOVgntK64dMCDiLUWx+EQ+z95rAnSduWj39hJ7QcvFaj31qZV09Fym
nS5IipoUOKNF4uLwx2bkjeQymSm6vIpEv7j2nmAuJJswnXGot8na7bujFGWDXLs4D2APGPsbd4Tu
yVOfMo+j/R0QEy39e2deIyyeoGyzRhkpvFaux9t22ZWiHS34qLtm7zaDcz9a4bECZ7ViET/Tic7r
Mko2lps/Itx8JDnNOyZqEkeKjItJjq8IApfXnrXGbZh411lSXQ04+ZjZXspSvMJzOHm1WI1WdhxN
/w6dy20yNGfMLzkfhcwOnh/chl3jPplyJgcQosU69MhsNRrnmFB5oqUaRvFM2UkAAqD5rGjvBgf6
fm8bYtcY4wPNBm19Vu6dgYqa3Nf8Y8kGJTR3ghWFd69Hxk4p+B6PAxY+FUK/MMa4xK1j59hmKHyr
HbOwCdsBiqZ40NXzwNG3nyO7wgLqyWc/TgmWJJVwzeptGTVVw13LLQ0RtrNZfkrpMszW5EyDK0se
9OThEyE8JLkcHSLU/HEgPKe02f56Xv7KbpueOtPNrpa4YhlRLP4hdSXoLfdYa6qDT9/WYbCwvicV
ClCMDIGLfs/o9oM0OCV1lN2iy1BXtKQMext/KvaA7+ernrNwP7r5BQ+s/jnpiNvSbOA3c9oyyqcz
P1pjFDwhWTZ3zuCzMGyVomlICWPDi0F4CuJTb9iZuuAhZfS6ug2JvBwOwmJT1dQNhHOjZKc25CZh
3cm8HcE5dhtnWcuuzXBoGS8jkX30PAmPsJ/T0yT1dEm3qLZoW0u8LjWIBCMauq8+a8PPlIy1DgNI
2L6KyS7vkAaOrIrIGZVzPp0YBRcElNilfcznDAoNQ+/iLIwlcQPL0CWP6uExIxrwUqO7eXOMTjPj
o8oA5mO2+rOu2vFiTJzoOS4LfVqgYex5p9g++uyY94VQvSTYw6HbJCBaUoIJsBHQcuhQehz5yDFi
DEBrQdXBgGUazHtmb/1jRyYmviNSJOVWKx+F8mga5RK4YQUXkGSMem3Mqsl3rO8LIPTsYO+xTQCa
mF11xhmesutPjaMxpUjv3NG8Y2VYM04o5j01aXBCkQPZiziJHKbKIuOfpNleB6kN1yknnW+bpsp7
smHyALGJdMkdg8XjKZtJyelLDuK+rotbczRNjA+tRYsw++aZglGRWwxvYiXDEhyYX0IF2UZiavwd
UnFny/S2RBQEc0xlvtWgXvPcC1G5D3jdGFDZUYg1lb70FNtI0wMD6xG5Hjtc0qBPCiH2TpC634Ga
xDczbgVWu00lryUeNLXuJapg7TrZyYVEyL6ora+TihOQpVu/w4tvbJwU+SZPbN4f+0S2/ry9eFD9
bY/PCWhHSAyh5w7TQ0G0xqMDyOswIabAXe21u9mxgyth4hoOotvIKl9lET/bNYjKEigZDBXR32M6
Kw+C2vWrIlj4BlJBu6H26l91ZFj7Fp7aZVXoHiCygN9VVX52M7dRfD/prrrtvfndipnabRn3VQyf
UlsQ/wQQSa6MOGHbRSxleWdSat4VWEBvapW6GzcmBGYdStf/GGI7O2Li61l7K5MlA2eYUQvju8nf
cC1IEX3K6UJ3HAeoAhvCy1Nkx9Eqk2AWi9F0zr4uI5QHOOOqjmgGXTXmO+wCd8Mi174U7Awuyr4v
rqa89o6sCkMQmsV7FFT3AKTKfFXRLzJd5XfUy7XUgX5BZihJzNEQg1Tj5VuI1t811uiHxIKX0Xnx
N1nV+mS4YBHowKcz1oXkmqmx98DGnBBZr+tuJ7Y6UEZTxp8BNMixYzMGJSL177Ey1mrVuRiAafBp
n2q635Xf5g6WF+Aiq3lumjUxeDSWrjcVh2gAN2FPnv2Nyx+hR4UhHTVqeKDJjxg1Gf6OfvSAIWk+
dHZuKkJwHXfXG3O0k37Bcg15KyrLiHWQ3TYIVj0E3FeF3waggTrnVvTLDpPGbt4TKeuu4xRCMa5P
G9OOiUuNfBIztI8Mscwb2FjlDcb+7mpAUn9Ohgg4T++z2xeuZx7p8dkwDCnDqqzW33MRR8+dYeMU
4hNMFu6V4W0xs2OnGM1npnGMzjCtXIZL+FkxV/W2HFAFEe+JDbXu3csYfN81vOR+V+GtXXut3X0E
taoIsvV6Ml5TYFdzGRwzP2MjaTWcsr7b3nX2XFzJKYk3ddui9MvJoQOcy+NTouNTGzgwq2GGj+PV
/q3ExrWJ/UzelVU6nY2K/Pmh8uonBN81kgQyxdobJxjGVYdIQVSYpyskTduycxV+SKfHRGyTXLyU
J8GpAMO06SYxLoHIbnzKVJ+dnL6dNp2MMdL4S8sctvyvErNzU+vimdkiypgQszkKp1PhR8216Vbx
ns6WVM5ZttcTie3rcRL5i0mXtw/Luf4a6Mh7JpHP+VQ5/ERyu9UKYdq49kboSEVkZo9NVT4OOt+M
9BHX3qRr+Jq9e0X2KUyYsFZnS7Xjrou7+jTp0tizkidqLevLG2b+vFcs8ma3YWwkjsyVgyc3EeM+
xfsZbajCjD0huPqNvClrZn/vB59RGLkHU9ZEWhP7Hkg6r+Re9CErS/SHw5ktBoCm1syRQnvNQDSX
NYbrkgMDZpEfy0+B4G7DiJ9UoVwxb1EhnjibWU1lLXtz3JX2RddTXLZ6YNsy2FW3clhzPZi4WCpl
kMxjNMF7mo/LgSri8bNEq4M5RQtvY2YClCLBtzU6frFC/vitzak9onl66MWEosXsL/g98pQyX9sG
UQsgjozU+lWjWdnDHJkZfIKVu0t1izVKOluTdfF5JMQJw3he2p8Yytjj29RzV8zUkisoEuOWVAKM
e3VzxOGJuy+k6GFDrhRM+RS8ScLyF+Ant4mh/weZ9p+CH5DBukzZhSTpRgr48dafINItkEagpV18
6Mhjg3TGgPIYJxYHTMsqDMO10WwV+oJtSa926XldhE8QC4n4H7j6v+P7eR2erSSeG4EmEbaj+BP7
N45JzVvyGPdkgBLBFEXtNpZwJX5IlP+SlvscfzSlLr+3f9Zg/ybUvq6+Ffdt8+1be36r/vyd/y+q
tRWf2H+v1n4M34rPt9+U2ssP/AxlkfYXwDmWK9BE24LgE+jzP0NZLP+LjaVVeo5SCkwB+uJ/CrW/
WFIJdP3SdX2fv738l1DbML8ohhQmwQ/ETbhKKvOvhLKgV/5Nqu2ZyMF9BeyI14G2xLT+pGIesilh
xO7f1bULJ7yJW8/AF9yhvSGW0DhPIdNE2gaikEqcWaxRbeuMztPHEIIY54WdECyI3BkYNTZsneN9
i1Wa0duEp2NtuD7rW8aUiMB1HqLGMWwuH8bg8/BVZKU9HQcvmUCBYYvCY+vHwUPftty1Vu0RjWSK
KH+bnJyAxDAkgPuyxucaBXsZiZZNV2rOeJ79eUbbTuY1dmUEtFZUVNU6daxGgfypKozaMG7q6R5a
ADb8EL/5usbap8aVzVPU5mET584aImp8z4mH5lM01gTOFf0Z4l1tldF2TGfWc2Hc1tFa9LnAfpib
+dehM1w4vX2Bhi8EnAoZ1SLUTnSW+lozM7xKx7yQi4sHbwwp0owBW91Z8BrnzHNwcpYNUDBljT6p
8g6yTUD7FPmWWLrWXFfi4E950e8hk6cgbFhMbJpqpiUYgjZDsD0I+YqzrH5E5xuuIy8sm50HNNLd
lqHFXHJQVbLPhOLzqD1d+ackNl1rYTWb8UtnBRhKgySLloCCWT/HwzD4L5YwqpcEXHi6SUJkkmRU
9dmRhSiGTWAM9nMRt1CnOdgMGieEKessj3FbCQXlC/Um0KLNQC0XDFabbFwGM8EqzWV62bgmDW4K
bcFc1W49h0xN6tKHn+Pr60H5hHc1XPUA2owRkFOupvnS9VoLetWQj+lBSkbFmx6nUsBQm5iglaO1
HFbsLANjRfIR6xPfLOA7c3WZ3S5liA0ntDAAulV+L0G32Appn6wnAiIn1nwCZzqHJy6tcvC3ZoHG
eJWgC/iG2p3VWxPOgEuladawJ4Mebao3QA9Y+aGdAl4YBu8KDADLcibBmP7QFrTRGTBt+m5WhXkz
Rl2WQ0g24k9Pt4O16v0iire9dvqHOHetuwFrzsCAl8hmq9rSaghPrz2e28gZIqQXwcuUhn72HftX
hl/JAvTUHdHpcnWsIm9kzDh3tsOEjTs8PRtZCu0V7ZW76sSoNOHuBUg4z+ynawp2npbhPAEZZ9RJ
IR+VXf+18aRzBujXZXegLrR357tE/iEBtbW3IuS5+DC8wmx2jQrG/DJ048Tcs1tkh8i6wbSP86Sn
vayS9h1ijvsQzfEAeV0v8hf+p4H2I2v9bekZOj21rgGKcuoMPKGVxei76Xw2Q7M9XnljTJuYp0BQ
VEaJss+9cH4YBs3ydMKA/l1UYXoFdmGezq7hsYrDoO/ct1Y8QKWLsKaJ2kfo2FjMtwaRusEmYkYE
Gl4xKCW/lyVZlLTZomSrLuFW1vVdiXBqqZJQ5mwTr6hebDu0FnpYj92/cJJncClCMoIfEZymqQNT
zguEczOQSGms0Hu4bE4qYNFkCqaPqEBVcJVQ2hSMP5rsomGRU+0BishxB5UFggaJB6ydaazydG+2
7fSdqX8x6sVP0PXOzpVsiCsQm0N+hw4mJtOgSomT7LLy2s1sBwi+CxeGaKNoijde2+XnpFNowcdI
c87Bi52uw5a5yiroxIACzS8kcI6AnLx1YHsQslBnU7IVFDz6VonIMdgOqKlbzV7ACDrBZ6Q3BtVq
cjCF4v/B7ZA8QqHw8xftqp4+RgXx8O57iWKC2UbjByGLw1dJ5MC7KHLzjvUAujBNlYdlp5n1Da5S
VSAnYCN7wPHLSpixjv+BSa+wqbXndEC3MjC/mULNuida3PSs/HuKSrofCDDM3NHZBhWfxjgmxAOk
Te8424RI3NfWxaHCSpjoEXIws7LYsCdmPUwmhdttx0ka4c5CXh5uAlKZUU7ZPmLFwjTa09ylpgn3
UgxPld8iHGMX7l3I5RNY2RD2Z8aNSN9/FoP/qY7+wIj276qj89uEev7br+XRj5/4WR4p+4vFqS5d
x/b4WBfj2T/KI74iTEodQWViSUtZmMj+UR+x6fviEKTMT1psY21p87V/ONmWr5GAhylOODw6seL/
pdS633N1ll/Mk8NHxGhCJeN1L1kXvzgtjZr9uky5SCh5on1im1CUnEWTnMqPgPDLwy8fzc1PC+ff
ii6/IQio1X//40/VGL+OoD7pYpozIfIL50/GTmyvgw3CxV+1OrDwRjOMDWzcTP/+t/ypMVneFb/G
VrZJjelLwnN+f1cRspDa4HBeAfaBnNnX4UUagIwTBprSrAuHQ6Ch7KzsznCuxtj8Xo70g//+Raj/
/aP1qGkUWUkWPkaeOr+/iGYE1ThWAzLxqinfcQyFt3O6nxlUfy9LujndIf6k6tQXiMnZIJhRv0uM
Asx6wTDiBmye9WrH3Kgke0osDyqp7nvUiheUi9RffW7ftT3A37ls08tYQz5gdJ2ZJ9Ngh7Vmzw1w
xQ+8XTc26sgGkdaoMcpkXUciAI7I1GKdt5n4ZF2Sqg2sIl7E4OgdtVX3GhXF8Do3043ywUo7rOfX
XhaVO9/LhwcCk4u1SSzqJoesASCGNVv082/4n/PkD6j/v1xJm7f27W/f4IK302Lu/fsfl/H79Fuz
9eP7f54mFrZY5ZiSg4QkLPLx6GZ+Nlv+F/6RlsonhZIvWUts3j9OEym/sLP0hI/IR0hzsdL+4ywx
/S/K5zDxbNv++dW/0mv9fr3TxFmeyb0mceUqYiid5d7/5SjRk8x11MwIgXuCFXwI0t3WQwFw44Je
v3cb5y+GL1oOVnMBDZEgJg9ii/zTXW7rAi1pHyn2OVkCThYQj7aM975ogt0vf4H/w7FFyiIv/udx
dvz8+x8ufaWgRDc5unhz3MscyL++OeyxWYL2iGVnhfrO3GaVE0TivsKQhRd3LeseKizZZJaJcNkf
RTIzxMoFYX/mLm8chJPxKo7aNDbXAWksh46wqgUOFxK6U9ZOFNwi6CW9kZz3H+jMeIMyAcgPUDXQ
Y96IAtlYMgovUVFl9THK/IEFngmMBx8UWrWP0WzYItklKoK9484OfwdLjGV9IPLEDtGKmTrb5Gka
tJtMebgTde7l6orNfU4p4zixtW2NakoJSAjHjw4n5amJ58qFzzKW6uzNIVRUOw7O1eTGHxm0lXhd
2GY+rGyUEdO4CdCvKQfwXqhbqGZ+SmmXJSI4lzMRJj7eqJSyO2pbPkEcw40tgYibU+kRjwyvd21o
ucgPItxFSzizU4eH5aL+CMPezF4W6gLn12BgWWGx1GX1ZgHikTHoB1NunmBtj7iy7LH0mGyzZZsx
HISWo7Ens4lXs9zOpleocb/Y7uAqtrGXxsmm7qpy+FpHyVCf7dAoigePEA8YS0Vp24xek1r0glHt
yHh3XVlyBGAGCIw93NYb2Li0O8BRJUQcyO4L4QawuozkTpc14KAtFqhmVoBejKhyWQnWTq5vY4MN
RbapbFswAocDnXsws5Saqpb9r+3ON26LjiXdAIaQLlx7SmhxF+iizp/DxE9mvZ2qyAo31UxB+5YV
aMN97jdvAgdXFJaPmzjRnc2mOVcwjdZ2FZVs1WoR2ahoAOhM9R08Op3f5LGhroOW0eBOm3HPKFfN
DZrdiYuoxl+QMxdnx77h70iJDlHHt1dJ3EQ9j4tMplAwYPIc+rSZvPVoukG4qM+aRTCj521bdQS3
zaKS4VPH/LJh7dFYou+xh7YEKxmjICWttwLs3gafNWjZIiEVoXa9Djl+6eOcI0OX9AllgKknDchG
YDDoOd+IGs7kqsg9ifWOvSmz8IQPDOAetL4BEUp1Qalvl1emk2HQyvqxzk4xrlTZszGdwD0KNUfj
fSIBuRyCul6+lV6I2QR3hXXlGCkpaDQfA/0TBVpgbUCMpuKQTATMr+IQHcc3HrYqPdhlN4UnzWAD
h4VlNu8aVhFzAHwNx7itlLiojIWtCyfGEuHMSB7+3AK4THXDgiDwgbvuwECCF96VNpzgNRCAvN/b
0iMRrg2iytxrLdjMERKCFlNGrKytSTsoNJ0KrncQ24RDRVZkdzRVBixvYdeahrPvxHpoEtRWHgm2
Yhe2xchKKh58sZWg5P2b1K98fWC1NTykZmiF54Ab2dvbtdWZ9xQZXL5bI8tU8lSWwegcJBGM45J0
Udh18jIyRMiMNVaNHtOtRx7GSowz6QIgfdm0d8oqeS0O+6e1TCKjuiySRERHaCJZvW+GIPqkh3Nm
BuR2jlaYiUC8tvwovGIml8kNE935HndCH+1sp0JdUXtFfWJQ5Y0sVwYsr33e2T3yjoIU8BSC1XjP
VTm4THTsSD0OBjpJXNJtRhL5SgE/7osXy/UqOtQGoH8yv0xE7Zp3QWTOAE4Mb5xK6p5+sqwX0yjC
BUMwJNzNOtzk8D8ba6VMWEMkq7X4SYfPsEbexJq2R2hV6vfZtFDahUwt3DYfP8H56rx+/PEg+k9V
9Ifl8vj+72fQ9/QTf2Oa0b61RMT+2mz9+MGf5ZHh0BspShnXpg3+MXv+Z30EFpU5tRQmSzObDoQ9
wb8KJNP9YvOPFpUEjjRh+r9USO4XMNIMuE2+w3M9/y9No38sRP5XFWHTAv4ozoQkplDa7hJT/msV
wXE7pUlhckDXgIYnF2Di+AbjtT0UfofMa9EboPRp4udswImYGc69xRDGUrnYJMlIIsWgvpqMlHfB
7L6HLDIZduobc8BK23FOE4WiVjlRkls3LG9LBAFtkkz/F5X5/28bDtLd/93VdX7L3ob416vqxw/8
a8PB8gKDr8M+wmXHJP95UUnadNcCbW1LQa9pLwiVf7bwFOSORwMPpwa9qW/5dNb/auHdL6blL5Ur
P7RcjH/tqjJ/tM2/XFc/2kyXTRzrEqBJP17Hb9dVkCTJbM0g4kcPFFjgl/V8qS0hdgTilU8ALdgm
8B6AaHnoezE92seooPCL/c7ZFJ6VnzSOkQeHqmg3pkZzURMQAfSpMi81mGlkJzzeWFCil1N93V5Q
cZfHqmLt7PgJHKr6hDbqZDs5eVf+9JID6arnAM8+c/4AoFpZ9t7GQcDJI6J6Uq2YeCUAHaxaXWT8
9qoDmT4M1xJ7yoaIU1SMaL8AlrX49tPK3w1EkJFeCeLNNL4blg8bJ93hJdrC6zVRW+OpH6EvIJU2
tqMBzL1aFJxREpfb2We01mvyF9ImeKjrt2mSC7nMPsDYgVitHH5/zQOPTD6fTLZWGWo3i/xhdDKM
vJhzxvlQBfWhTdqN3xClaZJB0KG2QL+DsaGOouuC51MT6JnJrFp3sXNWRvoIhEPjtlN55l+bWfyM
QIOkIUhWCG5KWu4QMSiy+XYBXuD4k9Y3oXX0IkiY2IjWng6TbcIWrYBrdjUBYJQdHsY6H9G6t3WH
MEeNkxJ0QVTWXdFE6JnYXgqZn1LfIwIGtSPST6auTSc+JCQdUPifUeVcRMK4rfIH9C8bcs36tMNk
XW4QJA1vjT10lB4qvPPM5goU+0XVPhf4hya8o4lGeSGkTZU0lNj+TAyIA1kYHr4cRMYQsRc6DrYm
0Nb7rHNu5mL6hnom2YBFPPr92FMtjRCMpkPapvXGDdKLoYtwfMz5Zxx3H6GyryEdnZoGEkwuqAeS
2AjW+TR8t7m21okqjrkd4M4Fi6cFhGRsR8lhzLKN4RK/0KC0WaU968pVVTTJdSJQq3Zhn11ker60
Clfti2GId4MM7hon2+mChAzQNNjw4/RAOMCVJkJ7pbL6I+jMj6LEbzdNR5nCanRh/QQ+XVxjkhwQ
tBVh8WFy06XpNx3bt2Yzf8fdjfIAVdq2NONvqpE738KpNk/I4yp/ArkWP6LKfUwTfRVW4l4ZfAf1
5sptJ3MDjS7b0OjhiYmOKDAuIqegmIznrTuHzluvmncUwV97XyL7GRPzuhniDWkXD0gFNtKD6Gtk
GG4QESVB+xm27dpyMT0KIjqbsbipQ9YRkoA2qrTOPCSh9ZFG0rqIjAWEjs8ADFzlbBIju0Cr9GYN
ctsscVEdoRfT0Z/R3CMyC092GDNb0psiJqXAPASEdDW++ekgnbCCcF91KCh2szmuevzAm45qj5sf
cX1Mi5STRNnspWvg8Wg2JW36NDavpuSaQf1DACb3wpD1m1GKyyJ7lvq+HF2kD+aiVF4hDk/Aq8DV
qd9g+umMTqx67j3nE90i/uOydwXfREJnVa9hGBPx0pVu9TpAf0IhijgB/VwazFa1ctImCTHZlDYB
HvBPounOoy2YLvpmJhJOImO2P+ykV368U5w6i5zZiD119INRRK9YVB2yb7zJTYtb4WhVXLtmldcv
BF/k5iFCqhxf+E0Ngg8FHvEQh2CyJuKiWgmUYiYjw2G/hjxlA3cLGTM4n4gX1Ybyvaly71r4BDVs
sMf1t23UKQNzmaqOY1IuVpU572GF4GkmKaRNvGgf1Uo+Z2k2WqthElWz17VEES1CTFZNkdD5ko7d
czonc91KBC0hhnyGd8rZZgU6qrUDvhMyBOZFCCWdQYIbGUigZ7TVjUjYqhDcRNFKgbwe5e/NDFNw
G8D3Ah2gwhd8+kg1M254HCnCjEISP8gWPrObOVLTbwhuSr8SSpm9EQ95VSTZtQKnfi51IR9KcsfX
VRkklNbOdC/NCnkLFI2XcqGHjUHwJP08WcdDRzSpAqpRjTk0nJ5bp01BXCDZ8sdDYYGDgvJ+UZOG
PWDnG9nH2cNZYc7waTFzBx8h/tCu14ce2nCY9nzw5c0gScf1/X0q+bsbJsvdIN9y0k4H+jTg4C3g
gF3hGvm5X7TgeBAeYgKQF2gFOSTxFjYW9pqef+j0t1llB5eJDyPU6IDO7TDgFK8pKjdo81rA7Cl+
9RiflkI2bQwt1uouuDCibBOwEkSyab+6C6XBYiO3og1EYMldhMW0e3LA1Dd9P69VfKFncOjsThmy
cUtadUR+U3D2qnDHiOk+ELZYVa4nH0JI8peQ5iWR1GyPw/EWYGd+VFl2ypu0XcVqDDBXkmjYE8zF
X3PflezASA7/FmTZdw9R8EqS/A2EZ6o2JtOcgyRLaa1dd9tgryD8c9pWI/feTMq0F0T5DY7Wndnn
35vOuFQEQAWO3qSNuPKiF7IRNf6K+MTS/6YtbDTcUEclq7EYQHV4TfIZ7ZwH990YL6tqvnOyMkCL
AQ6jafIlg6JftxU2+2o+uKL5Lqb2xpUE5hT84mVosddmAxNkNC57u7tyGxT7YPMne9U5ZfzgU2UH
A3pe8Px2Yvh7BNU7AnfW/nzZOPkGffGmp1ziUer1n6XdPqkkidcVaK9jO5rRluyXdoe2aOcyF0da
XT+27ngxR/18FRj5wRFNeAnGeWfH1k27BNUXQB9WgPdvSFdI971KHuborejbbR53u34ejqzGyTcS
HbEGFVFayUs+YxKWHjIU3IfQuuAHtcnJK9W0dfkEKje+0zbr147p3gJdEvmBMA+UkJXjn4w0+u7K
eQvB6p2IroNXciFBcx5G5kxgVVu/xqAB/+7YTdAK0nh6qqx6N0FUC4V5CN38BcfBucK0XEOQCwWb
aaP4lkAQGPJ8CzY2o4yZcfGlz9JuD/AeDm1QXIMb5jYUobfzbPBz+NP2sgYlrMcdMOP3Fj2ugiET
XEaQtyvWlPQ/HPUcxv6DHiviR9EoVI800Fu2z/t2eK6lPojJyZ66SvAUvPZn4e/ztjzWgXGwLBxx
BnSrXK9t13kW9RtQgw+fDKaG9MOgF9/ivDxZqbVWGhjQyKwz8PddbDwiZwm2eOWtfZF6+RNrmWe6
Jlg3gPaJDuUpV4b9ubTFPsyc704it6KlpKmRlOL0JQdTWuO6iJq7ONL1tNE2hH+7ejZqDOV2YBIW
OxR7u1REeLYssxuOQo/cUBLxIAJd5QlZwv6rE26t9KTjW/zd26THeKTjOVqXkPBuhqp8tr34qktE
iiVK7bnU3FUYWUBigu7Uo/XXonwbVXWqWu8KcpxxrOMKOkoCl8/1GKSEwrajFWDtbJs1epcnev46
kPLIk/a1ypivQZYOtz6Urc7dh5oHeS+u1IJ9YrjvHQA+Bo/JEBywqTJp+jqjGc5MDeOjVC9+/U42
6AaswKEvIUMDW71FREoMhBScDLoHWQuuqMVds0vI6Yapi6vGntYq4fqZmO+UzhVrjT0mW72JbbGM
JfPmsYRd4TIlUvNH5QFe4PSa+kuyk1BL1+O8QyDDUNgy0rMuhmxTV+qhaXjEmJV9U+bT+DJbev4e
x/yfYHmEKaNzwjW0bbobvx0e5wleGyhtd66PmR0QK2yBTgQcTDT2JpnCS5mhZa6cXUOihV23W1tl
xAbmrnE7Txjb/Dzqn7JofsgtKixjOtUtsVskigOVJlkPY/SzETinxg0OMu+PTbt4wQwSQF3/0huj
yyT2V5GfXBmF99zl40elkyvsdn5nv8OwWR4uX0HxbSLyLUiCQqrB42kAEP5gm4UB9dNG2qyyI2je
g9OWJzOZz1aCnXbsB94Hu4K4Q5RqC1jT1jWQIxxWxWZWaM1GGlc2AHVzqDzSWDT93TrEpzvgJq88
Yx+Rv+BP7Uefl5Cemoh8JOBFuG0PWgOTViXC64oPT+M4QAKWTgcInI9SkBUK+gQdfps+EOV2XgQf
jRUcCep4pBC8wMtB6oUGp1eTFBmzpRDmc+3BzmD8bP0Xe2eWGzmTZtmt9AbYMM4k0OgHnwe55vnF
oJBCnGeakbTV1/FEojsrUajeQL/9PyIUktzpZt9w77kEVnrfPo7rifMLKMGfuAbvpgiINku2Hf0H
rpVnHAnr3lPTtnCdcdX3HmtSH0W1lurUzuqtcK01k95b00Is93v7d+qzv8ksdirJX1WsbkDM1StM
DxBs5ou3sGFJ4sPC2xJAMyuZ4zefMtxlPT3BNeWvwW/ca4E92rHXOc3dFh/MW9eo+DVf1HjjghHy
qnDGRqR2jADvTMaNnIUdAc85PWHiTm9B637WJeG8YZzdYtD6wtS87esK1vi8rPMKR2hm/6gxXpdu
F54GfdcReSfD/tD1UJOw92+m1ruPIMA8dV69y3vgcYZQMT4Q7UPZRbvJMA93s+k3MT2/onQajgi2
PKPDuUouq7tlhLTtZueL9S6A1cX9kSkBu42fEkc3VwermOtd7xcbl5ggnBN6hWSSfOVQV2d7JtUu
9768EKNhgr3jlPjLU2TcPyBQn2nvba8iZBb2gYx3o1LYVwibGwrcnE3yOKl2x4z8cSKyUDvhFjk5
8nX3px76QzQxlpXte0vhXsKaUcBfwxo0dnSOS2/Xk6ctG6BA1UMY+90jQNlNpvWh90Cea/I20z/K
lPtselNKhpeeUT0AuyD/LIoIcTHJMg0yve4xCTSJkgQFIJn5hoEkIDJkZfo3cZW55F4ur8vxGsIA
BIlmO+aKN5iCBHbU5B7TqxBnIcj2GURWey9sI0Ch8+x1mAHWpcjUW1WzQfFRYxzxvC2bfqF5viKu
uooS12vDgOFd0+yo51M6ah7gjC3hJginYQ8DAqVBC3khFn+kd+WIC5HYx6KyyZj2u/kAWKLc4/P5
tBB3vrBYt2joEqJxsF+/DaEd7lNyxXYxErV9LVtQUF40HD2A1fe0sPaDxCRzkDLwWWVo0p2bqnN3
aRq5L25a+xNh4qIrCENYnEffyNzn+wNNI54j8J8lV9kJT0K8MgQgkeOeOBzzwDCo6gt/4dIIiuaG
qwVWUpgbYHbXMccAZ+mStql9V2NdOOHbyKqdmIrlh+UpxIelm4+cQM0xGdLlqJvEwqeOorEfsV0O
PXiqGFTBImJFhmE4vxVQqo5+4czvQxuSJgNSnwuAH/ORMIPpV1JP4aHww30Nteggsmm+m2W1/BR+
TNMrqmW7EC/croeaTdE6zOmCGn6z5oZ1ZLq1m9bsR/S+5Bgm0d7iefhK1BDsYwJQ/3CQn3RRpig1
tThEIhrnDTfV/Nfzo/Z91JoAMAe6z/MUYI2eVe3doHsD2tOgioOG02QH0SEfqWjVhxz6+OBrt1gj
rqT/7arniPuwIkI8lzvFi38h1K6GDg3cRNmK8BAdaoKHrvPFlqMEwANDGFmQGe7fBs4Y/pmdKn8W
cIZ3CwvPfB+L1tq1jkBKPKXNmZA49wZCBR438hgKdHjdygSCuDISYyAGi2Z8CL1WfJJCoz5YUQvO
VLawD6jwaEiiqSr/JKQJguHFpLFxqG4PYTcCt8DSeei8mSa28jP/pxYlkddZ507pWkKCOHYod87s
sYqTj67kht1d/z4W03LMsTidkdpcgfIyDizINhj1XL4rcrwRhF3JMpByvencN/qnZgVtEIKECI8Z
MWsjSE8/Dh5sn2eg7uPHWTVfjuz3XS9PU0FwOWnSehVENobzkaUydk85IunDNcYEAJdLFCHa9Zdz
m4HoXUnN7b+aXWSzWF7jfZRNekMjr58Da8IFErmCqCH6ehB6Y+jTe9RyF+MzX+O9bfceA9wr4iyU
qCrrdC94VRZ/IRSbz8CefTqAR1Uomp1ksuSe9W++66PW3qCGgEUYhdNXNDZvWsc2GJfZow6oz6U7
XVorxChYlFjC4jh/sHGXXywvfAS2tqui+mGZB70fXTOqQwO2LWFnpsLLzHK42jD1V09JjZkc2Aaf
VCJIj/jEBg/y69ISQ9722bkTsHi2I4wgihLT79vZ+wNd7wocY/h6SfwagvRSVsENFTLZBdjZuDcI
lodrosEu2m2DThM2zj7oYyKL3bZuf0rHMPM0YZDwjpKgs1Z1/0BYwMgAi16KYkSRAt5WLCyNIvDb
GHg3K3ZxndxkSC/XhuzXF2u4MlRD/t0TcL5rAFBY3mDW1IccTzQmqxDUkVCXyQH16KJRe3Y9cy09
TKSPE3HdzBRDwGAjgwqu16IdLrP0hp1iwXPjtBLbndF2vHPBqNDz2cZmqDKOhC5126yiDayV2OpE
iX2Ps/uP3SkEF4igV3mAJA2A+zYONPFW7l510w1J1NOjM5IDuVKumL9DQH4rv6QOoWEuIP4ECXa+
nEv8SHvV/UW1le5MNOTk0WvYg1hpU3JO0vls0HRj/WVR2K1bDMDEgTT3mCpaip8q6R/K2HU+E3qw
eAVEs2YxPsNNkXlydm1ObBxO+g5z8KunupeiGRgsjsmDrQHB15YTAC1u1i6Mtj3jDo+XF9dYY/c8
3S5y4r2B8fURS6u5KV0mbWVYnjBIXVub7NO1rfQA7vcjqPJ7ex6ftbR/OUbWEy8lZSl9uHWrezBF
1dIwrfGmTSeGd0Zg/JVFvo/SJh6sjKY1eU48S6BXrpZOCx6cT8nml4Q/4Uuubrrww2m8JyZJ9l72
eBVxxt1PM+QyspX2lU9ie9FYB3SCrwME401ivPGBORPpvvMuY7aai2fX2CHJUETgcf7ZZc+81/K9
7kbVUJIsBCQcwVa2NQtv5HVtDipR7yMk73bIvA7i3g4fg/MpF9B/XAaAGIwOX7I+uKaU4DIXzwvz
+RW5MHfzQOXgx9V36Tm3wmvguclabVTUkCGZAzPwRfPt86y0nMobV5V3AkHCNu1IHIKMOIXTUxl4
IzKIun1kIx+h45tvusJ5qyFCD2PwNeYvA8tAIZttZiBFluFbU7KBwI7LzGmE1ZoUKGZs/8vEoKJk
Fr5MIr4sIOxRDybctXrNFBGIlLAZpuQkdI1QN5mN+Ulzr5nyIZA4zG275VfdkfdBq71siW3d0Te/
4tHmXq88DUMOIv5EAHrGopGBq/cYdjV5rHX/PCl1J2OVrmigbyZSwzJBv5CVjthmS/k3HXTPLDJ8
1KLLDwV12g3zhgOAzOxS2BR5LEN3LgG498isCO+K+79uQEFqmqa+Z0D8OF+lOwFpvTwi/hPKzhOe
f8yVWRhvgXbRJU8HdjreuyLfalu0ryURKPRF3QaF6t8pgyJepi1ZmFMKwwzKr/WCWK0+TmBHq70b
WB9MDs6qZlZtR9Nr5Ki1CaEeCz08dEvz0+JhWxs5UaI11e9AQAjzld+5tt+iTuGbRAHAE0/QToYC
at9H6GOZqLxMV7ybSLqHRLTFifGzuViZ7ODNJMPOKzGZhkGoNt1Anv0yfwYloW+JzSvHNAzwXPPM
NN7CNyROMsjGfT973npA2XHxWGYcfWRlGCC7fxgWmgvB1+4mLoINRoa9ILVwI+yOV06uwU6mWIVK
n1kOwRF+kWxqHd+gIncu1oBvqbCi6WFWgLlHQRebxthiDfAYOgMQe1f2ZeOCmvCZhrUd5Fby2rdz
4jyHmJQgeOXOp/JTqASTCG7dOsGfA2E5vwtykm21S7ZkxGYNSgZK0gHXhFUMTwuY4w8u8vkMXPWP
sWT24ZkkuiUd/VArHpcEY6mkN2I9kifrpO1OdEVgDOU2k1GGMbjEvlC4fCYiiAZBXFg71yX6rGxu
pKr3yrTgHeKvuWNgx9gDKrrPYix2l8voYwyap78O53JXFu8pe5iG9dBaY7IxTHE40aC9OY3Ypqny
L07A57SFhw9n88fJU3zi/NaUeatwkjtUTi9dPwbHEm6uR/rayi7c7QStyAthFFj0cdJ9ySwgGiol
dyiKwRYP3bshtPMmDsFSJ9CYKqwJIxXGyk1Mvncy+Exefqo7cRxsn6k2R3RKh5vh9/r0O1yTWqL1
l3X0Yib3W+PztfL8ZOfhIS+LfVxQV8HYDJoB+za0q0ICmbGS7nbCj78uYjxWOFrbVSyk2bDSWEC2
JGClMjj1c84vyeyqaQEQmaMzRCVVq/KxI9zUnl8dvLYsUEtbQDoJpVijMXpeZPVmufMvWyx+XXOH
XJk4du9aIaTvMQMmBSaM7MWeUn8ST1mevcy9Bd+hTolFMaC05FnW9sXvg33OEmvF1o981unExTgw
Ayb+4brX3I2+225yj1YkZLuRFy4TRxGfSxuGimP8t8GMPDkYkyAb+vaJdcizFYOOUERldFb3Idlu
b3QovUvBb7JrkA2t24rUoMinbnNfG/LDp99uYNlh8eij+8mpUjL/75gEnz00oD70Dk11haSBQdql
nhu/NL5bnXxi2NnX3LraPDdZ9tWI/kPMrBUq2SJaWdZTcttpQlBR+C0rYo29XY4RF5701bOFt8lV
1kpSnlE2IB5t+Lb+YD/oLifuldchz6adTPCF+BKZnjiPiUc63cjpYCJGDQVZeqRiwaGuxda3dyBZ
1kNuDjFKxtXQNvidBLpO2n7SZUkBLH2bTVcGiwO4zD6tvOglLJgvT2jMN1YRDnfk2nwrth16sPbX
Fae2Unjxjkw3XWpDBmvNpw83P89voOFuq5wwYVN6NDBl89zxKtyYwuYAt4NnG59WgceSNF3RI8NC
AskLzXPna/EbiO9c99Mfwsjw7IQF3/xeBER8DY2Mb8MweuhhgRShC5mCOdDUVq+Fg7Hbiw0Vt36y
qDUORjQcOOqr5/mCyBVPry4D2Rxm4moZ4Qs4cJDGcMVf2zNTZamRkqUec7VfE7yE/YgEDV0ZH1bT
5y/48tDvTe5vYHb1wG+88roG5WCavDt9viNtlc2ig1K/YtkIgxe8iHmUlCB4itg7syJJqt8kQHtL
2MgqEIbUN0XZylVz13HIh229JzEIXSmc8xj7eZ3LczJVZ7cDoYUuF8N7UR3y2j3GqDRxkQ/lNxcK
QsjYa3e1NUAkZro+4J3cxE7HfIY1nkAjecdH6yqLNI/0QgTbsZSTjSFEtfeaTQMQb+WE0zMTYMZd
6grlYBls/1D4HyookHVLb5+H5U8yTBdI4W9AhPnoufFap/dshNZIFLcFqShg8t1NsnQ3NUVhhQ5J
HW3JIsWNmKmR1fFa2eXONQu8ydGWj1HRfk9u+TjgVsLvIY4eDJPVnJ1jfJLAiN8LJM3r1m5/qwY5
wmJBgeUKWdsiu67KFob+frKsHJ1dqtT+ozDEX5xrDr09eGdBzMGmdNEy6HQbk832GYiqf8vMqPfg
8qAyMRSC/4mLf7E+0CsSHtsxooM6jg6E6FKoMUNYnLzqp8wlmFe9jpeU23Em4y3ZRGJ6auwGY934
y6yTfaaQfLDk8oLCKvtUur5faFanngF1q4EdE16nou6MDvzstGAozQe8v3WLS0a00JrL8IGxHeZd
b69kBk0rXzs8i9Lt94hjOzpTksfpV3cInY/lyJnkLgMWiux21NGq0pr/icbboeVqRjqJXOGO9cCx
zcFINXAsO879pB8vtRYkw+Qwei3GaQ/aGagzkXSQ0Xbn1t1Gu6+VSlYJi7/Ye6rD5jQu4pSm11KA
BKo1dzYdoNhEpDseIuvd6ir2yrY+D+GE+mfZ2y6OXRveTyN33LLwDRWca8dZW/ogoooikmcvi/bj
kn7jkQRaRjBr07Bs6ShFxapMwueBWT7ZueVeeYTAtlzpcfHoDN1bSgjCWCTbFP+zJhcA55+d/rqg
d3yI3+s5KI70+Ku+CkjhRdIEzOIImuqCQJlP1pWRXiRvwtKnwma0Uj1Qbk67nC3xnIO8rfIvv6+h
hVvPY0Vyrk62rWS1a+gbXHqL3mZt4JwVlpg2MOPGIN9ftRW5DfyYldNXpMSKdO3r7AAwZIUnFwSk
2dsSl06OsgqLtyyrL7/03nS4wBcmlHFmth/UZ90jtkdgbfwufbCGGiNlKpZ5GwpMxFneLn9JO3TY
lXu/YJXWpeGF8ttHERdPxj/F9bhZSgcdpL6dWJpwsPd0VO2wnWMY0zl+5dkFuyVIdM00SQwGDPNp
4X7c1l1x65adeRkoTzkgUwaujFNI0z6BbwUICdzQ2OZ7oHDK+uIpLs1TNEyHTEXsyav4khsodZ1Q
+S2SJHPXwJOfHUOpI3/+RVX3X/go/s2Y5V+Fao6NVyMSV9MZnKD/LIDEp2wkgVhIaZrQv1sKGXR7
r1bFD5Gg5Vs3TwxSM5jlN7NuUXgjzBid7VSy6t3+P36Sq+//XyVz4VV5R5CbH4l/mN/QfP6rZC7L
KLSr0a5XyPeGL+BcvNM2M0EyUaq6eOwqy/phbB89l6oZnqLRnXYsLgdsGECf/v7jh/n/ql5Uvf+t
7vKJIMf0fzypn6//HAR4/ar/K77Ez4TXKeYNgy6BZPafeAn3f3poQVDrei7haMLlHf6n+BKLpMOg
9OpoJOJM8Nj9H+0lXxThnIojG6cSkk6+0//+X8A7kr/NP5/f4d/+/1/tjBDj/s0Y5CC9wYd1NVHZ
rhfbV5TFvz5HNdL6hqXUqwZLt3UMrMgbS0bDWYDvu1NAFgguI0qIkmZCUJUO5GVGzn4hzXWPNMh5
gCgwnpAd9iu9cMO2g03bokvySWg1M6/4qtgbnpPOO8J/uM9jQ2oeuaGsjyVpHk0dHFQIGk/61t8k
jENOeM4ViKh3jKsemOMei8x6hOoMXb3AOWFV46/TJ29k6N0ldnirHYgyXa/xblvyOInOByfqF/cu
4cTPY81MC4WCO5+t4OqOj7xiKXflODAdFg3z41UblRiKkzz/TOwoZ00N9UhnS3YK1eg/cwwgZqn8
D9aqVH3YjpvvGnFUyOWY6ptkdOxDZeFxZBimnHY/RMweIwjYmy5hWTtNvT5ERd8fQWbWDwXkuC83
k+nB+P14qIjqfXHUkJE2MMnotspabkLepXTrCPrMqvR/84qsL6QVzkfjwVKwC5N0u2kimRaU50aN
4btiCAp9rc5usi67bUx6Mp68R5FxS0whkAH/GPbq0cqdJ7shXc3X9zK3uRnbhyjUT9CUnvBBrJ0u
W9ZuTc+Fb/tZaAbr2UTmAI+p8neTFS8/dRNfcJhTkpYZc9Y+j5LdbCCyRrKynnKl/rZphr1mik/0
pskywaeERoJ4R/tW+UtAwCDxXGjiumvtlTvLxOZtpgoigirjrB0Q1XWYq7auDIVqtnWdhdlxYEIw
eAdLF/PGTKE/fzS200EkqWcQzuTiSR+F3oT+sXsf+l68gWfys5tyqarp0ePES14nm3RD3sYoNhaq
GekXuyG3S7nuq9ojmXlBk0R+hyasK05hgqOIVUjxwGcMCEi3LORwetUmjP4S02QYNLkVM9kex8uz
3c/qGcpF9Kxbhp0abheaVo9hqq2qEIpRq9a6d9RTdI2kSsyYnCO/Jt3NXHFd1zSCvQOsOkOi2JS3
aokImIra9lUw3ngvizp5qEJgS5veinlqSFr2pxNjdrZacloIHgkrPcptFdaSBsJ3mPyt/XpJSe6F
gUKoTdtogF1dCkrfbQsCeNH3teTSuzxzHg/9flgW1DZWaG24s+eZGVyuIccgoKWZv3r9vCneoKuo
UFOxrT01XqQuEOqCeyggJdsZUryfZFQpdt12dxXtVMW7hX9/N9ljfEQUCbUpArBNMqKxi6uMohk+
hZESMkPCYMYrfexwkzgB/Ey3EibcMcLuokQQX0aHqHQHrcGxoTcn4Key/6JO7R54nT2od7rfpSMV
N5NXPjT0rkpj8WtyZm6CJYGTVog/3AYWMaVOewutIz+C3bdOcyCadz1lBb1KEv+GGODWemyb77Sr
QyrIqd0uIHvpipme8RMuZ+COCrCk1+xCn2QKSitnPS4+uTihmRGjQsxfqTKFbdnk3n21dIyOdQob
uNQjomLVbWRa6ts09lC+pa15GnCArZIhCx+SzPhnLPhRtSYDT8NGsBFiaXZAC0Rd9EuLdxCqoIF1
QbU0MYkBdeXOmyxkRxNTFG8ISWHAoCMoN2RQMzGuWQsJ2KKsBJhPoBuu/nQmsu5ajqdNsfD0FjpJ
wW7wVK4Hj9HnykwVUu00CYNTl0/ufZxzak1CMqqSc0zezTXLZsy3rmJ1ZWjc7kZnfJWYB3FxymOO
eYuOJtmayP7OUcLgi/NzwMvdngMv+3GQGS8dI/oaoi7p6GSY4sC8SdrybBtvNyDJ5JRhpDUuNeoN
ZiuMwAXtClCWC56U/TTWDgNfuP6y8RP6i8I5MX4I1gkepmkTzzDCPIRG6yrmq8yUrRdrTuj8y3Pu
GErF8BfVNI1oQpiF1UIWLG0EmR34mok5ySPBU/aWifhv5Ax7+Cf3ZMpmTKFFeU498rKF5M+rvi9o
/UGY1m3OPmJmvjH5yC0i/zmulSSp1RCQdR3LjrEGppQzx1jKrH7h00UUGiwMuxsuDUkdxL5WD2Lk
wE3dsWN4bb4sKKgr2S8SDYb7Z84nhOvz52KCZ6y6x5BsuQ05E3x8r5PswLXnUxZJ74zBbNlKB7o+
kuAf7uR7Nq/OuWknshd65x4TrDr4DvODKozubF+WO9IarrkX7bQNBnelG4Ih4Ql766oOH2q4373j
fbPh3LAHQkxXz9YuYQyyKtiHp15+KxOs95HwX2QNaAcu+fc0jX8TGHnnJuIVotHcxCWsyil9AOJ4
EVdDYTpx8DNHZL6S6mwrF27cyL+kqLdtBEBrlP7f9Fx3/pzeF4n4VGo+Qd7ER6d54tpSPRorOmHk
J3a0AK5KNseOyE2IgzWY//ZbusOP110zM4fPdm6qzRInO0A/ABd9pEKVsO51Mj65I4I41fbTmZA2
JBrSRs4h6/dwJulyLDFoNAGqhrAhZSisnwfeHeBKrFYFcqkRlozNlg+UISmrIaqwLqNJG0kXZc6Y
zNsZVA14W6tZ50AmVlMtgGaLMgBJM+T1iTQe/yYsOV5wKAITruc1P1O9clvgmG3MLVGaw4imgFhK
ouz88I48vB9ThrhJrL2riX+a+i5GKINaIeyd16yI7nkz/jCAZRPkBYfYQlorXCIQguyCrAgobFb/
FFnwwUqGkVr05NDPIqfKY6bNM2IUKqL3JB/vAhwBq2bqP/zBTd+ckqFBQyzbocsZHFe44fd1WU5v
JlqGy8RhzyxRpa95g6oy0BYI4Wz+BbqtN+DzIWM0icsuoN3lbOe4QnO5acyEhSVPimfb69SWD7a3
Map/LoREPsP1Pk52u2OREPHVPcNkv1dHfn/Fze1H61GVp4CoeDVS70ht3DWI1ObSx8TRlgKqlGPj
qLEVJ0sb5SXbXObpgyPrT9ssEgUsHgjb+Roxsu8HEuiOQxHt+mlg2cb4H0ON26e7XNp/yxQAWtT4
uwVd/3qJw18tsjcjrqGPYmAL3Eh8MIF2oJ7Xms+vDj+z6OqpKOPoJgLWDScr4mM1tOOWqYzc+Am5
JqLq6gtyiQu2bQWDtLvXtjNfJOkSZwhr7mkO7XsGuvTLmc4/GC8RAT11MJiRxt/B1KlvR1tM67Ce
30TsIYq5uowHzmPyO/op/l3sCjluHQom6lWfDO8WJgAQ1IiLGOE+xXFrbT1MVh8Dr9kTEzlOqkXh
T8BCkEN/nJfnkI0ZM4PQGe9VeoUdFp6LNZzqNOi2NfflGoIApt8KTNAwIn+WxhZHpdjYSCf7RgUp
npgTfOKE726lbYX3piNC0JL9KamkzbWD37YMygRYp3e2Ethc4WJt5jZ9Ufn186Hn8lyicpoKAgFq
jkNVtvlTOkfNk3Hbj7LO9ZkBMWG2E774tCPOJ5TAqYowQJK89H9Ezg6R4K/6kNlyi0VsDc+ruWnG
jpwxae9tPFsBSbi7ETPCKSD7k4pAv8b9l1D6yU+Lz8Xj1Wg9ZriZgw7lOva1LkPB8t/EERlo6X6x
2scaRSGZKvZ4W9opEW+OmdK9Hjg1JltAQUMIBR28lH4uvC06hqz95d+zwTWPbO7edVQ4IdlwQmus
vY2YhycrJXdxZxa2CdcZ7RyoXdwmobgkfev7PxWtoH8CedoNGWXcdP3XkSbMy1YkMyywldPz19li
YdImOqjSA7vSqsvPSAkQj5swpPdqY2bM1WwANpleRx4UPjcNtjPc8QsBSxbutLbMKKfh6BThIWyW
ehh3Vhtac8FpPkTBn0ABzt0HAQ6BYsemrSD6rqeuoNlzEt/yCTNgUuxfRNJ31bEJedphGv9D8urN
3cIlbkGMH53bwuOPeA441OJ9W1URmH4k6Ak5jGAKPO9gGDCVpMk6w8BaIFUhTKjCDeKQI0lhYjZR
FafxOu1wZfc34ZiZ6bIMscuwiJiOIXhOKsgkLnVAG/y1J3/+U4UVeIg6q5mpBUHBfcTAqtLX9fA8
71zfz6sNqPvodVQZ4ZpKIhnjJmEniVnoi/ytXr6h6yTkF1IASyd0uyZKNtpQCI+D/aK84o5N5Dsc
PJTRYHKVUOqQEoLNQqhnQ4i32/PZMAQdtyL1D7wveNkuBOOVVQEh6+rxXTk2Ke8F98bcR6Sfs+wh
+IMV3Bi+eYL6DZrwdIu0sNmXNSHIPTfoVqCm2i9FiBVA19xjfvwWaow8he1uvdr6a4JxONYxZeKa
UCVW23Z3SYguRYmA4sKnX0dZxgfQcxWaeJjXlm2SfU7kPW/xvZtILqwU+7xgZJ0HLykpcrtKYreb
57MENbDi8Lpbau+9ChYSOdOp20RuvmycHEJEOURvhS22Aozcaml8vUaQfOKzptduXwRby6Vr0d5D
U8sT4tJ3Y6HnrIZ3N8wfo9Lc4Aa695RhHdBfZ90sFiOTvZZNC/KMnDYW14jy6hZdrB9Wv8a1H3KL
kgFzD7MwZgSYP8U6t0j6HHr9An5EnXSGtGHuOHjZkgSQiQBDQiBerrCjiCRyPKr5gQwr2BAtRb1e
RrEqlvHOKUJUpxWX/OzkNzHy3C8aTbFdeutXlGzs4sRCFiSjE0oJqlI1Msutc3WsM1pCT5Fbmyw1
A/7w2CfVp+7qG4PJYFVn8inKGwTtyurOk1uAoe36s2G34be92ZcBoBCsQffo6cmdyxtmvmkMFbDf
xWGSoh1v2P/5X+gk50Pi0meFxodgIfJy6wYDDU9xIWdIQ7R2+Cbh/ClCbqxFFBylRVTjJMvyh1YO
XPoFwAbVQ0JMKxd5c/foucPOFWiO+Lnqrcdrtu18v3qILD89ln3VrdVMaKao5z+iXb5CMnY2dQhc
Ehm6gyiRNEAcbau8AsFn0IHrgDxP1+aQC8mRmPD5LA075ihlS9PMg3XiM/kGX91ZJ9e+MWXDz9oj
o6+J2IRZafLr0RTu3Ll5Qyx2i3iXtGBD5k7tlek5d/tjDURvpbIZOY6eN2XI9prhFBWCRWyp6H61
7p4jzcCfH5BYHnv4YYG6Snwod6Q18KDFIM7nSH/lVvauSNBdV3l4jnNlVtNA6KAV+asszVHq9+8o
U4NV35XRRoHJ2RitJLVsleynfgI5gvzF8CNvfYdksLKzaIBypOXYnNdp6jirzHLH7Qx5jWGRKA5L
F+r1kkGQseYcbVFftQdmQwO6X/uu6elyW4INNszGH12NtnZMaDcEQ301ZijcSbjGGTVeWPyS9eSA
6cyL2GeKoz8ct9o7Yb9FL8zKxxC5VOPSeSALI8VG56GZta9osfl2rpd6jVvry+NM2jQJZol+VGYr
ZUlbHJbm6OJ6RFwbiJMzoguo0hwYa2Dtw8bLL1clLUCj9I6PPHRN9iS+YfnunJeopCuNkI3WCLsY
DvnsBlEfsQml2ou95aJbdxfF6c5mGHStBVYxkQL5jHjFWiTupxqhU5TeCGv6yDv1ZjEFkkAv1tiM
b+PMXyhHijUFHVJk/nuyLnlepXeiSb9DZziNCG+ba/PnjNgZBe5Dy9/1DklEVq/YAZnErKOB/DFr
+JNTOCPVMGtDR1INzZGP07ZgdrAh3OMQD/WdQtpRx8lG4BRvnWqt3GHtMJD68Wf0xwuhbm7+W1Cr
K7gIfXRd+FrWpkZJFZKxZEXtidCtFR6i96ipLlNrHYqpOdf98hL5yUGG4xNpt+y7kumj8OWTg4cY
ESKDnGVGWbLUpjwh1KR8nFFuUdTUKPAYmtgbXQbywsKBDBeDY+K6gULm+4oP/IgSzQFhW3ekOwXO
2rjTg9MVhu5Jpnepzx8mg7rrZip0t642URIzD62fiKra8g2fhOeexxJBHHvhCykll1YsB1MHD81o
bVqKl5SJ3soAEVh1HtOqlmpVmuFupCbeFs1oIzPkuCnTN92zL3I0tl2OgWGILokTM30YCC/Jkdkc
EZiQJuREK/DvWxOQA0Iybx9RZpGvhaVlC+KVdt/kr5yimwjnhOdMPyk5hRs5o2GddXLnyf5bXxVx
troZ8/JHkODOup0INTAbD5mjE2w5CGC86aYvjD5loXjjn004gqJ1K9tNKkjoqOpmC2G4+3aTdk/6
zCmtWlCjES7ghplzDnS3ZVueR/hkGsVQxp76LzUOwJaJLdZl/+kWZjrX0XKHWolmOSw9VNtVvp99
RDDuQkHF3q6vv2J0alERnlsn3VYdvaSbIWOTjHsXrV8S4mN2XYW6zapHsVbETGVRfbeQYRsPjk07
7F/P3L//wd6ZLDmuXFv2V8reuHANcMDhwJR9H2T0GRNYZIe+c/T4+lqUZFLmlUoyzd9IZjczxQiS
APycvffaFQAxpirB89wNGcr6VevEp9mi8iroMc0NrC567yIA712FSrpHlziuBq8eTYCVS1LVuCJY
Hfnb1m3UxcZX1D+LposamL6d2aDFJxIn3jxl5rchYsU05uk87TKXUYqlIw6fOiJFgmul8de2aUb9
Fbwn3Skyb5FRnVahimasd5y6TpqVi6louBlEFOC/9yatXrznQeWvRwpwvneCfuHT4JDrjjiuDtd0
4Ay2somNENiirM3zWI77fn/ycUFZH7TUfWUDEbpHJ6al6mVsTU3kmj9qiOPbA+B9z3FUt6UeoYp+
6DGm68AZ+J4HXa3zJ5t+J6bnFvEh7aZ630sVSBRjn8WN4xXiKUsafRh7onKcQ+W0la1HxXRq1u7W
S1poDpwetYmNUgzp0fXKVH/SwATCoCwJ9OOpKcJx20UehwQKIvUF20NIecjUP5dVywhc6JAa+Vo5
1Pmyu5vNs+kbLq061Czv2HpjLSIPkbE8pYEWjFRkcUfOhw3ucUKb2WSDnyqckkRvSQsLC33XivBd
qKjl8YumvmZL0hx7UYfikjmOoy+6MOktSwenhZU7+TGlWgx+MMG7nL5YHMb46icKd/I9qyK72Le0
hA1H1bJwVAW5EGuqN0bRF/ainu1kX1ZWsfdI96PjpqWPp4MeYfy7EWIlasF0DqdE32PFRrpGl0Jv
95QggTrATZ7XsrBqji4dvvJWKtkdPP6ME2nR3ddY3r0aJ+arSGlI4QWUxjfeR0MfE3U3hUV+iDxH
NK46g0uPH65VK3d2piWSbbrJLE2cWTGuiIcek3VGfWWiFl4SRaskENOW5gcw6b2Rky6q0l0KW3oV
5G1+jS0PXpXtnSPZ8LFZXI0HS0z9LYNQiV119rlAw/JAiP0chxAhggkBy52zTx3A4yJs0u4MBip8
viUQnFS91cP9cjTm+UDQpkGurQBopdysSzVwl41GDHKljQU6LTZGQvClK0daSUKQ2Qy7HFDVtOtt
JybdTTS2y+ubiVq/LOCVri2bjmUnZogqFOWsRV103EDDFlFFb/i8elwGk/yujbl7tZo59PHtJcah
8ge+TVplt4yGzGWgTX0nlb2wGqYP06whp98Vzj2Tgrmgk2lY0Uoln4RrNcc8Hv01lPn7aqboD6Dq
4h1Y2Bvljjuafdg6BdgDTat7LEPvJLqWsHpnrgaDuIuFxRfkQcCx0h5fo975AR5+uBB1mcBwxMM5
M6xXPy6ntdOPeKdcgnYIo4QXE7jgpU0bWUT1Dm8fCk6l663LNqgMUV1wAuMjGod63ZXwtFnMsa1p
yTR3g7ejH5Hlfp/5mzjNi0dlze2N1o+j23WkSFoOMF1IfRcVjDUOBiMjtTOEO2Sn5rUx3WQTijB6
9oP2nM/ym4fL0inuZkB2jJts7DFgWcr5FqAWrJM4YrcuQ4/smeRTT9gW901g98u8B8xRWNM+7311
cgtyxlMKARIYWruP++yty8xghxWR4TdueP8JEEO+qHh8JDY8AFGxFVV+teoqUBmGiesM+zjP8Ej5
DdByHH+sMykB5EO/IKiZN0JV1lqn1AmzbjI2TpINW8dSBu0W3UPOPWZB+43/MadFfKxS/IVdi5aS
GqisBrXrTEGZOgfOOK2IwGpm53xbN5Q50pTLqXR0aUYfuHN4eQ1+p+EO0wcuo1QnHrqGYg9/pNfX
YYvjOeNauxrHUIggxyaHxJGnY45+5kAUM4uWrZrJbM7CepwmNwU915NWoj3I20qUnJXFfEshEVDZ
hTtFLjqan39XdvEa2WPC6dSIkM3Uo1l3Dv11joeDP/yoXcM84vaCF+6I6gvONILpDUeHMopegxQP
11jeK7kbBJQoUB5oBWDgdz0D/ROt8wq6lACmI4tnjuf2c3Hvv2JYDF96176NafwNdIa3UH3xkt8b
SSdd7Mqs+EiFHd5I6WYnJbPhPkPPm6wS3ZGRBZMjHuNzZHbUsbBVXOQliXM/jUkC+wyuHjCPxx4f
1mrIG/D7ARiDBaUIwdscMrPmaa4Oou/0DVL5vOjDJP0sEJQXpUj9dqE8KgpdHzZdO0rqW3NF9xBJ
Itesxo1Xp9aSMjzuUCmnjUUtw88QjEiWwXoYTUPukwpSTZmU3/PM7E5V5vxMBySIwAhI7fUks8I4
2gCJ2+WOpV9DTZHOjLtrkapKL5OhabiDFP6eVBUHJujNy3gajrbrjqxsGKQUFKI1GJp4PVAMum8c
ay1V/5CFYwOMxj9haIMgycqMATV9Y5EEukUPlEIPrf2Ux/hcovIO3Bv7xzB3DwUP0hXOSWsnHSxy
NU6oNSESAi6m+ZMyH4srv3zR9FpWXrzviggLPzSntqrDTdok5XucOy5EQnqOy7rLt27iuZe6na5N
YyCkhCnco6x3nx28lHvHMUlvk1NfcYIzVr1vxNQOSEL4fUEcM7DBASSCbuxoOuehoYhuc/GLKnbf
ERJ5GTMRx8jIT9q4uznDoT0FfVrwDYyQl11KnMei/MSq4PPodEd719bGTFNp4l/psjOXfeW7G0BS
1rmpnRDau0j2Y5foepF6rnfzQnbHcS+GVy68FseeIHRgWO9VNVwJkb7ybXgh84DhcVJfQXT6JL9Y
zgYao59NARvA9vxTTJbxyH4+v3BiWqEt3t8E7v5EI71tMFQkkXksr62gMPeG47erovXzrzjqXmPT
+kG+CnKHmt5Mm8LJBUhgsRWlO+4ir4FZRFIeQSt4AaJ6PxX1u5j3e4tV391XjtdzBPJDj1ECu2oQ
9d+nkBWAO7OiGflJzyKO5oXD1pJJm9GG+yewjziuupvCjE8OIR43ozK+xO4cruNexvuKq3onYV+g
DzZBsOUoofZcPjapZiFx1bv4Re0UGkMW7s3Cq1+MdmJhTCV6RbfZLqGuieaEotqOwkoIqOfYKtEm
DiGRRm5vdHclPr9YKu1pXaoqXSsVlxc3MI4K8krkqSMhwOfG615ygc3Tk6l3NnuV0Basjlws8cHC
1Ms5jHwDbc3fHLCuyyRJ2SOOCGH4xlkjN8idvk4Jn2LNtp3gk7z68FQM/mmI0W3AYmZ2eA7tosXX
n1or6cOGIC0kj/Ch2AwbjLFcMVY37ppAynONgThftqz8awpP/2pQ+19P2P+AWvzFq/dP/Ou3H037
fxafRforju8v/+bvjjBqhZSnXOaGu4Xw744w2/nDw80nPT4/UH3C+gfi0RZ/AHi0JF1DKLuwF/mj
v9H4bOsPm79r+q5nWgp23n8F43MV/0+/GAuVkGD44OiCknQVI733J2Ohm2KEiaiPuxteD33gvLZ4
gK5VPAITq1KgxvU8AN3h4SXLbD5683hFLSw3BUW8uF8dRZaKueHupj51pna2puFxdyQMcaXGcNyN
rDZpjB+Fs5UUxvBAnI4955MNLT/YWDMEzKal2x2vLXNkmpbrrghYnN5t95IVhJ5InNpU07BiiVrj
Mszq1eggyhl9bGza3k1+EoyzHgTmyLfUmCzu1LZxE7Orr90Qmwe0ovwk+/au9RZTbzMhaHYSolZw
MKRL3Kgnk0JAqOe2Mkxw/0bxWOSwmfTQbnqXx0Fs63c3569RE8i+t40euHetaeI9RVKj2FFXOxFw
j/bpZ2CJszTGqyyLT2S0j2Kuv2pdHErRrTPlH6lIO5WKaOBQXVXoXq2woEbQaBfSnln9Wc8jVnXC
Y1Rlcsq+Fh56mK6e8JtCFCvURYT5OkSUqycSQATT4WhdB+89QXbBebHUGLq90T+5zXjqWcsP98ZD
tzQ+SEhTrynyW9uET/6k2UbI5AN3zaNs8zfXm08R24gJVFRazm9Dk+1Ru7ZT2bzIXqxDerCJ096m
UG8U9gQ2NCF+p/JLkwPtYasjjeChh7SyyAlZDeYXOzuF9Y9xmldlnZzSunwUnC1wLodHVfqbMaeH
EGTAUVr3vUjMuGXlP9n82wDuFq7hXyqtd3XjPYiaV6TJGRdUsgu9ZD8nEvkgXbXJA49L07MeulCu
2RN85mmBL3deGe3NEND0IvZY8xHFahlyTBDXrqBSRcOp+tIztEYMIBYqQ4u0BkrsKTfFZ0V8I7Uf
HGsiX+fore9n28bA5mio9h14MJXC86YJyxcZPDOyOU72qCmT5Ja9RZfdGsYyieIr0SYEfIezbQK9
RlzsVt4d8xdReJu6fKXaiUjm3tH6Y6Ybp8olu7OUiij3PPXzgXDjR6zDaxRQ1mtmD5NhkV8teaXa
1RQ4NpSFQlhJGYWtQ1DBKKzSJZ5ttDU6oS307d7b1kKcQX2GlPlYh7yKPqT45Bt0nOHsWL35JRVf
Eu/RgnSVYQIP8C7m/fCTktWbmfKI6ZFLILWFaQ3/0t6r4p2kqlgUrjw6oBq9qj3Z+P4SVb3EHeA1
SCyjOje2XHppt9HWI2iPN+JfG2c4e/a5k0fh+hQUqmnrTyO8k/So3VfPSA5mSDoD150DE1oVNlmz
Fghl+OFn2YxxLbhN2fCE7Y08kec/W/2u7h6d+gcmqZVNbp3wUCGTzdj2S0n4e/D2LhVentlQMJ1s
3Mo/Y+8YF+lOlwUyJ2kRhJmaripdKvgpKeJw/iAN/Z4puZtE8KIKIJhVdTKwZGAx9W99BRrAvfVh
zdsgtig+ezGE62HeFrlmT9rvGvRXGSEky2sDnntFe852GM1X2BYXPL9vnul8w2sKEyse1nOhywVc
rbE+A6rhuFcQMGmqYaGqnRMeSGo6vfHatHSiCnYuRDu9hXb8F9oSrrZPNNvASGI0cbHUccs8RLhl
tL5O3rQdUSNCX20Iztd8fbVJkUjav6IPk7nVwU+aV5c+TrxlW6ZoG+m+s9mIAMs7YmX8XsFFuhv3
oASSrTOFc9BzvwFt/3QPSZPHt/q1abGESCEzvWF7weZnVh/YFPWJDqPqDBiFLIoyj770H2yOr/XE
tsEZjOQ4Gb330AX3w62yo60TJ9+jrn8ggU1QcsgILHTo1nl0k26MJGRZfDnULuefLir3zkywxJeU
hXQLk49E7QWSYnSsI22s27YwdzK1+lNbCaJUk8PxlQfOo8wbcR1oRb4I8x1CmGyCjAS+WA0oAmH8
EoVuvKoaZogGBzCIBbVp/PPgx59Zpv1FWuXzQdDcyoac5fx0I5tRbVHCXox8XqdZtcU51B6LrZF6
8gGUO9g1tvfqnjVtaHNfiWAAF2P6O6oVNn5JPh+eJY1u7K7y6UnQud1RXJqZwL8S772O+hdQXOQv
tHrRMZ6TgQ8rVSkaZd2d8uIa51iqWJzAS5AW4OV8PPSi/D70/be5s58j3R8LKgFYEZGQKcwHx2gi
4lTme+VWwWelVbeMjJgSAa6O8QA+jssc1zWxjhJAwjLqYH9k+JPxEnKBDJ1+051NOCbXwMsZ3Ewz
eTPdsd0bdhJi8xzJYHwqEb0PpGOIs4862aLpswxIsSsmxnczFZgSaFEw5i2i4rBKQ3hzE6rLwpLZ
pagwcPs0wLgU/iE+vZud/dOYajAIls8mI2GlKdGhF+7IHq8bnRN1mqc0C56tOfhIB1oGq+jSF/77
4Ayfgy+uEkeh7bTfo3Ffi8ewHMxV5BsncCh3HpBTbBPTJPBOyu8wRIa3wLMcb4cSSiqI2fxkJAbU
Tgg1K2NkpDP87MlmNl3YA0Mn2xBqrWeiH42sN8H9HcvoNiGllzEyZ1Z3biOPa3pqX7G12SvszsEp
xwqFI1iFpzhKz7HL87v3wuodQx4PeKfufwCFVBvWzMFqREtcZZX0FinhmQMHjO8QOwNOUfMJHwjk
wxmTbGKB7MIAnZ5Yr6YXtHcTx73Vbjzd4W9vCLJNCWaSTu/EPcHbWbzLnuKQNLOZdT1840jY28Et
toTUbFY179X4pY6dUyhJnuY+gXcFJ9QOzQPHC8l9ynumn+6hyfR+5DZim8NONy17NnKttmNewvSr
X/qQ3iLsiEJOF2+on+oJGi7mTlbrqXFLC7wTNvhetOfDxDDlRcQBe7g/m8ounmqgYzNlH9zYWpwc
ia4OriTnU7SJhgZu2OpSeVCxWrxyV49wf0meilkzaX1nU1pTAZtu5l2zD5UpmYQnbz9EUHCIA2/s
eEecnKnWs/0XX4lpXtiEGE2eaegioYPNYSQtsxrqltVWntHRB+ClqEBGkjP9+X/z0gcz0bMJiG31
ZPTtnsrhER2RvpDa6Pa14fK1xnUADuCM9fJrzE5E9OI7cvqbUwUQnYr/7XSlSOheWQPw7d9NWefP
jgfaZxH/XjV0/0d/HbMMhimbSL3vkpTyLOatv3cNsbH8w2RaUuRyQBHQuAvb/G/RG6H+AOLg275D
8xa4Pfcf2HPL+QO4EP9ZCGwBDv/z30Rvfs/dMAGS7eHERSLItWnY+gtq/5e2IeG2ftl3MdbBAZCv
YsOPCcn8K+r+t7zPr/me+6z2S0jsry+ifICpDnVrxNZ+D/c4ea5gKoQfg5divZ5af9EQ9T+Y1eAu
fnn3/5Ys+vWV/uWv47v8MpzcPOrRfn+lUM5+5k/+F8qqWdhag98/tlNBMvm/fRlhUZTkUdAkXD65
P71MNxBspFjonaAPjqLCzLvnUdKg+h/et99n4PuHw8v4CtaXRbWUsshf/RqKErGHtFjb73NEjjGR
gf3GpAHdA3MWlnuj3RCFrZdsizLWzVn1H37J+6fy+6fGpG9TDWVT/kZX058m8JRvIflO893Osc3a
FqPRwoDahHfM4AGY5gK+WWgRfZTp479/e//V7y3v8UbQ/kpxzfz+e5dxaQhtze+1CMG6jET7g+Xg
NrPcgBAyzF1rU+bNPByojLIX4F60h1ZD9R++S//8rRWQ2wQfAt9cQe7s95/CneIqmyvx3iWRs6ZH
6bmuDFL28Ob+6xfyXVKUlum6fKEoa/n9haBgRJOK7HdgzDzGO1mv4USG+KLDcP/v31j2O3/+UF3u
QfxnWjiUS+XCn9r0Ctcw+NJGl3mykXwnhzKtFf51LhavrHIY50NqIcCkvrNEXQwOCqdYC1g0ZyPY
TO5sg3a6g1KadkDkLGBOfw0U7rwFRwX7Mx9amAyhhd8McBvcG7RPGmjXvV0DIeynGTOFQPWmcJcJ
yyXNX8DI9YKeKQy5FH0YLJ71jc0U4kzSzxFH9SAh3GVbacg60Qnvy44a9PmWphK7OQa2NZ89OXen
eJ6ncQMn2ANMX3fVp5c7tnNuiCwVN883ojfbTalGzezRLJHeQgIa4Ik5C+JO7B+q2u1qIOUDtTgz
nBS+657lPLl9AW9ACLIX62oC17bMB5gkS1x25XdLqkSuM9xt/T5whH6eYAv4mFc1jExO4obaVXHY
7LFxRCb+K7eEfall5dI9D+0upKtaLYYuINzcSyyoz8pMZ/uIlwVAQ57G/UdkFNF3bRacwFAvRQr3
wmLP8Qml2Qy/dtALHmdibe2l71xCJyNeTReHHyVavLFsvJIIu2cr6MF+ghYe2eaKMji2UFBwGjxa
YB+LBrMM/Mx6Tq9USNKri6BDWZEPThbAZWsZtGRVGo+oUw0FDF5jZi7VX6oKq57NOsup7rl91LPm
EQMs0V82JRkw16eh9MsWEVnXGnKy3aUt3GpLp7W5AV/UC47cqYw4XGJlRH9w+kU+qZmjHcvvOowQ
E2fSLvQtqZgPf2lYtNLrlQEoI7PpWRShqt+Cvrc7B6+ZYlKgDrYMnWAPhxb7FoOqlO0zfvI55bzM
yPBz1nZ3R9eaLuT2nsNiFZx6Oyy66SpFnGDPxO9qMzK4iNN3IAxKalG80MaXYHQBjEMkG1mmgq7i
0AvsxIs8Dqt679cNWLeurc2caJWZmscezdHcAjfXP4eJ/hiGBu2d/cgNq31p5d6brXssc63jZj+S
rBThz4qBwrk0UzaT6ashoj+IsDcwLWUxRiLuetHr5EUCzxRzlNgqPebzlQxSf+PZIMOHsQqNeWHV
BYVSZZuoba9xjw4AcphcIpomsClGwqrIYs4uXV4t2zJ3Fw8+pjdMyc68SIrQSo4W6Id3NxUmqxeU
hnhNA9ydeGT5bBkMAGPV1zBKR8inoT3OZPZdi7/qQLDDJ8e+NXwfAkI6gJ0I7r9MQ9vbzEZ9EDyQ
1mQr4E0Ejd8TcG/2M43tZvTdz6G9fGsAIkJvyGgQv/frdrkoQcdaPsP2yOVOuN6sXSyOQZv47bn3
AXrZcJdbXInYszQR1nSONXBRatXgd0x2SashfpcQXipFnkKejCac+SyjEJcuxrPr5FUZqX7X6LxF
gQp/a6TL9GkB5fIXoCTB0nLKdmBzJY1bwYOuxGmAnB6B4dDZjY3WeO004FqmzCb0V23GcpqHYwA8
OpGUoXY1b+imiZPIWxYNwxfkPwX0lLg14c586KNzzp2lWU5Wl8ZbqgJ5wsaQZ9KtQFS6sU8bXxvc
6vgGinvsI6YdGdhB7vIYAjvtYdiFAvQchEq+lFS1FisnzAFy+OWsh02fuLG7EUbALlkUHauZQOro
HJYq/tJMA9A9HSXj1XIiye4ZzxJLlCYA94ExHYENL33+QKCRWztrR/lKmC/88NqOAU6mRvDFBH/0
DXNAz8lnwL6sIpH8iJx5sJYRWeIPdG7zXNXg/RDKYxSkrmtN2DTwvL+UfHzsDCWLumVkN4ZcKKv0
P2ijjmHIOLo4AkZp76G6oXlrBspcJk/mXyMxsJESuqi/tnlpjNCLKVCpECnjbeSK4VKMFvzT1HDM
buONudevEnuOv+LHlkCCpgwmbGd/UiOIS6D3pgJcS1vHTxb89Y9otJyXDlPnN+5QbNHLLvY91jCD
RX2KwqC5rOjI2FANMdOlM0fq5xiO5H1mXoZsUE2sb1WZeuAbmPkFBsm2Mx9n4dzDVa3GelK5tUR9
ltj0oYUSS9nwS5OBxDmWttQ+WBmtcuqOlUzY8nP5dYJtYkGvCqHXMB0u5twMkA+FO10n6YifXZy2
p8boQePxCQwrlwcrNu8U292ZSye4lJQZ1Stii/dKa3/GuWIbNeZ8fIMRjd48JXELJt74zWa4TJd4
W2LyyXMafpsSloqLlsgxG8DJ4F4ooO9RBjDR8JfB2YNTPg/VV02wk/WQ1fO5tHrKP11PI5fQg2lg
qZgKYFzoGUWznk3oe0AIK6CK/G0N+MdrevyYedmx4Ze9u8ReUiSb2gjSdy6ZwtoOQSGipQiaXC50
1rIvV6KSj3YTAzT/y7nof1XC/xGMJv//OrjFD1r7uvw3iZB/8NfR1f3DMW2PWUowgrr3vtu/ESP+
IKlowWowBVKftO4H47+NrdL6Q5qOC0ziPnxxeBd/1wede0kuIr6yTW5qLtmw/2ZsvZ+9/zGbKFgj
TEWSKlnhSZcF6X0O/GVsNUmJZ3XuSo4Qk7kOsLjzRcKr5ByDXrcbMTfbX96XfzFY3t+3f35Fl6Zx
h8W4CTLj91ckU1jiv3GowqjFi2OlnzHWpMRInpugeyIIcPOqu01gsN9Iin8zbf2YxNXXKa+bBQy3
je7kj0jKU9rSb1837yUD27rpqTJwGu/y73/We53e7z8sI4vDGdlmfpF8iPJPo0s3hZw/gkAsdEh5
He7/cdG44G2i2I80m06r2Lisx3ctvQDP2knnW0oKnQzPsE3m+QUItEtmhQaN3kayd3rdgPDxYSgI
0VwyO/oiY+T65J5MbOza/vA6/6bZMNrEYRd2F4nD7D3whGrXdWpvmgEojG6Vve5pkXqhEttecU+e
iDDGO1YdSb8OwglAc0ugiCMxy2xUF8PSTJ13KMTdPNsY46PQFa1g2q63s3+3NkNdPQ1VolZmh8NL
q/Ijn7GVEYSyenZ/VkaTKX1lWAutW932xi0MQpcyKTziflHZu47YFH5RBZscjK3PMZoR3NsEOYtv
bryT/SNIDXqpyBPAxDeIhgps7LIz1qZn3C2j8ROOsWwT5cVb1OJLZJJ950D8JBt48UxBywY4wSFF
WdgmFJ1tVT3PJ7R47EhD8GqNIbfRER2oHnmDTD/UKwerKbGXuNqYZY2pjUir39cv4ZTzMOEuuyaR
W6w5lxhnHxgV1ozizae8axtMNn0kqb+ry7J7CBnx8AkVEkiCs8cs/X0gVnfN/CA+ycLskKd8JI84
RvtM8yjdJlW87TkUoF/WptxLCs+ZgHxy3R52u0XMsfSpFoVYgwOnkw44epuQ5I1B3S3RENGpTecF
FyNiROpTcyU+qdTKV1aJcWq6o0FmUeRrC0at5Ji27mi0W4G1xxcY6fIiDU7vAKzrNWkq5sSU9GyU
ddU5m0DlY7L9mbhR+D0c5WcztRmb+exeZ+RG7Y4leXmbg5wO9dAal4bLtzShqWFVK8qQQyaNle6j
cMM8/A0RNv4UnvE6RJn9wHMkPc2RRc6+MuxjZIWf+P2y99ptzKd00hjESCchtcigWVV26JzRHoy1
oJ85pf4mGpYFlLqDDqoLgMjqo2YdsUsshfXZIw7Q5CrdGzG9d2j/uIx1DEitch+ixLKf2xikpVXK
fI/nXi2ruiTOjgttk2a+/KriOVsb9URsltL5jUMUvZRZu1ZANTBQ+/6O+1/4UpvjI+Wud3goaqVu
sb+XWDWjweesoYeVttqGVqQqW4dhtNM6H9dePQSPIHjTi+wquRWYtC/ky6hwBXr3pZsD55ZNlibe
HeXxYuqjYEtmFBuzf2uKBrMgfsIFSHBKofzJIXgbeatMqGDLYUfYHC86YPvywaVEe1llmvIXXHf4
ms/xoF4cqhQIcTknEHRq25Ret5Yph5qFSNr21ucBWWqj2jApYdZwoVMOg6prRn9BqULsxKu0G+vv
/Wj4y1A77pcgaF6pOot35OLjVRhXrBUhi3BsHChrBIf1OYu8ulip5+yoTX9jjwC4MHSbG3FlTkdE
ns/chuJl2TfWOg29Yt1Y924NVqJLXU7iiqnE+6DBJ9nGfFdvVY0CS4NtdhUJqUFVRihbrpzWIqZL
ro8Li9NK9ZngkiTDULY/IbPiCKMF+oHiMeq0Y/SuQbTle430PeXEl/KuZUFpWtuokc6RnJhadIb5
0IbDsyGct1GarzLtchJHQRWe06yOdqmjhQseurceGyjaB0ndxl56pBgybpI/rLFQR4sLeFdZAV0u
immFQaHKoYX1dJ7sc1XzTWTni30+CqaVYprZ2arium7ynqG2qe2daRfTtkZ8gi0QpHf5c6orliTy
Dl8d6wr7RNV9US3VVpss6BgfqW/sUsJcrfkM/GPkndXFT8AzBDlYQCDSBio5qdDatpgLPAgr30U7
iVVce+WR1UK5G30HK4yvAvVVWmEJ6TgO8DT6ETJeZsWkRmzy21JbS2quWFqVoUTET6pboLP0gUYu
+sZGx9iHgU1nXdiJb3Mc1+Nael3w3FBNRMlL1HM4BYp8CRB4Di0D7i1MOmvN13oPoS+hLqCpbJqf
9bQxzHImlD6KTejafbmGjyhXOfCedRtJ/0rtXn1/x7JDlwyAOMi35RGjFpE3b9MzDJ3Tyg9+1iw2
rjpwB39jcaSeuWo2JuFlDsbJwDDjgIMh7NhFFWjWzKeQJPpJ9Mt/LTXJFRo6nc+2V+ixncOCE/9l
dxRRlFaXqsOMM2T3rDAbhWxFgIawFRXtX42J6vbAHkhUOf2TYAt3YL/YHUNpO+sqTuZ15Xc/ojzM
Lg2tBGvaNaxNkw0HTZRgndhpe22E428amb9pkFeLETTXxNOAWqspLhCq6QkkNOUl58w0wxVmA5fb
BM1NwNx988bytl2nI9wTfKAeJinIP3yGxvhFlixpJKzHDs+7n9cPUTPHF/y87R5q9cnjCXTmdIC+
Pkpao7OeByWJ/HSVaewWFRWAG6ONhxSS4txcsCE/trmDfKhFcEIQtN9szh6kCgv4HV7t7CY8A3mf
aqDy7TBF69Ywo105KO9EDyjNIfSe/OzUiFmcJ8YRbVrvoLHoXSmSn5jdqQrFDHGsrcx/jRu+pNyy
kWGjVUMqRx/MpOrHx9jUaMV4XdsD8oe3m9qRsHFgw+nIaOnB1hPh1Gzc8ezA1mWO+olNjbqcqCSy
keUjs1xTIL1YjVq1ZnjWEcF7Mor+qnF72Pl5MgHH6HiqVdLhkeTKy6Blvco6o3qf4zHYQasvdw07
8mM0BvoUElF4C40YR1Dl1cuUx99Rs+1KF7Xf3R3XGmTyaFRfHVZLxyF1mx8GFYEgAzDfr0VeDucB
P+nWlpF+dNzhRloL2GcRPg0NqZpeAKefHXZQvg0ItAzyEC+4JG1E08sOCb5Yd2Fbr1RSJsfSMuwH
b/DcJeQ/5+S4JCrJf8Nxl+oaBxS3ZCMGUzL4PwDPBxvyOOaOxq5d6tnxpuvwBoRt5i8JJHIBWgCn
OnsAE0ximQrC2LpYY/aWYq09RQ6r0EKr5yGXDYVSGSlyJM+iHMpDQ3uFK3P7ter79hb28y6LeFno
w98JOkEE0STXelwVqckePIiSm2Lxs46rvrt1XgebBq63d+FJmrz2HQ/Pxg5L7o51fWwVwow5hKfC
T9wfxJqqczNqiCgAnd68NqA9LaG3dA7ZK6+qpHCvkSiG62BPbJh78qmrGWtkBPGk64lfJ9VR+oSG
2a2+K822Gc80BhGvpuzAzvTFmkIOhVRLcu8ur8H/Y+9MdiNH1iz9Ko3aM2EkjRPQtfF5kLvmkBQb
IhRScCaNNOP49P35vXWrq26jGl37BnITSEWm5CLN/uGc79jVi9QWjk+7hvzc5h4BiOSHQtx4LpR/
aUtdrj2n25rAKglbmd9znfor40flMbfJF206TI2RGHaeCsBb4MmGnxIhgOcmIwDnj+r6ZUOn90Uu
x68qNvD81eNCP3Ypi/C3YuA/E9P40kQpoNnEuRRh9ULYIBiWLH0v5cQIh+9sk0V2sRFoitcRk+UA
LZ76RJiP4r0dxmMO633t2Uqty9LrD1lscCKiGds0OUOXoJ3U/VItzyilwh1jYew3mvENyT98XvKB
3yTr+ZnQvVKoJ0UkBLwqblCUy4ysm/gL4h6zFz0tENAISsSWtyvmFGmUSPJ1ywW2ys1ckhhz07nU
Wr34skjvCjTTe+aBu8RmWp+0w5FM4epSemV1TFRDcgexEitXV5JiNHQeRAb/L5fwCJh4lnA4zAHL
P0BVNYY78sW9p3FSX2AjbuBSBFLI3dfY4ofV5EWG3RbRmaURVxuiyorpj0vwePAzUJY+TF023csq
O+VjaQAghcsZCDFUHxBW6R0O3009Spou3XlruCYwhwObkErOyMaXm4AQ5juFSe8hzZgv2TfDXJ6D
StRT0Ic7qyibN4OUcF1ny10xTeEXGcZvS1l/CvS1Gxc6dAaJBXnB6IjhExchtW/gls+OSfoGBb3D
g4qH9FArjLHEdjQEE2H+wHpscD8bCZ2lBjxz6FtER711mGtFqCJGoJqMlHwk8ApHIiQv8ycphLe1
ifodyUfEYb8YjztxsEiJ0uKj1X/GZJqOQxWG5YpJ68c4DtH9lDrRbwttPPxmotYaKqRVpEuByChB
fV801T7z5JNG07uWyn3siuiz7sRzibfrJBvehmyhlTRz8IyT3hwc1nTvU40ICpHndar8VxOFt7S3
7CdRXfOVRYeAi4UkJM1jlhtR0G8rSHsVGhY62hWlfnMXVfYxnNFU5U5QQ59uvnS/VM9FgtFX157Y
y6S4J7vHB3fD9gXEVXEcq56QiIzvjKncie/pw59/lHMy72q7uadhd566YEIkU9bLqprmJ68Jql2Y
B/oDmw2dMoYOGGkFgHZSkNls3drNiYxpE9lQgBf6Jb6/gXCp28eE2GXFViffoGskX6HkB9iCQj6B
zat2PEBoiPNiH02UwGK6I2+cOTa9+JrwnmguigtxMFxZrAaZCPivTVAiEjT80sFhsYijeyVuEtIN
5+ICY/fZbVLrBzV3z7rFx2pWV/HvYKJn90MoGCwENqAP9VtHQHRQIO0iQHNeg1VyNw09+sbyRnXK
/RzYnXSVeNXZoPZxKUAgMOM4msHWYKga77ZzS78X2Am/F9Y4uy5nhv/fHxS+NBX//M/bcPE3hU+X
cer8DXb6v/90ISG80c0f83/9qv13c/1Vfet//qL/9F+Go/pvY8ybxP8//WFbG1Qqj/13Nz996778
+3cBgvX2lf+v//J/fP/tv/Iyq+9//ZffTV8zp336TkCe/sepoB0AZP2v54jXLPnu/o+v//sY0fb+
Qsbv+7eJnYP8RbDt//sgUfzFOAWxBtDX0HEYDgrmWP8QwLh/scq0A7Qpt7UaNoR/nyTa9l9+5DJB
dFxoQzfrwn9rkvi3yd1/mCW6NioDEfrIOBjrgXr4J50D2sM5S5BCxknpDOcqXxoXmepSlOuRbe0X
pluI1bonV+tgqZnEoUa3RpzcquGOcG020Lg/h5n9qRWRkR77KBu+0nDOWhTwLsitHKP4Ps5VvWzk
2MZvpQrDkap6qn+TrZp+6ilnOWhg4K5A1CkARLRgp150TfI5srNL7iwMaLiQTbNneUmaRh0PiOIF
UWI7igB0Y5uo6gLgEGwf8+g4d1Sxl9l0JDUDzzOvCNR8nOpdfFPr53W7bBedwt7wkjpd/syLAhXt
D5wbABJzdSBqLci3CgBwAhQkt0ZiBAhjEPuZgFR80x5yxe+6LaO23vVROeBtrPsmDBqWCnUkDyxy
jcuEKJ5iVkYOVkbgla579bFA2FDTelZTq8pP2ectQ+dyH1he/NX3jHDbYh7nVTvH1MQzq85dPwyD
5oYMhycaaZYAop3ZcYl+BNDXk+W7IRQC70IjyfqenBatpoKbFFNM38xiMW3+puPoeFLsJ3aGnfv5
NhuFTjSX75jLXFgzFtGioO9DsXbZSf5uBlmMazPV6XN0awerqYig7HegIirYjD8rKAy4CUr4d3QE
WQXqDlvAMaa+r4gNcVJGR7NAwsl+R16JxNOKGgjWzEbm/YdNu6PXQ7jca0zGW3g+0z5rHEbEqeM/
ZUqq34BlboHA7YihorDr99nYwHp5vxhzT8HyYyGW7Yv9ZkQvnI7+Ld1FWAjWZWL3QDVinF0E2D9X
bj8IeB1Ns8QH1nd8Vqg3yalxXQzPLzBB2WR7gRP0ZGV1U3FHAzCGd9BBwgmZpueDntsvDEzcXyM7
qcjGPh3p5coOtJgZOBmFhDtDh3G1nMUub+9FQXajls3LMnv5WbZdtPEK/25gHrCQ6NKDH1hFisJh
jluu0DI7JgPApJpgGy4/r9+INkKwGvZ3pR4x+aUUIrmHsKLrum2YJGLTK+akcJ7C32On2o07UdBE
LWNMm4DBQzEu0PS8aZ84RPqmaUkQWkLpp7h/TCl+FDJ29400erfcYGUll/Qef+4d1MONDVhuZ/iZ
D0ip9o4GOiXcLVDKg0asunIcD6kISlFEUN20JQfkS0/1O/G2n61fnilZtpiPE6wFMvwGLfFl4RTI
w/jBQvXyTM0RrOXIsIvsZ959MkNiitWNO5NuQAhmuSnH4CsRAHH9OaY7RMyPwElsCk+1+7C375d2
Ag8VU+0DJyLZ0YzZ58Dv+0ziy96vkrtItzw0o+e81U3yZghFi6Lkp2yD55HCdD1m5c/IM/GmlVW4
Gaz+qoI8+cBc/Og4IfaVwWV6CXSq7LvTEuCKN8q6T9L4kMflW5qwiMcoXZNhDk9FA/p6JbrEf8KU
8AoH7gMg9j3KGOYn5izypDx4TU+WXFO94h9jVo6J+4+fs/SkIUtQoHocFlMwzadR+U/5yE61RBK9
JVwSjFHSQn4ob8QaZpXQwCtWl1nt4YUWy22RSoY7uYMO89QSv7ZPihwlpzpQ1/5EcjHscs//CvOu
uLSw265Moh+SeqB7H1h627Ef3SEY4BMJcN7SfYdXUVOLqN576rRNVIfY5Q22gyiVxaOJzIHoJrNy
G++oSQnIp/gj9eVnHbXlWuWR2NDovJkpNpwTXbxLFspY39XphWX2usVZvQX8hUdoQENjeS58JmYH
JOEgsMrci5tFHVhyJz/1gVXctuhqi/cNi7h+Dnr9oEgbuxYqSzd9sPxGqvdU2V578mG67MdgfIfc
UdEb3WzB44SvSpDmlRnHOdgx1aw9TFc2FCSRBFiD8SBvMre9M5PcGhr9rS6s/CMb3X0nk89q7OXL
MMr7stKbxvQY8R0e07y1I3ArGXsUM6iDN3aveEG/KgJGiiKjF0Gr1M79j6pxP3QIoYHDxrpOVNQw
P0tgpRa5uxlJ95kzvRpkIjsh7ZMYl0tzO+jHch8Qwru2Sf9ZCj9YpbxRCFFjJORyX/Swtf1U70wz
DBR/zb7xok0JS29tWkiqPTHzojrNSXt17faoF2Edh1o+cr5VV6b9CbAuRBWAveniPPU119OrJ+o/
jp5PLMC2DDWTzdQ0d7DWo32HanS31NYjqgYWUBF7J2uyjlUrT2rQ5jMlNU3F6MGYkRC94ng5xPMS
gtbS/m6a+aHCUEwGl/mdimzmxI/KM2N/oNfjLT8PplMhErzMkbsJtE9gSfRlTQCMTQl0LvdO/hhc
Fhw5C85FWNb1gau9gJEYOyXHXS080/4RRhQvpuFhJNgRkgdN5yD4DUQoNXZusxCV2ATCan5P9mSI
BU4DgFBRahb7B9zqmXSkwED+S2EOqWynAVISw+h2C2mKpXEY228Xu2IF4yaB2ysIC2F2u8dGgDLB
C6TPYrwz4ByPTmRXlreuTe9l/qMToklvd8Lixmn+4OyFW3tsOTKcZcuoL0VZFWsG1usMpku+AeyM
3v821x+dc2aPyfJTitZMwTbuGCva+MuKqHT2bm2N0Jtj2NlTvdfGTORtJ7o+RB2znVd+eQ62mzmx
xEnMafQwze30qHUmPlvBe7RR3BUO/TnxKNNzF3hF4x0CC6XIqqoGd0di9JJ4bxjDSx9zQTFhPq8l
z9AjK43UAUhhuaPAZp83iUaPMQWetfWXnBinjSWkSqr3eHbQ1IVN8yrsaiyte6aBYPiPfVgIIPPl
OLDIykHJLlx8nlMvptnMvZTtdJfnI10j61VARU8IUSF7Zh59dlGQQJbvSQ/zYOm4CcnHTpQvRbp2
I7skxyd2O+z8aHNbB+4NQCZmgZUKQj5ed6k9lwGWooMLG+BZSHUq3G+EkwWcC8XCRXPF59DpBx2j
VaEipLp+nBm3QOnRbbWfTJKTlBiFOvuo7e6n4SLIXu1EN8HzZOdkyLAgV80n/g64LpRQD53V59wn
i4OIcBd3Jrmk2nJh2qEsGwOuHZCkFSYRqDj1sNcIbkgjc0rkPau68+L+G83knD0An5zMuwFzWR3j
QUwxWFXKMiSNfOhSZgiDsG5My0uYeNLfYYQY83scFOUcbrOuC4OdQezNSGiI030xVshQ82DIp7e6
cvRTXHn4QhPNYgolrwJrlA1RK6/pQPQl2805G/eQ/MF7mCg3+uSWln+Io7IlMjoWueD1hibF3L2q
QPhGXKCo6phQE3gNfD6lotnwplcVe0LWyOC8fCdKAPjDLW2RbnuNnc733ZyAdY9FVZRHW9WO/JGO
hq6/Hhmy47dcGPhPQdo0fGiQWVeJiwpobKDTtvMCXKWz/O4dUzazwCkl1yYsylNlHNJaPSaq3aSW
N0K/1Edf5j21mttgGcu2k/ac/VjkMWExVsImc6p60FV4phg0emu6A+tuioLmCIpU3hVDPx4WOY1H
SwftU8OAeu3NVg+0Ery54eM++ZD/71iMOYegJPMawGRw4ae0tlHKsp1FG5A5tsQFDu2Ye2xJijNd
fsXsoATgmPnwBzDVrLUIyzWaY3mxBlUS3xlARk6t/Ec+BeLO6pPuTz23VIkBNf53GQv/TwfeBUMR
pKbPsO9vwQLWELwpDMLbpitJ70rC1t7ZLBYpecjFToMKQRFI+9+w/NkOIhhn+hV30AYpsUq7+uRG
+VSwKlZ01/HaatrwobX94pNuNd0i4yW6vCnywwQRQ641t+SREc20I/Dx02q88dgV1XzwuijP1jjK
EKn2EyG8CUeilRT+MQml2M3tEK57p37nwinJrIS1J0E1bcliHNcVzLsfCvvOJizNOeoJxnERFJPH
rGhMgt63dxHSVqZ9gzu8RToGvzLjqU5pntbh7MvD1JpvHYIPIYC8eRzHFtv2UN0BsrrR9BkzFgRj
UK6W+dpmJU0rBtJu4+A9g0Hav8Yj9nDowLhnK38nEwZW0LP9baKEfbKTiIVzm2W/q+7WwgZVQ+w2
O3G7xzFV5Lp8bhMmqM4oGRDKQb3xk1Cczvhs9w1oIXpIWBpBbC9XlqLq2MddwA8+THuQmdOGn8QU
/1/K9Q8r0m1y8V/PYC4N4ZPlPxmRbn/l38YwdvQXqcfYORxBm8Yc8x9jmDD4K0AqBM3fsf8u9fr3
KYzn/IUBxYvQvQSAHQJGI5TrJv3Xf5EovUKBAsxzXTCkpPf8d4Ywjm3/k6KL/7tgqiN9z/f4Lhzx
T5Kl2FgNdAnAiqlMQa4GNKHoXjsHcmkrCj0Cv65yeLm+aqlUf0xEERLFAl+vQduEaka95k00im8/
JX3o3qdJAErmz+On0/Lc/yqiuBGHIgev8wso1Wgj5CaAEeqLhoCm61n1DyVYrHqH9aHbaIfec4X3
L6Y/ZMGTEhcA3O42NLVtCFmuAmjjLr5eT4OVvZQaDW3utWNFDIuBbwMLp8a9GeHEH2BBiCOpJWVG
iEFBJkNVyh9FXQI8myPiId8gSLpVAkCy1wcLva684a4qmGx9hZyOPceoq+xiJ513uB3SZkcUxgzd
smSERJMMcid5XjSWznQ1mjb8ghUG4Syn+F+PpdtTEVAon8uYkNNtPFBEkEZcm/qiy6pvzhNEMLdb
Ga5hgl05MfwzEYJi2aJ6r8x7NcIIvyZplKVHp/PISk1s5egvvI0qOXJgcw1CMyt/Iu4EbEZM0nhv
N24mONzTIHtdgpZiQFB9r51Qzb99SUXTe3ra4ygasYnkjnyhzArwxwMp2ghK6mObJrD2uerxT6zS
qaiddQ5JNaUdjhPrG8gOy4WyRly7qQvjGSC+eqmZ5Y8OhZaPwYQjHSlqtGOSvlyZTROKUbkichlz
jfkAhiZF6L1V2psnoFczYB0yG2YfdxWhOOjXm3ppMMBqvtPHysWtfJIsdiAXt451AKYTbt2xCZ54
kkEvFDgWzIsTTIVs8d6jMn7GdUwCYM/6JMLNjwmge/BClTRX4zFDuhlFcfAnGzJ9epbBUYLkjTgE
4uRAuYeQu95aV9bsldsYphE+NCc8hBz6kTjEsg/DrwHGnySZOZ9mbxcORFuvBozl5c7OkX3sfAu5
AuqJ2YxPFT0Q7E1auw+bJ8F9GxUY5e1Qd0iMd8MEug/Zgp159bYe4IS9yhGx2qnRpvI3ESlIxNwO
dcziayJK4yGwK/eGcyo6a9w2Q+W18MPRXv2Ubhqmq0XhYn02fYXLZq5DQrwjMu4h8w8S7PEolik4
IEPDll5PEg3khPUCZ7Wos+wQ9yAHcGbkAzk27tIBi2KrVGscbwAO8D7wkwNfKrViu5AQuZVfRNAt
E0XZlISsDB2fKN0T7fZosedUOSRmFPly6oJNQlYKkHFYdBqhovQnjgKW8NqL3qJBRCNZ1WORzd8B
q2Hv0wRy5GJrGhRKbAi7Ik+8lWgHz2AHaJT3Q4ULsXhra47CAgoU+8LgkuL/pAFGZec0O1XJ0phT
xr64aU69FcCqJ0eAFK9nXNPhtCduqHN/qhvF+OBGuKTXgdCu/0LIUSvWrW18jMaEc5WvgwpqbxXV
KNa2JQWDWYeLiZ9iAdCP3L1YVgcGgLSNsSur5kxGqweQcMbNc2pdK4geADRqPvs8VGjoNJx2M0tI
vxr217pXCPnWul6KFj2mlC+VVYe8PSyj612WCTr3OdCZ+w5HdOZg9JiX74mIEsH7CAyn2UDjktSp
sZrf/czq2ZxNmWhf2oamYgMdLyVqkrXge9UM5aalLz2yYGXoERdVf6cnnV9mV2MoH9mErljZQF6o
qV68vd8MNrW0tIXFUs/OhqclG9BOJclydRsQoTj1o7NXyuFeRw0O7GwpWPxivE6wILDgz+qMTXGP
gBkzvWp2mK6sD2B/5qNgwH7MMqyxK6rkwD2MDJi/qMyRtzX83ZWYQyKXICzTldvDMVRgHENbEU5L
/ALFcDUkP8CWJZtClzatwqzbLbL04nG0x+qbkmt5j+2M5WflSeJHeosQk2O/dICoYx5i9163Dhtv
mU6JBGyKK2Jd9Z13kXnafCI6Fe8FM0Jv3es2ATQ2FfOzY/XVxacVWwnTzupIQlEbrXgJxAx/uS+A
E2EZC82ReMW0PhUqtvxLbIm+IVQl64lojZzy2IyoGx3mUE+z26a72BnnLdwTJprAM6oask4FHoZp
sv8glvKlAEALoN0KXkRi2E8UcSV4/FLSeDC5OOCP4V3o18SxOkK14HeZt7kdix+Jx7YdEVBM5x+V
WbBm7q4urbLnj4qy/jgGRYtKldiCOBlRTiV2+jSZ0jqVWZ/ctaw0Twin0N7IuoufpRys85zcdBq+
xQeCCgw1ZVsN5REjBUlJ2soLqHO4ZM44VK0PTP3dXd/LCI1E7590acLLCCf41BXA1VNd5vdAsuV7
iBiNmBLUPOdQCyJkWq1fB+JIVn43W5cQZvraYaR6xv3wrNEZ8ZA5JG5Uc2iz4tashlsusW3Wd4Jn
OelYk1fZl2+pQwbcE3RcUjwiq8qfCwgfh0bljBNcC+QIziFkHiIO35N+Kj8corpQFUueHd1kwFtV
8oE0klDVfhmvzlTO53gcSMCxxvJIFJjL9DLJTgymq1WGk3xZzY4oNyK4gQNmXJyrMBsCsMpLT56D
3w5E24JnR8UodnHQc24Ucsp/yTyECixhIa0wyFlwMdSNzgsh5Bn1W34vJhYd7eSG5zFf2kNfz/A0
zFK8ZtbQrMlu8YHB5tHVH0sey96xf8U5EyvAF+1zHPksH4qhiN6dJA8QCCb2NUA5eWwLqidpFhen
khuhxUvDX4k/fxcAVBiwmeCR4G7Cf+2sP6uKbMM0EOjLSXh9ijMvRX1EHtZqcNAWDW5TXUtmKJC/
yweYEWykKTU3sx0D4aaYWil7qE99HUSHoUjrM4cxuI1kJiYFIOtunknF0AD2zjleaGYGVRueEbpl
hykYghckomx0hPbvJlkFj1ZOgrtTxPUp4rHkuIQr2mCclLWNPbTylp3fSPmWLCQ+8oGCptB9ewOR
2C/sYK7zJBHi54tbbhCzECgWUZLCtN/ntkLl08oPzwy/0WSKPZLDeBeUeX7QdntLlgTqyPTwtxlM
/hJ29rDLuFYPzKJKztvZAQ5Eq5dg9yxJOLxTpmMxh+pjXkbCCwOoKwj/roFbmUPLymuzhLHa62Bs
7mSPoIAPEKmV3UKDeeCZcJudl7lApujcfPehyYvuKvs4+ZZBlP90m755CpCRbpkfNofBT+c7Vn2K
dClui4nDLgwwkTZp9VUvMDlbWbZ74cmID1884LZM+ImJmgmdzGL1U/obU8sdqK/0wF5OrYqqZM+1
MDyq6qj66QKI9zeNhZh1nRmZPyQAEdETGmkeFTXhnYsG99wsPXF1fEQ7AB3d1mtL9DBWCq+b5U8X
neG9L0SPjGg5av+Vujd/MEwKub3IyztA3KYMhGI5nysFThIweXOR88K2AYBmgS4ZHN4KcpJ7ZQoZ
r3BKxSucdDVa4/SPZfko2tgDJ/xx9p4NMiu19gbL+tVLYZ8ZfPTXzm2CZt0uqt9xvy7rwC8I+pvR
zGI4qdYl00hG02W47vBUUpFmhqQ2O9pUiHRphwCrYr50rth2cVNNkB7NlDSXxqN28yiHEBzL5NtJ
6QFwAeRIPhy4lC5dyz5VlGX0Q1SFtwFjkkLuxwCW7kam+metiuxt0ONIhR2BjfHd+jLxznWQ8TYB
89CjlVrxDq2HBvBEninOL2+6GeNiOhAaC/IAfO9nMiDfG52iP6NwFbtpGJwPVIw33VTN3eED8k9Q
w/xJUTkVuZx3PhcLwwQgemnQzWcHSRPaRD0RxNfeG2nbT8rr84MsCxCZzKHfWQO8Yk4Nd2Hco5pJ
UX6tllCw0LLqu4bS65i4dbnDOlTvmwgBum/F8jldAIZFvh6ebdm+9wVessWhsu81AhGo3hw4U53z
Pnb1RqeTu6LX6p4SpqAH8qc7jJu3eCCA69e2rVA+YtxAkBTBUR2nqD467Ha2ThINJ60qa2XYDrz3
o/nZRml59gg8O6VgYXnJ6w9ggrBlCFHdR2UDNzZEoYvCimkXc7WFiDJ/CFnNVPY5zbInRC2EKqsm
9o92wUPs5M5zEYXqBdEbDnti6N85fn/WgdfuE0yja+lT21h2uGEDPq59E7o7TN6/eMBm0PG0c1Co
micEfAEp93zW3S1+Cptp8cAkM133Q11dZJ/KDcVAt7Ym9QyzJEQXJ+cTKL5hLbpb/1tJ+Qe8p1gt
9pTu5iXQa0HiDpw2ba96i2s8mKz3gXp45YYcYKsEm+eZzDbrYDBjHuaFrChNugkth1ONa5BW8XWE
kl0ynsrjXbjAW7fLAVtDt8CWxo7AUqgn1nrtmeSXCCZ1CdVYHIGGjlsXCcIzXb5NRkv0t8d6rGiN
XHaL6fyIODwBWh9az2xM5H6xouhsBJpIJOLIzyDn5OsyZp9lpdGvqB/VY9bQJ9Kh0iJHS9UwYfOs
D2NVxS4vAyCo+BmQIQMdnqqyf5Z6/q1llCDjVgVbR0QkPdJNv9p4yVjzYXUCnRfD3Ue+aHoCJoFB
BMn6EZ4HeObEGvC1zuIBzp13LpCnbWsrqe7RaOanmRgH6PcuYwFRVXtdT/01GOvm7DLTlvQFbxHM
uJ+hg5vUnuxgy6sZrAeumC0L+/K0uAtbpaZ/aWzziOterkam4eeIkI5fBQvUE9dMf7CFkh9ZX9fb
MotIMmZR/0PxsrypwUXQHnVUdej6+zPFwQ88pfY283R5qXKOXUgBwy90YvsqJH8hKa32MgSSud/s
J2ewD4TiChrtOkyLkxsE83auvEc2ucCwI6Z+U+XMuyQmoUS7jf9OhzJdpsH2b1JGAMDI0nrYSeEM
w6p7QTyQrBfP4exMNCbaKUe3atLz5CNvNHGXHPtCMe1o+nAT40fYKPScm6i2r2jDCGALlleoTu3W
1AnJKg7jhKwz9xzY4/fS+UQf2oki1D1xw6OryFFTMipXUnr2MZjMg8Scuw8cOfzI0gwXE0bgtYLf
B7LfaLQXfQvVum7QwfqPuWswQNcOOD6Wjau0g5lOuHa1y5QTbVUR25fIhpDcjPT1WKT7hy4IgOvn
WMZp0WZCflK789uVQZJxvGXO7+fIvQZ4hXhlFa+xLX615IcCncyIl+E3gaJn8A95l3VoRAp3U7bI
0Pt0qo/c5/0ZucD8uERB9hiTAX3GQkDvabsdhUbK0tHU9YnRLBYudPoUns4Lu2kXIVF/ykhfI2dU
9C+IkxjW4yF7WZDBPgkx9RtYPqibk1b+HIsZg7G6bZ4x/Z8t6WigHsLPDi2aDTBd8bDvAvXVLXZ6
jq163toIjlcO7e53EbguAXZNAVKGASH0+m40hP4OzKEDAosYWoLl5F08y0WPVJu9fHfCRf0qlzaI
diGTxg1zG72fc7996DqVXzl2BzZBAcvtm0Q4OQRJgQcqEv6nQCOF5NzytrVX+5Q3ZthgImdR1s7d
wBbREWssS/lGzMRv0rrWp1Lo/q3KO7V2qUMeNJaefWnX3V4AQPvBlUyoI2SRX5gh9TZesEo3QUDK
WIj8XYC5PAwihv2JF3LVhm7dUCan6YoKmIbRq8u7NBPDWY7gIphm2eulX6zTaOcXNcsBjZ8f30cd
pNsaaBcZnkm5fCNLFuwbYj5fvYDDbfvkg1kKGwBEHFvWGijZlYnIjJgy5CpEKHpbAkPmDcK0X12q
7LsQouAOYTU9dLO4Iapb3lt4uCiNcnu+CNUXB6cTpBHnrXnwpjq7zJi5dwhe0P4TzLSTKpXUzd4A
XzKdI5ROAWQXE8736JOcN0Nowg73dvOC99HDhirK7gJmtl/HaAHu29md91wgDouEofryS9eJCXCq
3E2rl+KjDjF76jz8igNnuSMocDzieZnAtIZOvw+qJNyxslNbJ8SYdGvvL9A1CfUkgYUQkIo42cQK
O+Y5IxptSUgHphbLemRmyhzMwdGAJj97Zps/rZg6eyhm5ULYA6rfdV6JZYOwfVmxxxCPY7eYs+WI
8Cntl+kuKnzEsoHLsgNX+0pFA9QSNj0sH2tuwwg985olExEjaojWSCRA5QET/9mZyWx0zoLUQUBN
ol/rcvM5bgdokHUK/ekAYYm9+b4IzfhqZ0Rus/5zLdTiuJc2XZ/Gj75Fq24ZtIQkH93GnIV3k/Zq
1wq/Govz7zbbZTbBQMc/CjxZ6WaMmbqiye47GHksqgewtlt/4upiDD+1Bx3CKN/w+pbbMBfl3klo
azHNmWOS45mc57TDENJjJZmDQX/6lX+rn6fe/mVpk774JEXkK26aEY477ax0mnDvkwyFZUZQ+XkK
LoTsCHpctQhWCEXCPM7uXeXrpJ1/jegtr/1IvQnogIrSCqfnsBfltpJL+d1YZvgSmS35NgL7Z5IZ
6/bWDI8SfOrdwEts07h3QDL91PuRNHTqcJrce9EGw2XKp4SFpsV4vJcMjG2hrXURLy4+3LTbsQju
VnWjH8OyAQbL00mf6kGJ8RsijWPnZ+UjEFTwRAjGFfWbHqCbZLpv1hWRaUhP0MpLBF2Vy3LWKPwR
bPMPlLbfYdbDbNTEetjD77Drrxm/8HK1BJ39QHQocg3fxgSETm2HwlrgOFgKknpj51T4SwdC3yJx
wgIokc+9v475MLI+/CEnDvSJy5WaRT3KrDmp7HZRlNajowLmZV39Mvg4aufpM0msD924VE7L4n1U
efsFr6VgWBHaVCC52jnSqe5nW41s7PjEKSPgtzDMxO/pmmesZzAp8LChfo0L5wLtNNlZjaHl9Qv6
Kr9Sf0xpl29LnqGW59Akuo20XRxRaPMJL7aajNyIonY7Ens8+9fcclzQmOM2DZfnSTKPcH2U5wzT
LotpqQOFRrUz6eIxG0hmRA8Z8iSL946Qoh9t6ppNBzjrNjBHGNsx6eisJXvoxlTBh/Tiix+6/ra1
JfkLC/ZOMt+VZb16s+dd4xCc7aiWDe9TRmbaFD5YeXhufDFdGduEPGn0olM/XIpAl7+N5EDsAzVt
A9jgFHH/i70zWY4b2bLtv9w5ZIDD0Q2qBtFHkAz2pKgJTKQk9D3gaL7+LUiZdckQr/hyWGZVg7LU
tVQi0DmOn7P32jnbIL+D2x+wIxWjhoVz6NW6HdLsxo0T94thYNzukTavcwLl90MyNF9MJVJcRAI3
FGkWzt5s8lszqUkbHJNmr9dVv0EYWe38ibh3PxvFhpGJd2UHRnpmO4hJDQbal7nl9VBhVXOjW5i/
/DLubwrJS4nCEXkgcvsHUgkJ5fGm9JHxPossotVkmRk93TUrM0xMUAEmo0jjJYa73Oz0ESkCIWt4
/AkiINQ2QOUUhfKLa9BgLUAerXq0SIsK0/0zPJ7w2na0etWjV+AwtNEIc2quAplN24b8pAvXt/q7
AETPttNN+0icTEQXbbTNDSyan+t5uAsqL0YFHeKSaDHWxWyP7xhEFduSht2hNZ2IoGkbIUpjWXvy
sYiSK5Lz3m6C7eDSkZbFlC0NPfPPcQBOh05RTOac1vfJdX4wvAG1k/pOs2DSRIAy8+r1oGnxDfN6
1rW4szda1Pv32ZjTqY2rhnsQpkRxT3V/54jRqZZSs7yzJiX9kMeYNwER9LBssM4SwCStC4VwWedD
13czD4koUVRCOvpswlbwWJTohlySiQXDmguGYDRdstw9It0RZLtGDVbkosElaxbXfEiIoh7c1EYO
Vk9rOdBF0tVAm7vpnCvddFkcbJe9nR8QtJLn5UUOVmjt690Rv/atbxX+Fbhggxz52CedpWizHVT6
6EhfN8Qm1UV3bTm2mzp1QEjZWpSs8Y2ptdPRXV+YeXQXqfa289Pssoi89siJUB81hk+tTVrQMgks
upvZmBZ89cdiqyLAWl6bFheqLFHWCtQtAXOqC1cB/vVaV34VoUbHk5bHcBPLCN9+61aQo3u10zrf
OWfqklEBAuwFhBpiS+1IK0AQuRBmWD/QmII9jc4/vGztSK0s0ahDWfIpRCFsMZMj9XeXTFnNQoY6
d8JfvqoFGtCU5i/ijT6+rn2FOzWgEtq5lbgm9Kt/IZyuP45EodA9qz97gs3IQreqirZ78wy1p9+z
vUN3GFIk4eO5Bvt2BeG2uBAW1f6UOOqKRx2OFJtVuGxiCvv+WnEgmjdY6OtoPaFW9VY0NAR6zYmY
rvKaoXJ2E1cB9b9HVvUdG3tbnudZYT9C0oHctqwClc9pWw27gyoaLPIvBJqel6zt6KhoomcG48JD
UpvJ8Vrrc1512KJahPzVLo5In4YLWxu41rpIvCAL9BjStsJXV1IZ1IWhjz0IdkS96jKnDzZkCGGt
Giw1ZEsiKYmNZZTRxxuREiAS9MK8QZiUFptGa4v7ouYLT6cSxtkwjPkVk7h8U6BlPgACRvISVXnU
LsOhgV01hqH7pSOSEzUNQn28v13PA2NTTM83+rFrA+uinjT3QHesu2bJpL8AVMUG6iGqAfF+eos/
mShMy7tW5eQ8jwyH1gjhjWWdu1c1D9LCIOcYAjazjhvCGMyel8Afz41iKpmFG42JNV7kSLh9hh1Q
BmR3bqV+8b0g/epaVxZvvWLHhoTJdywcX4H8PEclkRAel/F1zAY2oenTAwKGIR666wkC6lGC45oO
Og0m7y6Rbk1XJ2Rt+GpKLcGg1/lETEkvhyZmx4wVWH/ZvqaDyUXs6KCFfLolruyGKAg6UnHW3QL7
sOxN7Ehd3YdeU2v7tJVB+NJqsmOTpvH0WAWWsRyS6A+hSFLa2ZLrOplCXaoxiLaJT2m2M1STPxGJ
N2xszBnsouGNb4lxiCOEAR15tEkUKTqnmrqLbLJEuWDiDKdzTcpuT88vFd9kz4I+L4lIlfoN+75q
B8DEOlpsFfYD/t5nSt5kiWlqnjI3KTaVpMUbhuhpspIagAvd4mLq9R0caYS7USyXtZDZUlfm+MPj
Q3CbCa8WS2QF9r2Lm+c6oah+0e1J3k197z7qlV9AWIkce9EnTHL9XIbnHWmJh5J59Uthle1mjHPF
ytWZ/XbE07xk9E4mFwO26hwzEGirgBR7VnlazReO6s1vqqlIRq4YThFg9yhVx2JqVgerqLKQEV1T
3bUDLtAhLYcfdD31VdPM5VUvxFNRDF+DsinOItswfmix1e7DxFVXox/S54kCql1WaICAIcUmfApa
wnVvH3RfuVsYe5ilFVVvxlO0dGtVXI/jIHahZhcXpFjxCGvDaKwyRBYr20C2IKgMLiLeSugLKMyH
UBAEJozn2Ob5SbQivBvUaB/RtXq70mOWgmnfXik5+juyhJI7iPnTntnMLWU3hgeQLP0WTQK3OJrc
Cwmohaw4NbpnZmS6O55+5xajl35vB4wkXWiPj0SM8JklzB4LtVam4SJQaBiiqnCxHzj6EdWMuaiZ
0T66ZZPcBXU4XOikWq2QPRQXpm3esyKJu7bKw0OXMZ9dji17VpEgkRyRmibsdDC3KtH2CDZoT0+2
VdwnXnfQSSi61dLOWhIjceNX+jeiRHqU2RFNB4Nu6yEHqcYWbfZX+BH5W8UIiJ4WxZJ3N0cVQiOu
YuqG+0Q/a2iLrhLXcXeNbhNsAk6AHbdZ2ZuJxQtQXlY8wGGfNq1TvEzYQCiWfC6Zq2xxE7VEHtqS
Vs3omM4mIL4cirvXzS9dkh7JcvEebTss93pg8npBOHRZLU2b+UsYXtRGJdY0lp5rM7ApQ+MCPLgL
JyZoFcPdUTLWwXy+4/USO0bVFkx9injk9NVlJyb3ZnR9j3TI5jqQZLUlZtc9hGka/WiLwXCXyJHq
b54axEULD+Z5IMjytmcJWGgIf+8UqYE/0CkMPyqvIIUAbfU84iMVu6vOSt0f8IjxmnkBkHlhXKGm
tO4jz1/zVdAp/4jmSHzvOSjCYOmKqjyL+A3RFg9xeckoqlppcwQi9PUEhNUkbmIs1VdDOryMSfhV
ISLXlyAJ8h3wOgzSdrFRyIWv6FuqflPWFBd+Y5wH7sTQV5a2f+YNQweuQhYmAcTAfTSHEWvE93NX
EzeyDJXTMA0emAUMQ4/wQRJFmGATPUuC+LMbhiFa8SRuH4B90nmWiXXHo0EYYyUTb+HaNsmYrBjV
zAGYFHrUDv0YTT9LAK6fJBpdy1sTSF1AsMpMgJKVlwRrsgo94kc88wpR7pZMyXo1mnr/laeetFoq
tNu4gEnXeihOwp6/i022x8gym4O6Vn4dmBnsbLOhvlIDZBSHkfltoCXhLaOi/s6iR7+PGn+8qVtF
hVAl2JJIX4zJKYpy8VgwSsCj4n3WG98+OL4nz2qsZgstCcLvdD/ox4aZRh4eH6Gc4UrRW+G3QmYp
CJ0om3L4GBLSTlLvC4N39nziYlwOWjA156hw7A2ezjGBN6kSIIBRvNSYs654yhhXNVN1y9PiP7Vt
oXFybWhe1p3d0s6TgsG9ZuKE7hge70A3OXujCoDXa9Leaejdl6UZt+e2HXXRQ0ay2kGfCKhw3Nra
JiU8gsYT1oXZtvVFbijL39aMW7A/VHpuHAiLCEnnQNYTQF5NpPLpODH/WSmhawSKVSg3NkxI8p1t
O2TLiZhEbEMbMPG0gAaip1inm435RRuQaJMCYbQ/MrezAYEaqJsW/ZhW8bWtAtFe4Jq07pwCVd5K
hlOHmp/gH0t/kD12imvDGQPzXLP5KO5ChrsqWnuZTsAqbSvCXw5FgNL8rjcjy73oSKfMz2Rm+mpl
aqlw13USZu0zwBqpERkypcE1o9y+X7eVlO3LKD2VIAMDap59nrTKj4GsuVAgoyU9zlhHKF7neHu+
eqhqkx9Ekmr+mqEvc9iU4GuLCvYA9pm82LGkrSFVla1sDaddLjCv6W4M6p/m8i39mIlALKSFZ2md
40bnnd8BUqzD/ehnXrVqDdQzg1cGa6PK0Jp3VrJSke6tOl36t7MtiPwGeorocCwjOY8Zlf+gl1R/
cfC9fbU0K3VongkbCmc8Dt/pUIzfYDYah5bcr6/KMFvn0GdFmV4VI5utTa6pWB6GouKZGxGaf8Oo
pC3Lggw4B2UUIxu/RcwJRk3fZlY//rBDtkuDlD7L9ZjV5qKRUe+uEdGkFMmiQqzYmfRMoC8X0fdi
Yvy0B5k3G+74vv0wdTHtNaqRnSdb/l389366LZxq/rB7A8Kv1QzNH7YuZncYd7CSyc8bRQB4hr2s
H+6sNK8VtCCiauElKSJqNwO9XgGNg+hG6zGqm0n6qBOsMvmGEhQsGFsaaY/qEXI2bFLatGg560vq
xZgqEfoSgZnt4MG8kdWoJc9tmzXdjr1kRAIQ/JvuRopSN/HTNrqF2RHVSMAAIMQOn3GZwqjYjgEY
E6cW6OfbshualeP4/ZEGdw9d08mzcrwJzZrsQT/4wlhBPeXFBECsD3x0BibkEWNcGY7P2HldkDUT
PLJUpskjkn0KQ1026c4bRnBsLZvIYgc3gXAoNvkOIAo9LQK+oJppks6r3IKLA2iiTu5QFJnANuLS
V9rVv2Zd8l829b9givjWXxvkT/743/9/DvnL8nt+29bfv7cXX8v/DTZ5D3b7f5Zob6Hsfv+q0Sps
vnZv7PLz3/ul09YM85NNPYVf/m+p9t9Cbc2wP2GJFzbtFJ1/IJbof5Tahvhko2o1dPzwhmGYAvD7
X1JtQ/9ESASPPVkRxqzh/nlnwAS8uVP//vPrfIW3Km3LMcmrEK4ppCP4yuL1eUvBHCp/VIYfI93S
7JE+SDtjhAWscZ+/xK5Kq+9p9RvaL+zCfwyQMGYs/b89+r+O69qmJ2yM+gbU0bfHxdLAGlNGl0yE
pEFLgj4ACzJ5Wf25HWXfZYoCBujPwjOTz6/u0F9X4PUZG29Zmj8PjcVf2MIhJ96z7ZNDj75TpYAA
LhVpe9ABSnoqMRvBjRO18T1GnwZ+ORq0iBSZvtmzJazxg9s2ggr+ggh+2Rv+85WAe3B6JaRuefwi
lPcmP+rtleiNJrDlGF5CaUYFg3FMsFVGBIj2e8IOzAvr6SD18intmYfWTOLQNEHYMTwSMRheRDAE
sajVyQdZFe88GZK0CrwFuAE8AiPe/q4cO4s9TN4xhKfWL2Tq5tAsVZ3dj0PLyJ+SvKzOAvISP4qp
+C0sgq6YRATATTIgQhhz4sErFKw1opoLi+AS4bh4LqyO0plv5coXQ3RgGGY8Uhw5V5pHxB2h2cEH
pz3f/ZMHU0rsEfMZM8W2TvIUMlZX22q8Y8yO6SGyh/ZZkB2+oT0QbP/8IM6v1m9HgpTh8BJgbvBO
DBImE7Bq0vyjD8b/3jWaamdkzKX/fJD3ToexEZ4o6bg6oIq3F1MVbANQRxwDX5YYm4Phfgh0nTKn
be//fKT3TsflRYbgO7s9Zr7H69uWKmG1kZlcdobd3VXQaS/RllUf5F28dzquJ1mvDCIzyRJ5e5Au
sRLRpNFlbnhjBbcizPaIleUNcMbx7J+fDzhix2TFYA0+fS+LHiUqsvZLWbOZVeCF6mUWdN3wwfP2
3mWDpOKwjkseN/vkNWu9HrZGEnGxkukuzmCDELqXf7TcvrPmWawcpsnbzH7I5ev0+ubgWCVXLIsu
jU52NSOEtMgXlVMpBr9uFt7l6AhvezHBQsoHqso1w9oM5VopDIIHFBKbD37QO2dtSRJYHPAmri5P
z3pKbfQPqXtsKAX3wmzqXRjE1frPd3A+qZMXjHUVGowrHN5pOV+UVwtJSaIATEfjKARO/ZjybNEV
gH3T5Hnw6sOfj/XOCWHZENJybJ12mH6yaDm4QDzPGo7M2II9BnhSAczA+uhbMf9XTs7IJjzI4XRs
G6rzyeNP5jnMG4as3qgEIg+c3OSvhSueLjoqUm+WlS/kWhQjdlLhx9ZnywZvWcvYPB/8yt23jjs+
qCr2H8lLoTdXQ75YmlpMkGGHyu7Pl2T+Mac/lthfYpvwTFNxn1x+2YmSMZU42qLWLqdClc82/p9F
zeaKsUSg7/Ret27+fMx3vh18OP59zJNFqA0RssStPMaC37QsWw1hkAo9vD0hNDiTTsYChaLDnovK
nfBaW7v+8w947zlwTGGBPiKWB1jW22euKxsvYlU5okQhBEarm4shDKMPHjZjPo3TS+sSOWsbti4c
255/xasnuykMZnoILykqTHPdDYT+ruJBt+4NeCYIOsu2hV5hkmRADxjPzqK2geHCENOCVWamtoay
j87EBy/1z/iq05/FC+eyMgNg8k6/3JMhKFZwYfMMI9uqi/CGpIj0uQhjsZ6SOnpAJgFwpEEgRhvH
GgCzWcY6jFTEP3neFY6ifAskaaYPWTQP8JN9sNr+rCt/+4nUMzrfQ14j9+QBURNj2MbTj10UGwe8
2QLFYKJQe6pG7gpriG67uime7Hwozuq6jx7Npp0byFUzzg5jR7CdrsV+KHPmlnAP7/754wN/0YTR
P1dB5snPs8uu0dkuHLXaApAA6IQei9td/Pkg76yLjhA6BQFtSTYQJ6tIwE4/SgJ1zJDSJ6uqleF9
psczOc8HMZHHOPb/fMD3Sm7Hgjoz13W6i8f07fNaTqo3pNEcB71rz/AAiWVDz+hLbffiqgcR4S00
FCNfevzIdIXjUdviCFC36DsM84OH9J0XlBcThY+BYA0p0Ul9l8BxxtZWH9NAA/ATdT9oiqcflA6G
+fv7SQgguxsgUJbhnW4x2lyYkPuaY8aAc9m7EBjQDdZbH5IDar7J2cvcT1Y1ooyF6MeSMW3gE9Lb
jV6rLaexDdd5Xesf3IV3Ph78KHZ8Fr5IwthP1uO6rZ060upjD214iQvjqZy6772rP/uFR/AnIgDH
/OiD9d7VZrkz+SACY0O79/bGJ3jxG/qtR7NHWKSVtEn8WFpLaWANg8DAdUC20o3ifEinR21eN83u
GvrBmsb+l2CuQf78JL77e+bFiYffovo4+UyjjauIGsqP3hTUex50aI4jga7/9CCewQeaff1cEaCq
fnvSWh7UECCqYzaI8D4CAXVnhIX9j89ktnwLHi5XusRUzI/gq08AHeM0q6z+iN20fkHImByY7JUf
nMnv5TYHcaXJu0ukJUvF24PkIKI1y+6Prd6L27Kd2r0/TXmwjJWVZR+8mO98PdilmI5Hx0NarEon
z8o4uzxlWB+ddN7SSlcG1yGD9QezGYZp3Q/kyooyNu91P+v2GkO5MyY75ZPVsfWtbL2SS81Rnr9M
2wG6S9/CtURETad69efb+1vvgutt2TiU5pYJi/VvSwgiJUBq4lj3Kk+Z2JGgthjJlLi0LJtUJhdL
JSAYz8tMjMKwUxZ2O8Iyb2D+/8OHYP4l7BycOZ5FF94p6TAxBwbeUEztxKGtbDkJsopI/+DGnL4z
HMQ1DN0yoNSZNLFOdiij6wYacNhjn3OhU8uILyVWxQ8iTn77RPw8yrwLppyx2RScHIUelOGBcDna
WS3TLZwN50CYmbmJyNvCvWk7WxRi1zUT5avc6rXvLV7Rg2Bk+fTB3Z1fnNcVwskP8U4+EBHh2rYo
2mMkm+aCz0h+VYm+u9L1/qJigrKu8JrdF0awRM+CvLlBaz/OsmCHPjvIPEQk4wd3eT71P/2ikxeD
wLsohvR4nHpNR2toGN8wIKWgQUgd87HrLVpDWuuEQcjCKKt/uprN10NYBpmhApwEzYq3a0CHdqPD
JHB0UKJhX6f9HzHG/2Chee8U5yUGoCi+MZTbbw/iTxJh2FQdgxFxX8hEd8vXO19MscG4uAg/V0NQ
bgdQN9sGffUHB//tcz2fItE6rNjO3FhwT255SiAEhoTq2DSuTvobeoLzDEHdrRs62Z7MdutcqzUG
PkCyhnZZgfJCWxmZwXds9LWzJL2eGE2TbBTvg1fv3V+Ghpf3m42y8zOZ6fUqb8Z5axmkgsdYks4m
lVHWRwrB7BKfwGcWO/yzbET2Xi4RseXQGVWVZGvXj2+KRHTnRVZWXz94P063dfPFoqbBLkIFZfF/
b29VqzJA1GZ7BAetaSuBu/rJiBpndkVEkbngYW13RTX7pwe6RegV0ZoCyqxUf2uMRJQvNbSuBZ5P
V1kLTIDdNo5GFNhaqhvqILMq+f7BL55v3+n7w3rNSskaSflzsrTwNdGLAVupcvJgWpuJJFITAxXS
aFJMPAfKcIvLvw6wAiwBTzEQ7PuBu01pp7Z//i3vraU0PLiCnqUjajj5oNZpNwS2IsNEqyYEyZ2O
7AN+h/rouZmXhNNT9hzPNfhQUYnYJ+9TijEhFtF8yrNDwa2y+jkpysFYBxUAvLxiqLpQdjdVS9Cf
RkYeQ2Yd7dQpxFI3YSN8sIKd1hE8M+QNszUUkirwt5/jtnWAXsK7aNzROw9ymV4rIwy/RIwib//x
BSYpC8I0LVU2UaertxP6EuO8dlGMDlyCLLPXQ1Jp538+yHz1Tq4uPUjTtJmlM5qR8yfkVe3lUKH7
nXAvyrqTO8J2u1VOM/k6ScoaqTVFwe7Px/t9dSQd3GMMRDEmKFxPjpdPvsJFoy6aSDSf9bpskXHl
PTLB3u0QmJp6UJM1E3RVzyrUj99y5bfRB7eQ9eb0rKnMmEPNEc4wnJmdvD1rdlPh0HXlhUkoZLhM
elUFazPW2s9DPXmfLbPt74l4Yz4RJpRgL3j8ex3NQtU2V0jdJREuAdGUF3FGzs8CEA5A4MkPvQ43
KKqmrUAPqD3qYMqmw1il+oFoR6alXtdyUUEpdBPC0SxQS2G3w9EAMH5LQEL1wphAtksLXl+5bCa3
rhfOlMtsJQctVGsrc7Rn2PTJtYqIql0QxlG9tI0eHIt+GF8shMlyXVQpZkfols4O+spo7oMM4fdF
a6uh31Sdlb2MkNIITaVFirUUxMtNI43aX3op+ww8LwJCi+4EHchLIZJvZC1WwaJXhnZTTarIl0o0
8CZ0Spk9GpL+qczNMVlFoGZIrUhg3K8cZZpfDBN900JpFoOvYCJxjQW1qBBmmQQnFLqed4ch9jq8
jIPZ7dqcKRZqqDh0vAW4gYzUgAGeL37U0sO/3rtjUUSrlhTJ6KVNdIIrCRlVGEJryXeEjScTdTNx
tXGJvdbNthnqWw/+JJpsAhqJI8WAmfMd1paOZnbujowmhCE+/gzoBB5OE/QImjdceTkiOtxS/OsM
2Ntu14Bj+4GeUZ8Jcz2xMWpKMKW3oCGqhT4vxgssn7hPfbeejplZJfmSUg7XXFvAklrVNliVlSTL
wEIWwqt53zLDpsUlZXInlFV3K081kQ2WrqACB3mmExqLQK1amy1KdvQx3J3VRADbNQhLPpcC1eQ1
UANhHGWDownQn7KzJeouIwWd3XUExXBzn0CgBfhBBPaXhYap01/GomUsidwtbNAXR8b3BnkP2yBt
+FIQzDkhdivoV5BTXL8UdoLGo4rGHI375BBsRsh1cdumqMZXo3RjuWjN2DDIOTWsq7EVyU2AKMCl
vk2JFeyqElGk7w2OtyxqrwhWjEh5qj2/RK5lNu5s1rHwi24oPZExILdQ2DlLGqwwdsaUBkJvjB7O
OD+r10iPpHmOQDjGPVnEwVfZYmjZ4Kl2bgtMPXfmiFxzg58rVBvmYEO4GOIhudOHxuVrqKOBXbJ3
VVfK79U1fjDywDo+9xlcFE98s5OhNDa18gQRdpE6c7AbblHP8pb2UMqLwAzNvW/xn1lWno9KlGC/
e9sZjQz4Tx3eIUI2zh3UuGeVHYSIaRoDGVZG6KK9L7S8vWs7L7ocWr8BAxVGLG0VzaOHVndzcwkv
0UvX3dQDqpmCqglWpYR79Osr+n+yhn/R/Hv1BZrTBf5KDZjjC/7rXzf91/wbdeH3n0kC+2//9esv
/NIzmPonPkY68RfWL2UCX6O/ckTdTy4zJmJCDd0FliQ5SF7UM11OMz7p7Ngp7SkC6InxT/8jZ9DE
J/5t9OHM5Nn6UbKIf6JoAFHx9kMF1s6mgUAbWjeEDgRnLsJefZ4LUu7G1nNu2yREVhB5KS8YdvJ9
Vfb1AzYeicLNhpsKAOk6n0ZIMoY1POuU2jglfGC+8E1XAV+fI7q/4UkMfn+LkRQjbWGC/umbcW+l
RAdNo3GnGcF0D/E2BEDWBNd+2k1nsoUYHY7agJBAEfhhV/w5j5N2T7a5s3RUS3hPFLrAPvFFLdqU
rcQm1kC5rEph+esKMPPnxAWLD2UV9isuXMf6ggWIQiOQGB6XqW02l4L+4VlcWTXaOTJ1D3bXY3Ku
K7t1cAWVgNPR2jsp0fZeUi8knYgVaN1oRxpqibrXMotxYbWyvM7MHOVtq3fdAxr9CO+sHOU1UnJn
y09pLjKMM8uq8I0rSa7AspVGv0KIV+7tIdJIbM1bgwwBHeBGHgertjQOeA9yML/RkVJbP4tBrWZ6
OVz1zmfP7K5advRjrMHkqaofhI1a6Oeug74/qMZ9rpPx3CRg2M/OwDsdetXeO5m+tJKOFMPB4fNR
3+ohMUA+jAbICJ9BKmT7rlTiEmnsUqJPXNQm2Vsitp+FPrjnOCMOXKpLN5S3g1eVawk5I6wwXyIO
D54xaqcrkBovyD3rZWg5w1c9a7/ZdkNCNIz8p8FqnqLK2/eCHKQakFmIy/2GlTbeWtVQfMt1+5a9
1w85GYzxJc4efYeoZg12YdNg0QaJwj9VopGrLjLx/MmI//TkFzVpQm65GzNfrGtN3thldlcDCzuP
Rf/VMkHZLCLSwNTINe26VV8n01ZlDA3OzC4mxa2I7hoMWBR9wgpsoM66IDm31n8gNEV7py3YGcA6
0ULk6VgjoOGA899aWraKVLevUIM99NIfD4Njo4vHl6M+qzS1u28adKk6mBFrT5UFEXrZMh1BgI87
qxjdRqyJO3SXg4aabuWH5FQsLKv2cZxrZMrwm8eOUDBNkKJtwnQ6N6q4+arpTn7VqMBeu2YX7K1Q
gB2t4UfNYjv209DJVlHYZA/QkmlyMLFluI/FmsYTaeX8CewZLj4PhWiz62XzKJh01mZ2Q37YKgvE
bYypukpJ2G5Fed0FgOStgdw8y0uas84cTEJxoid9jDcUMd0CliFzMvzpTcr5dGV3nhMlvyNp4twE
KrJw22lckgNEcJQAnqb6aiMJrwgbOiFZUuvwGBIXy29QrBD1EKeoMBNSWPD/5ORg3SudLaDiy8pI
Gtg2lX+e6wNYtiwl2G5iOAesb9loGX4uLfdWYdYBZi2C2xnMvsf2Ke6QPAfXCIf8ZclWHiurO248
p0fp77XdtzQKHrOo3mvpDxqdxl3qTtUa7p/2kNsgXgzSmcKyeixzKQilY8M7mMYuyZxVZ7vdth+4
HrRbLQb9YBaUTbqo3xB+DjkjI6hJp4HaoMpleih3+CZcsg57Y2s20nk2QI5vurAH5l9O4mkcvJsg
gW2uoYq1yngX5nhWs+S6CHsMcLoNL3sFBK29bRTBaWOG7n+EE7awMj/eYualXxq/+Fy6FQmr4Ix9
6yVUyX6sSAkMwwdMHS8S6Mlzkje7GPsUEjGxHCqc5xkRonIA5iOsy0h2x9ywbjQNr66uKWoE2e0G
V2e/xOuoe8UuSoB5CO5B1A9ggvwCm226y3PfOsZQsa84nXo5FAQYZpaJf4HcjR3WHpiIrnkI2jFY
26jHSbx0djKM0B5NUPWxnniR6LnjbD3v2nwKDk1mhJssEt5isHHzKMre+5TIhbiS21YP51DlJ8d1
sZwY2AN3JakB/prFVj6GfD+vTLM078u+Y1V3g2cjmuXcxD3A9AajT0YdemtHbSVAvWVGUssL+7AV
Sw9IINFa2h63SUCiZ6idmbrSu680N7Izidz9GQfYDEUUlvWSCy0HBuRLgpvhRJrWAr55BaOpcrYR
YL5jwWbJvRBFYdx3Ca7KQcaats1065h6cXfM6Hvh7Kl982qoiUVu65pQlmT0NoE21nvyDAm0A1tJ
VW4CMCpI8DrWeQ+hKKfq1pKeQC+r0VexFhBQrzxrQaco2k2Ef2MTlTCgA3SBWXaUhB7UXbAts10x
qHTHhDnfmROYIrJP4XA2gdqrot8x0/7BsKI6MwcyEVDfko7TEDuyiSrAiHjw402hJxC4OJfGU9NZ
nVXGVaPh9bDJkUCFTgVtP7RIwPlBUXkzNRaZm81XuDXRxlelc691o78ZHLIUWr0lZDBo+l0sgZFg
SrYfAj0pvmpmOt0FIELXAzv2C/Y18QN+VcTcSc5I04yCQx8X4SERnnbU0nq8BiNRPoG7COasumnk
64mnZJ/IDPcvuu6btoaFlEV6/sBALH8ODXu6jQZQKLqNqjiXvk5/lEwSxgMpFkbd3zfGOL38LP7+
rw7+15x0/5/VvYu6y79Hr8vg+d//m75sfcLAJBHu0gakZKXl9asKNgz5CVQIalo0hL/0uX9XwRZF
sLT4n20Psa+QNm27v/HLn3SADXOTB9UISjBG5P9A1XvSN3ZI2NJBQ9OimjvqTPBOSuCpJBiVMi3b
TxAzCR2413g718jLKbq8kc8+y48XQ4ffwypPECwp3r6pPJJe8+XVJbv61RV7Lbd92zX665fQvhLA
SJgenE6duzmWysfusi+Tfk+8vM/Imw+x5WHk+vOR3j1priHTZvReJtlfb+v+qolNnQ9pRinrs5bm
azEwWPZtc2ci+9+UdOoWSdCnR4r2ejnhrlnbNUl49GyindFB6//zD3o7cP956rRgGbXrNjJaBB1v
f4/jacVITy3d+8CB1oHlfe7dLFoTer8P7d5ZZUUSspjY938+7Hya/+5O/n7YeXv0avuDI8Y0gDSA
0qwKeGeUZguKEHNpuO71n4/0zr19fYKng9DOwHyf1Ea6D8P+maWcTDRAPd3kUJ58eFZzdtyr8+Ip
RvNOt+nnxeT2ns4h/dqrdcQEhLATHrDwncRZUb6CoO3IF66tBzGOW+r1H7W/twptHSQHmDZi3Ur3
s8ChvM2GLa/txndLY93JlWcUwb7tt/AVx3WW5ckxLAbIv7nAd1atDJ9w2p7klRsixI2rLqdB02jy
maB4mLFo54rY+Oxz87mDmFFmqGWo7pNJVpvGbu5jjXRUpbphnYW1WhmW2y+8yH9igVBzI4q6lJFJ
DBuPjDP36McgH3uTmPOaHRmNHJU/iUY7jl1cHEYzvNPHrt5YMaYVJZcSzv66FuLWmMS48NwgvCgG
nHCD3DZZNqe4jyhKLMaBQ3IwOm3jEvhCGBTzKUZoNqMOXsQm7O7tFORTW0DYKTLfuIUAfiZBml/2
iUVt3ZJ0OmebdiFAkZrdbGrl2NH+H3Pn0WQ5cp3Rv6LQHhNAIuGWwgOeK2+63AZRFh4J7369DoZD
xZAUJXGnGC5Izkx3VTVe4ua93z2n/3ar+KsxZrb3uuLQc6Ph84UDWkte3dXZr1yv1KT7Nm6YoDUB
0ab1L30qXwz0ydQyhh/rB9V92izJ+ytScMq6XJ0GVddBrHf1ce68Y6fEkXPiZVz6mzQX33m2IDnH
3nxwFxqKkVqQ+SGs120hfTkMx5o5pZ9N5i/I1QcelA8tIvLXNWqTU79hdHG3dWNiAc1h7dj3B5VN
u4mbHNm4uLy0hvhF7yP9MHZ8XtoenHULVXaLITy0bb+5aZkPxgR2GIrp4Zj3ccja362wVnC6kn9A
2U+OwXMBlagM9bR0n/rB7kKxZG9C6ShqIhsUJhZ2x6s5c1Y4KPzQWbMaAb54SojzTOxgx+fgCfva
hyR78Jxn0y9rNWbcsDYu0pKbaob/pxqH0GXO4NfOfFxJAM62xHvez9stPKyaU+Y0n4gr2NjywQXe
FYYeagngdYdcaJ9QgmpJf9aA9Pp1k14kBnQiJ9KBiE73kSbu5mRAF9c5N2Xn3rnNZrpHRKuPveBT
U4Zrn94zmd1BWp8CfWYZqRBPdqw/ZlF95nTemSPilWYI8VazNXDRGQ+smp7iGXKNYCVw3tVzcSjG
sB6soIB31mOnlWsAYvjkRu2VYBq4FG91nO9S0fujroGof4g50NUkw4pVXRbbfABHXLheZmM7ASAO
NNG5HPTdUgwhGxzuLGhx1M8zxyvegYGYkRerW0AItgE/wiY9mx/MORBAgZGq2sPBlPn1UFSXde6G
dnIdD4fYvScod8KmFAKR0nvgsPNbDOy+57vLh8uhucnrTboMt7J5s9zlXSbvNdfnpdsN07oDx+Fk
X2zuw/C6jY1fawIsaQ7mmsdW3FZ6x3+dUSjXRxu0U/yVVe2uTX5m7o9xuq/7r+2ikgyY4LWLXox7
tz7P5T3U8CDyjHAa/ZE+zgRUOqWnYPfX6HdCU3OCefNckbFLICMJWDqa95IMb8UcOOQuF9GeI66u
6TM/Xq+b72cmSHMDdXi6rqFvRIUMDY9nJQ9bJQIjKU7r8qDBEhf6BeASEgdAsDBobVuIWoHH1YQO
FPMIj+VedeNuUJiNmk+rXMPFhPTYHbRVBG4sqVSTG4H2KwPUY08ek4kh3H6WpeLqP9n7tifh0/Op
LHVaUHSb+ZhipPTzbG+W4t5qmErE4BoVe21uYNf1gY5HMJvJvmnGPSbP3TaCqKKX0kBThRLTy0Jp
r3sjwSjm4VZKRZC39q4Wy4Ur3tP2YkDDliH0Gjz9sk+MY6O3TzbcbbeSVyIpXjFM+hVAUEu/ZLnx
gOkeE1DrI9XeaS2YJj0cchWAgjjCEdwhMFuz0JL2vVT0KXTgPQRfxTrs5QSYxnpfpwfYVtuZclUx
GbflTSZADmHpLg1+Fe5b+X2WJmAD3qfqJq4mmtuflnL3ns3uDcagTDlQ9nEw6mkwThEKnuu+GA6C
i5lvtZbJgUy/oNm+7MYqEKAN7PGTA/cCk6uukeknMiPNXhnpW9UCKk+RmAJ1Mrt9TZAlyGL3RSf+
sit7Y/HNZNkTjb2aSu7FA4cG/U5jP7OPTxfspyl7tPIgNtJiggJFPCEyehP6eg4CYnT2zvi4RO6P
KcZb7obSsw+ajN2AAOKF0jVov+6BEVASjFrxHZEpg8lfX/POupBZ8aXG1gC4PdyJJr9szeKS7Zgi
7PX/dQVHF/9QVHiWzUYEM01ef6z9/G2xlBodWyuWB8y00YIpXZp7bv30vauHkU5FmCfrRT70Gcgq
AzMUFYolA+Xq+gWQo+ZgyLS8WOaGwQxNrBsXsZJfws1CjGR0He/KMYy87J1Jj4HHDeDtV8SStx24
nD5INp5K5vOPjWY/91GWhJufzqi/6sJlwJNRF/R+kT3CRcaYUmnzNaifdiVhBFT+5C1a+mPQeLhl
il++89Nxmte1vmm1MUx7poq64kvpPHh5nSaCIV4v13pn0DWKTa/dxQNUB+9a08zdaOiXk3RIGhtN
WK/e81rRQhUxr1O2GpFQPOUrjko6hrbTRx9qxbGIOOPBIAtzIZXW3Lolv00P1/U2aVro/5vKSB9p
8SSsiAV60i4fyYIWJV0UDYDmqu/6axa/cDHaLj3ppXyZrEjwQLskvThNymQGAbGiZgTG4McuDR3o
HBwH6oNEXmhkxXAbOfWviUl0aC3tgpjbQWIJBBCrmgeRg/N1uREerdEKWMOO5BikswT4QzV40YXT
MnpmuAEhu2brBrJ1w3t3LHQwM+tbFsVMDaAfV8dpQomnTROvEtGdq0Ff7lRvPCuhAPnTA2xlrV1p
7crz6sZE/msV4lX5ctp48TULOFfVgMabBVewbKEsITekDiz8uGcKLziPTC+hjWyZ/JgTmSOEs8lr
xEmp8Yh+sYW0OdZBU6nDXPWfmUeOtuRGs1q/ltVg8ChPpgALtZRAtR39qU36l1ir6XCtkBWQSXUn
s+djnQsBU1hvhsCgaL1iaa7wy6ntfVTY7VtE+IvB7WzwJzDXbOv3y4ox0ZsGhsZqfCDa8Ew/QiOv
y4uyli8xKT6/7OPbvDcuZ6swWakY31dkoDxrdXYxq7llyBHdrDFU+JIyZDV5oHK4jOhAmD5DgEiN
mEpEJHAqQKr0nfM8Fy0Vhjm+kJZuqjfFmHkBGqIYpJdLTp+WbxmBFucJMlxtw8VDJR3CRFgoJRbC
gN0dYJ++YeQ6feasnyFGdsrpuxDmlT1g/gU2pPEoNCIKMp4Y3XrP9DNSdKNJPnOvTT0gcfHj0A/1
e6X379Zc3yQVNECt9k62lcfHrNn0YeUIO0kO8mR1b9XE+QCPEar/ZPXqujWG+dmZ2a4fhXObGzh9
ksaAP0lyazcM6MSKi7wJFT5XiJ7LqR6r9FxFl8PiHmFzhExsrwzNeoFwCOiNtje0VgYadMOnJnDl
m+iz9ooLElXTADoyiodwyz4UzZVEAAQC94JX5mHAqTaRhAgEHyM+2Keu9MEpnTuvvrIldmTel+gD
IbFelHz2PevHyPZzysPBz/TDHA7axDzea55H40N1/P/zHqI08YXqIGYVAjX1reZxMyqvufFcmyhI
4SGo+kFZyMmK5OSlt826+IyAL+BU3Iq2vDKcy6l+bsYLe1nomiMBEe/uhJGi2RfuuPesSvhd+p4D
myn7LrCGz2GqHJ8y+7A22mPDB7YaOoAkUeQLk+mc+EjX6qySAbpUQhOZNyOJLbu2j11jQANDyDP3
8Iwybz2qVG9Qo8q97tHYr/XQS3OgbdyRCtje32V3YfYJmjfokGh/IBUQWNCHi9gddnlF4NOezkPR
ooVT3mGrqSijA8AFfq2dGvATgE4zJ9DK8oJll6OUT6XhBFEq9+SU0KjAAwH4n4DOxjVZ9gFB+2J5
dDgihuwmq+VFwcu7GB+LJP0w3e8BkySsBlq9xGDrMa2ZsGTX7XylRZRhcwPPwdOKnWNot4nogpU5
39VMTmaORUYeovyunZbe/jRNvjWZdF0NnKXJX8JA/1JH8FGV/Ofvd/j/jAj4PzIBDt9qGzt3f/9L
bV/Np6o5hGKmjP+FI9im1X/zP8Lfp9R3w/fmucfr1/+1cbb9k//Xv/nHrPtxqZl/f6qh6rdfDcJK
9ef+n9j2Z/95w5BvI/34W2Hb7//GX1qGwvpN2IbDCuaWhUPPRjPxry3D31jLYBdSJ1kpicgxUv+v
wbn9m0f7yACH5/Lp/HPPEBgIf48epLst3VLG0PH66/f+R2fuL5SG/x4F8Ld9I5dw2fYXyWtIJuxH
/T5W/1PfqBZ80YvoQdhSfd11c//WGZZCXuyK/Z9+Kv9dT/Dvsv78XqzuEiClQ2mzgyX/YYGN4NLS
xuAZgQu4m26s2U86v3WGn5KcVQVZ1reKiYVGOdjX+rh5ROx5egCnWb3XvVldKx3kVDOwAOyWVn4c
t3MyE+DXikR8exoixbqen6GsmEyjO+02HUQfsIgqbvMikq/mErsPylVwsjTPt2bwQp01fgON3oQS
sfmZauR03Cimx4Nq0bdrkx+MLPONcxWxeyxp8AB0He3xpiv721GgbYzY+qHZZjkfrpV0h9STxA9g
BPqoWc7FuIDwhHpA9tUpvV07tDKMqqH6WjA1+jYd3V05tpyny5I2D23jUAPWBCmSkMmDg0ecd+43
9s11RjLABZGPP7Im0+o5ilIU9lrbP5SaB3AoBKlMnPYBUa8JB+yoSjj4dmAOliyas85odu3340xG
cjo7s6tNL4soKD6Tia1Q1MPsRN+0JIBvx9wYPos5doDrD4zbdoVeme/dTPMnjHVegqxyZMlOsn1N
GKvrtVcvWuy7tYzU12Cr9N5gpQm2erTFzkajG7nCQAx969fG9k5FDdXJ9xLBz9yYEIKdrcR0XhbF
8JgLQrYC/Z70+TxotGj2RmtHR5KQHQLyidnx1NrYGICIMyhEsMWRyfLIynUGlCUlqqGnz0J1GX2O
Lgf5Gf9OA42h6HhnVbOS7LMsBW+VSC44bQaWQN48fmMVcI1mAt3j2UX61cTJ2Rlqjdv8grHOz9e2
eqINBZiT76F/zHRr8nzpLYyaU32wf9zZVRQuxVg0ftxP+UzfNeEFidRr4gq6QrDx2dSla2UuOvAu
BTD9GZdyAgDfSAnzQxzVvseoa0syeLD+3DrX1oPndN5zbzpa7DM9Ii9lZokHz9tztZE3euud4W8C
0ysdGTEsHkns7wpte3KVKdRnVhrFjdSjpg0yINHN3mHXbhulKggT5tg3X2tOvtMfcSGoUKucxgYj
jTk+EIxcx/3YYp6L77oeNmj/xqG01N133rowqVEoTK/0h0RFsQ0CqsZgQMoatV3ju50tMJdpBVeL
SqMKOzfU6+rowNR5tzMzf1la6sGgMLlM7Bdj5IdTEj1tQnTpMWCwKNfhpdkp+uA2cmI84Jn7yTOR
ylON8ZgfbjGS6tSdjJe2VczLR5to3AqI1olin8kKvmc+uJwmPD7la77q2oPInNyldezKm9WglcpH
1ETTIrN5FQcP7G9GxiCe7qj0bMdP0T+kZHRaJK6LNPunTA3DL7Y+wGr1Clfh5lzmwtA52jKyO2Cl
G5IJ7LSa9e67wl+3VXLpEFaVNyxHxBt242vU0mQV9VFktzoh0y+HFfh5l0Arw+WtWA70E03TaBo1
6QvuZJqTZuaZX7NBZWQUfXEP+gi6Ov0wcF6ONgJrrXXkPmCvSzotq8Y3OnfQpySBuyxsuAvcRvW0
YoyqaeeGhoVV7aiQ8t4ToOLeVRsex0gOaeonx12ZhhnFaH1eW6BuwUBfn3ZQX5hJiBBWDbA5yPn7
XjmTNUIlCOYZjTEGmjZJW3pxU5PouyQaHXH21EpSqDENHooxSUkhgEOFTGpkmXgZChaYd/CWxwOU
xWWLC1fbB0lIPb5khpEaZC6nhUVNSnK6bEKnGBRmizcJkB6DcddNXN+evfEiT0lThdSc04ubNoJu
R96Orj+7K3YPkrYxgdySfuZzx5CZwhAuDU1fxTmQ8MXCRNCL8YmmSAHeSjeW/qrwrDJ+U3Ns0fBu
jar8AZewzh8qElnJnappQDQXhjG190gbpXvHfhebYDuBBIDrF6Ii0wqXotanB0+b4vR6AXY28mw5
0UqXquygUPpWhES73kHKcXKohB2G8sPQLtl0w8/ZQFXvgt9O6HIzgfZNfv2ITpOGlCdOFsm3hICq
GB3g1DA+fjIN+cqxN3GKDn7XjyC3cBdYi7NXjQnriktoVdFs0oZt7BADNuVE0mFt/Zo8fUEoiG6P
trWzLBncmzrOmvu62SICALfEeqwWS8lD1JEpCyezGTlK+oiroGTlJD3HqUHxDT1LwmbpucNZ/iQU
71BetAMduYTokV4JaR4iwkub3yVlJXRp2Dfb2SpjzYhMDC39+xz0lzxWeTs4THoY6GwQ49zIvsyJ
VMvz0tm9znqsZzH6qVXbZJ8rjen+sR7sUVwtpTOXV8hJDQYrpVzaTRuAeOKy7vgDPTDJL6Nfei7W
MSDjOCYHkQFt5avv6PJuktabaVromSZukSZXnL/T9N2vepkFYx7jO5lyHZZCwvl6Ma3NNAZdnpi0
Nxd7ru5zD1n4OUki+7M2ZLxgOCctEaZdUTlBvzJxuR0WU3xYBAaHn3ZpouSdlelyQNRTNPGlsjNH
nEhql/S2lY4QBRe51+iA13Hs2QceFVSaYd3KdrF2XHtWCbtv+Zot1JfzvKX6MpY+bE2jXKBKKUXQ
LrWXcaau1nEo6gQMcglciPgePMGm6wApFvxBLpEVH9FqPmbCrl6nHM+ITy2g0ZOJaviJU3NNzTD/
WAqA/cLtFu64oXVbJGrlk+xylWrpf7V5mezF0Ih6V48WZy7NiHDk8nqStl1s8SEd7W6XXQoNC/A4
qvWpyrMEz5AhrMDtG+R83XadpycHHVZaGgTC2T20gnUcOwWgjqvx2snau960IgDgVnNvGFhExs75
qpd8PCZ9b+8cnZMkj6Oa7D4ebeYiX+ug9QfISsIfWMwu/EkNz002w72eucdmDr3f1pbZCxmV6HXO
y3Zj+eoJyFa38vhDhpWJjZNBMZdMkjjkwZmuxaRJ9nZm4bSKRSgd1jyDjrkSDzR8OES+Qwy2CPMM
uwGr9kkK+oPHhG0IaWg7s3cAKLZyuGpNRGiz0ETHaVUQ3DaH9XahkRpw8tXnxm6sg2H12mcs5aWL
6D1otLwkrGNqN5Etkl3dNPk5c5b2gZUeFe9SZ9B0TrEWJmaX/AyVJC9vko7hCi8BTwOQvu7nViMi
VTzlbRGhgNAYjXWTfo9kcgwclppPTQtANEuq8qGOZoyUhkvnjgbEqSosip+SZFcGxWMPkmTiOKV8
6hXznwU8D282CQrQLvT00ujFw9x7AAwVy++kgSxIw3O6pwBvXtq0Prd6Dwu0ynasB3YfxQAZmLXZ
iV6yMZEpBBFxnzvVcN1ZuXUtCShuIrbBpw4ONIZ+QD1bhUQk1ZenIpppKCSefLMoaP1xsOdTVZmQ
KqVe9FOAu760Apa97Hf6gM6tOfMSd7zOurJXUR7AjT85c1u+LqPF858P5rmYHToxZaO+Gk+MZPB7
dRYrQuMqKR68xlh2KGWo93pikP5aYo7E/Ow5ZMwkMngh7F9e2vSpj15FfZPgsTNWZuz2R3QiPSlJ
L0oMlvIYj0zE57qcwctMTijwaq3HyAOKMOdDlvXfK5BMIPKdFjYjxSgR7Jcsxwgs7cIKtDy3Tlbv
zfTUzAnSdb8MPxgPxj/2uP6le///iPD785X9n1///z/e7Lc4wT+/2T8oJOn/9h8/bfr5d7l4/rU/
cvHuFuGBaeSSYd/4V4wa/rje279xbf/HOBBU89/YqBWE1Fns4u7v0V34Iw/EJvFvHndwy9F1na7m
9sv9C3d7g+z7v/85PrENOVjcJJgvrC0i8w/xCULHlmuNpAkhZPNiiHV2cSxRdA6+UKcfiLlLZsyj
VnXOJUQy9MGM8WYnwV9gdXSejRUEvl0OoEzbusXGa0q5aNluEzFeS5kN7t3UmB5Vu7X2cXSfS9mO
lxUamq3SrT1kVqWdHXKLuuUsptroC5iVQ+IFqS2nEYmyLqBeU6Iw4XZ43RB279kjfafGcqj1ilLE
2PDmSIvv6AVyC7a8drHf9C7va2/n8V3HhzxjiI4REKzhfMNO3gxbg22waAyntsz7X5NT2w7ZaOnN
u9ld1uKmVGXRHvKqcbMHXWhWfi9YSyw/uLY7dxhDbP0OAL2kZa+abrt502gMhDGX474c4TofeX+O
7uOwYPTqCFa7Kmc5aaqKjzJGWH3sXW9aZSD6SJWnDDGCdzWqvhUBsnrHWa6Q6lnZGvQljSMLtPk6
xdcctQPxEb49tbzyudbW8zQ3ff1tupQD9KRH+rLvRaIQaqC1I+eD8MVgTci3lqoTx5yuc35XGwBN
3wi0p911amuuxjwHv+apBP/r/rhDx6aWMai1+15yhzAMae085Q1N2NlkZFTorlHEQYFQzGzgl2A7
nAMc1mo9ZkhZnJ9ZL+hEpyhBtX2kDMUfW4NNkOF9b9RefFNNdK7s3cKBR1S2HyONFSOXL5YwGAqE
aNj++bbobth/Veb1yO17fdEGD4rcbp7TYY4YpNlG9yZnnG8vq4CX94SdV6lbp6nCCVUgUY70kU1l
eZFPJpLimh2LePImv8+dF8nb82sTkc07bRxfyBzTS2UF8fcH9w6HjsKxOKNsB/WGTL6hgUIgJJ75
QcxzcZvFipu5yWLX8AqtvJguLMHMxNJRYUGeT3XG++5QI28PiM9VFtt1hVc+FjMkfz+Tmdpn47re
RVpf7/lD5ZquJTr+IkdjsTow8Un6vNL4cmb0UIgz0sx+bSLTYLaHkturdqU3pRtPm7T57QQRPsb0
4NoIXBCxpdy4AGZHeH5NuLTVJ7GaiPuPNedAVPKMW9dNgcRQPDsIp17zgngRSVhMeLRqShOfZjHu
+XBFr/yjAn/MYNZ+Lxm3YrbgryuvSFrw+AYNtB0rF2N/r9W0CJINNS3oKuiKBVA2bJTUXtJx6caP
BQDa9OXKznNPul1q1hEs/ZReobZW4qfVCcjuDXTi0ZnJaZaFCZGmwV9nk47uTdvVqj+uGi46aUqW
FnqKY7x7bZObAHG6jJFLB51XHx2JGtNhOLsbFk29aiPXtyDLTbzGycCpcU0Fs54Nx06lv3r8PFmS
RUQV0Otxj061QnsBsKaFUpGW33lOr4jmuQz0hEcNTldOIxa56JC+Cc3l5kW09uV6JH0rQewzsOMy
VscuY/1JlS9jyTYQYzQvv9DMdgSiXGqIf1GEDWThJdz/wrSql0GU63fEXfPCsDFzjEM6fSnhjmGs
Jvu+TNyXNbKW+6izJBZzvmnu8Umk7SdBSKWEw4kwYx231DtHJ18Ixdrq6OrkNKlxgKw2hSngEZo/
Wte9zmCTLRqCWvoZR5P2XMkxvun5NYPc3nzzqNrurcpluKDb5qGJhuWyEkX5GGfldNdVuSnOdBt/
GDP1lLwpJl8MgzWwIE/9ypzJXXZ6b4ifkZE2MDeLEbG2uA5yz9SZwtLtjcfYZHfVt6ox/tFpWb04
BeuXu3lgVJUus00jAcvxebBBJ0Spaz1JcunrYY0M1nPLgiJGoAu/7MeSOcsoouaGThdjD6rBPDT0
lshW1Znz99COv/rWJnLlAGJ54S7SPPLhF3RgpRa1ZPq0/DTAzvlyi9G7TjuJe9NCHGRWYrkq2i56
m5JkNS4L1U8h2uCW2JCYshunyZw7fszzyS69/I2OCZ0xQ5Em5zaAYqmKKW9ZjomxYc7kcHdVYxg1
QX67fZ54z7ONOAu7OTijlPcF1SYHopO8VLozXsWjqx30yJCPpAHa11bH6GGQJd6z25Te19LswqaY
9ePoaOfFTdINWveo53NzPUlvim4W1k+PLdPknVmX7GAQtV8umKMjLqr7I3EpMfl6hI1qWCr9TDFo
/WqN9EM2dXU25vgyT2jLs6Jp9U9GzaiYDXp55cjhJl/c4rFe1zWgDUfeo12TYFaKXHwaXfaKpTOL
Tey7AR/5hbduVYBZi/I1jTrnTJ2r3bMWlwc92qwbnStWIHItZjVibA+0XMeQFTjtp6CBQ+CpyYaC
4ZmSd7OumvxUL4rAF4E3e9fNY7zX9Cy9LNbhJ06zGzyX8Aqa6DUyxK0z5d2DbBotzNJWPjcauB0z
rUEG9ZvNYThlSU2cR1Ol/hPRCvPbNmH8xfas0cjkSdPocfUxuauqlCcvHqkUuu7ceOzulPThdpw9
OiTFuSUb6K1T9Dh7ytrz0vsC6JWOO9thZ64uh4PHGvdFPVX7qmqzJhi7giZXLbDR+8TlyMCm/Q1p
x/mC+sY9cqB6l9im2KAglvlEBaTZbw1o7vhrthdSmXpRNfd5oTMnx7q5YjbTYIBG6Eifi4JUPxvR
KTR4y1VdGYxAM4hKOnELRMu1KNSOJPlIhhkrao7XwjPGj4SRQh10S7JsMZoqYJdA57pk/NTxkC57
TjnE9Lzur1nyeS6Ulr2WbcL5rJqV6yP6avw4MdsUNbnwqPeMYNRTPIUzY41XCIvCrxy9ucLZl+9g
HtV7HEeAU5Y5v4Rt7r7w0dCWMNNM66BMcxB0qIt4rygzn2b68Jhz6u3YHoyY1bNNC9/vnXZZPllb
GQimjzBDbmDKk1poWdfHVylCNlLYrgeH/yYV7MB9q+ERzTqnC7NFokqs6xuR0QUOpeuAewcgHGis
gy1+a8jyEh4CXwQRyZ2a1ksrmugLlHVVXdL5mOn7LyimGUNge9QcY68ZSOFg3KNrpFSmkS87TlFu
pfGEulRsAUNzQlPutjgF51oSS8unLy/LqwdEDdWrC6b2ZSGp+zJHSX8/Y5cm9OpwNx31xX12264/
jmOOrnlQX2vp6McmowseZzpMCTqNVwpu1N5x1+KrnAQdQeSExySf6BB6Q8vxaJY37ahjtLNZ7u7i
Lr0fJ1kR6dWMfUSb85ew3PVskex4TgjKFDQ3qYldYrcMVb6F1dQosJ1vxSNwGNHT7ADQaH69qXLG
fLynOOh4haYIgZrGs3ZkxtxbUUXJKVud+Kr1HB5UdyZAturRVa6677SwMm3HU082TcrmvuWPkMFb
hzqZ5fryWZqlhpMbJeWoiuRjonQ8JovLx6xjD/BXR8/0ILuSsd40yLeJrX5WG0s5syVEVhT7juYc
+rmmHnUqWNlyagd6r1mOSQP0KiuWfW6RK9C9imJsHqedlYmfKrWGE9ZEBnDdrDshIw825fPUIe9i
0bnfoW0kLSrqyWY7AdYgC2EVlYIm5InNwjYLqxIuMzuIbaSdcbxncHdYKjp09D1/lVmSezyRNTle
N0bKMcNefdFEa/1Y9lJ8iGaYrhCzUR6usn1bkBST5OwitGMZERyfZE79Dva9PI/MC4pgWaUexujH
aO+0zXhXFk5CLNReY2q47pZOpLwey7k9GHruhSVwzHuHthlsNoPHuqM7y4xLEQqWEb7GgTYcq/i0
Vc+2WOlvF3rLQ2i2Dq1IZmtDftVkYtgNddntjHly8h3RMQ1DSplbgRQFWAW0CJcAbx39SvFYF9go
Rct3szDW9fXG5NbHwzpde4OTP+J05ZjSliSqL2a8Z8ekcc37RtOXY6NymZ3HNnWioLck3WbGbzr9
Rey4SyfpZA6OwYYqmyLG/Dx0yxUAekyrhkaYhKJaT45LUmFkdAvrFoOHdmhiabOuO+km7B413Lqc
uye55NnlXK7xh9OVbneK9Vg4Ya4Ue8NyEwvmi80hlacwblI69lhXs6JdLyxlMYc2yeqxXjnkrwgl
qfoKu32MZzJ8jqJQJL5h6T/S7Ut2AKPspHGqPceDlX6MmZGGqs/Gl1Z11c0giZgY2GtJqdgg8liO
Bye0DvGNy5Eud5FQ3jM78lvJOtGlXLgL3GDjjNiSdLD6Wgk59Z7tnmtQ2s61p+T0blBDhrR/5ecI
z0PtqszSI5KBUXtTMBg4wTimLyjt6rFCUcJqYUz9XMu+BAdS9/V9DUB+32Bsv1j0Xn+zcxQvVYaH
nkSzVhM0WaMvWfeMZEoW3V2zne70tZBkdDyGfsQQrQ2WYqXh0OsSa9jASwqr2q98VNz+tXE6yt4Z
nmXutnueiPrN0gf9tMgo/1wqJ7tsUtc99wxtDzWUT3KxlUVT010XYqzsPBpGdGLPfnlYIi37thkd
7Ba2xC8aVmr9gUz+J8vNnd9bXQIcbs7vDc5EXjYpEUaP29FdIryCh2zu3pVXe3cpcrm9mL0utA33
ZNn6cFnYZcxGspUbpPd7HatZ0TxAmY/eCIyVV6JuuWBPrP4mrNpt97R8ubZ4kjVhHYuoAlfTpWA3
dimLoW9WxGo6Mpf6MjNjI2xM9dCtVCp0xA219/BM2XuO74XdRwKJh6mI0rMRD8XOAKPWUsa2xRNT
68ncxSsvZacqVABbLc05vkvjDuFT91w1Dq5JpswTVfsQ53LH1u3KvzHZ3h0BXVXzckW2hwaSAERG
t2STg7JsysKrfewplQhkEk3xAoe9jfemVfIFDcn0qzZW8uJyJlACCspwnwzsSiOP1OydWPSuvYtl
bdLsY1WO55F4o7CfvDI3T5BXmnmvc7HrDtTHX6hWCDnp3XQ7VpJe+Ni4P3htxtcuRbB9Ma8u6SZF
FGK78s+sRffFUvjOEn30LCkvjyVIQSJaSLD9vJniZ/Bq9Tmnjr2l0REdUCqCnZlErFsn02pyZ6cT
qjxOc2tJXy+tVNuVuumVgYiZDrrIraqzhpqp8qfGmy5JVehZuNJxyw8tCxJ7j+3mIFWN9cWeAnZ3
MLBTmImRF6HXl4gVnEgLcjIT3/a2hVmwsBHOHvnBXQcjN99zJ/1P9s4kS25jzdJbeQso6MDQY+rw
PvoIBoPBCQ5bwNAaAIOh2U6OalCreBurzyW9SjJSKZ43q0HOdChRiHAHDGb3v/e767TrCckweA4m
w2MROcs1Qg7+dRLrWKV4W1akrQwT+sUWHhYy1T3PvYePlvo2c1xnf0EaiSrxftTCP9MTWSSSs+S2
Hyfriz3UOSddl3P/6s5PeSG9a7akuK5VHSZz7QAFLmTxIKoVH97kuujeTXgzWt78FGrSS/yaHL2s
unxFd+8JUmcLcQLyQOWmktq5sijfObRM2Le8UwsK1CJE+dVflptOd/jKYzTFNGkLSXC+7YtHyq5z
UH9NRcXZ4tGjfqFd3l96SIdkTlvfxtSXIgOCD1tcNgKzG57HNV/tx76KDSJbp5fqCmmD37CUTs4v
O48k79k8WO5TT1dfdm+lauSkxm01MWR3qJYKvnn1Ojafx6wu/H3p952uttDrmaL3ASWC7yVpW8qT
oR0WpPjTck4/aH+MeptbMEgtvPAmH2Mmg02eHSpG/f79wPHbO6WwELCfMI2iNyee8AFjPFnWXWRL
rpprP7zG8xl9nwpdxB/niDL0amNrVqZdO7hBf23SOrznrOAV1OBNgd54SyGHk9dGRbTPRxyrNykn
2fTBxwfU7nG3jNNpnVgl96suuapk+vAVbxHD1zUqcGYIXs0b3JN1AZA85Cw7b1ThZfF28Z1U7FIy
pJCKXCSnh5yikooIF6OPHdfWe9q1CIFko9FX3pRruZ9q3jOP3RSadU9iqk4PNo8SjbcDLIOrviwX
7+iXqZsfUYTq8KqCv0vqBTdxsW7WcRXpoxX5XHywbCvaYo/2sgOy4GJOWXyxOC2WZvLlRmW+HIoo
tK19mTOqPOrBwapQSBXXB/qdUgY/y+C0x9ibg/S6sueGDTIHJ/s5sEXAmtsUI57hvvCw04ScC+/j
dea6q15RZf/XEC4RMaYwBSU4eNTRliG8pZzIZ1LGRt35zIyJkS5BSXqs9KL3UwQbYu/DV7hGxSo+
tnZkGH+Khbkdm/W9RTqKpEoVPsZjGyZYLucnNn54OE0YPqYtObbMnSWNXIbcDsD6rBgenDZ8j0Y5
oWxm6hEFmVj4EFHzCa9w0Is60K0W9juxrsNxzFKxtdtIP1aybvbcZx+i1SNW7meEcOzMHKPV7V8b
UBonZODgfT0MI1SnMp+xkRWoICgq+4pJcDLr5muXUtIR1Xpn+ugDN+GwwRLN06E1xW8Bbhc/Nu2O
XRgTrryJNx3jbD4JSOY5aysl4vlLj2+DgDyegaKzhmTSVr/X3lqDlsnyA82v1jE0PWdhjy1Zo+lp
LKcDg/1gR+NvnSh/5Rev7WUDp3ncIYqLe3/o0sR4JTmtes5yds39Ep/8AQocfg27RFopoT/iV9tF
jZCfBjePLgQOHv6STHqchLlx7Rta+UBEVOGVZQYs1W5b7zyLoAmOjcch8j9JIIS0GrDmP2D2FQdj
Z+UpgPdxyhflvNNloL4vEMhuBw5pjNxUXd1Xa8TLrGNmF6l2vBHj2L3iqNR0tTnViT0/1h3F5T5O
ns05ym/cLZX13hX+w/k7811AEP7Awx7I0hxSJYLPeWGuzTpX7yujsxejrGDL6SP84qZF+NmuJcIl
n+6HcGAjYiCSPsFqwYg8C3MrRLXsemZECapZs6shAHGjmTiJ6Fbec5dgQ1b5S9DG8GM0xjUWtm4q
ksWJs0drDNRxCOQ3D+PxSXbLnYusiKknfBYN41NRWmrnd9JGDiVpG8/pd89MxYmEU0RVTlSQZWjv
O6f+uigXw19M6Qut8S9j4BItIQKzzSe28Jbu0isT9uo+rOdP7POtBAs/wgcP46bF634vo4WEFeg1
vQ3D8YFN2eeaB3mj0pg30lxQsSyAmAg57cF2NR/WtuwbzOhCU5OtuqdSS/wmspirx7VdHsS4phzi
Rnu3WpM61SPWAq8ijN6mtqDKXtKR6JZPBcyyTdrFfb9NLXgjINTVJ1Paj6t2Hxe9PIN0PgYNjhBP
tx+ssG+vijo4SmFnR1gLx7xwp1ccA+uNHJdzShvoLnA9/Ha5wrhCY8KVmfv2hkrv+Sx8RJ+Jze4J
Ug6HIcXDCApDHGLCSLdy0nviouJbFwNwG8LIuQjBUb8JumA8hW7/RWKH4tFLy3NIkUoSze2xrRiU
UD7IvL9jA1Z48cEwVdtmRsxbE2QMhIfgA+uqeR3VdPYqk54kLqUEnE9gdmPnhYwHiuGoY0K/lWNt
/VxRozcDaEKKFf4Emc64dwChSyh+Lp0jHKu85sxxrsm3gueFOHMayCs3TYNbN+C2VQAAjrFbY0k0
1YuyC96zfSoo9QLEhkhTb5kvNTQhQOMj4uaTG2ue+yz4kPXcmaXUM+a8hiU9FC+1s3rkK+XlGFfg
LpPVgiYmhwi3mB28iEpAwCPSUV54MwMV2gf2B/XOyMa/9prR+hqns7URTgv5dKJ+e83bZ1Xylc4j
865EoOZhRxmcc0CVLZpLl72smHUP3TwOe3kJL9I02SUyx8lnGCACTVpmPl0o8apg2sZpsvAfXFry
Dpqc2Qr3QFG3SNfIV06n7D+cSmxm7B85iyE+25Wl/TyhAENaaa7HMu3ei16JJMyQr4t05qGM6CMN
SU2BVAmteWdnfsByPx6ASUrOylp7WyaEy7RrJnk91sF4RiKEWofRZm6q4WGBLnXFd9h8w6iXIjhQ
r72xZf5MZHm4ngraV/OWDchm9TkYJE4zfbkoxN8tzfa6BaP17Cxk/UYOV2gojI62dZUTvLDdkV9X
WJN30yvu2FPo+R9nhOSTFasWEvpUDf1Oz7N9YzB+7C9uzC0Asc+5Y8Ur7Zt9WuxSM0l3O9LlqOgX
owT2MIWOC2Ky1y/k0dRVi20wkVGuHuBcNElJ3TO7dUQ1wIC4Xl2saJ+QMthPW+Ro4B8T3dXV80qa
fe9CKE10J79Gi59tkaceRBM/aKuEl8m+MUi8FQdH0a3ZlhIyhOySWhjMxJqyEvIn7Eg6Z2uD5ZKF
tjY144h0B/Kxy9g79eWlirYqgPwopTc9WLNdEfh54jNE23kgDXepJ1rMO1iGwtEb9kaOiESzazCp
BAFT5l5N+2V1WIKKimitWpYFJ0tFIbYHZ97WVvPdxraJ9G4vV9SrWXcs1cGBsJoG4DBYwFaC/Iwu
YW07vE6/ACv8bMX3A0gZZBLBc13CAMILyQP8iHDo6myyXAqe8foa+EtshJeR1M2yhL9gZlw4IP/J
ioiAjZA5gGErMDzDzQ0vhIcfPP/p5AMeSjmI9G7jdec6kM58tRA5t7c/2CX+wvL/MwsDXDsOCDcU
9BQI2wcA/IaFkUbLVCjyb+CXqynctSaki5LxSvpqWraS25gPdd3AyMjfiSzwf8VdfsMG+f36AIFd
xyWhGRC2uHwQP/yiUxfF7LxiuZON5VWbFEXW2/gS04KXw0jeRxax/A94JwpzY4/kte1VoTp4HT4z
hulWfp3R9RrfCD0O/v+kab79nsn5VZrG5Vv47z037xAnsTH8lL+5/I1/AXh+o5UQ2xqPCUhJ79Ji
84fdJvwNIMcFfm1HkR26l4fnzzCNy7/y6MwAie4h/Pgef+dPvw1USzouwKnxV39n+vxbdptLavg/
H6vQAXEZ4dfAuWMTCSZN8/Pdhh14ne2lZhVTXvq1cnS/Xz0J5i0dzdPEWWS79Ot8Hzb2dCUoiTr8
8Dn9xcP28/JxuXxg87uwKxGB79v+m4eNTeTS+LmHsafN7fu2WcfP1FjPT3Hvql881//lUoSO6NBE
/mQBudTL/fyb1lbqoSuxZQc4XpFVLoKkrcbLM0P8/O9/q//yoXpkk2wWEEGR4QU9//OlXLT5vp9B
XNr+gNmQ7YKFYZ1ZEDljohorl3wXmKgW+4UU7rcBDc49/f2P8KY+ik+W3xJdyWVNjrjx/De/7iBH
jHrYXCFXm4Lm3XjKh4ThBSCLaJW8wVysl+wXl+rVzxBNOL2X6j3IZmaEUwOZGPzuyADQB/iFDQL0
YDP16ldVKpfF7Kfbj40id7LLS4S1Fgf1z5+UZJSLWws7cBOuw42yCgPso6t/0UJ2QVy9vQz2NJ93
h+0Esf/2NoO7Q1oZY/emtBqZYsYHnk2YZG35SHrHfg1JKd3VI/mbJIiJJBwIlUO+CTIBta5O+/yh
c+z8Hrsq3nMQDkB7gMRZcP/Syn6nOcGP2MQ5NyVG6fxQxlVzi7kSZ2ifuTDwdGz8Zb/kLq76jmP9
l7//st/QjbDlBVj0fXr2aA3wCGv+/CkSW6sXHjVyxKhN+6C0oz0HJATRBV7OQOrl/u+v9yYUd/EB
8im6gHAvNQVUVL25YIZXfIralQFCbh88vyL4yyHOpOPWScuPkFEIrPmHAhARc4HXycafE6XbJtKH
JmhwFuDdGSzzi1ueJfGnL/n3Hwr3oscuwaYB6M1aEnJM8i2z1Ju89+WTEna9q9Pl2zqU0dXsYUqB
XP3v1drwQdBY4Dtc8vKc88y/ecqgKzUMF/Gtx2XUnnLUhT2bafOLGrS3T8nlKqEdcSGcxQQP3lwF
NR7ypJMi3NdRnUxjr3dpMAS/+Pz+6iq8C9j4hC6YY//Nq2DBVZmSkOEOpY/8JHwdbNs4rH5Rn/MX
V+FNR3eKgLTm8db7+V7t4kv0qgffUsruE4jY6aPoeu/r39+g3u/thT8uLE5ok0SJBIBnVnxU7J8v
M4uA6kHjf+mZ+TUbO59IXuJoitU3WiygJ4MPeBmgL9rHzPMuHsJyZaqVCcN5v5uwg92O2m2dW2CP
hD9GuwxbkAa+HhA9MJMn86rb7qQ9DYS9mHtKDJx5QECnX6TyH2ozd9UVXqLIvc6cjL/rjbjLznnq
K15AqO54q4a0uADoi4bK+z5HnQ/zhqBXl2HcWUnj1Nt0zItjVvZxfOgaOZJ65wvpOP36tOH1WTF/
1r4oQX7oCRPGyhw448FSU3anTObSENBT7m757gWF3IbWcF0BnVsfR7db7ee0zTPnYLiZqKyKRf8l
ni0r2/d9vUYcK4KiPoayIsFeyj43jFRtKKld6NTdFpONsra9GZZ63yk/yg6Lt/YvtrJMvR3tNNP7
OlX+XdP1pb1b+igaz5Qwm3VbNmxnt7oa0uXGUwPOiomkPvM16UFU9VKRv4uCdWQI4+cx9oaFUjFM
Uks6JQyBo+7g6JGxMETiC1HLBUiStIBRYAzRTZIlgxHu0RaD3e+ztWrdUyQ8Pp9y8NdTVIaY8e0h
sz9ifmtL5B+PWbgqfavbE+rL622mLp+gX9WV3i0BUFuOpbzyJG/u28WRF8QHHynZX6UjwBvQ9EuK
f1bzOi+q/NZPrhl2ITPNeNfy0z/3pucmQC19FDBHrDv+Z+Tby1QE9a7H8zMfHDWrZSfLdH0pHbnY
N3PLuXIn5saO9/EyN/vFA+1/cgYW4bMTLXpimMLB5B5Rsuv3AkCB3AJ6Q2vV4NM+iD6GFWipjkmw
oirlNXJN/TmVuak27EylvFkoKCItIbTPdI0Q1EySsgf/wDaw+Ybvhm5bPUvGIVnfAs6VUeFsB7vu
vhJMwww1IYYjY2HT3GYdFttkAkt8alHWCr4Jn+YGbq6FiYBniTwxUchIyHQVzhSDT0Gzm/RdN2kg
g372IZ1ZO583BIhVdm0aXAGMrCslSjOhLk3FObUjRtOzGdFd7TrrFBytTpdJ1jLXTtJm4IUt2zD7
tIRd7B2DrvJw0y2W8zngDMdSWWAh3fQktdG2YGXf1t3cEKRAQdhrdMp6J8rSvS7SbjH3YIh8nh97
ahzkDyclXtf1lyN2UQlQ6yYO071Z8kDurFbxv+U1031X8RLfOlAs9S3OeW8+NAtUwfvRDM5rYHVK
3afDkqXPQtO1dgb/Jc+r3WHnggMuu6QeTIMCVeLCS8CvBmqTgXp9LSZM3UlpZtNuAQ4Lsx/iofm4
xHJ6cFGFHDB+aRjpHSZlX5PGSP1i7w06CHbKIAvDQF9AcFOf6PWJLFddHZy89FsGOwJgco851T1G
zQjemW1qDjRrSVUSho2HYgNXnC0SaypKcJQDwiN86QabecV0sEPfi646NRhngxXz4v3VsntkNrCo
pGcTXxFiq7313onGiKil03lf7YKSjYM3U6m0t1cne5mjziCjLkX3Vbo6BCblynbnKpv39DiDwkJ/
GRB6i0hdBaIL3vEjpTcpcWD077Zx0g0uisHdzlXXHSVmSB7rooeAYvwmeJJu752sqEdQCezKu4Fv
DZ6qSxmRboJGldlWVvidEYYUtWx51QIqYbfDACJ3e/fk2Cp98sKV39gQVf8aZ6O4tSBld0QcGXMn
XlTBA8aXP66HsopXokK+mjrKJ/QaMMVXMD7ofYuZimOuISWMJ+lTD3Ptyq5FLYmg42EnUpZX77HC
xe1OsZodVtlwzK+a3O32Mo6YuvgFNzBDKjyZ4Sru1lnKbKcsf5gShEDYcJnj10DXPHGO5FC719A2
rKumoxyEDyJWD7QuOuVeNUwjN1k9TRVpfqeaNk5Bq+q2iAodbPrZsb7zfAwfFk8En1rVYi0nLghn
OaxzxFEza22zzVO47sMo7QwJrGwpk5wEIiJ7kMV2Ysf1SCJMgf6PvVJccG4mGjDRGZQTzBC6Says
tu4XY7XwlibMjcnKNb94zTSk+85rSc9aaw7FZJA13mkEmMnZadfNPhS8vJqzlzm5SHyLsfimbwPr
LkvxcENGXNonVGTMWZhbAKPwEpDvSj1Hz/Gs0u/1GBcDSV0279ecuWY4UeUim8OaEx4eIpPDxiFD
/H5hhxcDkhr8cZvPl8NPIFOIcJ2VRRGVBX1/M2IzvLZ4tLuNLEN1D78FuHeVGgdidq4jQmx19Lrq
Tj34VtU8tyW9O/i8cmpVHdtRXeJjKjNbP4Urs0OEcqOHUBXVTLBh9srDMi094GU+kFtqT9rpnA8d
cT76X5EDfb+bvtQG3zCOHbsrebtaquY76EY4mYW/uiRSzSYNNE10BBxWFNfSJ+fVp43dwH7OrKbe
jNy+7ia1wnJEnb88VrG8fKum6cBXr6KR2wCbCnybEcvqTFp8waQ3K+qC7gkXNPOTJUCe9YkIQh2e
W/4Mpg0VvRhIiiZceMoU62Out6JpWKL2LVZU1txlcL+PMH7r7dxlUVMDuJEom9vft3z/VuDrRn7B
u9R+128BLT+Fvf42Fvb/Y+DLZY/834tPT//8j/Yf79r6n//7H3Sh/OO+/+f/ab5I9e1nNYr/xR9q
VEjCywHpEgQ2XJcLSe5fatTv2S+XI8aFycz6dSHQ/SlHid8u8BYBDprjgQ/9hX/1r/iX/ZtNs9hF
4SK2dekzoVr+3wqAXc78P2zdoYfEHoJF5CD6kiZ7K0kxw8z6riOWsJD2Sqasji+75PaArZYJ1ARt
g60yys0prDlmbNw1d88mt0y1rcuwfrbnrLv3QTCIhIal9eNCDJEkadQSx4/mE4RnrGS6cv64/7hz
/ppJ412ORz/92GD5SK1BceX4yVH8jUBdeu1S9eGr8cmybFIjxH0uaXhKdDkUDxlVdZs8Ms2Dx8sw
T+o+ze6qKOi+wxJ2b9zK9c7u4MzvJ6ZkKTPiSFyR94VcADJhejU4gPnxCavuamLUO23L4FrwAWKD
lJX1pU/96ZstjXqcmnne+6NrPheekTdWlobADAzwgL5viuulpWTBjCRF7RVgexKu9EBtomwdvuO4
YDolW/+aAjGcjowO2uSHG/P+jw/jR8L2zyd0JE4npD5HIBrxQo2C6I0upmlsq8LLRxRqsFTxbT52
MimxfO2cUDPCFwz6/2dV0Mul54ib7YcP/wKQ+hMM9Ucx0kl/qpYfl4Df//s/BenoNzqRYiwEPM7o
F7QY/SlIB79dblzWBbBPl+GH4Bv8cwnwwt9s+rH5DoWH1oS6+P+WANf/zUMwsGNGW8hBl3DovxEA
/fkmCTHWuERA2e/z812mS2/Ejtavu1XTwLTJpZ6uwCV+CuJJJJV23OPq8D7PfZH/QmARwnl7WdRv
iJiMfRi8OMJ527eNhFb2mAJsjAN6WJ8ViMfmVFsRpUZxSpXd1pihCK7bdFHqFvt+G94RuxCUCnle
010VjeX3Z7qWq37vYodxd8RNBIUl9irXk0fZzY4XqfNVZI4A61dmINzaPo/J3lXhYr9GGPncI9nT
Tp1p36vbLfVpuDLCzlABUuKGulJljZpcKEe9ZNm4fLVMwRR/HZi6ZqUNw4YwFL04YArMfvLkyikm
xkRxXyy2egqKokxRdtUanGnq1jUbsyp1MZ3H3gefjU12IP6TL/xo8wSmnM6s0N0N6MszG3EpnE1X
MuxOXF9YWOrjpcQJMrObWrZixTB9lRsDon6rwwoigdP33oSDqCbrMQATdyihMPGhxvDyAEVB3Dl4
7ShtAyf2CkP3zurmfNhaazbdKIx8exJ95gKaooaphj/C/KsdvPY+ZRZf76uqna2nwXUXd6cnQnnX
9poSl4mCYi4OIhfl6ySaAKCyle4apw+8xKec7jVSUX9nN9H0eRzIGHPmLBElU7nyi7aTjIGOhotT
f7aJrkw7rwMKRiguzwlPWkyVE23VjjjapcWf9y5pYKIpivwarqZwgxdzyjBNu0+GomN/7zaViwc/
yPQuw+G8W8cJzwWw47gb7+WyGPOE95trpkHdvdo+KOKgo+aQ4D54501Gy8y5kJAaywGW+zkCjPUu
9MDh7gvqPChyRj36wokWUPgsOyzPWEKd4DC7WvVJt64ek3LGOmV/mAiq2HivMkelD33B6+QrzulZ
uOeYfBNlh8A5bGgI9lhzKPaGkUgNxtrhvrZb9Wqbgn8scYIUeKo6BtSgAx1J+iKUBKi49NIV+z5N
m3LHYDLt7/FQueV9x9i/PAD2mBWNiXOTYyHScHqxmtX28DB3vZUpOppabAZoQI473YP9bIrnWnEm
u/a57bkLg/LyXwMYGUYoFX/+YbTS+3KcY6cotyAd+D+n64zRhFqXKKA9AB5MtK4XJoOP4iTjJhvZ
5qdh8JF9MKiTJeNItldhkFsvfZfzqa051iTiWYQHjTSBu7O6qQaWPo381oS8+ZeZUtFDA8WBhk+k
l+F18cFRbzl8tFuelNbfTlGo5924ZByKG+Px9y20NYIsiBrls6l6HhVbzewIvLGlky3UeV/eT4FH
l5aWbT3s+lqybugBkXZXxLHkkBYUwzvpkR47dRg0lm23MM77gk4Mx1H0oJ6g3LTBVz3A2K16ET9q
p1X+a97QkFSMrdB7X4hzWYp+b+EVee8WXhnvJ3/w3mWdDG/bUdjkXqtjngFixkczMyZMLnDcLZZT
Wt0ENTtDeKqc0SNNeIEwi2Dcr5n/TC+oOfoZ35Xm7OF2VZZoM4b3wMur+863CdnUERXvAb6eK7cU
6XuD1brflQ7mjAdoW+8aF1JRm05608oZ5mqlxWlcDUZBxE4+fune5qzGMIVjb3pqBCthJZ32K45R
YqezHTxUbX0sZ9nvw8x/MUVMr1sDrhaL6HsVtd8o1R1uEIy6LcePozVPw2HpFBvHZvzc6PqOHHu0
c/QEGiy1nqwCHX9iIraNL99MvKCpWRGNbEtM0GV+nqQ+KGqR9tjoqGWWU4hjNdXcDwYSEq4xIFC7
eBDgssf2NoSi5X1gx6zmzQhTKS7y91Ht7qS3rkmVOXoXtlEKMVyqDyITblKW7xvvgvt2g8QWGQ7l
6BDYeXfWILX7oPROsGP3VZ9erw6nUs/jZQB/5YrGzmqf4ZY/UDHBHeJqIKEVC9hYPPL2otig5XHN
vPrsKJbQgrY9lin/ZQ2Xd5QRwd23s+57OIxHP0QHlO16nabmo1rZ/vUNVsWu8+hgDYJLzniKgJ/0
WF1Hsl4yILdMQLyFf+C4X50oPlmCnipJ6kbRwfYKYxAwUEo2tMknmxGj3eyVsK4d8LVuTNER6PUN
vLYC9bFnA5hGdedtAf6AZZ7WnKZawzG5AwPItE7Djs2CMw1e8e2Y+g+2IjyV19w9aTy+GBM+2EVO
DmOQ1zr2jwRgmT6V2a0jU5bqOUZM8YpDphbAJqWzMOBYPrB0QoTxy32vm25+8AdeSlbZyBMo3c+F
GeYJ/x59b4lnAojqNmshHvp1eogj2LKCdWbnT9WD6FcLWo2m874HGW0uwIbm06TJqG4sFRIoU7Op
dnKFBIXP1UCvDqrpYETjHydIK8+LTRaOH5J490b0kwTDEmQf4gX81iLXAaYhkQyAxMz3zn06q3eN
DsWnGPfNx9hSCqkp7GMixwtRj2JZLiH1ZttWfvQhxOIKerBsPuWA+sS+zhdMVTUG892i+LTmPttm
IcORLChhWvSFqwr8fU70jjAx3IC8mHIFT8izdsOEWJXybrjJM/JO3NU4ouzZkLPMNVQiOw8/qsCB
GtxW8qFkp8grASz7PpiX4G4U8Sfbh/4dZZYH/l2CDcKJlbXBZ7+M4TNjX8Q7HI1ZRsSVjQEGw8io
gwqQ9yY9BoRQrJyWumz+Hnfw8eHfAf5Ag5cvfqRWtJaUkT4BEhS+UfiDvcEm58idl7oB/uogzUE7
2xUKHl9j9IKqixwss2lMGidnYtpgoHrIaoq1thTE8Us7E0kLHNbWbb3maGip6sMD/AR3M5g+v6st
MRxSZwo/x7YpjyRa7XNUkv+Iw8zd9QPNW1WWkxEK5nrhFVjMJJgkQjjurI7dROwjAPl0xiIYu9uA
tHR3I5wYcmVuUJkQkNTe78vuqeuW9ejwpzOUz1acbDlT/CIGrGVLlpkv1IsuEKsK8aFTwq1Y/apq
TRpvpgyFeX9+zNrC+zAAHduV9aidPZFXOgZqzLnvw4nRUgwtW9adPqZeX59s7LNUilgsLy3JgsTP
sO4xFgjPmVO3T9EcvqC5wpVg2ILDwQzHclTNrfQor9BNcECpFgf85CVIL9cS70ivUxhT900CqFwl
azdPBwrE3QdJzeHRY62EaO8UJwqkqz1BAvImq/SRFovhKuys/tCMbszGpjInTUvAxpVl8GDYVz+M
xFF4KXXBFcMMIB9zdVLVZb3tIkbRZFkA/BV1SMMBDcXipihH+xwM43qbO7KqtxYIMnKMaV1/6aJh
qHcFYvzp0lZyu87xfmz79BBiFkbsXMeLau7C6njEoE6neBYU6UFYq95GbWF9Xqoh/2D3Q8/hJFbV
KRRunGJcF/GWKGi0iS8UsbUP2qshrO1kVlMOysQMpLw0xT4haSEcehwgSJbHiTsxaasXf3pg6UFi
433jH3JbLexx8348rsKQTrVWnKhqkP0WckGxKQc5n9OqtPaFs+pnxFPLJGVhLcdisIsrTaJ4XzuT
+xpzqGm/eWBWbSzAQTxemWDVd+UQT+8Vg1Rvr+qA6ojKsxQFiGGqnyLTRTduj2wN/c08cnq0881q
hRN8AJIIOQHbdjNUI8s0g0CiTQSr5neTLXB+MwfIvwe1zS1d4FL4mKEPJAOYVJRg0nNgcy8GxxHw
Ji1Ekx0fVAOGbxPMUbQ1HfCMzjXLZ/RgqmjiMjd50gfOfBdMFl2HZRbJ/hhoALxUQmdtCMbbf6j0
SnfFXMbo6szgwnOON+IdBWQekYN6OI+lO5+bGjbIQCJmV4XFF9VhcCfXIcw1kCvLSrhU92DNy3Qu
/IYaEaoddo6kX7u0SxwxVTYJjFIDxEbXsKhTLoDXmxFesRBINzS1G3Y22V1+SQJvJhVEyVJwJIdj
hAvF9bpaHpwxdJhkZuKI0+LTwDjxUQa6KvfTVAzgagbUL0+r6mZKG+sEBi27HvMxT2hAe58Gubxi
VRdXUb36t5h8BWOuwDvEUefszeingPo6586HTb5zSHTyzs/ksz91aD7dmu/axclvoOMNW7rIvC/R
uKoXjGjD9Qz0/sFK7fLQtNFz4VbdyV7c8tr3a+zWczfsVzVLFCjqZSyvaY+p4/TZnjVIMd0dYf7A
W1MbFTnTTQnjIcmX2G4JxUs29St38xhOLE7d/LiaOTgQhmGLQd4t77d5lQ7jhV0DWQ7VbuuitKmN
5GV/mJ3OnOzGuPqaSl1rf1E2zlETMAvkkbGOXT21+4vvCronl+eiks2gwmEs8ay3/vtgiMi0Npyx
i4yndvS1w0t8HS4nSBC92HjKAy0B2T2G32BfA7m6Ae4fvqd/av1eQPXoN9q217va7u84LA5x0vHT
7sifewnQZ0H0AdYdqRiwQFcXHAIsWN3aV1HEYNQuIo9vS0nmqf36qPsCtlvDLv5QYSK6x4ht4g0h
ppL/VAODvrhLM3cTuiKH5z61c9KH87pzOuLTU1rJr3RF0QQ2egpPkfR6ElXUJO2bLnBN0pLI4obk
SHk1hVNIWJ5jJFWuzD2XoU43XUCrgWp55HG1eJ+DZfSfmD6s54oQfLmxx4Hwjhy9ZWcvBRAuKs8j
4B59ZLJdQTUlMVs3gzZUdq9+lWniUZ77KNyx2/kMOk9OFNIUAFWQG3IA1gJ2hkFi0ABNhdrZxt99
lqJ3+BG/1dnMWxejAkkgB05Bwjcf+wRYU+cFFCe2dadQ/5e681qOG9m27Q9ddMAlzOOtKpShJyXa
FwQpA28TQCbw9XdA2ueGRO3Njj5P50R0d3TIEFVAIs1ac47pfOnNwd85Awsc2wAy8HqdonefhqI9
Txe7OMkeP7TRp8QoFCVUha4ziS/IcqzlCRC8PVem6Z7RfoBslWzcfiRUSozykcWtOknVO1fjoodj
b9A03YD/asHXQMX6FOZJcVk6Zfa58ubiyiU9ZYO8a+HuB+c+j+UsJg5s3zmzpt8NyVRy1lmbbb1Z
rLZTolUm+lHOF2IXiteyMqpVP+C/ZcMMe1i07SGv6+Zk9lAOI59IFYtGbpHNrMWJuh2gCJOGkOJ7
OY2TJT4toMUm0C1D/ThMPPRtwzx2AeWTcBBOznB1mQC982LuzHK/lENoIpjPioPdpVRZ56HIbnOb
4w+4CNt7Ka2kHLfUZwi2oX0tkzXoeiiPvl0sOLwG6b+plu7yRSHU4m8BkGnnlMq0fi0BfL6aRrXc
a3NcSRuNEfa8RuxLuXup0V8CeEAhgxm1gnZVzGpf5UH6SHObzQ9rqLkce3ac39mcSQaqn9rNBoVk
dmlLMxnppvKKaaeynqlErSEfQiXnPsmzj+BZPrN+k1ZkKtl8VaNvptu2DjvByAK/hi7fxiVRc/Qm
k4Nagygn/r8y2/oL68KUnmg9+reBY5FVwmzZ32fFGk9tpyCqtx3lleOSdkQIDVmLDnHNKU4tU33O
BqA+NCUoBgzgR8OLsQ3KM1QBlbWl8p68DnCjmMoMlB1gHiaDwoJWrVOeRieoHyfPhgJCz5ZSmjH4
lAGKOdVgJn0pByKSwdLtdBbw345ZnZpECoV+O2BZegGaywrToxoAZxXWFJ5IpiKVDHSD1TL/FUlH
4I4w3vjb7PrFxF4DbUb7jJk/Pq9lGyvODnnRFhHHNn5IK1ijdtiAzQnbp4/wNgaDGbmycu8BSCwQ
xzr+GC8lSUsT8bO8RE6VV+uSxa/nP4pMYi2U2FmFvCZIzhLwQjM4V5ilpywWZlVuCtWzXG+8uBrN
FqMXFN8jbhldZFvqgG1zXSU5N8O28gXnXrqQNnGOExdPB1kjOOj2jg/HfO+j0sHlpatE3nhLyO2f
aes+4+LmXrVOyI9QOIlAa+eVXZ1ToDabe8eGKxdw3nXKe9D9PH+Mz8FwxOjCMmTk5cwH1PD/ikuJ
MrV7q2qfegsd1bXW86NuQ7GKm0SECXWfseqz8iLNjUzs8LrHTRRWjsqPdLEBBHlizPWtjrv2GZkV
P8AWpGKxEq+FHKdlw3xuGKmQeyVNnoHXJnw5DwsnFdRGdUUkRWLh1RB03PF49SE3aiSnUm8H6fDz
B54TZda2rZtrA9EjrdmhsKrzru8q+VzS3mN+buOluTftsdS3zJdJfpAmbfhLw+0ZlCkn9eKyQtyX
C0xC+VhcWcw91QVNoPGRnb8cHmpPx/09qqml3avGx5RjTkk8HEbTxS/WBy0/rZJoDg5Q2EV5hTSU
T4Ure8TEQ3Zot62rYd6ypsv6KsfIDQyLz6DPA51CDM1B+8N39ZzY3SpAqGCGvYavqDHhoSKxR7Ke
VdsnhwzAKIsGEBwyBDHL9Np9yHCvc0wN8mMlrH2BTLj6DCQRwMz/Me20prbmEmnOa+mTcTbHwMUp
XbZgV/DenYAQiedfuij/poX1XmqLyNN2A5IggDR6vIfvdIW5SmhYZsTopLbTXePTQbqwktJB85h+
DyzWGqvhb9pmf4gZGbh+aNuIuNkJrmLf38WM7KaBfrJ72ni+0T5TqptMnLiW/Q3RC5LbcRFn7iw7
KPZAMRMOPrVh7GeqLBuw/t1tqbBkb8PJBNth1+Om1ma1n51OvHQqADYrUuhim25pWe1nEiswkk1D
cO96xvTJRza9D62OpKDGsPpd6OXg/j++p+vH/6Vzyq2ElIvRJcAFAe/z/T1dDBuLpurXmSBJz2sr
BY2ItmEnHaFveuWqS8dXNcE5Sff54yv/8TRpddNvBu7omkSEve/ZdrxqeP5mBDO5zc6yKL0TJeL0
WypaThAh7ab8b57lO3sPySkhu9YgXEWpuEFMeuW/2Xt6nCTjVFFH6qsyvgJpsSZ8GSFetkXgFYvD
4KIqOv/aEFN7ViNj2lCsl8nWHANp7I2BRIkNuZgAcT6+Fe8l8jwCi9oxDb7VkPKHvwqppg03w+TY
HNv6BtmdvsnTnv0inmQ2Bx9fbH1Lfn/iCC9NXB9rVC5v07u3KJxjj/QCAh2mEHnjJi1bB5s5SurT
x9d5/6Vo861NZzrhjKw1Leb3mz2TiZ7zTjW8nFji2dAaWRn1TTqNW2oZrA0fX+79QOZyCME926Ed
StE/XHuMv1i36tlaVVxMYu2PhSfTGY0GDNfr9BcXTPolnDOqUCwMVJEXNlm7jz+A5f7xERhTdHDR
YNA/9X7+/i8fIVN2pguaQKTSDd34mMpywXHousDGG1ou1+w53CkyZNLSGkhl8RyjkzUo8hBQw9Gs
h5JOPZiSyUAHkRjZFLxRXPsBbHW78DCXBqA9tvHguDBJyY6nyoZUF3Vugq3UGBbo+9rJFdldeOUb
ar81mbGzSSTnsU1aAxDYODD3/+zBiIlE4x1Ng3UT6jr0k+yhwkBcs73FIG5o+RIks5ud1+xk7Su6
DqDijBIF1bEvB3O4KZXmIZINajX3HC5YUGnT0AoEmM6iO0wmPziocbFu5BjX1V6b2br0KgSxG6A9
iICLJhbnHYr12yREoIip2IfK2yvHH/EkkaxzUKZYV+KcyJmtPeFM5UYO2WFwiKelTeokrwkq3nif
5VZwVvWSSrA7+ONFHhThdzh5LJXc44w9QExL4Wwc4DI91mFcsjNJ0/RhQYB9SyTHwGJKjnBKOAhB
4JFN6b28yHrCDQ6lP7EJGQJDL0AB5nn8JkqXbXQTAhL9pNFXDqe5mVju5bji0XidcmvXLEFG0KkT
8HOcjFISAZ9dPW/ckC3VljgTdlEFiU1yT6EmOxg6517GdG6WI0g9YzgNBDuQBjz3Gc27H/sR+DZh
dqZBqeo90k1qqRK9iXkcLGVW59pXxAOhB6V+PZK70kVonNc9S+ZyETzHMscprDp/g90mC2FNWD9u
gs+X9lflH4Om4cMubPLzrQKPIm8GHbbPcskHGjWthnifqnBPDKb/aBPlvLNzk8bGbID9j4cBbVnc
EvoKWDV4BbhyKfOatoJHStkVvhFOkKXMZ+Ps5y5NqxySAECsNfcM4Tp2Wv87FF77dk4KxJhJgDdv
F1f1Up5xbkJB9/HL+k5xYFseUwVbqJBpV3ieZf8+W4ReUbSOhdwObyF7+oQG4i3fkXkqcGMkksT9
XeUBgQN/c933ky/yPCxCps/1sZja73cTtuKAGAcrpxoKcLxJDGrLu4bj7d+4hN4vrhYoPo/9kkAk
4PnBanv8dTak95SGNuXDDUbl/HylcsPBL9cWb1n3z1OSTdbfTH/rdP7rsoJwgRoamjYR+MSQvb8i
pVwXyWnTb1zChR+Q4FffctMBMZrmRKTgHPc5K5eLidA4XqzmaeA1/P7xQ/1jxcGhg2wBFiliGVQB
79QrirdIVwXd1yXNwmuNcYGocO18C+eel/rja/0xgLiW4B4TxYYaw3pvpUnHpHZ7pMpIs5viTYgY
OpwLsWSBS9mgkUO8/vWnvOGfX9fz2CK4Dpo/jGW/P9glnG30pIRbmyrQkIQ5HFHB82/xs6IrccT8
tUpmRtbHV+WFfPd40cnizfZF4CIOQyH7bkCxFtWehBzBlmQor00TIOrsAguEl1fWbWS7dMIzv9Df
RdZYXwVkgnJr54F8lamTDZERzLgYmry3I/Qi4hzyBx11OCHlrV9Nzn1b+9VFqKk6bjLkDg8h/eDX
CmIM2MQYJfwmp+rGCjjNFBizrFUgvabptQQ7gGwmC/UZSa1o7G0Vzq+OmGRHrrbRgZUjrAh4nde8
qSE2QIFbtj6hj6iDGw1uN6XHR8LcUxOC0hkIS8EBDsbC8KFfg05i/ciAZiSwpVpcHCaw4fgEB4tV
ILQHZgcZBwt0iGZxfdpc9WQcEb0wmaZuPoxEexjQ1iBdMsliXefX6x9FHwMorn1ZcQQPblzoUu1Z
UrZZfWWSjUGMRWLRWF3UYFZnoxfnQQSbqUXBM1YVR1Fbguxz67SxWc/C5SaRDpA8RimCkaXlSiV9
v0uCd6pgny0u80utcuNa0qL/pH8UaNIE6kVJL/VrDmWJylcWmtdSVANfBKkMteCZtTvMA30QRelC
+K/R1lj19L1cQdUoQ6aE9XgOTLmVqF3NCylyKsmicIdd27eje2zaGpiPZ4j4MUvr2t/P6MGPGvDT
k2wz9YAkn1DtwPBEe4adRJyvQdPJdk5zMCE1GvxDn69De0ARd6SBDLmYcDpWpjl3BxeOippIjMc3
RgaGEuc/p2qEp9xik9ZhcfGzVpO7WS2f21StjyoMWKrbJGOb9PPP06EJknMzwyJ9kQ3ElF34lBKf
tGiwnASebo+E3IbeDsOD8WzQN/mMv7ygqENE2vKCNKXgwARFmMqk0VHNZvd5EHMo9moOIcOUgHeI
kFqQr1/mOCfKfU9qKaFlY19Vl5mSRJGXUKesHSEyeC6Q/jGYf0pQlh5yE4KKIWkPXhVQSYbI7dmU
pduUyBjeESToPx5u3mfOsm29vgkhcWh9+PjN//O9X1kMeKkRA3rWH8raGk1cOOgcF0NI8WNDIbEw
iDdul/rtx4X+kYYcJTX/fCgg/48y8/+B4nEsqpzrOHQGvAQrUGA9A/1nMfn/fZu/Zb/KRv/t3/8p
I7X5ST85Brb/V+DYnBuZoTlxCZNTyX8px82/yBOhaxmwVCGPXr3w/1KOh385uBxWwaeNrjzg0PJP
ZKPvDe8OxmeE1zZbP6TFIb7y31cl0s9gyLfDy1zrFrQKgQxdT6MxMR0WyMJfm5cN/p+Tqo3gs9NZ
Lryiomr74I6ctQSjjtNPZdu/YDDoOfQoeEf+ri+JaEp2nZm6/pd/Ptj+t1kReHgfjJ3lW//2muWv
vwXR8ld+Dhdh/sUpHPhC4LrUz9aYmH8NH9f9y6f4InwXaDmVtdXf/F+qY+uvIERrvIqL2dt5ASPr
X8PHCf4Cb+AQz+r5hNkwwP7J8Hk3xziU1ZhbnFUzH1oM43ejZ0nNNJ/H1Iz8pcmORhcz245u9Tfm
51U//esOdb3MWhig3kTlI/hB/Ph1T0xCl0WwJn5VcqTox1GAjzwm2I1nz+pxdtyvylbtEeBdFbWA
km+8PGmPurCKV09DjvcWVj1ah5l3nMSqOi2BEMVgdf8GmPCuirB+TLEap/F18GLb4t1OK3NNISFA
2ZFwXHnQTYqWqlrC5Hwc9LeEPu1lFkzTbiCn5+92eevm8Zc9/M9Ls88DZIBPAC/6768xewEFFaJg
j5YW5R1wqOER7KkZZc4ImmSkIL1Q7n2tYopSZWoOjzhm5SNiN3lJRwcH2DSffhnFNz+v/atr4d8M
DbbyLkONDwU9jGnv12eGXpl5bawtjMxEYG20gcm/9FGN/PPLhMLDZMP4W8f875fpJJtnVyIhbdKq
P+WDwjImVL//b1yF98Vfk5PBX/N6/vplGq+tOzfodJSh/EZq1Br7wIx/rqP/0Qvzb0a5J1aoDLQV
tvHeu0NQ3KETDOlkRhDYnEsX7NhunurmzpYeiMElJgg+dMvo42+23p/fBg4zSGACTsKFIHiN18f4
S+XLdmRcE92D1qhUL23RZDfLSm3P0f++2ASVgvQtqj1GybUUjiLg46v/MUjWqzODwPJBpIV/6fer
g26HVUnyWuRN5Q2eZv8GmMJ49/FFmA7ff0noHhxxOXhx3lsBL79fJiH4jbdRkpPaGPNOUXm7zL0k
P4MJXy6rHCx/pspURK5d95dUsZIDcXEuc8xCdO0oOTEQitua0AkxOifIJdwJAgMW1xUfLdQ56H7y
ToIs39M6xuMb841IAaXzXQRzflsTx5mgBhy9Z6ygKkPPbspDUElMyFk+ZdEkPNJdChu9JE1Ec7wf
+zmL+sGxz2UvylvtILikruw9E2q0HPKcBLrYLfPvfucanwm4nBGvkFU585jnbcGkHOWdN0Eg9GuC
UBD4OfPs7AVG/VVy/G1OZPttFDkOKh0DKg6cOQLvTrCrsOIrAmAlahud++cmIUxnDtoH2jWTs3xl
3zqe0VhcmQwqv5e8/+wvjWyW2zbxMraatq42Qdtaz6MHgbmm7Q4JjK57Bvhv22rXv4BQ2GxTj0PW
6CdoEGil0n9K7HifSNmC2amHfVjO06PnICrO8irE4lC6V2YSyH4HJmR5TazZQJIACHA7VbQsoaFn
S9SrsbkjE3N6WvN+o7LLUCPmFCYJINPHwBuTTYV8kv1428EGyJ0jXOUcWztwu76BZ3Dm8Ai3hBE/
pWR3RB6W6INodXIkGwf2KN7uU2803on4H2u3qGA6je7YHoqGDABLzuEmJaIvQvOKHFXG/SHwnf2y
OOEO7+1wk+fYThM1wGA1m+nYuAV+aKXofMef5tG4S0YsTJ1p7tlBzWgTIB5h6rgYhfXKuRpBMBJD
msOti+YCLEucFOPFoMnsTlH4R0UpOPMU+ozDV4wSv5Ev/jgcHY+UpXZkMLV4quuR5DfH3Y4qeyxp
S8nCPB8z+22srIHer7iB/XyHen6JAJ63J/R/4Y3XB9WpMVz7VDflOZFkVxaA+ojuL+Q6036hx9jk
zRf68RfSGB/qZEDnPA9ACOon0TrTKUi4eSSJGZEFgYPTf6g2pHDOWxxWNghKZHmbpBf0N3tozZOW
OrJsujv4FRvOLxtSFD81oM6PBrkKx3AMkx2Q2hHkISzRebiFPwgBtHbljqTWaxjlV9miUFFS4oxy
n6wuEJTw9O0+l1egMjhOWuEJpiVkxNpe7gAH2Ke0m+KbuC/eNF6IQzaP06WNHTtCKqDPFnekl2pg
05mQhWVVNV9OLbBzstRNPDJyOsrGOZ87dexc/SxNszkGWf1Ug7alDS+u86W+NWoHd3XTTDd2aYbP
09gtp9wsrzvgvDd1JWY4Bl29s5BJRnY/fRWdsZkdGMm2wDWdAEgosq/xSlmVBvRU2PVyN+Gd2g5L
ct/Y7kUjdHkeF9y00HqZUGJsfHt+LYsa3UIdvC1Be7Tkqixk4xIGaO7s4ROiXZNy/dJHU6B4y1y3
+pKgii0d/zzpWjJWw+bJatC4GZn+aiBbwPGTLruyNI6u8ml0aOOLkTrxtqzXuDMH2/n1zP5v05Kx
iwjAQh4Dp3cD2djYa0++xfiekSmnBxWmLziirklveAyytLv0iPjZGxUJe5AiJjGLE7EEBYJCnR/m
DHhv54cH7BDepvUI99LzrbWUJ6tbxL6hFLud5h+vU3lD5FBA/cqBVlMRvJyGzOXSP8ieGkmXvyH0
Pht9kj9FMi6rXvR16gwoMC5q3pZH3LQjUpKkRxk6P4+hfzWOVR11Ksx2Zi/iyHVq1F+rvab1QuuU
mel9LfOnGejb3+zpMEb9sWythUJ2vg6bAYtF+vdlCy2UWWA3aSOklcu8L0fV1ntbZOtLIeIQ45Sj
S4oaSGC7qwS+qXekH+yNp9AjjSPC+UbU0NTYXbyHR5DeBTVpX8ybIPC3JSDhNyXH8DUu2Vrv0TEQ
uTcNCulZI78nboegwSKj3DzKsqMi1MlxfkEfmL4Z2YJWTBbzwF4Ld0u1JymjvQxzMt8pAwIw17Un
vpC5M99kbQl4FqEdhNzFD6rvfmkUr0jwaIotELW5MMbkbmcSyEbQWuLTrZ0yXb0x/OzrwTD7G5SO
LRP5lCYC3Z6R3TQNoYZbuCb5ZorNEfBxRWXtLJOTQqwBpQCgdqAJUjLIAr5KXB3cmQjQ1rBce2pP
WiX6NTUo1Dn+6C2vCglIwlqEPuc2NZ14jMyub80dJGcz2OGhofMy+6ofAJsUpMGRYuP7eyQ0zReA
8V27DycDlK/qayY2N8YgExA1n29x2Yh7IUmf3Bj2UNzQniCNB7XRqoIksQ61DanDFwYQZJ+TjNb9
pl3Dorfk3gu16wZFsBiyienO8RofunzZu91G2T7cN45jFWcLRJ0klRc9NSmbrgziSRx2VN4cPZzR
ylBh1DvK00QpZHm+Rw/jkJ9Q58WjJlEi3WXjFBbAoptg3vl2vqxRoJWd74Oxrubz0Mf9se/FgCTb
SwRYhhIgD6cHohaAluDoPMWjVT5BTM6/mgl8602VJ0xZnh8nX4VfTymgtwSZmZpmBC3CEHCvZcl0
X00lGZsE/7SbgPwr9g1p5fpo7hDRR72poDS07uTOmyHHdXbk3+llnBHgnWeV7rpotFk6rryFMIQL
X/QBGrrKraV1VuIVJwEdVHwfnxgaZHVOUgOKNxLyePPJnpaHELmHIgSoix8N2ZBFGadYeKOMOKSz
3ENYDSHFcvR2zEOQMA7CFieipzfe9wTQ4Q8BbvtJTV2BjY7VAfGBUFDCfcYCuDsQs9hKEzg3cIgp
S7cCUs6WgEMrIoTETqBaJPRFcSv1TPBdMlv4DQmuZIQV/SevyYYnjJ7GrWct+okfmYxbghCKLyPn
uFccZ/oVMaK4Ydj33XZCXjUeZ9vXzc5M8ukadQqNsZHE0GprjT3m1tZz/eeks0WAWCPEY4pcDFAW
EymM8RyrDdnhkzecZ8iJeFyFVF8kfcJsRwbZwFLpIHKJ0BD1FmN2EndZ4vceFeiGvVU2UTbbM6X7
3k7QcH00jKCMYfT2I1HzzTJdkHqcvxoSv9dOY3Fhz2bpbOY9ksaDFQfciLm19BSVVjcFm6bCEINR
iPK4a4mhuPatEVEpnbZ4s+66L2oQIg7rmyJjqVNDSqhnECIGNJwkJrTKnMW+VYOLGCORwYty6o7h
bvuYEAa/mK4bQrz6jZ+FhQDxT/LflujPrASL44RPi+nnJfGNBAqc5eBhWPEX70eruiENDQ+EPrFR
CV6F2+v7uUe5uLcsJEas27Uz7JkqxEM15wgEp6ZqIZMY+cIkNtLawS6weEQazv7XklSDSBv93JGg
0hhXRATFj0uIB/UM2UySRRYPDNaMMNPyDPFZSEdMJyPniEwzGc2MQ3WswVWJnVh6BYwd89u1VrbE
TzAX8W3nD3G5HcyJHPCp5p3Z1BPiL/rWmE/2RmHgrap5eF+ZY110gy0nyh0ifjOgyp65n2jAwP6f
fUcCdkIncTU5tTkS6uvFVxPezYA44AJ7oqSFbG7Mmv0odJgMG2tL0eMzyabu51I5Bq6EpgsySCwa
w43wO3Udsmd6s+0KoPPopf1Xc6aDb1UTMknG2vTYTMJZQ+HsHm+0lbxNYsK8JxqGa1gF8MhCpSio
0DeDJun1HPk20iSsByl12Dz4jU+4WSdcXWOwpgp53pkwwUneS9Vb2rTGCjg06Ez7rS3RY9UJ3RBD
h3d1s4DW6seRXBdMCVW7kdCTrsbOGAyUirhAMHba7snHGaGPBS3iAPQ3Goxt3839M5m3WMaBHXfk
K8myvYd4NqQRJh9sWTU5aOlpBoaOHikfBTnvRIt9sTvtfgO52ajN6je5GYLG+BZiJ0cDatMX3mHK
UIcAj4Pe1a0jXswqaYYIc3DyiO8bK0RqQtOM+j4wmCNrx2MrpqrxrUsVqm4Pqrm78dykhovlh4hR
ezvDS1u3/PKiLHaN5RwzZylHLhOIqaS4LzkwkJ/OG5aeAtFO18TKZnfFQL4q6szG68lUMsGGtcWa
lTlZZM5DUqKLeiqoGb86idT7RJkZo3114xmh76lNhUThfkC5zrbKK6DDMV80Je+DY1Wooo2JBg2i
4HZbLAF+1aWlikSjOVyibk7VZzszEhQxcmnuFIOAQbSeY0JMdnas1N3gjY4GyFRVN4q8F/YXLKT+
xvWNQW4UrnsWuKws39IJT/C2qUyi9HrZy4dCesE1Ga4uj91vaI0EdTrRiw1VmmwXCFO35Dz6Eq+s
HtwNvUlwP2US90ybOsVUM9my4bstBYrygXOM9pEkbQziAJMNQcRldwDE1aWfvap02enn6bNRWUgd
E1zk55U/luJcmUF3VVCzuOshB+WRbZPZwnHHxahSjsiXyZ72RbsddNl02ySMg08sDajXi4Cm4dZA
UIWew1OD5roo6NFz8SJYyIdfNX5dAlTHUgaPHIoyuYsDvSz3MkbjexKZTM58ZYHlpqeLDYfFR29T
FsM5omg5fIKLpEkHHcFcPQIgdAPF06nJRiL7ad5I/HpUIrTfoxOy7PhJDEAmzyunVLcwcosg8tkw
jBsARgMt3W6YGMds2g7OFBLqmTVz9wzZNQv3WH7m8LJVcgHGgkhXEG5LH4YDrm9fosdZxC5ZUp0x
xUuU+Q6/cFgqSjz72tbdpz5PsGt0GY4wP7NZ9FQVMnga8l7FhhZGO25jox8TnMVu+Q1ZZL4QP9Ql
3iYk3fgMMeiA3BXIzLjBuNrHu49LTitV5PeyGtlp4HlRqiDPREP3rh6LSUX70BqGSLqi/myT+QMQ
UWTFvPGbttw3nWt9bkVlXeQuCDirHfporNqReAmsHRSdQhmcIFnpU98aGE6FXRfA/ZpKOVGRGc7X
PCPy+Mdn/kdtvP/Yo/tfjYLi5n/Qf+mrb/XvFHL+/M/miwvZhSaJGbiwiVyXfur/b744f7kupaMQ
9SvUan7r1+aLA9uJPsWqdLIsGnS/NF84NLiBGSDXpTQuwn/SfEG38vsoM6nZIgi1wdKghaLNs/7+
L8Xb3pPDbPhjHhEVllE+a9MdJ8kpapfU31JthcqJsR2jmD/cO6oKDnYFzsFx0V0Ul6lReMxdD+TW
npK5fXRm70ymmEYAi6LwPQ69gxigOypFfMXsaHeviVrpk7p6KAyZnhd5eypkwnkojLdO33s7K8zK
F6cKB2p1BCuWhKN7bbyzayKn6cZcwph6tZAkRgL1CSfCcUNWD3heX7+RvA3NnL0f3DkwjU5afcKO
SrZtEAIBkQ9QApKt2yrSXERu36Q9sZ0kf94NgzgkdHcuM7cO7ry8Gm9VvmAII1Ys0pO0jrrvVldZ
H8nYaK5Hwl5idP8ujljXMG/tYvViEVjMHkRPRHxyhkNTdxrI/93nMeclQIDhPT4E4Hmt2JOVd9WO
znCcp4TYd/y1b3Iy9+jU8tPkjwsB18TeWzX+EwK6T5A0yZYHZofDWK70vgtitVGMWnKfWyAlykwN
Bx1ADwYlMxLiBZguDu4lvnHlV4RZyvxez3Z/JGbIurVxI0ehk4SbqeMMMRt35Ls300yihmblnXIY
Cmbo70wKicPiP7aG/Ibkmfg/I7SJgBUuWRZkBfsKo9twEMp5qitWVitdXmK/TbZViUEd3wRqFzF+
IruPOaeWuFR109/Twa7RXJfhJvAH88nwnIEyp3kfBhTd0qt5mHZeIZ/qlkXNYz9rxeqIYfXCG2S7
daVLWZBFFOYdfqDZ7LeuQnhFXNDwwL46vJIUIPbIYF6oRao3t7HlsTbKe4yod8YQpgtkx+Wmymc6
PQH+KYpI6cZCNrauGxc2h7ydwxl2PcdvhiX2L3COocsk8zdKauPGivNvdVgeCiKMt23lnTmgQ8jd
GpYNtN2r2ETzBAQMjs/4lpsP5OM99AEpJXY+ErZcUyyIswLsZ4+Fwu3I6bZZfzhXV4SkGUoefZ1O
DxNF9jNEbnPUMST3RLLdAUQytl1QwgKsUebkrOq0EMiyHYk7J1WXEZMRB0acFIyLHFOdQ0l+Sw+D
hl1JvE9QL/YxUX0aETQw3wG7pt5uVmy2KO1ZKynH3WBUzc/DTndf2FEUl5NlR+6SORA2MPyB7aB6
c1lKD0tnT3YLqsMt09e2HNwDecDD7aLH9qnWIFtRx5b3/lTgmmosBqeFjn8uAwaKqAC6JGQJGePd
1AfdpcC/tAMfW90Ke37DOKMuA7chrggzy8608gyaLlRHqMADdT0qTqWHYx+Fkln73WUmunlTxba8
R+SaAquz0zMs7PVjIezwpvyx66ydfjj0BkaRLOHY25ClcFwVumu8rihB/k7LrWna+S6zhmzcshXN
7y28ZNcFhqNpV/3Y4RI1aOsoFnNxN8mpuC+468eSOAPc2Ov2eI2iczfQhfp0k6mEWvoPigAwU5LJ
Fluwfci8Vze110MKrIHLzgUh04ckPY8tuwySu2reJpgO1DfqvrJ5PXvnNUuC5LH329LZW7PbrCqw
BcxEzjksL9IjeVSr5jDQGCk9HU6cyMwQfLFMH6qRb7Sg04T6YRoXHlk83sbBcrnFmiku86BTN5oq
xhfC3MgrLfV4WkQ2vOVdQym9Hgi0m8c6PFmkMFOz7oo3d0TDMfj9cmVpA7U6FvKMStPicWR2qnS/
CETHVKi86aG2eF2l6LmdyRIXO99dE0jJVtwTFIZXt1akxztOb53345pTzvc9mV2qb51Fe3e6M/vz
WFnWt9jB1Y6Uk3LcKFJ99GFevpZ2zCHqx3kKJbqzpuhOAVN6+AXiRXno10NXTzr0AfAIFQYswfsa
tvAJgH8R9TOGblsYwVMSp2Vk1Nj/OXgT24SGjJOckVfNFrJu/NpRU0F97ZbTS67Y59t2Mhy7wpK3
VNvUPsXsd4iZ57ach13KyxzYUy8t75HIGBEEnPHkCUXNH0E0oTykUvc/j5QzYm9KNYP4ZolqvKjb
2CQpNuR7dim5x3HgL58N9v3gh/HR2dTwMKD1Wx+4MVXKyUGHruUl1fqx3bCo04tahprzLYLQbUgJ
HmfUKA8iHeAPczKk9J6JLd0dej5UYolSp4IFImSRF01B4YOQSixMPw7PQUrhsvBz46KqXBjVELPg
lahuY5UBxzbdrDHkubuTrQHwu7CsJ5Gm1Rumjvxz4gTzmTPaNjZAj59PsbPYzLgw9yP6vlNqjcgF
56xojp0p2r1sWxjayRjsqe6oK9Gpe+FlwzG0wWK3fgzIwHOrWzZG/g4foDpoH11hUzHple2EK3ak
bRIXlk9M3eIfTYJLcJQGxjFIfQAbReO8zEvD6Et4wQxnCPaOgYEVN8N3FwrwhRUvHkCiaroXhkcR
gvhm7ajIaobn2GDlbucwJUBrD5Af+68KjkQPfWYqiwq3bSMHc/fOV+nBCVlnUxtqzcDzc8m3pG5r
7dqWzLIQk9HOTUgqq4gs3Bi9Heypfh7SyXtKJodEO2+KL/mo20CMT3KGNO3qcYepjxZja5ffJvn/
2DuT5jiZrVv/lzvnBD3ktKqoVir1nSeEbMv0kPQJv/570Dlx7ivZnxx3focOh00VBZk7917rWXN2
i2YwfezUVK0A67TPoetxe7TyqphcbddhrrnE4Kujh7CTJ18N4hYXsbPSlz5k5Y5ijaFhhN6W6kcK
h1ubVlU2UmQljrVzVYkHVhtoEnhXhR1vi8ZfM2rWN9mYmJyA3G3uarcurMyVqu3bWLNfJl3rnh2m
3JhDjAuHyegeJcpe9nvQewQ7tluI/ESpA3aTlg8FZRrzbUcYqE83/TDU0S+NeFNsFzO+WW9xu0cE
fMZhtynacu3a6d7uBlQCLvOkyq7rtbuw1cAS4VjX5d7TCBOAJRZkkNrGQpKcPNVvPu8pco1bVdwB
N9j7tvsikjJgQHle0AAr5UbIiqZtUTu7XvxUgB4aklmWWQynOFb6zaBn7N7jOfbluafS6hO/YI49
XLdsn1k6AHiiYcSGuutqQoQtSwVub3oboCveCZbJluyvnndVPNAWo8/hTb/wDJLL6eacLQdbbcw8
eo/wTDZkDb34prPzBzcoKZ2PNMo2RgKKKzL5y/EOlTHnbg9m8dm2zK101C/lTg+97swbsjdmCiJ6
xVGE4dlpL1ynCDeQRyXmWRhScKKW6EFT7JwFy9w6QOn1zkh2dsSEuG8RJMCIqSZng4zcgj2XzXtN
n51bH4agbHscJXZ4U5k5vZfO0vVdNzrTqreHmzAxqqvI8csjSy/dQFClq2Sy8cLSncYVfaB2o5+A
KnvyjSow6vwehBVDhLCa7iYToVTlIt7t4ugi90gapa25w8r5q1PEyEfm4B6YodPKzpm6YTeEmKqM
ka3CnZ8ioeBeMWS5lPRe2BA4fFiufxIksBOBGHknZyhIYMh8rXoaG40RtCrGA/18xBT2MO9H5nSH
qmngkTSltubZDR/00KjWQy68qx5m8hq7UHVszAnRs6kWrOsAuaG2sGbJyt5FeVexfMZXnl7pexcY
5rUhtAFjpBjeaPnVtyE5Ss/ADdqt2enziWEV8CgYrMVFpZE+L0o13Yd+jv/fHCKmEqIm6DRrFtmu
B7AKcy7Vs0rO9jj4x3YiyNtuqEBbY0Jo4Hrp8DaWfr8jv1FhEpqv67lmTkknxjhXAneOJ2V6XOzY
p4pMx7WsSyjTo24+9eacXZi5m16XFFawobvuLLEgB52WQtt0kJV4VeqRIJNrzywB/jdCbJwTkQoR
KCW7P/kdt2c0cQhOU/bKpJCQnkIr95iTtX1Uj9nK6XAclAgjwh5urfHoy3KXxkngmbtpTp6qxD36
868QRRWqvF8mkYCrTtbGqjdl4PXFRcNkCLfsZWiy9EIdwGoa7vyZJiZS0a4Y3iix20MFWnLl2eML
I6Nk26TdVZxdTzi2DZf6CXzLrqgXoRxgPCI5wnTALj2Ua9T5/oH9tVm1DbqJYaSB7/YFNf88AOCp
qRKHzgoiMeeB20TjfhFqPMPCYsxbzFFAehMSEOVcN4t3zbPpvIDfoQKPK+0e9ky65Bm50U89yWTQ
tx0hG+5QVZTemeTYUniBg/nxmg0M37jed5vY8/QN1D3c9h0Ng32JznujKWVuMetlb91M3jewI+jj
c6M3r2R8R3wL2xyfUjK5X4mdjYxVaVX2kTAr3+VUIpPjqCSsRTeOzhagmBUNbj6n0TjZeo6q+CYZ
hAjKObbzddbNyRk9krlyiYve56AFD3am3Gu/0/GUpH2MjN9uRWGveAYeaSunr/SLAVUSu0QQr4rd
Tc3xOEAzn9WsMJa/SvGCwRQD80NDyi/3IWe6bSGH4QBwq7xoiArf28AQmH9UafdWjoO7Tos63S9x
ENuaJhXQoz45SN/o3oxZi05M7sJri0yM1eT3/QW90Lg5Dk6R79xFamMsoptskd/Uo/tsDeaOcG61
wmuMpxMkHL13rfGDWqTj81C5FT3eaqYxtkh8rHe5z0hcB6diNEDzuxyIRi24w0UjhCZyYiHOhqeW
hQG0CVoiXGrhNnwXGBVDOdAxpTdJynVFOZL4FxXlFafycanT4vypd8WwvJDGi+YvMqZqUTRp4SJu
av4tdFo0TwU7GgYadFCxX+g/vRCZw0rvelIRFsUUXCHEUzSLtfOwKKqQmcKEQYIVHguVX7qTJ99M
JFj2osWaG8dC7rPosxalVrJotlqA04F6F3LNhDRskkXdhTVFu2dUk/5KFu0XbPl5V4a+88KQmbVf
6/IbPO3myQSCG/SLgix9F5P178Iy0o55q9/lZuGiPBPvIjSx6NGKd2maz1D4xn0XrAmka3SHELEV
o09PaVG2kZMxnirVOXtr0b0RAsRqVr3L4bhR3bfYlG+Z3pvX9SKds21RX4pFTqcWYV36rrErUWjx
ICC8w5cFKnKaXs1ohmkdXkeJYm3UqlOXtxvMJv+JwPz/fc3/Ywhai/97Z/P6tXwtXv9pS3j/B/9u
bWqe9y+8b+aiqca5jqz6v71NEGD/wohHP4doQTI9kdX+t7kp/sXA2LGpRBEb+ya+sv82N/n/hAet
EuQ9nHJwC/9PynJzUbv+X2Eqpzqa5h40EoTqgnG4s4hj/tHbLB2P1r1QdlDjGN4KINR3FGjjfp7d
emP6yjxrxdAdhnkyl0wbU9wK6bqXjp6nFxZiYwAPrc2IWx8CHDIOHF3GzquCcyXFeqLv3Jj/JwKo
T4CLKv8ifrY+9v/fP72Pr50hpEeXl8//8dMbsOCFIEs7oInjXxdxmJyEQFuBbGVKkKI7LxWAudX0
7gL0spKo2XSuV5Y08FGzLjk74D/ldtCT7UzaZKDsnlq3K7JjW0r0c27/rY2rW3yq9bOn2yQ/JaX4
FuK72BgpTvINixEyEzWpXY2Z+hTTldqQcE3FLloUiJjQqLKLZF9VGr1IzhPbrPfNbU2U0gmTk9r/
48n7gxrc+P3ndA3a1RwEsbV4YvG6fPg587IAUIcMYiFbBTOg3ocux/1W+YlCmRJyFkJ9RVnBSXgY
HjWVZcfJkH9Ri//+s5h4ovC14R9mUPj5Z3EaHaxOnuEVJr3lnk2A+c/c19EpBF6LodDKnmvCdtSq
b4bvX9+BZeLz8XnmcfY9IgcZDeH+/CTmqmLZZYMifGgcgHxpDbwD1LW/NM9/tM1iPvABktXXl1xU
6Z8u6SOM1BnBOS7WhOUj/eMVGiRxpB2KgMAfdXeNpfm5qJvbFhnYXy70+231fNSaOOsczA/iMzCi
lENUOrPbBQSdcMKfnbnahZWzsNVMe8O0MKOK881jOpCW/fV3ND5qu5c3DVE+iwGifL4nnq2PX5K5
KVQG2Xd4Q7pqV0hKdd8lHM5vIy/I9eZeloxGFXtLa8yPBPX9Taf3py/PZ3Cw1XATfrvLrRbBgB0I
F0ST98yW/6pq9zm1cho3IxV4Z2zL0r3/+lt/HPy8f2mMCKzZSxQBUJRPb1OijaMO4xL9x9g6ByKO
2rWb+fLh66v8/vygI2MxZ5blgHxxl7//x/PTK7ttSxBrgQeFYzMJhibTxHC9zFAdf32pP/yMXIsZ
m86gDfzD+9//41rIBWDu0HvkZ7RPfe091Ibzpi35aAkFF3lxTVDrELeBH8CYap/+cvnf306QKpjP
2Q7hq/ifo05bm54rTxhENsv82WTVBQqyb57efbOifm8gcaxkFK4S5XKA8O50TXwbU4GEeTbRQUHh
riMQtGR3YY7zXr7+bH/4FT58tE8PeAcYaggjPhojwKNZimthd9/5afZfX+YPKzS3gDxjYEIsTyzV
H39tVyt8BQS1gXui7pA0IECxHnMGe8BI+wBAB/np8aU/ojBkajatRlijf1lHfn+s+QjsDViDKEsg
0Hz8CEnawSHoFQ+BX1cBNi+xAQhX/+WbLnvvx2VxuQplxTKlXew2H6+iV2mONWrgKqn3AFrwnhHF
Y8luCzEo+Pqm/umx4gVaXJxsfQh5P14qtXOh107fBNYsm/0cec9IINqVSbDTbnBo+SW+Of3lJv7p
62GRY3FwoEPh7fx4TdEYiE3Stgls2d9HQtCHiJvvne0dh9j6+fX3+9NrSwwx9i4sSwyiP9tHSZKc
zXACPZpPKUlCGnNJh9SFdTSB34xlOu5kl5B+1vnPVQRDupbmX37NPz63xMjybSEi6SSqfPy+PaZx
pr11EzSufSmoLk5JPaTbLpw3Crf/xM9yYTCRghaIyVt3b5MB7eVf7sPv5Q1C7ff1X2cf+E2qnYHv
R/xZNoGjqmcUBbeTYV5ORncvDflIaXfN3sWo0fllx0jBVPX6l+svC/7nZxp/KIvUAg/hqf54E0Bj
FX3URij522EK0kG7YLRR7bIwjYPOKbet3QYDsritW0O6UQJB/irGtb5Buhx0cIlWYJjWmQ0SOYTI
uvdASYDAL/XN1x/094cTq5eOXZGCHr+M9enh1P3SQ6Gjo4Yd7YcE0OMxFf7O86dxNSPL/cuu8vvS
uRDSlmMEUhwPqcTHu9KOptt3ECcD4bTDTyihd45VWb8G7W/l7XvOzcf7z0vOxRbvHiapdxbdP7av
NA2NTGW2TgPVPGi5fJ4teoFT2V6riJI2CcnFjpqp3NZFeVSRSb9C6ONeFoDHdeLGS8IwiFJU/gYJ
3rfOpTvfjejJ4OeYe0DNS5hgfNMM/D52XvgIglSzkR0YKKu3156ufkRd+Rc76+ffymN8ygGMn+q9
ZP68Go/gM1wJ2TPoOUAFkIz9G4jVDkMBm971WP5tXf68+v/7evjuOXlykNSXv//HPYwL2jU6Kumg
4WBwYvjh3LRR6P7lCfy8JC9XwfKOqRrUzFKzfrwK9HSjSPQCmw18qc0s4+9kRH7rbHnRFnoguvk/
EXv/q63z86vJBZd0cezWho4Z9jNeZ6GWg6LJpoBE4+hZ1ph0SfB6NRvjh5FngFYHwE9pRSzK16+a
8Yffb6mJGehzfYzBn76pk/pd2uGECGjmMfFlFyIy9D5ECw1qtLWOmCGC1EkfaPLGrn8H8OvK9csL
dII/56p4Ng3kFIOIq7+slZ9fSu4HBwXWKIDnjo0y5uMPoHCItSXvQiDq1ienNbIPMozEGn2wPPzl
FvzhkfJBBi4HIEEA1yLF+ucjxQC373LMS6yBUb5u5jIiG1QSPUPaZ8QpIZhRUm7c2Xh1xnA7tbT6
OHQC9KjsLY+Hv8rH5PvXn+kPjwMqDW/5OAsE6F05+I+nvK/tmGtlKkhbt9u21CJk/7YycLz51bSm
55TYk3WU5PH26+v+tlV7usEmyUnQYQleDg0f7wU9G9ZzhSlzarNfuTtn6Kq9Iis2QpVJYPrpfDGW
fXVyc4vGQ4oLcVUTb/Dz64/xCUcEroCPAeHJxiQPPPG3n6TPIdNHvTYENjrxn44MX7IhuWLk0e9C
r3vLxt69H6htEJYZIrptUjnR7Z43BbFcNwTUHrIc6Es/MJNWDZJv20OKsiq1CsW3rZqtrc3VjQfZ
+oosFgd58mwcxCJgrfS8fCEmzdlX1qx/A4Ri7kK7Ers+ZjjVN2W9rWmSrltFksYki8VqWpyrsdzV
dWkht6qLtUvK8QFd/veS/hqJYLb12naGuqWlzIfsbdA7Juxs03ykFapup3wuVz6jCwZ8rXOuK0xm
yZBD8mXgsIsFU4a4NtINxWgebhj1qcs8q+1z52P2RcvV+Cc1EoNEjHrq7KTXAeX4+uf4w1PBL0H5
xJmHlt9vi4Q21VOKAmRkHmHdO5H9wE39XnnyWw9Ve9HEcMZp96D+gmjSfnx98d8XKHZlG90i10UR
a3+q3OYawHtGjztAu+78ZMoWPhDzVu6LWX90Gqy0X1/O/H3l4Xo+mknMdBBaPp9wimQu/RiOeyC9
KHzsDUmTO/GcTeHp4Y8EEGCyyVWtISTR1C1KofEp16z0Piag8kQavftrIAF5U6RKO3UFWTErLYev
gA+gAiMeLqsZA2V1S0ADarsSfHjn8R/pDF530qqMMylhye7r7/T7agLywDEJHqShpbvup5c6B2so
mnHkbUKYufZkk1wDRvevfIh4J+XG4cEfgGZ3psfk6OtLUwgsP9A/qx46izQ92L34BChhPy+vsRF2
EcmgXRDGKQLULC2zleHgFzax9oHNlq58qfAUL6525aFlTuDJMYUsrlA0lT+VnyRPEXEEnCWT5FC2
gGvncEn7mbPePqWymp59NyZdWgKw6pVxTmO/PZmZkZ99wFC4pJnf2qsh9sW+6wuFmzyZqmtVOy+l
YZx1Lzf2plnZJ2KtMM2OxcMs8CiWZcR711UHq21NdFqF9w2DmgTvX+WXwInVIQ8bby8R210Teeqt
qVjELcFe8jzaJu63sAboFUjmUgeNEeU+9lPzvtK9qsKUawXwIps9Ckqgw51u7NLQLdcotdBSYcEY
ABdO7XNcVOMDfZtFm5KZTRBOZC7IGmgsciD6C4G0dG5EUTTVBcD39kppE38Oq6EiKGGc8fcuUzAt
67VX6mzjvh0t59VRNRpyjRiOxYIODiXtDPmicoGorB7VTZb2+da3wvmgd1pyBdAQH+2AnWqQWrjS
WtOjTw78lcwkz3tFkgQ2TrMGfbG/o8DHbtRB2GrrEq0WgRDdNqvLEOdRqi4dqZG+GJOKtU1lDCUo
1BCV7aaw4164Y3uPJYCR1xjp8mUGGbRt6wLNmmFp4mwkhkT0T4B61iTlN9+q4xMiJUBcVQQnLHIh
uA9hshqIUE4h0WbEwko6yi/UMg6Rlw2j6dhz0n2O8Dko/agPJquqj4yU072Z1Bn+xKG/niZgZFOG
FH82xvicFyplkmcmO4/YA2YI6IZ9YtfXLZHj53Sy0iCWxmUc6hpTQ2RXm24QoOqt1teORh47b6qb
MJtGrh4R7MKJNwr8jjbXLnEmcjNcs6l3sDVq6zA1HIq3SIeYVcBFy6jdrRwUS+z79R7mtwjQBWpr
PHzJLnMJmEQ7g/jDT/qzPrnJMU4jf5837XyrY9wknB7IPK7JMZ+OBJJFN55L0TI7UlxkAD1oryd3
RpoZF7XDTL+Tjf7YCKs8Ja5EYDRO4bZtdKMI9KTsj4q0pE1duuIxS8WwVY3vfUt6t97PhCHVa1Kw
4iWysniCpzezvZbTJdR39Mem1vkrvVjSA5ywXpMIicbR7zeIATVeMiO5TU0lj3blicdpGDCjho66
bTTqi8X7W182BL1vK3CDcpg87khnnDuCidYz/bBLEr8DclPGY4Ve7IxPHNtV5BsbV4CRRaLdgzqX
DNJXwNe0I1DV+uxA2b7jNXnpvYZsKF/mmFsRFHSN6R1El4mjTqbLfna6ZDM7mnePpNdjShmKZ2Wk
6lbF5vyD5JmF5D/6W8mieZvRX77sddltyjzzz2Dw3UvPC4fLhlTz7ya7wA8BN3yNDTp9xu1p7t5/
07HNXOQHrX0OE4V/iKNadTKkWNSQHdbRtgBkTWbb0F2G9si0KsE5fW8wIbidSrj7C/0LWqJen3wZ
TVcauidhteq6L0x1W8FPP4UKhfpAY38LLXQKNNPXghxp1Frpjn+qOQ0fsyJ9xf4retQ8qbZGBIZw
wHVu3KJlM5KNCMwEgUnCEfW6jLJw8TbH+rAyZ22+6vDFXSJ3AIcOFJ5iMc0AtKBdzJCaO7116SZY
mVcksj2UWh0wqJ/vkjE1zh6y+QOXaOibDogd00y3Noh4cNm974IAZxl3Df0QciAhmHAkBWQMwfLz
b8vWJyOhb9ITzlP356jKct3VY3Ui2iDZFVAKApJNyQpMmgwP+siNeK50m8+IjbQ8O1W/R5UyHIGN
HGTsR1eD8JttKZ36aNNOPCdkndxoxENtygn1T+/787e5aZMnd7KnGyAGd+WIF8+dPZu1BwUmPTTj
bE16sc5TVCnpNPfXXtjGxkGLjH66JNoSzbkkRmylylR6VzJN8U4Qx+jf0kyRx7nIzMWRxz9mN/Ue
Bm8gB0jpAkRF2UeD2pcAFJdUL8KzvI7EXO7w6HBENEpjQ5c2VRvfwgI01pNLYqIbeds4w7KHbsPD
pZzVw3yQsyG3oSzLG4mKpV77UDORSTcPudKJEsKbcVVhmn1LDU095bHQuDRu+e1gqPDJ0uy4XsWI
vrZjO1TPKd1xb+0OmlsFsXKmbYtvOAbZ0YlT5+k/577ygn7otl3mzFgm6xp1YuhADVbpk9DLHAWv
lyLhNX1/zS4zXtMcH755Gcb/TCeQtUKpsy1KC5WLwLrabU1lEpsWN9r8QmJqWW/sDGrnmv++2DvR
zHqj54dRWPkN89Hq11xa2drAYA6URvTjg6us6VpqOIgJXSN3F5gjNsRUWkcjTuttRFgqYV3MZDKJ
hcwbA8Xx5HUUZoel1VIPYSjkvFWGFp/DyrbedD35Lr3Bu4o6p/mpyZw6kQAv50EhKAZKsjB/JWpt
d5VJ33uYZ5PBZeXo6LPS7CDS3qTx2Kl7zkHeqpVZfmJLzV/6WRfrgQw8HJttwWJWrJsqutOz4cR5
p11bSjPWoo1OAHtuXGco4dHW8AEULytQIOtA1xHKsRtywNkZyMAuLDlSgzqqvJ303NzpxrjIlFz/
G1T8Inn02vllQl+vb9mkCTjom6W4wK5JNmnF2xnH4jgp8xhR9u8LfDIcOTjz7JrZARGuLewnp+MA
E5s1u5zVWizBNh6CZO2VzBG4J3BsxzGMJX5PqiDRR/FuiKVzqAYAnyTsFvUew/fR5zNeUq601yyk
aCQ7TEfOUsc0uTiBewbPmg43oxElW7bu9KS6+USuLuxWt/bvU6rpJc925y2551o+GFs8mvt+7AoW
UK3CQ+K0iNK8pzJE/hkzm+o1BPQIA36FPFN7x0EFJfXCCYArB4XWu1sZF4QmhqW/BIo8u2mvkbSi
+Mij5IJOFj9yh7LvizINVb3ubTPfi861qKmuyevMnEEhbzXbq8723UO/NI3IxFVPrlskxzaPWIGa
cHrU9bw7VR6vSlVUELYwzRujXm36VpWIHStv7Sk/OxC1sKv7dCDFeKwCWe0TAm8RIaf3vMxIv6L5
nMkSLeWShtJO1nXnjsBZgDHeLEEu9BKBnhzUlPTbDmbrVTbK6XqJJwLf0EisOQYrqMPA8KZB/rab
XUM/z1N6xd7Wq+XOUMFO1Btg2EUwuqIFhuAWyAjD9sZRPbPUvHAu0japbxH4iAvfKH4gsZ5OeU4D
a+P2rn+hlr/QG4ANa1vHVG/gXg7QHtsEkrdwcFXW7DkD9StvqNUxHpVDPyzqH/h/TgNv13Fg2rZ0
7Y3uNSpeJy9xtnqXjZuKp/bYZxMVmRXGu9rOberkML2AKueyYqEmFlFYB0lYnJWDrhLGq4m0jTej
N9G0taHaxq0o8QIJm38+/rBcrQwUxNZzHFozRnpjPOhjZj1oYVVf5OTy3A6JkRyW0KXrqA/r3YD4
kflun+HIMfRRFWimhWL5NKYLD1TYrm7s6cEdsbanokpv7dSFgFsDplt7i892pVelc2lFZWZhEPPs
JfmOp37m4LYiWKI+MSPBlIEqyvIWRCwvD1YEQvEM4jW3gvi+ILJacDijwPmfatb85qYuKOXCFRn/
T0S0CzT2zr2ewtji0fGb6lvq5dHdoGXy0KVKVdsoHP0Inok13LSSc+461efxXGMZOcOIUdva1CQR
2lPIMlU1BMb0eapd5AAH2e5nlwKgMvDIC3qY6Gs2vQ1rKHT46fXCVrctxuFXNRS/tBQT/pZOFjno
Sm82ZqJ7sHH8UWIwN/Fx7EbbQXtXKu0YzVa6NbIyvU1yt1+RlyJe4sItn4oBNTAz4WRXLXu+ESP/
1XPSrpDMTSy8HSnAm8GkErTZBQ9aK6MrHSQkJfacgGMySzq5iGVVrtVnVQhU1o4gpUVXKxox/g58
MIQCZkEwCIiEg1O/RRjsh+u2Q6Y+Jpa3hzfTBe6Uyx/kswGoiYDkhL7mbXHxkndfdxOmQWzT2rUD
EG3HGUFevItpsGkDqpwLbHlGWOmvlarcjdv4BsFnnWQyFhNASZ+bPBIMDu2MDSlNUCrVOSDq0aGo
s0Bx6Gk4vhKa2Gxzkx+nGt1jLaYzoz3jcZbaT8BW0eMwWsn3oYMZNvdR8YNkdeQdelZBtuhKKJB9
dGzJSL+YtIG13Xb0TSyRjyNXx2M5lsK4E1gd1Fpimp605SO14NajIb/wuwa5ukM24LoXQ7gGOVZf
DL65Gy1quq6ThAfKrCYo3uuPsHvsnXJEeDQQ++0IQZAIlkN9ExGCtKbO1KAClOOpZ7HCXthwftFa
cUmDHnRCTJLDtqTpunegpw2ERyckuJVV2LG/1lF3b06zi22pMlDCZ0VcB0gSdw0tkUuh06FtLOdo
4ITfzTiv9nlk9dxFZLaHUfVYDnG1kpNtDU+2mY0HCe4ZdBpgJeBfjRPQYStPWoHnbGzMzRDfz44d
HzXdqPSViikYw9xnfCPZT1eD31DdlRYHAYwzYxIeQkOPNiUtCToQ012EVeyILbTZJL6ICHaq7P4A
P2HYktidYAdFgJrpLEkC0WaLGnmWa25ataMzgO+E2j1I0zEL9ZXvhXKiYc8elbaGd9Fk3blXHBfZ
dtaDsIYfEZP6NRX0i8D5eJ5y+JQrBHvXkR3isDBMG9V+7uL+Cy+Eh+AMD+a4ncNUBJZWHeYZ5bVm
a8+qSQ+tG7+VBkGro70c4sbKRDY7u4EiT2JFtSB2JIEd7B4ywYiC/X4o+cdEU83ACQz9EBlJQFoA
pgK9XmOxGzbVGNW0QaaZN1akgYw9bVvp85b+fsTMcdkRSO/e1SobL/yUBiMEege9d5iCC5rup8bC
QehlWaBrrndpWJglnUReWBDQ8L7zKDixMQU+FlK6d+qyTDE4z1F+G2Z+t3KSQvCIddS7agfz8oEf
4ZXoxEdu1ONEYPNoN7tJuaexL+rLmh2ZzNEmgkCVhH4bopizBCXKDAscKyl2FZ/QjmsrT9ujYVIE
LcAcj5VyXNU2drRVYuXTtT836sZOamBAcii1W9tBYV1HqXn2OdG/JcJ1sFyWTzMzSgDwGdjCNqJ5
ImDPBRPWm3WYhJgElLB/8D4JPLIs+wDNzBPAUEAdkmbROuJsSTo65urBvQ7hNK8aY7CeBsO692eT
kLCikGcHUR/OpeYpKcxk46HCRe9lzEDayZCW/Jr7pDKNdSIsTmZiQMAdW+OaWEPO84klvpnt/JAT
YxLknNrZRVMaLVP6k+YE6EuRPGCy6BFjxsMaXtvPPky3rHY8cjaHa9qb5rVjDiZOVqFfxp7tYwXr
/XMSGzgYZJ/u0cYV50gzDhmn5PPS9Y5xFfbYbfw8eQynqWL7zpwz3gWSRGWUn/W6QS9ZR1sdt7If
GRFIe2qH0DCdS1c1BS/X6O5dJ7WfPUOpvYH9emBQfh4oDRAWduq7AHB9W6WKqQEgrYAMi/lIm5n5
gUv+5tpRnty6fd3ugS8XZ6IHwssuzsV3r2qgBXZJJYjriTW6aTmCggZ8UamxU8S6mzx0NHlc2jgq
NH8483tQhuFKYCU9NqZBtymIoyjaSL2PXz16IidU8ynODdM4RQD/TqVuTT7MS699E+4Uc7k4ZSwx
dd2e+BWChzyJz449+acC7HgnGyv7FcpiulB5RMJLYWVY4PUBh4VOR8urGdhPo2PsutDrGfi35iaj
WRNYUczDU0XOxmpqn1fRbJ4js53uDeAXOyWy4aGd7eqGX7cjj7pP4n0YUvhEqZ5eeE2UB4zq5ams
0jAPOO+oFaWPewo9XPldDda/d9TYrK24mjcml77sSpUwQWv6Q1qrnL5jinSrtf3t1LgpssChO4vM
tVbRMMXXfagVd0UzNPsmcahq/CxiXFqnZsQIgvORuk2MUoXbWhg02jP8Ea/RnNCoQFEpgv+k5VAy
pCezY3kxfS//Lhr2qdkbCVRUjiPuCYnEeW2BBJzzwn4sJ9JYwQHB1JhE4Gd1Za5ozmkbv64hERBa
aq6LWRNr2XnWY9JatNE8Fd2xxt/S0VvrNkdiRv6UJncZ3UcKNWdbu/VOWU2K4Ng/RAkbmO8DnDJi
UmkMHpNe5N9IamKDqpTHEEL7ZWWoynQ8dqYEGTbPvR3Q1t7HDBvWKinLjUYMEbGcvHN11j0mfn3g
1e1/ND3NmiYf2w1+v36tIwWWVU1HkAAFDKmJc8z46tibHeeiIegApzcp9DMw7E0+ZN0hpouNYbkK
33SAouvOKcytPTvOG6GsYu30CjgmhZ47xBQmoxhOSVnJi0UAeqBfjxUrMp1NMw9Vu7KHgkADUeZw
SHsFLBaJBbeOTh8t2PauB2IB77YYLmXEQmHi37rP+l4Eem+5wTQ4ZUyVCwDNaIGHUZ3pkLew6/Ew
Kf+mpq2FTYMD94QJ/4FQXePCsqJhQypRt9KnKt77ae6w7Y7+KWndIymEGJ/x301+R8+qRtu+Myuz
vzMg6+1Ayg2QZ6gKcS9WKVSaXECy7FVgWp18SZvKey1xPzw3Rtc+0lcj2ReuNvDw1IyrU4G7/WfI
lOBUMlQ7KLA+54mK56KeXXktCCLeEeF6PRFevLHKKX78euBiLsOcj+OWRULGV3A9F1HBZx7kyDAq
i3WzDgw7tddaC9jCMcRDmdGTzuVVGRryzuFTPTBzeWN7omgxiRBHqmflzqu7lNNj5Ls7r+aon+P1
N8a0OrYVljcQXjH9NUf85TO/86M/f2aAJ6Zlwapn8PtJAWfTYQpHK0O9WaX2w5QosY6VBQDUlhnA
AYRa7bLimH31M7Z4kVqGBqe0aO1L6eMKm01EnxRHzV+UAb/PzRwPJbZhwW7hU32mk1t6WUezF9WB
ScsbjNjN/9B2Jj12I9kV/iuG92xwHgC3F+Sbh5wHKTdEjpxnMkjGr/dHlQFLWXLKvfCmoUJVi+89
khE37j3nO8yjrkMOmMBAYnNlhuRhQanL/yRIWgQHn34OBC54JJYpJAazT5oMx5I80WR9rWWl5Qev
Chss05NIV2Hs3NWp8Ywy/h6QmwjcNhUcESjULQYGfo9B6yqXdY5q0Xqm9UC4KFvaBXCWakE8GCup
MG0rpF4hn8W6FoQt/tFsgiHGsOOjRXzr09Em1S+pWQbUSH8NwYaG5YAVv9YwtY7etpDI9iCjIh+T
ZfGqzLgGnDzTDzbgE/YFWXHstu072jHxXhVSfG8zTWLbK4atknbGCj1RTjVTfHexHkQgSTT7VfLu
+Lx61dGU0fz+9UvxN/mfAy0fh4jpoW2w/67c9WZwoATT0jdRMBaN7Yw91fMu6MRn27yy6QY1thPf
Da6SsNxkb4lmq4GRWhggv/4kf9OaIKzQdcI8SHPRUBF/urWCf1MnS1puPxs2bqrIZVZhjFc/rvL/
4GbavlcXz8V792Uoy91vc1uWT/Na1UTURXHf/eePvyF6r1bP/fMv/wC/m9jt6+G9nW/euyHv//M/
/pJFLf/l//Vf/tv7j7/lbq7f//nvr9VQ9svfFiXVL4EYOgvH/2518p/LKH9+e+/in+1Oy//nL7eT
p/8D/RXjcbYogzu0oHb/CmFx3X+gfcBcjhpp0QRYiBT+O0VDh/603E/Poh+M4e4nr5Ou/sNCuYBv
yqJ4QHD5r3CcfpVBoEz0YIVxZdNhRYDPtKwZPymCikifYVl7yU5yjt5Askm3UWzQgpf00iN0hJuf
fpqrv1abf+O1vaqSsu/++e+/KuAccxGkobxiAXRYi9zFRPbz9UpDyzowqdFuhgwXmKDK70wRF/tZ
ivQ8u7GK75it+OuL/qq9+OuiQLQQ3iEYIG3u0z5AvTEOojKjXd9YyqnLmaZqJQWgwh//8P1+VSX8
uBRrOhpTggDYdj6vsaWAI17berKbhyJlITOVVUwd4Idqlm1aDcFA0jvEVC1/il11vP/6m366/KIv
Yb9DdYaKHUvDZyiXheJozC233WU9uqIxLwzav1K50iEeoligteYjjjAvQLg1L2DBuz9IQj5H+vAB
0PyxKfBLEDbHc/3r/c1GXJWDrTW7cFhucjbp90OnJE/orIA4zAlAyJC09GOtY4DLm2GLJtWCbjwh
gAlE32m3jj1MW1cbxm/jzJz6D8LET8/7j8+n6yrqKJ3Tq/ZZq5xgDEr6XG12jRvDai1KsUL5Ye/c
nK56v9Cavr4hn7aIRfHDvoCrAJcQsk/zs5VQaXsXs/jQ7cgRUAHvgJXVfL6Z7a7x64DIqJr0Jm0z
5DtxuC5cvUeIwOn/NKE06Ndffxr90+uHzgo/848FB1mGZn5+/TC4Vu1Cpt4JHdsJ0PGIsapw9O7Q
6JqDG7qN05OoQa8nQ/1m845vu9GW6y6fTWaNoRvfEAaiPoHIwjFmTG0E5cVIzIeoH+p9O8e0ISJQ
muAJeg0exOjywlWsL6eibJR9EbsjsCtoOGBSqvDsaIX69PVXNH4tVPFC8RXZkjXu8vIefn4D677X
WJsSpnf16DKJKRtKA5qG033e2lmAvGx6qLwmxQA5aN6FmtcZdvIiOrUDwTkME/t9VYTdi9As5UoC
wbzNrUF9mrzZBryW5rdoG+rvLoarvUPo6Zuh5X1AdK/+PHBmixjFwlAIGl0YD1iYaBR1pezOYyHE
mllkfvv11/114//vb+tQfSC0RVj2eeNXBHJOV2EkJReivD2YWdDNlhJ8fZXPbw2/qabyslBCI5Vj
0/j1rXYJLhomas0d+InomwIDqA77bi+Y1r27GY3try/3ab1ebqGGUIA2CrsFaoNPKl1ngmAqWy5n
FFV0JhfmwAebAs+YxB+Wg9+8D2wMyw7LI2M7+vJJft7+Jr1kuNHlu5FWyTkHuXGf2mp+K0nmOwxG
kt8WWpzcfP31Pi/Sy9dbMnZMliGWoCWU7eeLLh5GZnNlsetpv73AKnJhcWQNbyJpKprhO7FtPMze
VH/P+gWq0lpoPL7+CL/7hcFDUpegvCQCZ7nhP31vZVzwIOpCm6gcBZu/Stu+G0r42DpwmPPXF/vN
08OdXJLkPJsi9YdW/KeLCSOFRs40YVcrTn5rJiMrbTI624pqw4/zvn/9+nqfAajL82NQZmk6Sx2P
7Q/DxE8XZByeJo2HLFZtGikDUzBLXtPXwD5o9hUZiFLJ5JXmgJGLlTSMViFO4BOoQ4AwIk7cdF/B
gjuXYdK9DHY7vBSIANmvx9DYjImtnEKTE/vXH/q3dwR7MmcJHn4gHr/eEeCYma0DE9oBm7SgmFCZ
hE5eHj3SEO6+vtTvHnqOf0vpiHiSs9evlyrdpEH/ppNTyaD4TGtZOzMUHg+K3rgH08jKY2wIe/f1
RX/z/ZD6Ykn3MNlhVFk+1E/3RI4m5oMSBsxEiMWGdmR4nsfORqoYKqevL/Wb94tOPsFcXAxh6Gfv
QcU8GRMHo+ywH3HWFXaangpDumthNt01YebznpYLnW9rqKzT6BbRHx74331Xro6oGDsWEfbGr991
UOn9KeT77AozGvwCv9NJm2vvcqCd+4d4uuVg9z9n+h/rvwGyzcSGbDiEbX66FAW6vSyWxc5kzzpM
pdEdOluyN7uqNB5oszrpyoXcdiAv+0+39De/M4BZpLkOF+fJ/fQcNW6WS2u0613SqGJrgNi5iWkG
NIBdiZtL5czaRbr9RJp8y1EPjjXV1te3+nePMt4Wi4M4JsC/3WrZuaEQrlXvUJqQ1QDKak9gr7qu
ku66oNdvoQTK/1TT/eb2smJaOhUGhjfns/IYX4GhNh2LZ5Sa3gUtbio6R29AbCbk7m6+/obLj/jp
BpMvhzeW8hH/zufFs+aE5GajCwSPWu2CxPV70f2xSv3NRXDE8axSr+JA/tH8++nlLABHoneKWRGi
CR4sA1EvJQwBmMzXX+Y3v5wOC4Cl2TT5Vp9/uRzku1IrY830ozEfsqTriLKpiWIQGfLkPzwbv3k1
sJBReS+8BY4kn44i8Bzp3k8ogKnQ9W0Re4m+QiLGsBbE1jFWGuUqHCqRwBWz/2CJ/N3vifQTEsnC
YGYF+HUBUFJ2qH5CiJ1ntrJqhfmipOx6X/+Yv3n2scXTenJgn/x9D/dwnjqT6hS7Bt7HBXRC40FG
U3eI+jHZdFlD1lviRX8qXn6zmfOuE3bIN2Or+nyAkmYMhz4Pi50CQvIBZJTCCHJq7lyjSnepXfzp
DV/6Jp9fAIOTrOHhsNWXXPpff8uI/MUil3a1Sw2DPBYCVehbpokSf/AyOPcsDIz4B88b72Xthlde
OXodup9KCD+y0uajNrX8dkx1TgFtOTtb2LAGaRZj/GKZCbV/ZvWjEVAWoI1zG6gpRtyQkNbo3R2F
S/349U37zRuA84xAjmXvVbXPe5Nhq11vlqR06TXQfoTkNqHRRJc+AmYUl//ytZaFkY1haTJz9vz1
l8PmWMM5zChubQU9mzbKjWwVEExLL+JfvxTJrqxP4DWp3D9tQzMm6HLWQST86Hh0KnxYFcEKvew4
/UMh8YMc8uuKaHK0o83Aim8bVDG/fq0iiZRRnUJeriniRN3bBpx/Bp9brc3Vp7LXwfebIE6QEecz
m8+A8v6N4Ir8tlNgnAU5zxlzEiFPvVMX96acoJZzSwDwVkr18vUPo+t/e3yx5i6VtqrDXdc+cywa
c+6sOaYhUoCMPdajUT/n5FCd6m6KiYoAn/EyqHF711tNhMZECxUEULq8jpy4Ib2NdPNYU/vrtuqh
ejucRap8ECsiDLuDnQj3enTLaQseD5hpaBfH0U6GPyzan2xaS43BAZMdnoKGo/XfyhkNLxsFK4w2
PCkkGA6LXSU1u9DHGszBnuXnQiljOhh9jMs+0l7mPJX7r39HUjmXU9//3HeaFtRzqCYAQy1IV+1v
h9Cymusk0qqd00NpDNK2ieJLqI+thty4Zu6vDJcOqxNw2/HBSTNQiOCEVQSKcfKhZ9XD1FZpE9CO
62+HSQFuBBCQwKRq2rlzmwbk3thHs88vUZmQ+ohesoO9qozWyxgnfgjIiObNqu3ETRNHz4zY7m1n
ebyw7EQFvgsvLX3s6+RphSjHjeyIHDmQGcQ0hNWJR0ZwE69NJJK11p4iO9129XyvTgWqmid9UldK
DnU8S6/nURwJbZH7avEIx8ALUYgIT17ONDHSlV3aezclbATqGa2UeS/b5sFVkH+MdlCjbut0PJxe
u+9JWTJSHYc9rpgo34uueGfavUZyuWWEuYc+ifFTfDf6LnCZpVs0L+K8on/DtCVV1gp8PD/P8CyM
JAZZxU4du2htgnbtPIFMJu1xq5jW00BKH0xn7458+1VWXhkRlDyOSzKfMpCw3UXSa9GulMpptuIb
E4uYX+KGLIHhwAZm/Q1fDKe5nmczoN/9jZbGqtbVjWOdiIB5SwrMJVl018xiH5v6Re3IjdZcRpGO
crn9Ps00WJDvDWFO1MyYMQny1jOSJ01x12EUglWejy1Ep5UUBJj11qEu6+0iJq2PjN6+CfvNlCa2
A8e6hE20aec3EyqVj4cUrE3N8KlW393hQ+rGYeiA0s5IlOJom7eWL11r7xBHaZfdMfGYOM2G+1Br
hLp4tHjl2J51lCwcLrOD1mg3OZGYTs74TVTRnd7YG55i8vNMn4Fg7KvYyXzVkEhtBL/rLC7zwb6P
eJwxJ9wPbRf0Rb2yw2xfSAntVnsl2mZjoTxfMea8cFp8LZ19X2fdGyadyU+dJsiVyNw6FjNpG6xf
0X1XUKd6Ex7TdoYgXVS4CyDJhqGyRW7WtccRzDrTAOzQC9Za2dP2CSA1nGRnAIFlmy3tY9TbZ2Py
UMmhdyd6ALUx9j6Dwld498D5gzA1b91JsXAolmePbHZS4iZ4rwbqpSRZG0b73cyqV2YRRFnGx5I0
yT73UNnpxZEgtLNVkTUTFYtUHhEay+Q9dLJbdSyuNa97lVqzldRcQR++A2BE4aettZ53+zXRsiPq
p1Ut0odU/VYu4GJekySdCHEUD15X7hSvewHJSyiF2QQIrD86t9uHleajTHuLhX3Sw3aFO2YFVnUx
xq6J1DGJXHaPw0x86SB2kR3uqwwVIbOD9kjOzyY3+rNp6/de6aymyrrLLWH4okTdsawgXsPfoW9T
VEZgMW9KdkUfWgYw03Ffkaqlj+gNTXev0pNFp3Mj+QGx6R9z1hFCfT1iAppxJYSovxtz3BeMFWOD
mL6JtiNVM6ktmzaszxjCvuul7Tt5usY55c9lfYOUF9K9nborstv8IkITa9c9U+5qUXVQezCn8BdE
S9bb9m3uJEXQoIEq2vpFQAd7cLtmzYl+g47hmUC9E6Tam6arrulm2g75VIUwxx0CuJqP52xL8NQw
4E/lTOJX1LMEKUN0SXIMuYGZ+UYI4x3Qxwsr5gPXET6o3dDgRxwQEKwkSR7UywyH42s1e9MqvHC1
+NZ5yg5j3jWCJFifzreUZTVEG4dd8bWSFAAVpPiV5siWTLvYekQDpe1n3Qxr8EFHpJ75JRDWEvlK
7wRZ0YHgMwpiNNW86+4igWieBSfSL9OIA3Qwd04jF5s+ePdm7KsXK0aDvKpCnLm94428+jAxBpk6
h9DLnHvNhE/sDHw9xEseqbfTLtS1Dt8YzlQMiFV+m+SR8ubWoUGVkubiHVPEjczKDySe+opINonH
hYgBXIEDTN+ISDRSVp+hPyl7K1VNJEaVc5HrilxXs6jvSF1785A9nY3aIxmzU7vCB8Fg3vOKEnFg
5LG9171OnBtXkcM21xaKLcvsZRQ3OeB/9M8Ib0Plrqnm5NusNzq4P5Vg+hjhxoelAwJwvZ7FUCUI
vD9ZSe7dJY0RXpbQpSldzJKQZrfFHVP3xJH0dWfJtSLBu6dDjTErdHCUwf5ngbeHUDx7jZGpGwF5
Exz9+ITwyHqZJRf30fzM31sI8/subcjspCGVbYfQiNHitba1LscuvaGBkiM4zMV3yujiVZv6ac+4
xSBdI68fvEgM/mwN/dkuvRARiZ7BJnTH+Lkww9vO4YUvQC3xckkPSbjpVrafkvty2Y2F4yPD8VqU
lnIQvul1xJ7lSV4BmSJUDy8DAMdF1ehWanWlNGV3SjjMPSZ2NhPEGmIqgVC9V4xS3ZSF6Z5nryCS
rKx697ttKu1edsvaoyBbj0fxzalR8mA8jg+pYb2lrUDL3U/GrrANejOWe2uC5HH6vtiVHApue5G1
d1bqGDvk2SXeEhx3ftUW4qIYUH6RwGHE644AAzSYjf5C96q7jg1En7MwITSaUt9HpGKSR6Epa3wo
7UkN47VdpHcyROsxkPpyYHSHuNpWyMQowW5hrFsYBR5k4KQLZRxU2UTwaGp7SbxpoZtvQq1BEe2m
bkRcJpNNP+oFYC407XXDbpfTTEMU24cBmYh5wHlmMQm5L1OTZHS9kN6RMS6DbApB9ZcxqdDSJTxU
5tFpkNDjHScW5zg2jN6XSS5AYxJvCxZ9Jv2UeMAjFn4lKBMTmb6w3CcxptTtsK1JqBvQXPKMa/uC
IpCwKmEoD+4ck3YQyscWHPF2mhLtPcFN8wHJLLpXVLt6kc11SJAZRz6K6K2GewgLm5leTjKsT06Z
oJrLij5xABeij7bshn92xgROcMHikoz1BZAN9QXLOx66mJzmkRr5hriviHJI0dciH0uy9yZ5MPEN
+15rcSIaa43asRf6uz0UJGAyiFt16tRvrFJ/7FSDgalSNsylW0xIYKdjdT5mjjnGZNOChMgq8oGp
SeDThaMyPJqYJg8o4iyxJrK4LBCcqmI39fr86kIVBS48cbDNRhX1rVPDlScilZ2HjArjcrZckpIt
zBPXZejJR4K4tZ1VTrjHnEHUV4lB/o0/NJPyghUk2eaqHoPmFcVDHbMbTmpWBvhOpL6ClU5QoEF+
daCOhPoFosz6bYw1cR1SZO9MzrUH5PndnWLFVguGyjIsHmK9vrJKA9/xHAucOVkRmpsI0w27eScX
ZP/YiGTD0dg74aEoNupAXkMS1YAiao9Sifuc7bl5erOphlpso6wo3mz6VreC6cBLV35MY8a0mdT4
d8ZUxtqBVo/qu2eBhJRhwvcxWHwnJ3SwAShQmXPVuW20AqNhP7i+syBa+BSCxTw2mvDZFp132SPC
P4yVaA59beJah3QyfLPHYjprRW8HlsA7jmIVR1uqBiX68Y3RslHPnjMGWoMlm9d22BCAO6ylNPmu
lj4Q+SqUjVbY5r6Z+2UH4Tj5NCIoQfbMpOYWUKiXfcsVYnQzR8efa44AAIahLhYnyLul1MNZmXIC
PUiX/25xKtky3E6v9dpqt53r1Le5bo3rwlHit9ks5UM9pvkasMi21/X8enDMh67FbKZCdlzJcakP
Y31aBPNVSBU8ZKS6UzGE4jv+J/M8uFZ0KIzBhhOO28ufIODvrdlQycBgnJcGijT6Y222yV1ZlFrm
t4TXnJZq4RIbaVsdht6ydEzyqkUg+4R+eIrz6Fqa6ZISRMpUoVTsbAie8C6R23unj466CSNjumsr
xd2GsSvWLmJ7coNrJNuC7D0CpBh6lknv3kqnsucV8y0oY3gT3LvYmYrrqg/rJqh1JUaH2Gs0KjrH
eI/VNtqYudGpeHKbhORbqGQ5Pg/Nr2Oc0+Hs1XvLokTh189PpqrsZibPLwtmdU8USEpT27TE1g5H
D8YDmvKTmGX3FodNHAeyxkC6ys2mZhw+0qlbRQ4BZBN1ECjevPzIFQy+NeLge+GVsAR6TURwy9H1
UwqRK05ipUCwO9i1va5Ke7gm90vfSbeq9jphASRjJfpx9lwH55QdX2CvWR7tQQLR5WsSMEynbKpt
jROSRh7VAoyhJRS4FObBrHQgHYCKZavRzjm7NFZxo1LIrk0rrpHm1I08smC9x4ZXriXVyhFyUrOr
sCI/g/XggXfQlleK2Pe95/mm24hTRM3JmdMgW753ABJo6hy4UH1XtWm8pGJsH9XW4mwiB+0bzjxl
h1T8Qas1GaCChrOQ5WrvxyquKrSaVLEVwj9sB+nOlhU2NIHHNCwtZZeMs7fStNI4hZQI+jhiuhV0
ESk8AXPAfMeRxhCf9JgmvkVRUWzTqI3Psk/R5QrsrdB2hHGZZbFxY2SjvFDqmdbF6PXMhBzvpq3D
7rZFmtEHmY4viABP1DTq7JJPGlWPsdEqq35sw4cpbbprZaxSbEWVU+Es5ifqnGymV0JIjpPY7c5p
x2gN3Jfdj1W81CPtztQySQeIuHSfWSBNBC0qk3PU2VDqy+igdvLZjfUW3ysuLeSW6k4rKxEQh4DA
WGlVnFaO+ICaWT0JWXIOidvHIZza707rvdBWEAEpui+dxvo7ZlbCkUZ7Iti7ujJYF9ZlVMgbB0m3
MobhJtWV5DoeJJGxdRrN26gpyDXTSxlogz2uBjztFCH0WFuvL86qjU3TtPtmHTZFe8RsZG3iKvcW
h19QdGm7NznknelHkULs6NDojVkjRkVGjwTGRmQO0QIwirt8jjk3dD0m9VIhxhTv0MkzCmgBmuhX
TWi+DFjdqO0mUud0/odic10WdfI9KW37wAnXXGmtHe5SV1arRsbuGg2osiEkjbaCvbjuEoiaelEu
hWZ7xjBHsFzbP5BpzkHFsHCOYWklmIEs6EDTkhR6jJ149B1CAHOmYt+nc4EBGdNWSoaDVpNtQJpP
0GURsQiDYp/TvEc+LiuxFYWibEk9I3JMFA5BWVNxOaVW/YorHsVzOd0OVfgjbV7dxENSPA5jJLbj
ZKL9rsa7xpt05v219ZAnZCO2UTSuu2zMzpHieSuVvByznA+5Wqt7PR/Vi5bE4m2M9HSnNZHr9wVZ
x41Sd/j9I+MVA6G66e20wyviUJwN7nRvmrMX8PvXUHrwmKH3GdDcGk8Jh9UVOYJynfcjT7gWtnSH
q11bYLFKrYRdUctpQeCLKy+8sa/XWWsNa31szEsIrc5ei/NXrUv6hz5szB0rujiE+HB9jYTBtTlY
0cs4w52yG5T2jW5kD/RqhucWe/+1l9jJN12ovtlY5XYoXOPYj2G3QjTY+rrliYMitBLPUElbuTKn
ej3XUCh8ho4k8MWi/IAplayMhYJCLkw8MHFM1J2qt/GFZ8fAQyI2XVWh46XEQ3MAgIidnDisDUYo
dcUtwzVQKy0lOMnf3uhucZCgWEK3hFqPZMKm6wMlyay1lZIcmLk6xSfWaGXO200xZimOaa++mbI8
2tUJa+FYoDSvEUphXmbtsTnDrNK8qM42Yb7rTHU5M3tJVm60viFhCq0ZQRGREfomhX3ij2kmzjPx
SFeOLewj7fp2M9uG5Dm1Dy1hceUKRW91qSWWhtx+VHYKVd3exdAQzL0BVoWAn5ucM5PPBcYV9D18
l0mJ59+dALgg2QfPUdPr6BpsfqE8AZl4UWfVvsgbU1wTxXkBOYL1UZFvZtOnAYC2s5uUnq+Puv5R
4QQOhqacr6Vj5Rudbuk3I5mVY04ymI5rZbASX7UXV7Vengi+mVexVV70QjwxHiZgs1Mfy4wkFWWo
AE/GOsbM2u6DTiVAJdfILzL1PruuiQxhaOsQ8N1rzyape/T1QnM4aAJYTjM24VbVk5i3fcrWsRl6
D1gO03WeJq+ZNcpT0zG6CqpU4m9PmIObop+3loyLN0FttekRuO01soqvsB+QEqyz5joqxYpPu4BU
Iqhz5pMpMtUfi1xZrF7FvdJ14dEluHmTAYbBRKsBfulD0psm8CioB1/cqJ5Xg0yI12xj5yVrahAY
Q6rtvNg07wZSNPyysDGm0jun3VKkhp/YucP2kcon0ALjSqt7qIBmEt1XnnfSsoGmtDNW27Gb+ovc
leV9UfYlG0oVrkRtZIcRWRQNnZlcJRLc7wgG287V2O09MyasyRPtcz9gIlbb6aLKIeMqJQ83sLX6
2o4K61XNmwfdHMsTGYJ1kMxTG0gXXIJXhDZIfiJRMjshs26yu+HUhphp5qwfg4HIlTEY84nWZT0l
2dEI54zItPhDqgzbh0KJ1lqOyF3OojioISM2emH1tOmNWN+QHSlXaZHuKq0EhIZLJtAVw/OjgbSE
PB2ynW6Z8gNPqnlSQofEOBmelcTobw07o9Mmad4U8ORWGFOrNyMksdVolI7qgDfPi10AXw6z8qsU
pRjiTlbHRyeZxq1l1rj44+aij0baxvn05GXte5ykzsZpGSiMVjsT/+mpW2Lei8NE/Ivp57Ut3hl8
YBwiGlbcg9yOH3M3bd+s5iNtHc6aVqXu9JBpAa23IoDrWHwHxZusdMMeDq0YoeA0k7iS+swWMmIR
h/vpdbsw1VzanX1kb4E9mcG0nOXrOKpo5dnhTTSyeIWRzHcJuTW37K74IwHJr9Iow61ZZxOWG8es
gMT0vEmZImecak1HwVhl9VNYjBO9tT6kE5XF6x9+Ot3S5gNRHC8taWCHdvTCbZY3jA0QfV7O5QSV
Kk7Vk2V40Wms8pRYNbXyNi30KpUTehsTXsgJQyMlnGRrvyTgimiyuc3E2m4q9BaWOZMTpEUtpuRM
afDRdTALqY5RY+ATGyUx8NZ4R8u43FQMLfd4bK9iHEfrKqIEjyUDHXPOmOpkpO+plcz2yEdJ5G7c
+kEW1UzmS9hMUcABLwNjlUfzxu7bbMKgMmhESKYx6Q5Jgpcf5+gSdd3XM+Wg42Q1ZTTodAPQZhAx
ksHbmo8Xi+F2C5h5uJjCXA30WJrrvHACDVEuCXLZ2RmSZ0FGoG+ahAwye0o2uPTXuK0INwxV2hON
NxxHw1syPc2rdqxaujSkgXF2qu9VYVZkrU66L8MhUeBehdMjc3Ks2BYn6Uq1mw+oD+UzsWrpdaqI
mZ47+IqKFuiWJEzjjFVB/1baDjiGiErbgMamp+91FGlbJzSfvLqGN+IRPj7gIdhrapbvHQVjZ2U9
AjIq99Ak61XSDPeVRl88h7yw84quW1mNKdeF5/bfxcLO2M7ESmHONVl/O+g125EkxVvaptkqx6C6
Nep8OE/okw81YUSbWDfjJ3r9IIDIhaWz3ImaKUfYrUlMYcoGVO8Ct7675aRFJC8V32HgKT1SGVS7
qna8XWdGStD2tnkoQC1Sw/bGPS0FWsxupR/b2O7OlpicK8+LmN3DnNi04Lr6YKClvbE7XlmOU+Q1
EtJ5LcPEvppmIyPvk46OFbXDUotZx24SJkVbZgzPhKQS+Iy733T9id/wVu2NRPHVObLfEgQ+UOC6
pL0i2J0No2XI1FM3HEKA1mc2a4Z3bugcoVvUTK00xdkNelbsl0xj3Xca+juN1YXfpBNX+9QR6t4F
PfKg0WPaZBKDKJVEjGtXCskRGdHjUxsiNseC3m800GuwTqB34kMYMc2XTvoIYry91VqzuYiGBV2Q
Q9uLgomVrPI9qeDjxOnHrCQCefgcVYsjuLUFtJrZjaYzuYvOymDu9oqTV+HliZfQ4WUgFVZyvJSK
0l5XYaYf87Cs71ItyqgmypmzIJOEdRPb4phBd0lhwfWQVxzpMT+RpHa+jUnentJoLF7Uwq6w0dlT
eoV9lo48KIHEPhU9YcE+5Pz0ROAswq+sGdx45UyJ/mgmovnohqztAdyCXNFTl42ZwCpX8RXSKq/K
MRnYejlxn9QBofi5dUpFD7TRsndNozpvc4KZQrIufsB2j9wjdZi90wyTfRVwURzCidCEGlhZWx5r
G/rhKumU5k6JYvPBy4v+VS2J6ViVYZS6rGHIZUaWKjCjKolpheDjDqmSnKIB6W9mYrrNvaz5IEZd
feImA1LSE5IoRl0x/SFO6xqSiRvBxLGXDM/OUFCEojMHqMGRjv59pu9Aoei3NdS8izlWCZyFpzCD
3YEHeY5hPTOKVHu4Uyp5VcYqHhaHiBdN96V00c43VYFlw/zxuYxQWAGAEzXdUGA237sZboOfZAtT
BLx9ckNyNN9Ec7xLA6Xh2RpioKauF4e7eXKm+yrUc3U7FrN3SFspG1+3h6w5R1CUSGnupqS7TZkc
76JQJR/SKVDMJELE3a1I60zbmEVqboqU+f5KVEZ+y6wyyvaEdcYQRhnAGiuVaVhCvHhp+HPomXQ2
dN76cCDgbdWBqKvZEGL088WskWnohsXRGbv8tnHTflvDzbTWvTPwgwCm5CfVUJ5GlP+1BgSN4YW2
QTtBZQE1jlvD6Grw64juRhA6Mr+lpRF9ow3PCdpTanMzQDh6qjqnO9A/TwlMT/MHdUpF5pPhRMa0
UvXbsJz7124c+gttnuYD7v2BfCSUPxc0ZPnriZUnl2cRr7i9x3PKiT4k8ZkHM8CqhSbbg61pl1Qm
XkoAoYNNYxMC/d+5oY2ip3Tm6AVWTXoiJrGDzoE9RKxbm8ZTkMYckOBICF0ENTKEihnjXN06BXP9
IOngHK6Ik+ZpjGDbvOGj5I+tESangdb4Ax2BJAnapG5ZLCBGPVee1dylY9m/EjUH7it0DeVZ0VHo
W5XR3NHVVDjczRBgEjcD7oPZZbxvVaN9JOSuDTKtdB84M9gXjhHBn8oz71y1NvUBBDubTb5UGCh2
rFcoaKjHQ4B5Kw8wwrBJYzgFWmfpgTop1JU9C+kF70EPWozmbBaA+kTObmhz1K30OmR4MMAPi7aD
M6rf6jxL3CDvEYPTweLJakVqPrh06AElNQY3okmhu9mtmnMzs7Q+gkTymFW3/8XeefS2jqzr+r+c
OTeYw+BMRCpLlmw5Twh7eZnFnKqYfv151PuMNnBxced30kCjewVLZNX3vbGPnxDbce8CBpeXFKND
1A6+OAdFUFwDWcXFhppem4qjiZeeEvMaALSkth0x2ywOaIWdV6steQigQj8KU7o/LnEiJ9EkJjDk
PHI86BIBvNRsgmAKNnNo9TklDakisahdFfVdspg1i60ip8DaL4iZQpcT8ARqTcuXUCmYIyoPFMJb
GocITa7ognpNhsAod2BU4wvxP9mO2HBeWAiDW5Ki4yjo1PnkWohJrnCLG70R7XMe+KI/pE7v/bDs
jGVUD5J3I5W4URgIFg2/glYzmUmU1VvmaGrfazs263ABR3wvZjrE917dmP2eojDxxFXUUure0cuw
d2cCMQjbTFCi8H6U4QjF8SkKHu0c9uoBHYrczk6d0z1TcOrmc/IOO8XH6RnmXF3G3p8ZOkSyrHUY
o2zzj4ZJoUX+bfSkps353koEWWHxCLfZ/f2WDYvOA/FdaLRIAd/cdY0OS3ZVmWtSBznv+UP4TYOZ
6GOqLHFJBWZ3k9Y8QkURX7TJ7idzxQWwCZZpOulOTN0o2QBPVVpNMEeGnNYM9dxAuct/BnHWt2ZG
ZCitFR2fARaQa+/RDfVJ8HORskIKejEmcPU7QsWXNJWF3NaVYBnqytL1w9nM3OIi5DRsW9nWe11r
6n1AO+tBLoLvgkuucUO+YEBur+utjTPxz0gsOWf7qKfxpXBczsiURk5whLjmENFbzXplpdS3RYaw
x0k08dTxfF8IpYnPI07FtRTOsCPjEbJsYqYOy3rhQ5rNtJRHj9wDfNFVBdJakRqlHeZSL+ZVXfPA
mQNFJeEwZ8OW4Cam8CpvGbYJ84WSga5BgaOWe/dmzklS0W2VwZgWOF2kap+nxuBdrDo3uAzNMBAu
xKsft4EW5lbZtdHYEUu3cnrnUMMnwNj7KExNo3GebZ7ubd5rZcJcVjtfBRcKUzL1jrsmGc8Z2W7D
CSqUK0u6+E0qGyE4w0O2CyZKOVU2OSiUHB6VAYY2bHyYD4Rd3Be6mMcXW5cuc2PHJeX4FlJ3ay5u
DFpaRtNnwsMrswCOUjS+SU6QR1oiicfSPLLGq8tM3MdqbASiCNH3OLqyybiCUV2UYTOwVLqxclFM
hJo24YZpCAZTauwPQBP8NI6wYlL5cY3uJnp401XpDZzxA8f/o2I5GoCop14/ZgHf3cMSGxhotBGM
bT1NRqqdUR7UBTtLA9OetYvzb/H///dj/1/82B5K1v+zHztc/v4RKYrtf3u79z+4kPkF/zZjG/6/
CJIwcdngfgxwCCLdHv/28r//yzD/BeKL/8a9F/Rh2EbD+r9mbMf4F7JDlMTkVzrURtxddn2tpPjv
/7L9f6FF9O99Epbj2rZj/b+4sTl3/0Mvyt/on8omfiP+HC6k/1Ctzwl2PvTXVZiy99zqKruQDRns
cPO/ZJXWQxEGUP2Mg6suZVXtlPfV5kRgaXP31lU6KVqoLvYFe3LU+d8IBh7TNl0nyAzHzkvJjkHl
R0giBGpT44CW9nmpgemwiR0Z/qqwQ7qAVKTaOj1hXT1E0GDh6ewnokH7XSM4sxfCwhzUe0ENVl2f
tSqjPaY+B0756Zb6H3bdnS27314LCN60DnrjPQlz2JAvI4pXEfytp+MQvMpF3znxIRkPpJ6cDP8l
b62HPtOxKQMl6NUM+7a9C9Fay/kTNN/3kuchgYDImRIMdti0vLLWRbqZr/0MrXv7WgyQ7uTiEFkD
OHTsHSIQ7TnMlttSnM20Q1ATU22v/cly/WVxF3Jdlwc/gMJs0bMHzyMVz67pXLLuY6k4fGm+aWb0
PSVScnEgM/MMuNu5ZHa73zaldOo1QQ7AxzgqsQrS82Q9mPJAiWMo/ape9ZTIJdqzJBEjmjWUSlr/
3CVf6G1BEMKE8bUWYWFmwPjTZjbI5HXj6yiWtSNM7mlSrOxmt+iJvSoD2znXfbZd8ulP1k3bcuhg
vCYnmqfxRPzSRcz3vDl/4+d0DXWbKf+qGwIfybwNZ7RnlQYqZW7hzx/nClhy0EJLu9gyIxNwLOWe
RLvskZymSCRIBqyDNVw78zVjO1bOHDbjtZCHLGtW1UCGjdKrFSofsReqPg25wc2tIR+Nu6fkns/K
8VqRIeyhqem6a+IOtw6QGuJ/3hJl5MAy8W/aXH5MNVut586PSY3EY9BJZ039VeUvhG8uAWC1vWlG
VBWsNGyh+btFsi3+xJpYcOPX0P/ahvQiswY1z17RQm3JDgx7j2Tb4a2xXGMvEbKSp4pSNScybTZf
iONcwRIC7RKwdNeW0HyJiMuRpJPbbRYOfX1x5zPo3W/mTQ99gDymc9gDaJRU6crJP8qmiwYFuoWD
JFXYCavjLG4dAG5rykg5X7MqXjDqYA2KV4UqI0cfrj0b46pGmCtV6FvG2u25fMWPMEg0N4o3aapb
nFZwO9wsix9pVvcgs3JNEetjDzhrNMW+sLXdaI3nudb/BIXzIWaD5+A9WHa91kQx2HFQQr3Vr5Iq
EsS5dV0dErI/qcI5DoiLVxOgQanbV3Kcd34eP8akZYrE4WuRcxrao2HwfBOfbjoPahnkl2d2fwK4
evHPt0FIIlQ59SE14xLCEeiVgz9nH0KL3wKf10NzrN8+0P/SeUfHgE8yFsTRKojTtVhIxtLI8OoS
AMzyGixirZOuNCmt3ZQOOYRLrsOJjNONuO+PwMmXKGlz76LNlrnSkLCJ2l5CRsMZkENLNogFLhOJ
UpExdC8zL1IHGU3YLfLkelVVHwtScMd5B1/Mx3TXxoRVtdYtlX+MeF4gyxYU1Ex9jfg2/PZBkFBk
jgMyV+B7uCXUPumdGdJje7kUiiQpTlLgeQz5RsU7DehFslZdLDi+jmbhtbdaaKfU1u09BzsZr/ML
ksZwsc2B6GnvPTbKlhZ0+4ZyY+Ut6F9t2Q8rv+jalQ7JPAtkOe5sPpZ9dckmN9n7xag2btIsO3og
ynVtaO5mEbyTnhqz9ZiTpWD2x9oP1pCKF/9OlyCv8Amqeiap+K0jE5DEs2PmOQ8GIqB7o6WGDKEZ
0r9SaE/LGJNBEbh/u5hG4ClHHtoDT++C2bRJCfazQ2eXU1RShzEoR0MdHgwFX7ifhzNiFdZ0wu+H
jmxrl23Cm3mNEMKc4nHpHtK2hToeEkxddnHyCObHgjmPPqdoJR9ka0MMlzGN7oFa+6nlondGPmCi
Z1jpjfWCiKPcZ7GOvl0G7o2aWhj0DvrR0fRzPMfxu1RVv3HdKX3tENBuMFY0jzwY2bqXSXryiGQ8
JhhDo6S36x150nVY+U27RobZrkpOVpSwbsxlmKGsMZYzbPmmXTq+NI3XToltYjHsGqTp6bChRtbN
q9KxiyOZuOjufIJ+O0VFfCLYAgzikFZm/dPI5GZo2g4iot7M5lOf1qgSMHZHZteoNbB3feXi5Z2h
v6F66Cxbbiwhh2901uwshT2jWWUBXzGUQKA4ZvXgjf4S0bLRXnproU3CRTo1Nfs7YEZTHpDflPxa
91svMT/xEhGs6rOYj1Z5yBs5bQtgWZxNq9JuY2i5PN9Lr7LXriIoWsz5h5xI5RYZyaFaAKNBxtus
W6yBjdrbs3cDPK/OxMfnf6SO5Bu7XnaIc7aGunT8sM2mJpqNcoa2DfyVSgtjSwCSu+HDZxpwze8y
y4i5SAyeWrctNmh5ro5NDKBTFTGqEk2unaaULFz3381S4ArcZRe2wC8kzdPWaUid6oXYsZE9j5Z5
wUw1hlbttCelMx94ryxywZYwJwvbx7SEWj1/mxnKuDmZ0qNPv1UIcjLvcnexd8q4V5K0Z6qodTiI
dPlFmmxEARqKsHC7NxSWPwBOj7nT6mvhl5wDZnE25uzFSvt9n8xnURqPC8m7llXRhaeeTdThCLBI
313+TF7+WbeMalqz7fjY07TYOpa/dX21olk6tk8TzIOB3jqonUPaO1t4p1Ck+SozCJeGJB57AWvv
p1AHCHbRhrdze66d/BAgIUiQBReIpnqHnH7toW6abUxuHWAtdhRGtR4BmZbzfthGQyWKy/xw0+ws
OFBP4n3UcT8cAZ4TlmTBS0C5gnEpNE2FfTlmC6sMWte87ALIOt0mzAIn8zZPyPvtqmHC5FBr1ooe
QPq5ZLvoJcqwoFjbS99QFd4Pzg5yBWosrVOsM50RHNrG8o5Myu53rjE3CpiU43CP3CDMWN/WzSLQ
VyHLgiCpiw39Vhoum5gy9AT5iIkUcTUM0llbvWmEPaBLWAVIkEgB1J4MEWRbNd5F4yI3TgNGnk+y
ZNqnGnsBSd8LM1KfLvHNpkKBQEQ39jBAZ+zCFQTcxTG9fN82jr7LyJ5+62zQLnuEU1zpQ4pWRquq
XYMY5BnPsnHuAsQhvS2dX7If6rCWo3wMdI2WNiIowYQy+eBLlBX0ETLNlK2uPWSlyDcK/8izrkZ9
T3sOqyw6pkeWCC/KhsTZF4aH7TVo2zWSKRiBmGhVlLxUhYyTE44GvGOXmlwdXmvNG84Py9pZjcXe
6SaHIUAq0feTjXZAd96MAovPMhgi6j2VXQN3uveplb2lOKg9AT7lxy/uoII9jSkLX6oCUuxihpS5
QodY9toRYf5MsXFgvVlZGb+XVl8cLGscqxBahkGxmb2vZWAe1lojuR9OvYIaKuGCKi1774LC30+G
g5MCA0PAfFk0w89SNPZuGgDENCE/HVfqHIjEWnqass+0Mj2lgbN1plqukiSNOvj0luBjpWuHNqGi
wkkndFql0FY4iM5kpD743fRq51M0zuODOdUgHgJH75GpvQf3Q6GUzRpp5Xn8adnjpiBcbUV6wSnV
jVMguAZnv9jrqn72KV9C5LLJJC4pe+J4qp+5XA8W4fB6hd5o6qZi7STZB4I88ADN2EypByMCEbke
s/5qqiIJW0WNhoPIIeC8XNG6eS7M+twYYh/0XzyDiGWQQ64DN3lFP01ubnzpW81k/NP7fV0L9N9+
Dv1vkpIrNci+MrHfllE312ow+fA9IFnT/4asxBbhoMd05zQ9ZDQ/PZsmkg1jWuxnZFoKPTL5uPSW
MAlnhrmpM4NOn6x7WYoleMqJDQK0Xui/KNwD0CSSbw95c0z1W9spsp1zHnyfypWVTtbzemrIQqdy
xGwCimM/78UjVoMObui2sV4h9Z/WcImcIaT82tq6SSRZnHxIGVNlQAO10qbthAjAN5zfak7XLaGG
aL8PeUaQeJedW+OtMdr2B4bmR/WIgdDbkLtBO/qmSHn0DQfdKW9ZioPJ5QNgIxjzo77gcoSIT+5x
zCpSDKXcG1p5rGRyIDmGIN9eHSpdXRsx4qHAlLotAvTjaS+2d1WP01MU2mcuWTVx1dNDSVQoawvM
0obbwjtDoOTbxUzSnZNa1pvecUT0wkUlTUKZC++hOw+EtKBG7Yv2QjzksDaMAikd2XrHXtEfwBJn
lhvCjIBd9cLeYcQVBy0tqpdJo0PL9g1xJX0gCyWBam9Woeatq3cd8bgNBOS0TMFb6yfLFbUP6gLS
3m+eo8wdFIHcqC7GQuMXgfNmOrI4i6HNzgW0460qNKRUdQF4Rbiyy3IztiCxiMpGMvWekZWWX+Qv
yO+BeQOYUmkH3RUoX1RryJdg8NRFEXp/0IRffLpJPt1tRMOwtatumBHdlgFCL1e+S8eMb3mXJU+G
Ip56NSAXXVYm8YrPinz9z8W1sXwSWWBUKIDbOLKCBt1BlseUM1Xes4M5YeNX+fSQO41+XKjZYg7h
QXW90rjFZou1Ju20c2UD+sJbkgaZpxAKtttw9Ge4qvRILq174hJYjotts8P5Tle9SaTiPDTzHA56
Z9+w/ov3KfC6LrLE3L+pwJH3PFkkdeAI054GB3vtl3m91pxsv6Bk209J2slVIDvzaTI0RruKSRcN
x4xXgcfikPp9EEJli9cis+1161bJNTAH8atsUHxcoTbRwDCqikfLE/F2cdohNDH/bBaFbGDloSY9
0sp8V9/l/gEyOkY7WK3vSVRr+BqMZNcGw+DegPaxenpsdKOPkIeOyIrIt9S6K/cu5mCcICGVdKtM
2Te9FCwzeUxOOWuNQdLqXfuCta9ajJ+gHPD/dHEEFESM2pSVf2eVUjFTZHu6KbA3s66vlWPcQ3r9
dY6c/M4Lbk2P3p3AXmcWZ7iXp4+Z0wcr4SOZafKPCsMOi7r5Dhj+QI0RZhRNT559u6M0xSGuFGqd
eBPPHMOmWoZjgVOhRAkEZIKjeDUo/U1RAhioYj1inV2ZPZ58vM0HX0djKQuLvBIMxem48OuK8VSb
xWbIPbooWMUstLKspvdl8tH3cojvZRx2bqyCaB4e3eXlThHNBdgDsBJVjlGtxDNNGUAFFsIuJtY9
nXg7p+uMlaLehdXPQKrQ/JXmZamZvAiNhl4vWbUbZB85ojFBkwnwLbiG15JQ7kdBQJ33xjLbgnco
lSukatQYVZus9P6ifipeqlI7k5zTrb22Z8zCw7AzTIzRs8mSBXF1Yb3a81H+aPSxrqy7+zbpKa5L
pi/XdK8ccpz5FLjw0/7MQ7XWm3cadubQBTzJ6NUIq5rNQLb3TS0bUG4XubN1F52/vqE4LjXtVSb9
ui9bttOgOapuUUc9d40N+vNtH7v0niEMiBYykKO8BDm8Fxz+I3r3T1axSbLso3WNS5I3fzQRjFGq
uEMTLZ/hSmM/KivKFbiFaDooKKzt6lJthABSadFirsuajp2WVygszbp/TGgNgc/xOVrKVWP0zzir
T7HymTIxX3cE8weN/0VwzxDSwpVu0aych5zmHu+mpDatzHw5Gx3eg3umcxacYaQtBGcy37VZm4RI
sp11b92lRcH8jWjnpILYfeDMvveH9kdUBsvK6LDiVXfnAPBvWDjiRPlesXYTOyO2O+MhRK/0RtDs
L31Fzma5b6N6h2ky8c2HXNqHIAkikI0vlLj6yU7cE+mF1PDohnHB/BqcsdRMl7zvvO1YN5Ep6Ipu
MBmnyuRWcn51Fw6z8IIz7tZ+5Xm3gJ64V2ukns4mXSwcNTnyMeBVJne3g96gQUaitjlp4E83C9oL
1e4oQtnLhy5ftm6aPJYVI741mK8zCzgCJJhQM+HzqtDPgM/0JHfZpBwN8EF18pLD0m+DSrlH14wZ
4Cux75d648c8pZ2YrgZ1Os8lYGMKW7xBCU4+ViEI46pbb2PW5H9mlQeZmdaUlYn8Tzsm1PnYhA0k
r9yJZw2vZun5X0GBNjchXoJlhrsxTtK9k9ohyS8pbr8KSZhWX3HvADbejeV+nm7NuMC/VKEdn23/
GDABtdU0f3JZGcz66XoAFzqpHBElwahZhN6+u8L8NhdGgzOh2Ef3/l4gq7Mif8we80DzDn2c/DUG
ka8Hd/njOqm5co3Ev03Fwmuf14+AaRyS3aRgprr60c3bnNmjVrTgGAOCjXwxD43TOKe5CJJLrZHc
SfVvukHADkAzV6i4bNJBADULN0Yo2bivlsq34+zLyPSa5srFs62wyO5wWzoX6aSkOHMGUwh5Mdzy
5jst55X1MzTLP7cS30g8txGPKEEUjDb479oXzGH5jvoMjF5yoxMMX2a4zFX7armfKUGWl2TSrYtQ
+ySuMb08UkG1LvQvRBk6PJhzX3j89mB0S0figWHfSOLIt75chucq7umo8id1oTxEW9Olt+/iRT87
Qs0kJvgfym8ZFNPutQUcA23n4FVVNa6sEU9Ice8lbWfBTzo1p0zHRQ+7P2IHEPlRNHFU6ZfBdKZD
ptW4EbEs+96wNgcYvq5d47Oz1/md1M9cRJ4S4TSDChCtavd5EO91QzuPCfpQ2IuGMFgzfWEINsOh
Mwk70rK1Q2pbtrAgA8KijEIZJnrhrOzSQxHTKgOpBoVhnLl5Rl9MjAMlNNn+YQg7CUjSuNAW7znJ
JCuH9mMKBHoVxamyd5UdCBAExi4i4XrkbSXF8lSs0oHS/BIMFJG9SamTr4swbyC3XVP1bH5Ccw46
Lbs0D2FI6mX5h1b1Iy2kJ3A7a58rstvnRKdSyu0OeT7uyzJpdpmO31TFCyKUklJIqItlNare+OsT
ArgdTXUq7h87RTBQqn17GNJCro15Xg+mxWfZfQdGnMHvxFMcVs5IXhkPOS13h2nMEKL79kCvgokj
y+j/qMLrn6l8/SsqJxoS+wDbG5GBpm0GRdAA1gUkvBnE1qqSuhFNmKK/W9/5yps2CPNgsJ4bf3zm
MbiqEttzYyV/mX7MUxPIgzW6DjEQ2jEZMljsBDwYqj5dV1aTMHLcbdW5HhkZOXlKG/c49UjcX1go
69I659l0ZWu4uEnypqkZCMIuUWUn2ZamhUOZwEd17T1cpBSnwtYPAW1koWbSnEUIBeJUlHyrVvND
a5nWZZkxUyGktqyzUAcCkLz8ucrPsqEjhy5P3/Q28ey53P1ugYNQci6WsN2at2o7jNcl2zBA4sZv
urOti8tgG49KA+QUXb6W3YI40EGb4bnT6m6G2wTFX8pWyGgfcUvXxLNMuJIIGMPuIK+TzG6OLJO9
o8aL0WEzGGvqd8z5QaEhb1r9B/84J32aOts2xSab8T9cPHXPenGRy9D5w3tGbVbhfeqd/suovfM0
tP60x2+02b+RVIqnPr2gN/+p7NQ6+b2N/qsum7WZOONl1pJjN7PREYzxJhMHaX9Tc3E/lFrxGCSk
9E8cW0tw0Kx5V0mbMt6g31LMeSAnKYj4+MnKoMqvb+fHwdcvDXfeqL+03l24LcKsHLdlfi9sKJI1
PP6Nr3XFoFSG8cCQ1MfBdb7Tjw0W6gFdfFJ2+cWuFwITzMjj20wSADISUJOVFwuiKTCOVWzBJPyA
Chf1PnGCN49rcyVhIb1Oj/zk6t6RekN7w1FAF5ApLq4fzJGPxx+dHrk+Kd6zFT1LxI0o5A1gLO9B
Wz/WOATCaQr2lYKaSrbtQiqKmLRt6QSkJ4AU8EyPqEU1qX6QuCHg1KPO2RTuQ4DDNHHFhsiyc0vF
BtLJDRIrXJa89wZKIWQJpftNTsBReVufzZHinxmDgKz5FOYOo5J2tidMRR62cWyCigrHNI2Pdey3
XMdZxhiI+Bc5+boDf7u5NS8/Kbp+JNoWSM6lB6HQl1sA4/vc9pNza7wZK6WFW8yqR/TjcVzdpQdG
Wh9ZmA/YnxFjBHEZ+q76HPvaCVUBMTfbzhhZPNKY7DwwbBsBViu1lbFo+6TWkl1r+H8JyWKHgtBF
nETIDJkS3OLDPCJS6EI3L43QtPHRNZkfVveNqFFVsW/LLAoGdclTqpRx9gUMhUXPIqQ95qo7aHg4
qfgDcbcvgvjKQyfKrZZj6LMDeTRNXxwCW8NR4CdveSMuqMf3iFuKiD44D6W/g4sRlCnM+mLgg5qO
JQDjS1a3v7oO3jp7LKHZwh+gjcHN4ziM0lqCgFWFjfjJbo4a1tjMLpBJLU8l8lyfteVx6O3sUVCp
M6AQ5GdqUiYr3GynRvSbMpeXBd+hIIdUS5etnP/gY7rozhPtJDtVDnQ/Fix1HSwx6QBmb27tuXry
KaEyZcBy99NLQfO4v5N+zjHDObZHf7Sp1LAlSGmTgsW1dFIr290EeD5qXJhVo0cjhYbIPL36KJFH
CvvZzfuLxdlOUMNDaqLak6xjFt5avjX7g/bkfq36nK4UlZuvGiqw0HITFhsKMLEvL1QYrghN2qTu
s6D8K+9e7QLPvpM/CBtJTrfPhqiYTo4ntnbyJ2AnVzOFNIwG2oxCsTNJcvo1m/vVO/FTBWsnT99d
OW0s+UfYG91q3ous+7r3zenjXX1gRQlmoEUAD1EO3MkTNQ2hnn5Vgj5lds+MM7lFsOX2ayyXUC8G
VtyPsizuDqw0YrrH8Jke8BFFjacXUeuk8XPT1gpmH1gvtw0S6Hmc94vP3r2KG1d/ygovuXVJ316r
ErSwWdph33dasEXsYRIA0mFmCmJ7iwCP6mXFoRR2/WisYe9remnAGWAmU8IEcj+27/oCftRZzGeE
wf0htqpxKwda+2qiHF6r1GSTm3rOfeIR+ijo7Hw9ieZiZ5Xx4dAHHDrNLEF1i+S3t71kr+ec1xmu
iTdlyIEuCF1M6y7zMYgVsRtaQ/6CpT4dVpntz4fJy0p+5/6aMxY8Twz3YVIVkWX0sHzOe4upwCvr
W9ZpL54k3AKI9SOeG+o5dSgxOrJW1Mo89jqadtG9QqPX23q261VMvMeqZF2oUi0kAvZetFfHBxN5
K11MxR/kbFeYvFdzsPemEL8jNbiybzD4dQVwIRu9cp8wjh3w66ttMzmXgOIhiErroqe8KD2q/HUD
LdbE75z2KZkECqzYikr2GJIZQK/jcVq1Oi/KKHYN7IZt1vcad0ms1XRnTstrN8rdElgPSWFfWsf7
1EznyRo10jHkaSm6LfUYGAD7MedbXLQdzTZXujSIYkiT26RnWM/lu80ty7G7cJPbwtk1hbYBNx3p
jBM3atSupS4iXwOtrml+HifISAV9Y+TnmFZE0EL17eS/naFodmTID9lWEZYA/Vr5RPGc8n6lANfC
b4v0xSrQNDQRuWgY+SeGVARmVBaLB9tSj76UkDFLvLWm/BObPpVlSUPMlvi29Joxm/70jpDpLV/+
jvgJpGiCxAjN2Fp2u/GW5BC40EGxU0NzJ8cMOxsD4oNlaBmTQnqd9IC5c36wdR91tUNETlmeMotr
tbZ8XrwuASu4H8dGSTaUiOJxxmrWg5TULT9oHufvzcKFJYaDYU93ojFeNRWmUmSd23s8QBXLz7kp
L1ncMwP44oatTwvb1oevjJ8UeVS0+35W9ry3pbrgR9pgTAip3f01bU3fJCYRMTWKir4F9PXWHSl4
kY1vxK98a+fN1byR5WRRCk+lOF44ru3CfpiYGGVpXYey37uoAwlTSr4MUSK+dbVPqq1t4EbjNzNw
rVaZf4ASx47pq6uYjEscTA+mnlwwL0duL99Nrb9UQ7fRvPkJh1OgNmmhP0AjYnaV+dpxLVLM8NEW
oxNKdqCckAzcgn8daFIa8VoCCjLsnqFJZaZmnAvYa5sGGxp29xkg22QUT7O6+d5+Ts2dX5WPU3kz
c/zf0r2LA5wE+szpQpZV1jfiuZJgOrazhzlxRPU3CeK3MGscvaUnc8GILxnlI/B/oFfLUkMvseGC
LDPkYgiYNqR7bDMv6MI2d8kobYjO6RtEOqX7Q6XSCU3IzVFIVxdMHbUiaYqsnkdJYTkWKCSQE/j5
wHWGFUu+Fw2uYc/+STp5qIT9BM8eja17Bus4sLbOK2uG72TPpLCxq0OUlN7Wau/i0no7N85WBb0P
R9QZEXYQKtwME6BdGxoeOZhJxrGCRonhpHz9x84UkWnWS9uU37FXEkow/FVF+6Np2DUVCdsuGoPQ
VN0f6WePGmL8iGv1yXeYugd3nxLd45rJKcC1fK+DnFAnK/Gra3JY297fPvdfuimnYp28EEmnxAMB
SoSQNBcxLnpIexvyhoDS4JpzlJ6gYy2AIuupAIfKineG3T1Vfl+FEu9jH1tbNsjjNBqvM76UCoJ3
ZQLkAYNrzzqvtgEQxev8OywLboCaUzIx/VD57hcwcotGySawSLRXruGD6c9X3xchs8X2LtnwCmMD
2T9Gdon/dVG4t3y+UWc2T1lVXoDuSBvJBWaesTlpJXomkZM9Ioz5N1XwWR0TqxwJtqErArUcFq5E
o5mgbzxEs8z9vSlnDrl64bzX9n47YJFDMcNTPB3SpKxD6gdHmhprY9Og4zXojznFOVkUfDzlS+9i
ETS170VKFFL0Emne1iDUJfQIMiOiwBfHVMx8cuQ74VWxah5F41jBPYSELdah7Bogb15TbgYNixep
z51LQBrOgF8nC26zTaJNkZlAd+WWgKZP6arIt09VAwszd3zGtG9G3tB9Vt10slkVxKaxZxzQDVIN
13kNZEoRqu4AdPQDjUl07s6V+NK67MWZbLLipoBSQbNwvi0N71jVcZwaX+PIqlU2zYeZZiesrAQA
mMmdmPqWvflRo4l0IFMz6YSaGxioi1oOt3fsnkxiBaOTZZaneGrRNqR72zevfFNHmhwIr/aca1bY
UaPzIJnQEgUyiCJm4BcXhT+M0kM+lDjP1tJ195nZUCrc4VganvyiaPZ6w1vlGPGzI130EqTprGa8
im0wHlxreney1n3AIuhFkLq3pZlXSVAejWl4kKn33NLsTHPPxhPdxgYUW42lq22lxmyTWB9x/dhp
iN+aYNn8D3dnsh03kmXbX3k/gFgwwAzN5A28b+ikO1uREyySUqDve3x9bUiRmRKjUalGtWplDlIR
SbkTjdm1e8/ZRzM98iZaRlqwFUra03TlFjJwLwKFI0DnJ99KXiAkmNumj+5gsbx3KBA9+wv+qQXZ
B4demYxA1MFooF1ui3g/qgIBA4PYODnNb0SE1xR8kx89tAZpgO1tSEugX8dyNVYcbXXmHEQdTjRF
8GhsBlAGLO+hccCIpR+cPr4KbCRijr5+CNyluFHz0D3N6Dpf8JwFMMYC77YCgsrDUOsHY2zCL3ac
Tbu0NbUvMRlg6wS//92EHvJ3M3DYXAz8czGbUNqHAVBs1Y8rQwnJ9HVsnmIUW9eoa9Nt5pAhBgst
Oo5a4xAyVJobJ4DnNVL9XKUqDt68LCB6WOPoCsPI4sA06JvU0yvc9Y5a9IxJP/WW/+q5yFtU9GqX
jJOMhuxBs8Jau4BxsUYfWFx1wVSdkiiIcdOkOhyP7rHOuIx4oLV8bWrZo13EqOYNozUPIiENu23j
z3N+CsvtOvC1zSTkamitFTmDN3kdPIGoRdRmPdYhWlN8euV8dDrbmWGstIylDaNfcV+S9n1pXXqf
5mtOTbEERUB+jH7CvXUuY0hLrbfT6EHsaCVpW4bM6RoHqLkLu+ZchvYtgjY8ZHjTYbGiozKy4VAh
oAZKVOOgTNrr3BKfwrA55sY7Po5l2HHuYDjTMIBuGNFHMRZDUk8YU3l6+MnRT73nLrr+Chfrxmbs
4lvn3O52zMkXJTWdLb5oPePFQNtFrbYCF/9iRm8TBJkofOS9XdIShibjTy9Uy+OmhSMp/VpDNFKj
qnHG6dW0vWOjc9RVFkmVHjN3CkWb0El/TbPk2o+KvTKY444+AkIjfKpcr5nPLCWrir+aonotByqm
KEOhpZ1zh3MCCx+JtdLY52l6Lm3ZbZywXZuJ7n2K0TtuzJyaWkP82CfBapggwGTbrgiPeTheormf
1PNIrAMzqQ4j7DcGezpN5+4uad0rr3NwuDdutpqccNgbU+SvE7t6rlL7lbUDAXAVv3m65jzSHgw2
5uRS9BdBvHR74HnZPAxA0RYXmA0gW9kr13bwy8wFSxVaS2x0aIgHGGNJ0i8rFZz8eNp0g3iamupY
N8h1M7UlRhLhcuR+dg0WSXos2rMtBgF7S/mnyCrpz2vTETPRtkvGLeS6ifNwTMJwROKKVRtg9KYB
2pXrfQ4MxoAN0lfNBTTYBld28yWsddQ6kvpIKqKX2yF5Zb/l5emRxOXDp2zK4RehenXYz5mXYx52
CTrtSqqyVLzb0XtV1IjRydzobYr/lj8oRKQLRYWdFBiJCh32qpckWLVQx61DswiukdctWJ1dxhE2
7dE2X/uufz82fr52YPR/AWQJpZam28oXxQENwAka8CNjbjAWEs/2QkAhXMdJnfItmNV+9Rz8kjfj
pviS3TXVly/N6bX4GmT3/q9gu29Rdv/+4/+OnLvZDPH3vgr6ts3rD7l48///3xl3wpCYJ/BOOEoQ
fvEvWwUZd2gvdIOBl6mz6M5WjH9l3Dm/mfR9TM4EuiBCQvBDf9gq5vg7SNP8x3IEsAH+vn/F+52/
MaG5Yt/i/v748/ehc6b4kVqvMXWy0U9iqYAp/V2wge9lnhyQMuwUsMNDrky5Ck2XZkWoIfln6asO
xmwwrjImcUsUHDTVJGlLI+HaKXqJMOG0rCG5CqSK8N65RcOBrBnwr9l14HBIo6lyIcsH6bmLOahH
KquJiwMthsaOnrjPgyiCl96orFtHc0lMgycAqx2fayuAk+QFwLK+ZoTTYC73r4AYqkMNXut2TtEq
Fji7GoF6H9haHOmNs4ATJe2VEkNxUJ3hP5aO4Y07ZPWgpFor8GBxGmW1YSscb61KjeFZM+hm0Egs
kwp0lO0WHB7GWT1o0cBYtUmNyCCUTnZP2y+6MKyezoA++wOSAFAVLGlLXZbQaycrOwViSF7QS44H
RTV6ZfSMy6yhJcS76CnuspqCR4TwFb22zjZjgS6irKZ+y0wvP9VBijw3TWBSCGNbkDMF5JwFq7RT
s4JZA9KMlj7gUlUOxq7HXIaSGqu1ph4rSSujJOiaeUzv7EalRtyZVmg9J6GW72LfR2ppD+UxLdP6
0tjqrixJmfA8v11K4li25Fvj6XPcFsaKOpH9N7yDqQHyYYwcrpkjHZhCjmto15IRiJ3doOkAWsGs
pduaUAVXqdOVTwTHqUNJKwxWVN9wIqSfWi2Kws72aSyH+zxFYulkvvFAAABskbkDa+XxdJlMdO2o
mxL2Hoh2w2rUo/q2mAqCn0XHeljWgJJX2hBw8tCI1B00ys5A18sjcsMdVBXIFyX8JzqyDQ3OWB4D
X5dPNi6mFTbHJ83Xu+MoYjkHjflPXtey9E0N1pa4KxHKMsWDjYbQAVJYsJNz+OFADPoySK2nKA9R
V/SB3NlWS78bmq0tF9je6bwB4+7RgqWaTddc9YgRvJJR8goaXQwfcsrl5ybIDMyO/ljsAaGRcxo6
YkvDDIlpYcnx5CHSOzIzlSTbty0t55iTQA2aAuXbDowDDlufPfRMSIF3G04KzMNE0cz39RLgKFNQ
mjctea4VuusE7GoDHIhxjIpMBlTJ2B/nE9wJ1tP0aCuKNnA3aVfsWkgZV1C69XvE7tq0DTOnX1tN
ATGD6Z0Ut8g8gcAh1XApJoF8CWhPdWfQuvdL/2DFs0ouDVR+6AuGQJkPaJUGndQuDP0gvhiGvZ0t
Ybx2famfRk01T74bFaeQQoXKeczneHcBVsp2rGZrelaR7grov2vRy+iktWzsGHeyY9LhyVrlWkp+
G7FSzFAzyfQhnXyH7h3MZ8TtgfagCzM7JV2Lcqlv9FupcoNFqQToGWSyZWCbuf0eFqjam14hfrdH
17v4wkur1Vg0xn0DSq6n+dIYYsVp0yGKXmlDTsfCq+jCOYKWoidInrKCgvBazW6Hd46Hyd5yIGgu
ag4e5yBqxkML258uZtjrFH01+tOFYar8ZjKEdsktRm8oThnkqcCvt6jo831hpdY8t+m1r6dxjOTY
TgekJow2XugG5JAf3D47jGMP68p0EBc10P/Y23tHnnm4xisDkJm3IMiyiMASVYj5ERYyu2J3QW0R
dsGu7sLgaOamcW6SiGfOKqHhJKhnxMJDXXlF+K4OMtzhqJYVDkdkt07tvUcPCeFwHyfXyhP2ld6V
Y7qkJLH2aEzkKvVVvnZp4VC2ly3DBMQ7CMf0RtsLRLyUrGRpITkP66vU0bDVYxQeeR+7LmNCO97m
tfFggzS/s9x0eC4cq3xzup6DJdfe2HXe0H/59aKDVYb/fqw2vg/V/f9/l877vzB612XH/vuSZNuS
u4tao+A6/cftOf/Mt7JEs3Bu6oKMM8KGdIgWc4nxze45/yuHugKnp25QuhDC+u/CRFi/4SqQ1CsO
8Jz5x/5dmAj1GyG+OKOlIeZUT/lLfs8fyxLSDCiaTMtG/gAgQRFu82N5YhXSckcTxueQiicPadwi
l7RA+gHOXQAg7btr8xdlkPwxQePbx835ciZwAQNNyIcMtkpmHkRNjGqIJkA7uMqBSCXd/sVPx/ZA
HVL26O0iAVXJt4PPeTsWCOMrUzDeAEyPtCbkXEP33HiujAQ+FTDxW7B1tF/cyqRNwQCnScvwxQ49
NMxO1y0jK0ssxoAymRGx4AOYUAP2oGzBsBkeptHPDkliGPeBooOzHBp3Gbod2viBQ/Q4TgMpDMpr
2tWo7JIR7RgwDSHczWXl6uJLDzooxtPXRZefXKsfY0S/XSvkRCBeMAVbrvWhctQ8b2AUNV8rNynp
V6XFg4UCAveehizNKJ0MieDQ2SyhmfbC/2LSZsiEo6aWwRhG/ReAZpsYlWX2wGEVCSMnTrdGohUV
KewYLPhkOiQhfVi3YseguOAUFUt6QX4w06Y4eH9GMck8sW2R8vZlNO5xHyhQCpm1G/Rmxp2B9z/q
YV3s+tEkabVDoDfZE23K0KzzL/pU3WNW95tlB7YLXJJerf75On3IWvx6nWwLb7SFd8MwTf3DdZqm
KinIaqlX+kBzrOuAhCnHb9KF5juEDIwiKq5UWQME7y2K3JaWeAP1CyWjvmx6nYCVkfZBV+PxRFvz
qBoEip6VQyup0eT/5Mv+xQvABJ+sGpzatmnMq8H3x4GEKqGgfdissoyYM76wt+sG91MIlWkBG6Re
KNGhgOL0vsrCCZPShGMhiavuJwGBXz/oP1k2X68amV0KM7mg2jct1p7vvwgWqZIrQPwMpSu7q6qG
lTPQaE98WS/rxhx2LrUFCig8Vubke4e4joylypn8Coqgn1yX+dP+9G2QxaAvxOIuP56SmkRNcC79
ZkVj2ES455mwq2v7Z4+K+tPHsKLyIZxyBGve12Cn7w5jBItmtoFjByTyWF5hAir2vpmjHg5UTyx0
QMKH50lYJiXkrkPUMGT38jfA32iZUM3M81XHAqTXkR3ZtxWHi39+PP68GptsBAbnRGWxPooPN6XN
jFg5A2Ztz9M/+RascGBYh9a56Q1L/5Zi9X+6PTCzCP5+L16+pm/55x+5C/NP/MFd0G0C7edHXmfv
Ic8NhMK3jZh81t948FzXQt1H8u3cOvijQSDkbwyp+XeS55zodosN648GgdB/m1dm9qg5CYpgRPtX
GgTGj28AsclzhCbkIBYwtnvTmh/d7x5Nw6aqpdfV7GbHw96zLZgG4EKWdjqpI8C5HkaZ8qEW9gku
QP6ZHaGPrZsIqakHam1q++Rcar6xVrqq37Uy0XalzSE1bmqfTTWpI4wxlbrAq49XQM/vJ1vCq6rY
F7+76H+xyRsfYwH5VTj26SQfGorfSH3Y5NvOhTVWBvUOI0742awws4wCYrjZg37uATKuk3CMQRCO
6mjyW38iydpCvGfZF2hFIV4eXVyPsHCvndTcSb8C4mLUxTPVv1iHyNO3lRmGOwIksqU08+q5r/X+
3RlUuM0jCzzOEAwXXFfhT1Jdv2bI/WeV+nqPbGUIbhOPkGmoD4t3W+WlHnH22lWoJ/C8D+mrPtMe
YOTksM7GfO8ZerXVPVKDwr4ONlFnxYcCJ+rBsvpw20Z++7OMyT9fbCWdeUUTpvpKAPnxuUn0NjIG
3DUcnfmEyoW64XtFferd3sD/ir4gBnC1/edb/BcfqhSSN1Zrnn44gT9+KLwAFG/EGO5SbvRz2BRE
NYSTQKImmtLC9pa1O2LLwML/+uda6B5p/5ugzj4GsHnRoPxs4nOxH/Fkq4mzsZY/REPF06Hn9UuI
5PCfP1KwKf+wazhSKqLHQbXQ26a1/adV2SoSmblT0u9sRhN4AOtq6fi+fhjDoPncNpH5bleeeMYN
l28a8pW2QWcU91Ul0f5DfbRWaYNk1+TUjYOxrS34W3in8rD1ZgMkXL9tUXCLVxORb85DFxA+pPxw
uEP+Wx7Spn6vrWCgyUCnpUchulITTHe6I7DGgDjNhqOOkW1X7ges99swCrJ7pMjT2oya/iUZ7Xwb
W779Ogc6VQXO3ZhQYKZHNc07fNk1Xpm0U1cGx9J7vSkDVoyCwZOb27NBeyqKdQ1c4RCk0/xn089B
WOTOGK584KVLxnYDABKUuYBrklfeOrk2Ueuuyqrqmn1jBaO2S8auR2UT16AsdAk4pKTdfZuJNEN0
AfZowQUc5BKwOsV1ng3hjduRxlS1Q3NDMkpzrxWmuQAlHTAW7csNPAvBdAWti5cOxhr/qH0YIy85
6sGEtpdcGzUsw8YyPucoLDdellS7GvxTtEaUQVPOq55ivfokSzwwpM2ViH+9sEgvJbktT14Zt/cJ
PZRjXpn5LiNMYFg4NW+uGTCfy9CeXxAz9zVUrNGuUZ2hnoTutuzBMRFr0GRfIOEWJ0nm0RZ0mIk8
jvuPhZF5pMyam5pTS7NAN00F2OQRDOJJ4QcaYqEOPly7z2URyXtPS9XRBda6qgeg30xhkQUnVnwV
2RI8e8MUAxSkiO9zP6Jn5tbWbAEDu7iwM/NFNExIe8mseg58QCNirydmTZ2lN7sGVdMpHPxt1jFe
zhQdhUx248GQnL78vD7QBXwbYwstFKZJuIEb109uTJOFl+wpjA5aPTuauvwWpiqqVdW81/kk+a1t
Z9Ua/Z1Jxpa/KRwkhGwBFa2oOLt3DNe/I38oOAtE5ruhcrpT1haMtYowMJbu1EBAQBOAj19i0B0D
r/UWZSzrDby48SIjQ157UTucc+ICN9yj5t4K6LatbW5Gi/k4H0LuJe/gJF0U0L07enu/tZq1BtwX
rWGBo6GK8XwoA1K8Gibtzp50822ISPmi0STOTPn6m0qa7gknITK3AvJ36xfj1qyi3Nq6mojOmVfg
UoHYemP1ldzikv3sdRoGhTjw1jErxA12We0lw4OAlWzqlk7Whbuq0KnqhnEkgQttDCrKl9CloySz
c+M1e1nnEIBt+VTqIBdK7dEYnHE1oHVdeeRq3KfAOg5RVja4edB286Hv5Ri7Ox3vNxS9xHb8RTG6
wZcu8cubtrUZiCszME7IFSprKeyq2Jktgmo8zfPAzkGhFR7GzGPSRQAt8v9zJMi8EI6GODlMp+GO
3BKCQsqat6fuLJjzk9oYBlqWEis4/jDeTSAbVprAJuWcihQ3RSi/NPxGW3VmbyaryhgyTtHsTWtW
vRzeTRaAMY6H24CR98JomUryAjF+1ltw7LQGrqLQAfhTSfdQtR45W8KU09MgIguDUfjWDZV+RuNH
Bm9Xmzp/K2GKTc/k1DCx/4rSoV0c+vqinhL3uhNRc6kxw64A6JID1zYITclJGjL1QATGcIZfeGVo
1YxK1MabXi+Hg7Szt6b7BE4EuY2Qx3gMQbw5Mg8BEGr3dWqapBMY1tbB+7fmvKaWKZstgo7ipujp
gZItpu7NAi+CpJhfkmFx7djMiIXDYNXoRLoV7FrvY54jxcHnQidSIo3xvDhLSeVLxnIpdIUAmwcX
DwHF386psIWvR1E217Ez+ShBfcboBU2lQ2hCH0XqzyVZiBzqFkAourPg+qNbBtnDg154+RUumHiH
DR83mqgXqKDtI+sa6JMWp1DOrL9iqK3Tp5+DKyozDdbcyvypBINyARaerk2VTmv4f3bDkNatbmWl
MwCKFRr3jpe+9aBfMQ1CEFlfiU4S6jOl8hqLI7glYN95Mz3R3bkHdARQYMwODTCTEKZVW6BmTMN8
FYlpb/pFtKG1EK6jOtQxafUNt0Or6D3n/TN7ibayoKTs3Y69sxEwFbUsjNcYT86FW5y8OnoM2+CS
ogFs1givg2snzvwtPjO1C/DNt5ErbqNaB2yuNSC4S/Yt/E/1U1bbKOlbjbsEr5CSRWldvfY1T7wn
MXaxEA7HLYL69JaC9aFqQF4xmfa2/uSrizG5cCTtGiBNA5clc8p+pVddsc8RxlxFXZlumTmR0ufM
iPLAathn9CUn1PAAoxd4V7bvNeR/4zOKEdweGcumCf+2d9TKmjw/WwiJ/KBojv44/N564SXG8NmW
NlkFdiIJUXActEVa+5YyGpn99kAzHRGfp3k5Gtu3vvC0veVCP0FjjAy+X5aJ8wayilFCV/Z7UwvJ
MrFKdWS57Y8FuJJ12e5K9buXWugmrLK7T9lNEeDhDsLF6l35DtN6sCXhojR6GDC1edEJMP9ESz1f
aeAqd9Aj9aVfNNF1EpNoWDLH7zT+UTwgFzTHWYo1+hraGJHtwsBlCKS558LRPuWVv8Uv/+okXXQs
YSKGnUy2dUIaFxlDziVMSJv08Voj46IxZrm5MJeRHfQvTdsb68LDmzmZ9kMYV/dNjj+uqOBIdVQk
0/S56Ks76Mb+xfEZldqGOpVlXq87LN8EcBar0snLU1pV1qpLUbWWgi4NQrwS4K1wd5NvEy3tkbvQ
Mbz1FSzVoGACB504eNXpum08nVah5zqIyXs8eiJ+5uIugWJaj4mOe2iukSpGV9RfmIbtcoxYWnui
Oz1A2lRXWJIKtQTGeosV+MFIB53wh6S+sZDvbEZ9eGrwDsLADW5q0SfA9KxqG1rF750vNm5RIa9o
cP97xVGf+dkteieLIgtQMvdpXzNLqpkdRk74CeXKBQJJvyYDj0RUGyGCP/poTHr3uSkJ78CZzzXw
1XKy8hUgjrfRIpnQsocNUvkN3/nJ6caTNJyD5E3ftllgE4PkWzsjtRqChsczYYLxlRsjOl9aufsS
1e5d7dblJ6ToyHzsZ1SGT1Gd2bugqt2L4UKvsQjtTZR4FMx/lqamgKiF8iFHnkasVUNwuBv0vEIo
/mWsy1VZM1jKDXDpiKUDeOIWCVU4jR+9MjnGBanVQhE4KLzFhF6IBxuJRiIaSHmF+5nsj27R6xXs
f+MNL4Z+BF4bg+TPjC16870OFeGE7JRsg6QY0DNrg3+Ar4P9G4s+hpvu2I2DvKgGNTBpM1vapRhn
CL6eGlveFtz8PdD9cms0095K+3PovWFu77HYd5s4x0Pvi8BmvIocyHE4BigHL+s0IebRqoK0JxmD
rmjaFMSLvWQAugb/cshaE04eqDI21lMy1JA+BZnATuhsRfEuE8O89z0Kop6Ai3PMEGhZ1DmK5Rxf
DkVxDbC95MKsfMlbWI7uXcuBY41yOdzlKgpfEELw/oIxKKqpxjJVCQ8w1e+A26DizzZv4uyDbaIN
xDXXTunieO2up6B1lkWBca0rNlmPHiU7k/N+omUSbpSmqkMb4cnIAzJ5QKdYV7l1hbnR2vYaBZih
dcS/1qK9jiuXQdcs9ZcFFlVNwz6uM81eqkD4m9xN+lcZ1eB0KkKfebK168BKdewjYm8N47qmXllk
fYYE1K76NfzdVSuq8DZzK41YoSLOnzMDQl+BvmFhAKxFLUhqDJJJi4wIX0BHIzehNYkIxk/+SPdh
OaAmNPomXataf2978GcY7j+JCu4efIpdaPK619QwmZ60nyu33dsjSUsPJGuAMn9T7biSUIuW7Lxy
pYvxuvCHdC7orWVlomDLRrkvY0o4bRvRiGRFK86gshdAM4pDNR1J+3sgL3zbW5wHte6BcepR4BXu
lMUeaQf3WkQ0V5HOaoV8JQX4EU8nc2DoJ1xUZqAZC78k/oqsCY2gDobPC9QS7to3LWcZRUQS2FmZ
3nQprEsSEAFb3Xo9y55P2G8wrDQsK4a7G93kPdf7FehczkjmXe+Wj+ANFo1ziJIsmu2z0IlvAZqs
2uG1IC1nyUwUK+0AmNkRdzXKsF03kuNWRhQb40IU0ZwgslG+/sjaWcERANRicTvUrnHTPYfZlZIP
SDIwXVo+pa9z9sIHQBQFb7LcW4i2zYKVB9ogAjASNO55yYxVmT5NlZ3vw9F89WVwTbxDzgh27RSM
RnSxc8znIlIwIap4a0lsDfnO4On8XLd1/dSlmXVNVvdeEoyybCawIn1U3JFOesfyB3CH7FC5twGv
xGvGaMwHQgexbNG0kIRaO8XqhQ39JnfpWU2ddwMjqvg9xCJIcql3IpiCg0+lb5QNDn9We5HXC3kd
XLI+9DNzzWkLtGcldBNUoRyXNPMKY519QVUYLDrdQrQ6lhhHG4HOsx/94LMjcetEo9D2gdf4VyRL
rbzJSg9YjQYNZY2cSJD2MUA2TrEGM14zziICO08hKUS2fpkdbTeZ1J0bUIeMwoP6s+o1QeoLt8Kc
8CLBrweR0T7UhHrvvNTgsFJp5Ftz2nhm9B7yOo9OAb1ZdJ+SxNR2wgMOkw6fUC+6zzoC+Pty1vV5
xJEyVKqaS2F2BXVxgMM8Asql1XjMsOXqztKOpblH1KUf+zmLLWq9GzMANIirxJgFoqnap3kN9SeV
F159QCvGVwcnHhUS3Zt9jwzmVMLD25h28BIZ6XSXun2E3DacLqnDiX0RKGW8Km8E8Tx1JW5DQF3j
WlWa8R7SgIAVRc+sIbNwhAvjBa6PFkIhEiQiKsNH7ZXZna631sHQRmR+5PCyZWRw4uze3/H6+PiO
6lNKZuWKaWV1tidymkRs4iYwTFYMWGDXZBO6Rygt8U5Yw773SnElFUyu1p6KS6jxJaHUITpqdAtL
D7lB3SseabSTM2lbWBF+EaKA4Yhx/t7EdfkihhgQfxeURzLu/CtT+cTnopz+Mjq1+24UHYmvI0Gw
y7KRiUTjn8krgD+o9UWXtYtKG/uz7ovoYZAGSk5DjJQCRi6cTyH5SOygsYrPkTlUC44uxZORT/r9
mIohWEVVkFybhpaeQ8NKX90sm1Z6iF5yMjV5DmM9Af5JsadQRnrXMc5/E2R6GrIbe329y0PtrgAA
drRrFxhjlQ/uDndZp2/yUnmQVFibMVeOnJlaXDCtBwkkScM3uwJmxvPYXUem8WSblf2acs4nRDKW
X3SdFAPUI0l3TSsXRTqW6gwyVonRkR5oz76XYJPpdZm+QuemDTP1G7tryHMwY3wbOpfjxUjRgC5R
bSC1mzgmpEV/V+X9J5XWCMRURhJrZiNWbasWyH1c4oEphqcQydXJdCJzo7UMkoPR3ORBlTx5ZkNq
HkUml//RN1EQpVjQSM/5Ojxuj6k+Rbuk4PROvY6NeCy9ZJ92DcYs2UdblXRESxnTxQLxDZNiBgFG
9WNruO41Fe14qQRhm9Dn4tuO89+ms7krDHzdbekGNkYiIEAZWQ0En2b7+Ti+Qhwrb3hIxzW+MAge
M7ju7Aaxey3Yn/XRBrWL0BBzA+lBHXBBTuCEJZdVAjhnEHZ8rVWGuRUwja7tkgqVTueIYYVgFGPl
B+ay7Mb4FDQN3vSwzc5Vl2i30EzlE/tAedeTtbJky6BJPdYmaR9db+QQj/UoBYcBDf/z6OpYfkQt
eyz/bnzD2T1ecsiRX4Ze7+9kZdYHX4rZ0qsRqV7OBLKwdHYEy+hXOjT6WxypNvFlsbnRmX5yUPZQ
q7DKNkufbh+e6vgEcgTzkj5Qr2WOTVOS3SYpt3XNfDsC3PR5koAfODfElDxRn76EHpV+l/nioAFC
fUT73Dx87eh3Y9c8lFOv7fvArXC/BzjSJQSjXOREzQ96yxy3jPIVPQF11KSubfRx7J69IQ6PUo4Q
4azk1Dhp8dxOjbi2ii7F5NEpD6dHqp7gvFYr2WvamSjjdA1KhuQPfMgnDtRIkQSJmFdCS8ZqzY3O
MbSnzfSOVZR+vGdAWqunwTn2saPO5TBiQG7DDAtYQe+n8cSpDP3sGCB/pd8UyRcUR8mpCyIoQLWJ
4dn1s/49jSOPaOBGPFhJXzyjtHcIrp7plqIwriZSnmdjeNNdu5NNP2FCpiAWE6AV1rEph/fVxOk2
QaBUL5pIx8qfyZSKvoXCrWkcISi+oIA5QXE9trJ/HwGMLHprBJDrtFC7faKfW80qzgjGYNtm2tsQ
VoBBtNxUR/qv5nU5imrDFBflmDFV0XpSgf27iJNhDZOjz+AL6Pk5TXFeFiOlMLVC/DZUvMlhnTqX
ohbGvq8t402Uuo9+UCjYMMa0GVQmrlXGJjy6Q/GskSN8rUeDZLrTtNdj48gV6O3mAQuGd4X3/Say
mwRnZtpcpXoz2ktP18FutipxLgm5KXsPet9WzcneCxp5+T5GkrUmdDTd4D0DjUFy8kzt5a9sI4VS
Vi8nhAjAQvxTb0qY0qkm71L8xN0W8TuuhqzjLjtGMm3hx7XECSfTsot6+70ZWRcWrd0Uz8VIRN05
bLAeYRRJ7Y3eZfbFs100vTHW72dEk856qEznlThxYw7rrUFNBxlTfwXSa0MCkbrO2qx5kAMd8pVf
k4mgyUbs22CEVWVIQNtSjDvCoscH9nXKeSJGxoXlR/o3zcIvTaz/G9qyU/heAd38vfm/okCTzBn/
fup9V4X/7+o1i1+/F6DNP/Jt7O0gMrNtUwgQFgrV1Twz+zb2tt3flGEiRLFn7Zn5nSzeRWGm5pAC
miq6pSvJ/O+Pqbf6DaEYHGkg9LorqJl+aer9ox7DlsjZ+VazdAcRvsWz8uMckUhBEFFdO6xF1amL
a6GfbixRYgqD+rH57qr8xVj6R23FH5/FAB9THRY6NUv0vh+wh0MSZyH9+bUdY6EJ8UOdmG2lO68r
fHjVhviJluOvfjcmlY5gjI5/QH6YkdoDr0JmF8O6zmt/1fVAy9M0TjkUEgr7z78ayoXv1DPffjVk
M7QykfKhC/zwq8nQ1mrDMvq1dKGhCK2u3pgttvd2j8ZkUSaedwIEgF+d031tr3/9wzFc2IKPNhiK
f7iHgxa6NTUz+bIKiK1p1w6BQ5MOS9wI85OuRH3WDSB0UeJF7//80R80E18fH1fSEOfXQL44P/Tf
31JyrOkT2caw9rQoPVGIxgBr2/BnqqEf579fLy/HDLQeyuLZoZ3+48fYyZioMYdCmlBwH8hAaq+c
Po/oJZQkrFUSnCF5c8DwkjE+WzVnQgKeRnJeOppwv/wbC4PBt3SBiDOL/pDN4TUEJqBLHNalhoqD
nrW27MkM/ok4bH40v9M5zNdVmDrvvkCuivrlw6f4BqO0yOGW0nWcHultjXIja3POllW0WIES1Vmw
aRhDWwvLdPx7xhuN+Mll/6Ax+PolJF+B9YbRID6cH686sg/UI1D51m7LAdShH/mIW3w8Gr0f0SDv
KKxsw7399es7i1cMh5ttIxL68UMd+vdaMSXjWkdrMLu5vojR9X+inviLx1Zw60y8Pi5ar48f4iKx
jx1yr9d9wYEotnDasRL9Dx4V5q0W6z6CJpagDzexaiVc2nh+VEwaeG3qM3b0rOTwyxcMKYxtKoM8
G8P5KOg1YABbHekhayjv0G6p45aVkbo/Wbv/4lmga8Ty5thITnBq/XhbqjlRSQqPqXftmLAK/A4/
YBvmD6Nl6is1NNrWsmXzkydw/ls/vAamYdtKSJMFRv+oYzJjytqwgsFU9mO6kYj5IRSw2ugpAbD/
fBk/Sovmp50nQQqH9417Zc1r0HfyL6KdZJbWIIZpG2PRcrPQfCV8D1iWM1W6CYZHltl2EJDX/4u6
M9tuW8m27BehBoAIBIBXtiIpqrVl+7xgWG7Q910AX18TZFblkU5d6+Z9q4f0OOkhiyAQiNjN2nPt
DVxmqKhCZ/pltVV7H1lJANAvrUON+ydTyR+s1//HffAdZfnWMj2nUG2/vbY5mUTMLH63bah3H0m4
Mcsoe/Bd0o4+eNCXDeztPedBSs4yX5rog8x3T7obTCxQNJUZDwtnQ1R7TpZPIB+OlhneOiMaXSdx
t3kVnVIj+NfE5H85pfePF1Px0Wj9bPZWwaDHuy869IE10QKnX+0uUA07wPzCo2D+52e9nMZvvqKy
HPSdrCchpOMtCsW/P2rkvo3bxVW3nQ2RrEsGo1aNaZmrbA7HvfCM7Z8/jknDf3wg5xZSetdWCF94
U99+YBikreiMpNzmk4yYLtF00dbMLDjDqo06pLYRxo4/K6wK5Qo5G4hpK3MR2JnVAnZBgRoJOIas
xh0q1AnkhElvG8ciBTiQ/mp1Q2e3/NFCewRtgD97vMsoDZNA2EgBqb0DPd12ToAwJ4DNTk4TtyF9
J6Z9FsplNSiMOtrhJ1XhRFNUidXjrKNgup1nP4cyHoXx95g6Xbrpcy8Kd13mEayRh/TWlpoYEy5N
Y2h/ZUWOl2yYZY9B2g92Ej0wvFdOp7kolUf+qwKxnfyJb834U/TDQjBB/oTA3yDLmhD6yAFsJoqJ
/hlFQ/IMpQm7Z9vS6GNGw/Xz52JIUMznmWXnwB3wKg5pGg5sCxW2szTiQ4uKZteqkHazM2b3mMxC
Qp/xxH4oMBph+rhX9fcsYH5sbeI7aa4ZsUzwb6mDCMyym3wPOthjuM3H0682zJNynZhZ+ytAwTpv
ezZaE1M+GUWHwK/j24Sp+3GVM+LkbA1hz5ulqU1dNPVSqjdpP9fyzu7nsDzVDlp86FsV6iiwwpMf
80RxAczuML+W5qYfnIamC2MPAybsScUi6TksNq5Tke6NvO3pYTCC1jzYgVH8pUQ3MzMXp2EKd7nx
XxENAaGnIJC625Iy3w7PUJP+/YJJt4V2v3Qd7i9ED26QbE3g397T4ONYenQ723j0DHjBmxJvwg7l
e+ENG68lX18ECbShUtgU6UojwILq3tTUbGjz+d+Bi/TZvtGdonSeec2IJ14XG8chraXL5WMSsy46
Kzjj9DcFp2kgwFvXGHIea25ytYZoJ/FnlQi8T2KAKg2kzkD0o6dAPqCJF/Dk7NqpVgzkyk9TNuvy
6CEimeglpw0wAlf29zlSnKUOYMXhRiOI/MIKnmwgyWFkbotQ2/fxgHkqzn34XhvIEH5z7k9f2OAY
34+dqCX/Lhhuq6uA8W9klULtojSowz0SjATAQlTGPzrPTWgaYxr7nfaKY63nJZQG+ZQ3vzPeen/T
ZhWNCqX5HbqCp7iNEkyPblx8OXc0r2r1rHEIpjjneQmYCizU1baRnasfZj3TwV2ByMLKoRO93PlO
VRk09BxmAKhEt/DwTK81nA2G4mCRbdoQjNhIE/uF0lMjC5mNYFxrO6uNu27Kqv6HG9YRqBftYx/t
q776XIFJ0F8jGMmPGsKjSXtPsD/kMO1ZvxXwqh1odMCscIZpdQTMprJ+lWMeRN8zGbCyaXLcol4I
vohWQGokmMnwbjClfr5slv9RieG/Vz/4/22y3rIIKf7rKsKh+FmiS3wrnr/8m3+p5yVzbBbqdGI8
x2X07P+WEXznf9mmJEgXWAXiZig4Nf+PayHieWTgBO/MW0iOHk7zf9URDOTzJFQo6NkDiIIZe/hP
5PPCfZukUUCArsIQm0uE6Hnk90sI+bcAKheWWTiwSM4yEVMLPh+lEnSPempATzK1AhG8ZBlTnq3g
dGMbRDMdydhoSyT2EkzgZJcG7Z1gwBwj7krMvlJoJzXSSFooK9UqSGSGFyLy6hjZmndhJANwnG0b
wQNqw9cE/gOnXYvnH8wmzVs1oiOp3YMHRjFp5y1tRcOA0Faa1as7MGa6JfSEEglAhglkD54z21zF
GPRzNvcBTuUenSM+mQnwZL18//kmtvo++7R8DzrfCmW/jf2iUXjPWEMlL8EgEuu1GjkC5/PQpVZ+
wjEwI4PDYdV4TvzUVHtIiAW4lqRiJ5ao3fkZB+NeB3aK3QiTHvpg5idbJMjGsPWyCoUxQZWr9Gzl
fNYzQAw8hmOto2Zj1ubyT9JYTfmpgS5uMr+El63aB0Yk7W8jG1f5yGXyNzgxJQjqZD05G5k2dnpu
bP7515EGpXdqSjeUz0EX+d/AnVPyT6mEY5fI8KSzkIJwdaAvCmml/yWo+pbnLi4YR16LqsswDmKw
I185HXSNrWkkZriVqZXqR5ErWb9GVFvLezHJFJnYmFnpfsCox/rSI6z7Uksm7h8is5UdsqVRtLsK
kXmLmMcx+18NWK5og0UQIxiOrZKTcsNpPJB9clfzfMIbyZjnJPnll7SVzrPVFu1+bIC1YEbLrftW
G/FoPDPjy+BtQeSb3mNbWfig23mSpxH8HiYLVPLzXS7SMcDyPKhforCM8kM20EfcEjsYKWdCaqfx
Gqcjp/gqrD7Va2E6lXPnmPXU/8riimddhDhT/hRm0wr8HSS8ee5zND/Cp+8uD7Y1obrRbXLlC0z8
lL3brfOs/dZI1IbBGp9iFlqayhjFS6rMqrzP8Zm27+1M+Sg37QCz3mDyXX8f4nIQoMzgDMKthLc8
P4Gp4I5XQYT7cGlHWYSaFpbyhvAIT186WTnmlxqP+KnFaucECJoBTaqWCrMcO8++cLyAmIW3nPk3
faZg/E5GCupi9BKjOyBQC5EbTgbfdvAAWp/Q28XdE0L1CIRs2xB6Gmbqf8mDBQhJKOfvrEp40dks
x9Leuxws1Q1TXoN1O6YRoiWrm3nMSAf4M6ayPb8kDnDin5MZVne6kU56vl500c4s3560LT274P/U
Hgen2XxZusoLTDCdHqSqjOqRKI2nYCoCyo0OqKCsiUg0N24w5/6XdVmRod0zcD8HblB/w8s40Zhh
ZjH4fjtOjZvCHSd1VMk0Gn+1aRT/LDMdQfvAgDN5KsIsALIHkRjVD47BUHVOoTHwK/gofLYJ/qoY
/KER1auoEnOwpa2JVN+K8S/qOntKuaoJND/ywNDc4khZMhU/JkA/DiWE6Pnl+k1TjfveYy9TUb+C
317WvyIEO5ZTZ245eFvzr8GLZ5u+E0Nz+5JuRXqWsEryU5DSgz0lJRYnG+IaOHe00blh3sRM6Vfd
oWhpIBRMa8dU7Qkwip2eXBS6SNbLgp3Iq0IQ83HYC3p0oiv1sc1k56Nwh46yde3B7A51KIZHM4hb
xuZzVcHLdhwWHlbPOIyvWjBD467HuLzcxdpAqTv3bMg7I5gt3sAY6/hDb6RVwIs/pPsAd4AScxMA
XQ/w9n+Cwyijp7guk/nYDybRcMO4VIuBQAK6m7RJ7CmpQim2wc2yI/qzUT9NMoyj7/0sImvfgonA
jqW3re9hjMkCViZpU+hHcI98cqFL1jLO8Oyjkr41L0+X9NDr5ejE/VHZVQTi2x5LH0ov3UYAF04+
WWzEFhXW6EUnjlY7YHqFvhsIpXEAGgy3WNrHEtrEQ9JQcbxlgjAhL0g7O+aDhdDDqUhQf+XrOlBQ
OmWSGs5tmE5C7eMez6r9YCjdbJW2HdjmhqsFPnWTqtmaUsEuELsdf4aZEbO/T2Kyl1ZpaBlEuOwM
W8mY2udcxtJY6BEFzOHlx2u0BO3u+pZNzcTqsEbwSc+xnjt1ur53HRvgdOOSB4brCGqe/1hAn4TT
LZwOe5XapjVbZahs7ibdpOZjnxWU7lMR1OK2bGN+HztIpwvwpQxjhTAY/Zi3FIGqj4ijNwk2H/3e
D/tvRde4+f0MqTk9m6OXl/cW8BbPXVdCxsFNJAfPxSLHrXk+15d/SElMnU15+Y1IS1iY1/9uSWWM
54lTnSM1Fb5czTG5C0B0lVa3lAu76HzdrrLLwZf5Xjq/XF+TcEBUvdcK3M6EBLlYXujFAHORPrZu
jRShpLSV9x9UHC5T/P8uOXjMkipyf2rGlM+ocLyf1xKwWbBBC1oYVMtm5tcu3zPkMHZBDkYkWbWJ
UHgDfqedjkbFBMOaGnSlTg6zFcY2HhaTpi4vR4ehKxnFGwEuQJzkAC9sE6Uub33Zx1a3VcnQkdQH
NtuS1Q+seRl39b6vMXvwg2aBSOazxYhGKTHtcnrbw3AnSHn3RwZ1FmonvdZwVsxEgEti7/lbTPtw
/cZ/xzARFL2phWA2KwEmKMdd5pYdi7LI2zCxYJIZ+pebnaI2iMU+4nunn5l51skTxehmZr7LYcQ5
rXKE3cQGvCMRTmECz2kQAi+Mrzegpz2Zxtssb4FfGhZSmTVK1w5OEchUjtCBdw2uy+yWXbOtEt/B
tHW0ovM8BcD1SLi7/rWiZOt/RcKXw0TpuxLAcpXFR16j+VmWbOfJ4P6sStnsaie7gxiVU7vA4iKR
6ZOO56/OwPtHDx8xecCcsp4dsl38VsvySzYLXlNlwPiwdoyl7BB9PbClIGhMF8uuzIMI2t2Rrz0y
fvMo0uk4ttiodR1I7jz0H02deGfRO2z3PslepVCSzsGUHnlJmvYpMS1qoqYwn0B/Q6Ere3mkUtqu
nWIxiLDHgrJKOjwOnTyAvj4UhfpLVeNLW+Z6FTDLhG2o9WTJ4WyQvVIlmiEWKGRnrXKxvZUd/g2W
an/Rc+qx9gxB8G9GG51KFuCU98N0Easi/sR3Zn2N2LBb8brnvKrvmiLdqUnhVqmzs3bdB7eQN6EA
jF9E96HpGaj5UeVWSJr7Jj0pDQwz9r1fifa/t4VqHmv0inunkazwBC2U02NYFApYcxBtweBFCxAd
xYdZj3qTARoeRPoQDc0zQtqHLCp/ikUSF9YuYodMfGoi6FMW+YdiSMUXISTK+sFgpuKosv5IZald
Y8LzIxL1XoO9BxxT7AQDO7Cn6zvO5btLLXhK3YcQlxplkMfPcXuq3AHa9uKvRywuXtK+/eWN6XFW
dKKgWeB/kjkvnt/+NltwTwh0f4Zh89kml173Aryr1uNvO0BV5EIgD9AniBnj1t4H91oGz1jDPUTG
9NXtCheyFC2sOp0hdKKxhBkwME7l27iMwrvJcBOqLYzkVHtnBd7eTNxT65g/aa8Mt4RgmAwniVxn
3XiGibvLZXLGtzZcJW0wI0wUi8cvqtXWdb8n0voFTPIR97BnB+DlBMKRuC6Flb2NLeD8djHsdO4g
0tJJsh7Tno1nlHX8SrVk8VxwGyx8e9xq2z1U+ZnARipiWmQoXXBbUtnxj7p0Jvc+axi2IYztYgoK
RlvcwWhgvCEOLOtGAA+dtgaSl58Qi4xu1TDbRonCcooRNKjour8Y/E3OObMf2A0GnQo+6O8J8WZ/
8phsFRBx4Ri7dIxpQi213L+lsVWhhtzPU5zWrNAdnkZGz5daoRcKkINlCRQ7NNmmVyF3i0mf0ECx
HrXo9MBtemKAsMwhf0x074bMHsSNS3pGoMa8GyLrABJ/BJ9dOjXBXZj4GURFRyEd7COHCQiUpC3G
An2WB6tGUQ7fyQ6aIZ46SOB2y1BXsC1yHeDjhAmgwTB6G6Z3jIywUXsCoBhxrOrs51B7g/PB1i28
t1s3GgG2axNwDEmxs0zjvutyz61rSEF1bD910Hxf7CoTwd6qeuOL2TacNPAsyDHqUcIRs6s4Ce/Y
7/gbE6lUulWp4uzvR+yf2RXQjj8UtVDtht2qOxeDX8U1bPg6zNcSf2/Ak+zVmMtqb8Z34hIGO4EY
sX8NtPg1MTvbvg5zLwGJOIH3eI3pwEMR88hLrhOPFp/HQC8LVcvJmZ6CuWunLf+JXxqGhCVc4Jio
Qo4el5f2AVGsrS3+uzR80pGu9zmkU+5Tuys6poJeiUX5GxlUuX61W3Mc5CoJGXLieIlTSnf1YHOE
AqEj4Yp1R5A5jT3nEbzPLv1m5dB1zihP+R3V2BpLLhEMZv1a0wnmI6KRGK0rxnh+CbzeGxEnBq13
h2ssSTEKap7xhL+J2hfTyHl9/Zguhlmy65JoBEQIZo3QOA/QIuyj0iWzpH1ctt86gbHCPRMmqt3h
LsIt8kTOA1MqXL5b1UcR5YdLpuBHfp1ua2a8uQ3drPtfFJK4LkrcdfsNx1r+2VgxUvWYXCLXLKIy
eID54aOenSI3R892+WQaqgk2FpGcNDRmPKP5pGt6cV2uvYHBz44R6qQ95l5Q1ZiLGzJmghEKiW3t
h44u8f4alFT2zNcDvMqlWQLblh1T1PhkZZdMCTjPZagSTuoj+52LYtvzKVwHqzFPU2+tJEyu+yzs
6upxsDHb2hQdodq2GiecFRi4K5fFzLhYRieTxjyxAJ6Ys433L3C5zxk4fCZFXFL0g2JIOd26s0N+
BDGNx2mmDneV2nOZuV8qJwiodVEzXoSdxkAZpiqyYcPT79UtElxFqVlQkWu3ArIvIzAupev6Fasp
7s6ipcRgzwmXhK0vq/bb9U4x0MffBFE652sMSZbsnIrTt9gQonuNoG1+lXhT9UcUAFQZKIfwQGp7
4ndhd8Xltj4b5QFw0xLsMkXI4kDIWrDAISRwsnraFvNTrQgtFCi1fNwWiIIwrKa7XzAewfg3GPyu
pVxQTkNbbzkBeKuBR/LCuBXKyVBDWhSua0YP19USFBoKHwlc9cNENtzcd3U3BvvEhtiEfemYt9+k
4WnSrzxLUGdjUye6E4adQcPrb7hcOx0By/hZJCD7U/C48UvYGDC46wpgHj4ugQpu6HwzTByMowts
mRG84ugOqp034Zg3zpYyCzyGIpt5Af+1QxKD8/SU02Yw5xmIgcYHyc/+pINlyrm6JNK6AEnurNo6
4j6Zl93DDZrlBbmuYapffPkQ4Lh+ZFQ8JCProYbLl9xyWrLVgCnmJkYe6ILlnT6NBWvpMcxCwoq1
44lJbbo0zD6reRrCR2scB4WYPmXBvqIE0xODV2Amflu9x2WTU8FU9orpWI4qYy6CaZfuACOYp9pc
NltKrJnDfXXcdeE1pDbXmyfjiEmSOAotzd5QkxGXkgbRGiD7kqTr3MXKN5sBMGPhFE9nl1lS47mZ
KhHc2bPW7uOoqT+cIoXed63xNXXxgRJ+qf+aEavB+GpLStBf8sue5TaOgt45EGsurnGKHUf5hTHf
CX6v4Fy0q/nlWslIL4WyuO8t70xmXP6YIAAgUiLodPhxj3HrAPz5De2QZbUCTe3R1Epfpz19KMYG
bhSvg3McI/x+nFVlpYh9USu3kNn9rFuSqiZz8BWLmt68ddMGwzA99LXeU1NRmF6peCpOlXDz8gZO
+Jwxje1GtbPGkgFxTW0PRDmuFIxgXfacrG+XLdARPI1r0RQwTGCenbhuqq0n3ancOxwFf1HJh35Z
Qnuef8aMzgBQaynAYIfruWDTPPZYFPnNjF1m45FKg8CSOVRUhqQxSsHEnlk6zyzl2prJFDaa0FAw
juPhNhVLu8D2Ka1AzN5KW1rxXmC8Qa7mgEo6E0OyUi07SfoDAAEsl6e4TjJKFolZUVQwoLnsTQMm
C20mngq2XaIRxZeh5WxEYAS+JRcJRXTLGQzsk0YWz1I2wBCYQV0awv0UOqz4ZEAhQyu4Wqjb4fLS
JlNbbYd66eMTrSy7AYAIjknW8eWY5A8P+FW5DaYit18x8Fpeo2WP148kX6L8EseG0+9pw+e8RqPb
O3a4yQbPcB+ztkeae8cAOyVejG/n8oFqTe0+ARFengWzNpxlqeVx4NUlnb5p51EZoVJj54h7fsPV
HOdsLbqsnp6Ty84aWVaerCOXgQZnPVntzBhRzUoQO305VlGzse9cw5RrCOFctvtr4XA0q+Xq2cjN
u2CeuuExZIw02eW1k8qngWMTdbTXNB8owexFQvfvygFzEqAJEaZYiM1AZlne+3x56IiwOoyY0nhw
5U1iwUtmO8iaEd/kaiJONUM6chu+OmEhU4p2/TqTv4eA/GN7gej2Q7CDQOtIppJ05D4Zsui/tlOA
wYMccA64UTKRcP/DglNtmDVOCxZnOzY2fqXGu7CcJ+/wQRlgEXK8/VYwligOEBfQRKEe8DbKNpuY
QRIvHHfXSGNGRjBu8iZIsA8kJKi/8YJzJMZTrKOnIckSl7CgsoLvSUYwpVdDmhnsZzYyFnWTTzHs
/pkpM+InhmmZf7hUvl23JVLkWGfM3x2g995OcUORio2ZcD2qzMJ/GsbUqjHuBGJ3DrB+D79ULXrR
e86uYdw70mAR//m7v1fYAJpCK4nc1mfx48L2XpfazUiErMHQYDIKAsU0NX0X8uJkjjdMPcBZ7kMq
a7AHPLIGJj4WAQBUWjw3Jnre3gcJzz+eBBwuKUwWFnoftDfvxDBu3/p1WDU2NeLexKdWiAJ9eYaN
B+MbdER2UUZ0eUjzxBjWbayY9/jgfrxPK5DF+KhWLdfBGQ+HpXeNQ2to3coYiwIfpEns0Tuk2ZHe
SvKpNRmz/uxKCueYPY3RdkaVFd9QhQ+tO1m0PQOSVRIXTxqf5GBXgVG2n+hRjvfS77l3f77OtzcK
CDlqIU9wnxYdnI3m7u2SJXHMbZFFxVFaBSnwyrl8hpU02NbGtogx446yYrpHIqGGp5hmU/rRXvBW
hUcVUV7EoAiMkDTzv3caNcGUQqtxmD6KZCAURsyDAw+9UptY0U+SIDoxx9nEj5TQLmXaJXMRl3bg
tfUIbZo4B72APd9WMF4eElN34RNnaRueym6KmF/2GDlv8CrP+y0EkKnfDWD7q29SW7X7ucwh/35l
LEmUzE6P+NJQ9nbx9mYIr+Ed07r8j6Rvl69MPwsdGpy3ZX2+Wxy8sOyM5KJHf0r84Qm5ypLUIXAc
P0sb0/nXPz/kpSf/dmPC/gUMnI0A0DZZlO9eh86t2pS+iYO5jhuqrxPnJs+6ocoCpMPEuY5oqK6+
zTbaC7gkTt6drzsv1CcmxOcQ0Nr4wSv6z4ty6c97vB0Op4D03++WCb6wjssw9f7a0cumiF0pgV/U
7qKkZC/znIJHbVV5F/4ISA+Jk+durn+jJmjnW5uWMOfrB3fqbaGEg2mRBrsWtSRmGuD6vXsynTHF
iWWhhmxSP+p+9EZWND9r4k4aPJjVhXvCYD2vhQOS7SEQg5vcBLiOFLd5kZlyDw2IsU5f9lx4kxJN
3n9wfcuTenPEuDaENCXRdSLqtK1376uFVmtMdJgyxO7L9lPn4kBKTxdzzTWVPQd8rMeQRfsJJq0T
W6R8yHwea+Wb08l1tMvm8sEF2W8uiKVMGo+U22IWgaEEdN1vN5C+QrwnVFAfgWzrYLecuvltV9GL
WNWT0t6uNFBG7do8Yfi01OTsq7HQuEt68Vh0e1xKgHrN4AI/KspfbsW/b9Xykkn2Ngrzy3lk8//f
XhlVG4QMdJepQQqNnaiv28F/yCDCPJbeQI48JuHoHmE7fY9sL63WuHDYAzXnanRex6GiIIl1MHqB
PSoChA5/vnH225W2XB4CCJONd5l84ea9e5JjZ2VM0Hn+UeQxlvNeZxYnb7Th0TN20Tb4iwRELp2N
v9qqFf2IbXqqgU0ohSPL1ASOfxvK0LdvYeVV+oCeLYgOsC9QtCI8DITaygbbxLNfVMSOuDst9ROS
x3m+nW0xyl0Ikdb9NKUQWrZ//m7/DAZc/KxdymmIjmHqv3+L4lQadgA+GYKbp+w7CNbReOjGPqOB
N042A2qmqMPv18ZZzY+ovV1K8nlBiPM/eak545g8QEoE5Y/7/nYlNJjcNOReyR5reJLMiXJltWOI
T5xp5zTD2qSDj3ZP9Fng0rpib6hf1bUcElhcVc+MLR7lly7bzBjFh0fg+5eIUSppokr2eKeJVt4f
gU1imY0BTOHQJ43rfWZkuOhQjMyT/jzNI2VTpvs5JxjYhppMtaAGYBTTCJE30VxZ9s84DsVLS5VI
HTOrjr2vuQpHum3JaNGPPzmjxehc7cezuU/HtmnPLfw+/COly+++liFrGGmTXP95IbzVJC/RBTpB
MiVo4HQJGe16e+MLutkK6DCVG15VlA9xN7hHwCWNOrYNnbjPweB39kd75PuAgliUwTNK3Rx6PjzH
d2F4KJIIU5NAH/oCC87vo8F0yTfDHkgxKIRFVH9UaRxwN1K8SNFseru2i9sthczROQxRDiaOmVXo
K/Rh873Z28OGWpwYT3huZvJsBAX4lz/fqOVG/H2vQv3GRBHvC5slm9Z7LbWrcps5gBR7BtAzxrMP
DRDFg/Lrfuu5kUnqahb5ps46QtqcoW5m4VXVfvC00Nf94zJ4bZd5K6TOkD3e37nUBV0otGUenGRC
nITTFf6S0dR17aGc6CE8NSU8nq9tUZiTtbJqzpqjviyiiva7vGlF1tr3CfJPdMvX/kHF+D7PufOW
fC02+dOIg9kBeEhzhV/iTVg278qiqOOzU3iRzwa8/GxiTSxyVNO8i4WJwBnrF2YdtqZBreJ4LX01
TUVA3PgJn1CkoTIP7DC4OJGTi6Xq3lUPwjeU/Uy24MJDiey0/EFePT5wE3r7AUVoE2yv1xlWmk8N
PXzlPls0/YNdK3IdPqPRoAImRGV+0VL1mup2XZWn3I5l/3nSDrL+61cIW4QRny0zKJLfZspAFQGW
krlzFBB6cacXZhqQh4et8wAlyci+Z6MF4jHpozY6G22CS+klQwodur1PFfp05K+DksED6gJrXzEy
IiesmHO33JnpMKdnLO6AcjhgRD2ThlvOiG2nnKWgfsma7TJt7HvQW9zHZAjmZu+nUG8otAbafGBZ
2Q2StaS37xsV863DMAbQsRoZ+ObcuWSclsYH9GsYLTm0gbIaWoBk3dz6g0rAc1LAgSxjxWLiy8ZO
zL+75g9TO7IajCI0nO3I/Jz6yjtfWxgS0sdhpDlEqN9Jj9/tFzU52cxEVrNlJh9fRNA9/IzXhyT+
nenE065tQ0S81/gCugavMZwnfub6b22vdIYnMQA3oruMlfU9ITCPL+scFsr1UQomNOTNNaHSrma5
UIMKmq9+yeG8ww+pVuZWBOEyP50FVnVTXu5abiguzvLiKvk96h62GKi8yN5arcqT311YmQlrk28P
ZtDnJ+s6RLK+nhFIZdXepJH4ZEZZFm9dSYnpHIVZAdQutBN/zwyCdPcxref01MJ56I9Qovv2GQN4
c/rkaVXobyOuKg5mHxnt5LyW4GLMBFZOgH+7cUALLg9QVv1HnYSO0qvrgw41epid4aG3ucGaReY4
chYko7dN41LYF4nbiBeRNilAJx5YH50jn+jikHaD76PJqqY6+a3qOHC+Fpa2xwOsycUfyVR9h54K
iQM/VCS893HdYwUfRnFASb6g1rWxXACtW7twMvuGFaCbm6B2scxFY2ckoIsLf9obuBRS5tWM29/k
PZo9MBgNt1e5AytAGe3oNvQaUoSNTkbr+ca8vIsZSy1AogRrTK3w0eSJz1wTZn2OX1fASQHl8O+j
iJhy1UqW0Bcqx7wKQnoJCIo/79aXYsbb7ZoDm/FQAhPSBKZT355rIWp2wlfgMnOW+K9eLxPyqMTt
boCIumvUFnRwhRr4s62d2jwUJJFfE1E0GQKHYuh3VNhHC3BzGi8qP5QWZcjy+lwwpKk3utZIfhfR
Xn7EWqK2ngoDQ70n+CxpzUxfq7N9bdC1uBewHTHAboq5X7uD5f9gmqtz94LIN/o2R2FFywbdYKFW
5dgN8yqrcyfZqELJaWP2vhWsDYgGwZrUWSuxGsCRmHdRFKsI6F3tpU9ZYeMfGrKciwNTzXq6zbSt
1REAgK7WS0lhFTZhXK8pQwPVQh+n7rImqdQHCfO7iJKEhzDScxaKPYEEFcN3eRmBrOqHfMYJWNWs
Copq8EKKNoDF1VOQs9YZSAPKxirCthUjK6s9DSqLD5XLyxV/8Pzfn9aL4MmWTEHix4YufAG7/72b
rgKnr0Lla8aMClYdfbPBbjei9eydzTzrnZFnKCQ42MR0A8jGKp7QD/bU/P+8DN/B3enq07gmdnZd
YD+k9t676+gryhp5WDu7MS+M32bgamPLbEl+b+PF46zryeinverhut4L2Y2NZuKBugc6PF9n86m7
NOUCsyXEvRZX3Is4ytUVPZckiRftZTuLu15VU38OKDS3d83k9MVz7tqiFhuLmuN05+OHVr0ixiyq
D0K5f0RyvuXYHhOCyiFY+UdpKA+XbrnC+qnUhv4Wm3M60u2xkPJUAYj3vcUBE2CFCTru+5/vrfOP
wpi/OPcxG7rMIFAde1eV8rCzTCdmDA7Xt5ktv7bJaIMfaCAGDWA5rV7rNIvhXkML/lzlUfgUCKTn
q4SekYXJF0PxaGUrvEnZDC38sEsCyXL5iy6OSvlQDrPLBFvhw6YFeKs2bClRsQKBVCa3QkeAN8sp
B+nZwuR04nUfd721zsdhLM9hNETjU2LI4QlLEdFRpaItQvVKdc/hwDDMNneAhK1d6gAE+7J/HILa
/96lGFoe7GFydroxC5pgBZWnlUE/CCZhVNKnBKYSdIDgmvyTKiKURlSq5mbVTD3mzzpyamxQeaWO
JMzBmjowiZGcVYx1Okaa/QZpiyxJQtLh1csWeF1TNX/9+dGATn8fppI0+5ZiRSwxH5H+2/eP0n9o
hF0WHZOYybSzSZuipePV06mdRI7rigujzGGGDGnvViq3q++44TRGKRxlej1JnNeqLGQYs4wsWHpJ
rOtFZJgsijQrD5wb0JGOtfGRZpQ3zTjfy+W4PSbsdeCTwHgiIgJTVH5huAIkMJhtA+4j3Zc7h7ia
lGr0TRrkjdV8cYZCYbCqeLbpPpNZ9nlqObiOduH31a2wh8+hrsNvDmX9eoW+MZu/0OxgvaB9dhen
jmhCEJlzlPhzxBZLDNYyMsso5XADPl6PKwYQkuduxDJhrWjgeRsYG3ydyESWTMuQC0y6RuUbX3pd
v/NSnwtEwmwXyJ+QNK9racL/rGKOh9CIRqA3gSuo0shWOS9hP87BHdUSZARWwo5yAPc1IG/yTI9x
xD437R3o9mwTpPjKbMcQGfmpqXXf78bahCBo57wfhzL2YW+D30o2mZElDu7sEa9Kb9Rd8hzZJquI
pnGE8ngC17TO4D2h99de9MOz8+SumIIpe8CwaLYpHWQ+FvNI3Q4qDrJHy4/IhGrRYPpszTnkRA9x
yc9UNYQqBa61443B3wISM+n7PVqpx+Z21YjQwfViuksJcwjIw9zmkAudheer8KSo1VzfMvqKT/X/
puzMduNGtiz6RQSCM/mazEGZqVmWLOmF8Mh5ZpAMfn0vJo3usgzY6IdbqLpVtikOESfO2Xvti/aG
uGkaesrJ7eYrW4TE1WAQGSdCn/RmI4u0XS4ptY59m8KmtzIHGJhbdEHpSmfcV11oRRuwjZU6OtDT
7qFmpAMoWmeOYLeSn7YP+1KOEMtYEm9gJWhbk0KwQJzWqOe+XCIZU+hL6h/Hvo8rHedyznuOS7NV
0DL7aHEy4V0mqcvxNr8outYNFmYxsGpnlp5250QVW24+l5O9qzARyH8EYPgf91OyTvDgowCgprIZ
bi1X+B91WgNhtkfn3pxHEhS/oxRJSSkwcPZsGWE1r2sFDETBaQ7ORTsLxXl2rg3Um8PNdBGTj0Kz
OEyG5EgdBToxtJ04LrLdKhvS1+YSEZHYEbyKIyXPC+rgVNcCgF1JO+3Yk5hgHFEFNfkzvk3QsUoY
6hbjVoBlVrzONSTDalNrmKiO4Qj7KEiIYZ3I/mWAsiVHvl3Ao7VVQ8PWabwmwWqE6mpZ+mfPnFi9
DYB65l7n2WabfiF3wtkzbaYvbTEfkzBqvIOdqdyBIIaZc9yus9ounZhMR2oRqMRhSFnb94jtvhLF
B36bmBa7u/FmZf4oiAjxdyYEcHwKOdTwHWI8pnGrGEyEGcKw1U0xXpRXVYsv/1DVzlIp1xE9hxZL
S/mW+m3HEnfxNSDAW9pzaHZxPdhzORMx3XqjPDdgefEr+wSEXy2as8/uYBEdyOvMsdZUAtYsU4ZB
fWV3aGt8E60Tf5b0yV8HmNAkr7MO0CX3tFgLIrcmEtQhTVpDFzimIttZ/Szjx/U6w65miD2bTp4e
Jg2o/q4eVDddJVPaoA7qFItaudXlVMk7p1VG96+G5h8DFMp9+JJ8ID46wT9mFQzR6SSJMj+QD1A2
AZ89PYu4G8VdiXebp+iNXnfy5BKjvVoUOCIb94XtD+Ejbx+Ch79vggCR/tsxWgYVyDgZnnAGYdLp
fOxpuiGgrFHGzUG1LuEJfsq7v0HwMz80CjwccaYzm2LeJ9F1jlGG0c/6NFnK8oNViQrudmgX+T4v
SKfYIELVkDK1HW9CkY0mqpw00XaT1+vuEb0CKhCVCnEoIa4mQeRNpriqrclpNnpGZssmE0XVHjp6
0Ps2ytvy//cAllKXLMMlRIX+KOmE7ocWrqxpEAwTzLgWWUDyWOPynvBi6lH3DN/RBlKYGuH4vDYD
1oM+obRJ/ynt6ra5a3tHTf+oQz6IGLgm/PGGB2ZKOIQqIhj8fdkaNG+QqnfSQ8HFMKklUD0ExkTa
ww6tbfuAeq5EZYvy6IeD4t8wIMFbIoM6PGvGK6+8Gf30u6wvbsTscd+ji+BWuV3m7iUxsgpgZEY6
umxy0H+rkkG3UJPtRouXw8Gl46dYcv7+ZunL4fW/h1ubm+2CdiDrGqoDTfPff6y+bTtTgzJ3WLuQ
Dgb0t+5yVGi8mjNWP9R1d6oATxuvq6IrZcKBmLNrF0ll3nh3qefX6qRiHBMHNRHcTE9u8dv940o/
7htcKWNrd1E1s3twKPv9StuYtxDJXHUooAMUux5iJepkslC9N43qKg6S1OmIFUZ95B7osgw5KuxB
dOQP5CHRFoOlnwlf8AHqegjrIcI7Bj2O3CBwJ8VheIfjEI9nKifm0kZm/3Mw6yxX+N97DfyOgDCK
JdOB3PFnplXTmkUxFeaJwGlr3Cp/9LTAjyP6bX47IQ+NkMx6V9J0ZRwwrOgZWYRG/aW+LNmrGnet
aEzm5fpiw7WaF4vWqbeHx66B1l5GkdNlllSMtvKZd0U4XCXoi+a+WgYH6GUWv43rKzGd/Vjq6nOK
cGRk+OWS9rGBn+EMT4anJZ9CZH/mZlXHYlbld07dgX7OoDd1csAzGxXXmegzRjirWYdhA+9EYuX8
KKXbLtLKCePgA6+4aT46iCi/xx3GskBr4V3faTyqJ0oc/w0KiN5vuyEcTwp3+K0OC7b6qaNSBo5L
t+Ibeqo52hXNzIcTX4yzDkJmdazpcbYHzI/ttZ1JtYRQNKK4wmPkq3eijufXf7yEfzTNmTJg1LGX
Yb5N5/xj07w3m7qb2xozA7t/94ZMjjd9tRmtOqDssqr2WTuX32g819FeB2fCe1V1OMYihT7i4Fq4
e4425p6fGhxQGPmhH847JCCVuk/SMCNyUtQ1LovayLvPeVpMNsY/x0z3VpJV/jX5c6W7S2vXLzdE
/HRAWKSFj2adWgFBtcddOvJzbJAiWeEdUTRm9NRJHwAOMEfMST5JnuBqpdNVV8ME2XsTX8Zlq3Wb
WobBPI2otv46N5yyTpyf5ithhhwjw7xinbLyuR+Q+s6pdStySzhsHKm+yGFtxQu2FiHJ0OgJBh7m
Wp9WWTicf5OZOe66O7eqFJqdrPeB9UKPaTdroT5GrheTiZIU33m9pL+xL8ZQZt8TMnUbemoQxhaH
FmjHaEI3bSudHTpDKrWMFJAvvE0oCOGmN7jEPacttoBckCi784TzN0EszQ4aklHCGjzy96sBdhUw
d23Y/EzNMbdvnWFywHVrGXq+uosf3JY4lsM6WUUnS+udC4tmOINZTOyGPTfLk8X1GeJDE90Ib30a
y0Ag5NX39Ki2upELhCdRExJY7hvdHpWKc9Tm1kgPXmxD+7D0SMXXoWrQpv/9xV0ACh/WHptZqAPB
SrepIpaY4P9W3XGuVzN8KO8ksGZMD4Ce+J5nBkO4+S/D4tDDxbYb+6JEKGmHF7Ho5FvvVV9WxVdZ
2l9Xue46HwBw4jmBDBd/0YLZSdH6hAFjELg5QGKza/g82VMqixlWb5zp0xZNLWJ4iS77Lubkq++8
QpLaoZM6sem6IjGCVeLYuR2FLxgrrqyB5n1sVFUDvg9d+123c58Kh7CK+MTRUU84YTWz/w+XyJ+3
Ctalb2OdQRoi6MT/fqvIAYMfOxXaiRaHZr9qYYXZghOamm6acExvW6dn61c1iVnpZrzMrP7+sD6U
e6gFSFO1BH0wuG5oPz6KZYy2Vljnu/zcUKVPR+X6zWsXeXFFpU0r+C6Ncoo23UNDewBPU+DkR2Q3
XK2aKnjvy52+nIhgMIn40BXuBKp+FYfmQNDOVVMTod7rLeda7fLko3zW5Y2hGGps+lZm0RUvNDE5
RW6PLxpBo/kBQgyvyKqC/sdP/HsZcilwsUaiEaXGIgbzks/7n0NhajBBGLHdH8psKLrT+jUXBjv6
nk15qo5pqRXTL+cHBRqv8PrBDkwM0B03sgKCwWeabAufc/OO0dzkBMSyzlfd1BBBUruKVgAJX352
LAvShPcarXJOkRlF5iFqepehHM0JjmZ1RnH3vUJMOvyDdMc598N3CIMQAJ2HhIYjxHIM//3l6nA6
DlOZhEcSZLmZs66n5TVJhGl6LacMU4Gfe9DRfhWAKzGgRUk4v0yYOPkX5tguRmqzhNgIJ0jIl6a0
OX0NkQGLfEOSMjtu6bL5kcmHoFTdyoIIzxxBJNwbsVlF4fPFTW27Xe0c8zHSrdtVZNddZEzrwFUr
HOzJq/ve8uEPsM8j7kqsjUlE2PADyLeePELkMOVbNVhyIDigaGAzzRyWNmQos8IIDwHIuepGNNVR
GIHjD5zLlmljucZATX6W4oe1B7/7tYvmdbFcrQRNbt3ruPeab4QgCnkjUEviTAlNuMbtpTZ18DzQ
/7NV0nfvGUPf6s5yqqQ413QTh8eQ9ETvPcOyR09nZhR+WDel1T60Wong8jsLo6SU7HcyoQ13Xk+q
v3xQF1Fa7Hr4ASJ/WSA9qCWo6b1Kqz/x+RJUVvASoCTvU3IUQF3AL5/zEAMU9SkzNmccCCxdxW2K
fJt0m6H0Txf1P7dHG2j1H1bb1GpAs1ZNzPoBrFKU9aoZOPHcq4ypSUWZswjmafVbsLFqjNi71Tmw
Pizy8RbSR30579Oi7epjJ107DzBsGNMVM3wJ5WklH5DnTRkDUyAv1AaHPX2qJTyRnzdL8GIe0nH0
aTuuZskpdVz9PqF15O319RSzAgrWIhYhE54zdxj8eMLEk2jJD7MOQaCUs2KVCoikH8Nt7s55OW2E
Pc7JRBRLirOdf69nvFBy7HB/Lu6hVVUH+Z87mblg3Xa+mUZEk0gxUKX3lhv7d+Q7+IwnLtQQp/Ub
7SRg0lS7mkOPcwAEk2FASmy5VCWLZQerf+nUfAT4AZZ/Upf9b+33qTbl3L6W1/XFBLfMyfiP1pNO
iR2bdKR87LxjFBUM1ZmvtQyTA1jhfbnvKw7e4Mbizsc41WlZF+M0WETfxgXzQDNlaV5oOLGyG86R
VfHmVX1qPKyrb7zeR43TE/9VXjU8ALnI7ViM64k7ZFAZiBPZV7p947WxVZwtEvso2IVUbnaD7Ygl
oopp/RHlTpARADRsGdYctIxu0pPVyEYPYq0Oo6BwDK3ZF3jb3IMuDTrlU9Qv0e2a2+Q36+u/6suh
i7sL7iWptei7UUhrfuSD6fMDBy3lboi0q/1dl2iqexiZGhHVmDIgP1Yg7OgoaYgaqq9VRFrOAS7g
kIuNYcjFemQmM1ersnpBvzDQtNonXxTjY2ZGSXET0zbdrJ/n6vrLOqm/ZEJL3K8heZjTwwgf3nhk
/Osypo6gAMgDAi8YfAprh3luMr7PQJE1CaGuddWwoyDqo4Cbm8xXVB086L5XlbdlaCCT43psGkNk
Y2dSPZR8kMBSNijJhEKV4TnzrlhUD3sXbbOxX7+FjibUocnLjB3KdNhrJCnPJPKYDWGtrAacgeYF
ROBc2kSrpwnpKFfP7Bp2ot/SALn95XVCu8E4k+KVzzZjFEet7slBXpHnYyX1Jq1towhK5C3zPcwn
WBXMAibIHshg6lf40an+yb84Atbfr7ocvsBuhN5ba6ohPtcasI2HvPL0+bCW+OsMsByspdrKB9ph
y6vST8cY5wXaPA+p5DFNgQsEGbDBmj/SEOoNERYgGr+Xc/hMCzUi6WuIopsGSePWSZIUnJLuZwon
zgL0qR0Tg2mXyzQ/mLHlaMgJFnzG8oPOL3iXfZCJaKX0k0jCZGSk0Rr9Naws1sYqbym9YdCkFe+I
Gj6zRHj+8dc3ezHYrX+/uodiYEnG3uuNCWycbzfhHjnolOyievS107rQ5qQG/pxQu9Rgj9Hp7OIi
0eQZjZyU2wybIyjNTM+Nc1V4pAoMF1NyTjwzAxJs3eiBVvmcR/XGd4YUZ3F4paPAeZYPUPRfPAzX
rHTViA8JpBRpscFMwBjAoagynGtPH8LhbNeduXymF4bI4FbcUDd1+dXkRrApMuHmF9uIWbGCEe5B
x0Iv6WafUk3QKnC8kYOk4uYXZ1Nwsn/ySqBNN81luYf1w2+xfsSEHmoeiCy3d64UROJ24+esjKeh
bswJqYjB+aPZ5DmOv89apLNFr+wJA/YXP4QUBU7JEHsNYq3K9uR9f8Hk4EG28hsH1SE4V/tSixVe
4nAn7FxxJ+qarvMhrbWpqTfr8ubZo8+n3nhdz7YVXhyol5uDvZUPhTAhLm51Wo8qo5E3kKZXblIt
Z5v7e6n5h1KY0dgiQqebh03esj828vpKw5ZJWhZqC4oPWDUhC4QFVX3J89Fb1ndOuYa8A4U0yZ+U
IYvWZyK8adwwbefUmDETroKJfJzu2rEXF/zfr9D9KMxbin/6n8w6hcM55KM+ULREm5kO8MiVPjTh
tsSZjv9SHljra6z5ut0+VJFJtQs+Q6JMQeDZHkCzkVElU4x4azmAAw3TNHG1UbtFGVdEezfz53S7
EJ/inXYhLSHOicdDr4lc7aPZ6I2rip4g6i3Rm+WBPmiI/8IR2QFqk4KXUEXCO1X4jny+5cWIO6Q6
5/3KERWxhFEnyZARXZmhXpMOu0Y+pe0OLlndPadgGnmZm9xK/W1Opu2hqz1ZPqYRNfOpQF4cbhJM
bUDSh8znfVIJMklwVBX5U5Xmou6WDjPTl1XZu4wsccqvALG1oFUo0nCsX9aPug+X5XRtR0yFpCJY
AToleF6LZDc/GXeQuuZuC8WoIWdPdGy0w1xSbKwUn2YVBK/nqQTaJ3LhpbLwqPkQCl9MzXRr+f8T
ixZLgE+YxLa/vw0XAP1vXUNuIn1wLNVo5DhxfWg84+IecXwZyWm0InaPWreZZRXFGMt9Q1fMe7Bx
Vz5gGaRnAVOGIAT0baAyRQEMFq++6wMlWlwXpCrWGpFtBrMc68AIjknwnMlqflh/Z09vnOImGsmw
3MsLOCAijZvuHnINbLtBOzHJfAHQuyxqWUWXVFmJ4W81VattNNjG23q2MKm05D7zdUKp89Ju3aMl
BvOGgN5IvyEosZk7dB1moz01xAfBCODwDwk20ij7VqO3mVdCR6gw2f/6+H93VHCyRptsohzFAyWA
hH60CXAE9fRKtN1J+DFiHq1JdFrrLPooDFchZSojXWyJLx/DANn63Jab9cQrEloe/zgP/iHqIUqD
h0E3eNEDAypZmt7/PfeWpqWsys7PUTzxcAl5QeKwgq0gAPvZgmbUE6zeNV38A7nRsAjhTOjyx/rM
qtnniVqOXX4bm8LRD7+q1cu2nvU6ZRbfJ9aIYNV4CiNjC7EQ0Xk7Oi8iPENA5/0t4piiyDA7/vi/
v79/dFMW7ZyBRpvMDLTaH91PsRg4sIAKAAtBTPu2Mqz8IV4YyIdE9MiLI7Y2/cotpInCcUnBuPr7
n//Hek/fmqEZww2meQy+P95ini92M2VN9Dws1JJuHKI7tfGIhIx3lyFOlxYSr72MtZxVvUE41cW2
f1fPWpw9eC4GnRO2TQo0Wev/fAMW5unvjTl6AAwFHJ0+j0Cs+mGsQYw8FA1TBzp8eRAryGptSgio
KtVTr9VkCg1hOm7hFSBjKWxy4FZqEcQVLM7hbBHah1BjIr4NHtFOqWRmJxBlOt+2GOvFSV2+1/VZ
//3+mn98Uu7iMyOMACcWgISPzapJTd6ooS09m5Gd59vO0CKGtBfoZZELfdy3de6at/WlJLJ1S/U0
j60xpllf5d33FQUQ5dnAucDOw1ORVa19/6spdRFhaKiRtae1KYEsKp8/hUUPHinRvL49IL7mBc6Y
JxbnS6JTx/HCgjQ2J+kd8FRtma8t7/gM19E59d3k/mvD/vgIfeF4PpMjZjq6636sKAzyEKXltfaZ
0EC+T1HWebnTjUWotFmnk3LQSB2M6knv/rGi/fH6MFSyTGSpLvjbPyfDEvpVM7euBjGxssafPcFW
/R1dUkFv0uTFJl40m/ioEoIDy22c89cODNmc2P/QdVx0WP+3T9HCg0JPKI7JxbCckaTy+1JmJXQO
e8KzrnqMBPWjFYWmvG5noQrkUyrNzoyx/HAbN4Dk38OO3RcXv6rzWwVvIf80tYZKvzStLDzSu4E8
4OC8mA3itqletIh23kEuCth/LMEfnIkMdnHsLspeWlgccniKv193UXBa1mhvHdZjdenk7GwJyc3x
ETBJk7z/GoY4ikPlksfhPvZWpc17EVtNtHUho3z5+yflfCwA0X/hKbdRslqLbfTjlt82DH/iju6L
GlMKzlV4Kqreje5DrXay5yov0ozwzJER827AzGOfog7MRZjk6U5SnptXqLIGfBmVpwFoWl0Ww2X9
sofGGx5XCwcmx2WDayKJm2H1Sk8lqavjL4l1NGmmRabw4koa/AIezWVQiSjkwndyL3YOH8JHC5No
caSvf9A6IyDVjBev5VGDoL0Qn1bejxMVKMr7gqX1NGIWRzliqN4PwPOKcLsO9Rn/KzbmEdTX9Gxf
fsEqRx866WT3dtiF5jUgS5k+VgQDIQVM0coEZd019c2c03rarGN2Iti5CHsa2ODXbzHWihinlYwW
PpAdE5B+bmWVhtc1kDE8jSbcsH3uxyCw/v5YQU0t79L/fSNYpHA+QecSjmFSgogLnuo/233XT6qX
UouOEWdH8pSbQq8GHQ6SyDPY/wvy79Gho+9QDfsjn8DqgxhTl2vyL276KEV9ul29N6Nh8qOsYoi2
RHN8p0XozH7Wc8sdLtAufs0Ywda3TOi9J8vUm+aIANF8y8CWefx5SzGQzSRsH0E70qdcTedZSNX/
NKVD29+upVF12Zj9warfE+zvkN/jOpPb9VpiouHbHbxhZPz8j9s92xqcB4QMjE9QTlu3nSD6nHdu
uazE853hMaPvVG/rBsHtzouBwW5n22dPGEdh9g/rzIVcVHoFiCiWZu7lJRNzzHN0XRsOuRs6pvaT
4bWydxZ/TZ4ADsEjXi8nyxwVPjt9tDzMrEDBE/qQ5ltAm4v7ZH2ZlYy5AZxwsctkljsR0G41/gjZ
TdjVC56rKXt0tQn4qSh73NQ72wHD/XN1ba/oA7cx3HHXzvzA+070mv4qJLm6P7N4GTCuj2w1vLY2
SBU06y2yAybrvX/yU437MQxaOH4qmil8Xr1+64mlBDPLqKzR+Xo6xeiS3lICU4VuqPDmm3wQSf4u
+gL4VmvNsO5VlPyoo9It73XqKmtvC+0VxafvH9cPu7FqXpa17l0gHf3ZLgwS0sxL0bdaKlb/oR3X
KFy6xBLaTSgb0uI3/cU6tG7BhG4vqpSiZ8+P50j/jgRgKA6+OQ7mlVPCe97g2teo6U23AbVigkM5
wp3smq+9wevxyGnQV1eFGdO4jLCr/68xrChjVVzNWS+Gl9WOM/BhqP1YEREJY/diJUpZoOy9m0gv
eYra3sMlIMCm3jRWQxcbNnWcOq9GOrIErB4rE9e9AkOuEnXMQzKmNDEOXJtjfKYh5hz1Mq13zmwY
T7lnNYEpZ2szubWBqtty92kVb3MUeMg/CaEdgWW2hW/+iAwtDjpW3t1Ya4t2s3Yxa5j2rsy0+Fwk
qr6mfTwHvRHxaDILbHgNErvP7R72Z59NxLkbHgNMu4uOTGmiXe634a2duD9mZNX7wmt7lBbTYzaM
1tcq1TBjNJ33NEeTRKTsT6fGdsJzHE3iRks8Bvo40pn+tBHZEsV8S1EZ75vOlQ91p8ZAkBgKGFar
KhkAmXFvdDtptzKsrsyxljtmS5hJy2TY9r4UwHpnqRPdmcfvFMfzyUXTtzVpjO0IHG9v9HiOHQ4d
tfVqDIn4CvtnDArh+oFoiK8tyV2/qccGh2DTm2dlEniZ6nzKmwHw1Yu0lDraTfMJIUOL/g+a4BZ2
WnoGS6POFaAiaK5deNtCyD+oMiyQ+hXWbtIiY99ifzI2iZDvI7tL0AlFkGijpa8Wcukj0goidzGd
S+IfgM9JU4ptozMw7UidJiLeB+DVadMp0wnmiuc83kH7GbfocnyxaM3ElSCvfj+TYWpuqXaNLbJ5
6xuLMJ3dFt4jcR6p3FO1dA9ab8RH36QqEfkkttVgfG6KKrojvcrY+yY2FJbb60pL7otZ1mfiloiY
SxVkNjexZnoUc7kXCmnhNq4c2tj43uSuxZ2dYLF7FgiXA1h0yZ6jQfR1HrM8IFc0f5bV9EOE+QRb
lKIu9cov+AqF2o4uW+9TrdrYCFRof87cIbqy9ZiYdb9kteE+d9a2nop503YjuXI6UFLgaFjFS2Pr
R6mHiHwy5wMpNr2zA9KWtls1Ffj4ytnLgxZ/+Se9MOCZGtns76uoNrHczgTGh4kfxDbTWdnnsNYT
1re5c9DkmqiBhjlur0DFuO+YJ4HT6YV/5Vfaj9YU0alLCbIntUTdlFozbAzN0t6rzEqfcYeDHh+a
/poZSfo5JcO8ZqxhlGcrNCKIivJL0SNFIbLVO5RYobcAWj3ST3pJ2ILLyouFVxYMO+nv0oENxdb1
Wvehwqg/Emou5SM6L4LqR9xkXb4k2rueHlE/+OUPXY7R9zGxHtJMD78XKREndm2SPC/16RUecakF
pjP6u0q3x/qzFJnxOZx9ztNoAZwN71f6ydUH/xoTsXG2eu0xxJ68C+ngbusMPLOM3TvNpcl6ZQCI
KuDVacRU4YsLCmRa9j6yrPSgNKc6ermW3Zo1tFlUl/MrKRk2ritf7NrBnZ/xfORnJ/dDvm6nvVLu
ZGEV0PLr2gkJOtBq/8p1ZiZuqb2cA0iud9NNmef8S7fvm59F5EZ3vc+4Qteb9lREzouVNOa9SUWS
VyDqLM4KO/SdY+DJbA5yN1TbxlRPwH3CNwQfEw97QMSf6d1T1eXdfchoAcC+iu5jJe6tJmsDmcv2
mI41zLeu18kUwJ7WaREcnnL2hyA3su4weFWyrdXwpEjVfDB754c3qIn1aPCPdmirK1NNZHvLjNhb
djEim9N8es/cct8xlL4ek8QKjGrSvziNPhubXo5DgEOYKBhniD6ZJrJ9065awoTHwnhp7Fm/jRox
PJd+2j777NSPhRnlSOMwgNzGg0Mf2Ci7b21elgdyPugW8BnAi3WzQ637QKscXAueXZmBnQzq85TZ
44ZX0skDcqy9T0bsRPswZNI2s5xQZUXpux/18+e5RnWweLPynY+0hTcKN9BraZWcb6yCpbCP3U01
a9XRQmy898p6fJKOd+PhuT2a2D/vgcj1dxj800M/Uyvzcpt3NrbpzTTE9YEmoUpIT3aH6zSx/ZeM
VE0K9s54gTQQ70Vqm98kfdcjE9Tqu+ykd3abtoJQakztvnXLMqiFTG4Z61uBoylvT23SB7k2NIzs
4oEYqjEnApvs86IVxXXaQOtEhu9r15pqrU02cNQAXpAejHjES+9PkOimeriVyN1IS4n9mzKKo89W
3/rQQLkjkoHhWxbNTdD48Xzga1DvWTpkAzJ9YqAykOJiw5eM5LjI3W9jbtxCuyjfSiVMIIKj3m6d
FqZIQHlpBYUkKZtWEJFcqGHSvZ4W+hc7iqjrQs3Z5Uj25o0RaS2eOE92AvNWbtLVd7UFER3Lu8zM
+9dGNdVDnqOQ3GEVTqJDrbJ+n02R9wSX09tVtbwqw8o6hFQznwUsATsyh12uCjcYvWm+hnbmB6Vu
oxwvWdjZJusHdsfuyup9tcXGWl1n1KIbaUZgdPWs2LPp5PvKzPd+4cSBFTM1nuyZOrrX8cQ6XXrg
Pt1qYE8/6fh/+k2IYOZWqxOiVmYirZhoNO4mRTZ2KGT/ZjPOOkhEhkfEtP6u9GMTDgPY8Cyu3yaW
GNzKat4mtkOH1unt7qQX0zvAGOeGmuJWjawLDMi1feMYxzrW4bE2LqUz5WeAfam76oex+MJJBveN
Sm9DirMA0We1c5kQ7v0O1fM4eWJLCeBuTSfq3poqzG9BiYuAo3h+Uw2ddst72VL59BNRUA59qgmr
H3uckTD3qcbuJ+668uC5aiYJJwoXaDy2WmXq3+woFZ+dQntxjOxdVtK8ktA88aSjjHmWeTou9tgh
3hFNUX7JMlleYXv3Hqyscj5hHUhAMWftvmSgsonciRNBXI2kcDUwbCYv+Ybo1D74oQ7HMWFstUkV
fHlPL5Hs9E55yyhywpG6AHNNcrqrWN4CChfowQrnjDm0u82h25+J70of/X7Q944rc2OTTa3/hMql
VVfpMCQ3woqICGtVBgirMxl8Om8asR5BSQoBxYRjn7R+bBeofilnfM8T5eWk68fWGvSDAkC8S6WV
PBJ019zWKDx2qmneEmCO26bBx9eDdA3qxhf3hqPEQ1c57UZDr3DXgqA8QUBu+ERYRkzc/s8sNvNN
Col60w3Rm46hENGDnSCerN4duLabjglUAJU8541W4N85RnZNWOyNYZBBZDPi5eAV48smqmbf1ymI
WPR7wzFJa2rP1Juf6E4V33Sn1d7KQvADlIV/ZriSfDKBDhboIfE0pzonhBIR8JUk5+Q1rJfYdhx1
7z6K7JvRbobrOYHHCyit3LvwEZbxe9FswKdYUwCKUuxAdjr5RnhRe0DfwXKWhDfQXan9OCk/NyBh
b4qJ3gmPQ1uEbwUevszGNhumNvvweBoYGH7Xmor31E3uRlvV71NJsBEgjOK1NGKbYpu6IWtGmO3J
CCjc5FtxPXQCPvIP4maNs6Pi+jTPPTtYn9/YnKVeCKBh5KCZ5ZYq3f3aYIxn7hrat0OckhmkJd0X
pID5m2bFRsjn0GqbMhY+3PVIbWabC25IX8s2NQOmgSwX91HhFLlFhDoxFNC8ozN63nUrsfVVpoF3
vmjns+F17aZOcncjmA6emcS1UN0t4OSp7pCSUPpb1ZXfBODaR6e0BHBjQ4Zb0NJq6zPnI6Rm9uJn
vfDyUyo0fRu2s733ZndAMluj2cUIsB3n7LVN3BhpXlefIxYxRjl12W97o+cZmoP/XBgDZv8EgiGK
KLs/6ah0d7RRwV7Ok6jvsZ2lnzLDRWtGikVAr7f2NrmMrf2USnWH4XK4FnFrHUBG1PJtzqx5G2IY
2/lumu+KnmoPTQ9JgXHVxI+ZLOw9VrGGSL3uRSXCOziJa2zHPv5eN1H/nE9F+gV/OZF36IkCGGRG
gBg6Obpjoe1otstko8Ka7pqLKsBya0IP5txRuxmZ9ym2kPnsoiwvP9lZ7dNIuuA3UNax9xmJY2NX
H3hrH/3O1ZuvcgBGdAfuxy9Yr7XS3ojJNMn2icpm6XBe+nt2kiXhofUzv7xdKT0CN2lxP2ZzI/Y1
Dt8C/5Enxi0WoGjYxSHS6d04p6Z/lcFfRBRY53qy7a3E7ALJISn/tDIq1h7YPE6hdk7ww1L8Z2nq
7cnvWt74Lla6+MTov3rWjS4lJ0xrtfK5mWw1bKbEapxdOQmvfilGpV13g8WZuvFRpz+2fkVLpaV5
Nj3TPaEfYCZ21RyEnP3jTNRTdEjMPnbutCb2zVOY0XQ5ummafze4Sbu2oxe5pc+fiHNkTty0Fe8R
8aoYBwMDZnm7NggTL4NNndUN8TOL+4jWEc4sekzo7cL+VJmlUx3GOInKp37C9XGndZKrWXuSK2fe
jSaHE0acTtqd7Pqc7iZq+BLXNHY8FvQGoMU+0hcCDdt3/+bPXhueE1Usz/LShcm9bgDCy4C05iaj
4XldORbTpX80XxiTU+7Rr1k7JJMdU8lpLQ3K64Ft1bpyCsV7IMWkzBPi98G5WxkmPogY4y5vDNhz
ASPcJTuhTx3t7IyEzTzVs3BbVCMkwE8hLFR7LyB8ls82Doz5iAvMTLcdMavTc3vhQfWXR7Q+9R6t
XthvahRnxZ7sIlpNq+cTgSzduSQV6stCO0xvFwD8dE4obKCPTbgEiLAbHJpFWqK65kcR0zgiw9Ke
OlIotUG7MmFixEuMwv9wdl7LcSNbFv2ViX7HHXgzMfc+lAO9RImyLwhJTcF7j6+fhWLfaVZKZM1k
hF4kUqisRNpz9lkbRAO6I572BPsp8USzPmtzP5J9eKJ4nAmhiukOcMQW93BSZYaFva9IsGy0qlR6
ooZ/4fTVkF3sNlwlLL43VACjW8QsFSaV1AbfDCYBh1v29PZH7NT1coG0Knf2LR9RXQWoZsltc2ZW
UaZ4xB3JL2QEnN80VHqqF1Bn3MgfsV1rD69/CfE7eAh4VJKiKnFg00SGcppwGJH6Ez6dS1jKRrnc
pfq0JJej16yeJbX2pxcSFaQKlbq8i56IEuYjFZCkd6834ugQ/DwUTc5RAz9FUlb3yDuKOYak0oqy
a8BfKlzvm7sicorwhvBNmR7ws1HJGeSWO3y1TAIX90MSrVJIFYGX8mdd1Aj01oFQbiK7Sa17BQQt
yoSjAOlJh5ZlFTiSrR4l8bzVJzbHi0KlzAxtKZk8uyytLzioLhtVtxSOyJQJQLAYTN3Zx5mJqj0f
qki/Aq3A3aZ0FCdlsLtecmjNcv5MfZ6KfBukNMt6078dNCLFl52lqMVOmeCm3ZLfRgdizQnlsE+z
4fXe03QhkH8s41oTRqC80AyI47BygbTb3eJd27VHCNmMsz6/ASLdpJfaZMf4lPXeu1azXW2nU9fw
UHc4YmJNCs/pZsjNgts67AB7c6ZZpzJ65A2wEpgXsEqo9Fi1DKdDK50tiyHjBNeG4hCobslQlFuU
4thUzohTkFRlSd9917loh/cFqSRs0ZLKeDD6iV3UDJ2elJETpE53y5vJzQNAABLfbm117FavN/bX
cjiaqmpA2FYnDo2I82ljh3ga1gNwfTMGU5985C4/OCh0h4I6h3BkS755KnyzjvX4TyYWR0kl6jZy
vfbRzu9pwUWBjUTqLwXfsfT1qdBK+6vkgYJMXzG0ZPZJvDgNkI4oze7wiGya7cDuGFz0nObGneGF
9bLeZYIasA9T0g8tT1e2WBNfPRVURDUC/kuL1lU3rYHvwgHhasQ5YSyH+XFU63TcrMy1x4J6h363
6O7ykdnUBDcG97h6h8gAzRTSvm6kBCDkek1pTdxdzuliz/4yeSo3eArMom2omuO4SYoR7wldcaKU
7F7eZgdbgRm2NbwCVC5iing7JEzCjRlGinqrN8mg5xtdrdseq3Muu1sQ6aTYkNsj24kJAZwT1BlC
thIxDW+QkhlSvsAfWU5O32MbRwV4KEW/fnpRSdnbyVWoVVX/xnSHEAdohRPOluIu3lrIxaK8wqE0
+7qQl6HSEiMHd6sm3NPwmmG7vcSPMcnu7Li1qnsy5s37J7oDZm3MNCdVyR5sEq8FckjRSPXd6Ck4
v3qqy8oHFFC3RhuHWHmCMJjgKlrqtyeJ/pMppz2GxfJmySd0ag2iU/19l9mBfZ0b6jCfIdocv/qz
RZauAY2JOgAKL2lmyxDEHRykqLROI+e6xjs59zFOMfxlbl308WijDe1CwxZNe/Nk2ZKPgebctU40
hLsEHoF2eKrGINKL5xkbSdW1OEkreKKA+nFxPFc86rkmg8vUlmkcmXAPTWI18zDV9H3hLtquyTT+
pRjAH+7yQEMdDe9iCG9mEldXqqZ2hCjDfFToTAvO//b1OS6IAkh4Wi5gRkgT61ZHXc66YD1LePa1
gsTWngfuziWGRGrfuO8me6raa05d+oSnZ5+WG/Si+aWGI8ujMplUtjcdiJatCwgO8zzWiFVyaS3s
SJyNyBv1Y39YFg5Lu1kxlFI5szAJiiFmJyIGZHyQMmBUsIwKioCwqVkkcr2/espvwgBq7XsvDNm+
nvJxTyC9pzOPp+VpdVkzAN7NhWl84UARr/ox0mrb/wtB+1cgDgbFNI/EnQlIGea5MN9sS5887mTj
VU9p3M3oUaX6tlpqB4C+Ms4EqvUBd/tNGM0FCvIBxQxHsiZEue7h7Km/56tV+sWTqyxGx3gCbPLE
++JZyjh8NHVk2h+4TpnTAaSZ+oYzURETexiX9oKkdqpd14gipnsSfwBen8x5kAQ2/Q0HXQ8vpLEA
9UyQu17Zrk9uP+ZYBziHN0HmXfc4L3zuYPaoe3KEJPeQwyfqFt5FPfyght6ur2xXGQooCwVsewoQ
auo3DWODaMAND25phcWHoKzwcJ8hJhWbOFKL+c+uUiedpGQwKy463ZQiUWw0FOMSMhwnOyxl0Lc5
tUXp+pMSrp0MTnZPouk2D6jEhSyZfHNjZ/538Vx6FHbbVlUvlGZaTQz+Mi7rrQosL9/ZDMHZj/Cv
5HtmfVmQeCmgcFwophUX+zSs0aMPtEsl554QeWQjSa/cqZqVA6cDJN5gzgbvOnachSj6UzmOwjnL
8UslDyhyfTqhgjDuCNm03MY+4nIzhnerEAiPIc1W4q2LmWxFYo282HUAh3kNnnHJ3yNACEymELW4
W6W0YbwNrVabN7FF0QpWoPHcYJWqZBdDYrYNNh0VlZq5U3Q6boRq4VxapGuw8yVkckgdbnGXTHSF
Mjoj5KRAUrpYdgu+q/denuSdHy+2wbIedvWqRozne3R0RXKByqSgHHtuI+qOEyVJr9K28wz/qSxM
p4QIbQJhIIAzYGk+zKO2ZLsn2fxo9Qt+uM04EXoPWtjGpT4V2dd4sfr4PRURubEpctzM3kwO3kiv
r1v6L6pFUAgWngJrhfe6GAhzrOu1jAO8ByA6LNAmZ2Vb31vcNh4U1aKgCfDLGF8QjM+UL51bQD4K
tHGeeCcce/f2OFOemVS4ne6wB9F6YoBEUij7CRmcQD3bakfNS5q/5T5YvoWG6A6XT9WZlc4utHWr
wNoFSWHfm6NiHUDNlblf8nEfSMejTmrckuPtma+8ng3/3qvWVY/TqInJC6ZILH7iXmUtRsUGP+hX
7lGZP2hlnl8hYcMGKC7bErX34nVXhEuYNuCrENT9VSmSJ65zWWR1+aEB2z75nkuU7jpXlM66hHVJ
mcLizpmzmyyjay5G3IzSe0pxqvR9lhFhLMIgDs9IbX4RJYLp43BtAcjQqKLla53uO41HySOlKvZf
NOdFxQrjk2k3+gFySdUD0wit4pbS5TK8TuA6uldR7Uzj7aB6vbN1QWKuOPVssfZ9aT1UGFkW4car
YZYeHNIVFBrWnbJ8zLh0EjY7VgmqSkV61iFg+zWdKcnVo4Wdd0QTV17HMVTbRy5hTbQuZPAQflTZ
bFSPoasqJK6PJ9z/1/tE1+aabBAcydh8uTCLZcx4oTUmckCF/AXJ54eymhbjvZmq6OdJtHOUUo51
5k/6y6e6Ibs2Yk8jvkup/L6rR35pYYOG4DAoDUVEUEOz7XikPOQNaJLDlIbmsEsHov1EFdO0eYiQ
pwAWCoBznYPgnApN10OzY6DQszREdnAQRQDiONuLRq2nhtRtNQVPj9UwuYpT1i2KHAzbuU3X8RW5
Qs5JVdP3GB0GmeZeVl0zwlM9Gj0tOtaMd1gAEeQuNDSbFfoWC/ZV05CPy0KkixtqdJXyJzbLKQFT
hKXcfF9/N79evg0ojh44O260GkxJcXjqo9E7aaBdjQrOwpdLl1alj6EurLMausKnyWXvIVZI7Jht
Ys4bMpgAsG6bauwJT5YLTCYC+KsbIZtHf5NTF6huIqNI+0M7K+EVpnTusq8s14XbR87j6xPwgPDG
WrFxrGtChwTipAUug4+whQmR6y/sEX9RXorjSdqbQz5iUbHoe2MjCXigbMUo8YydqxIX047Kkj3B
oZakILq2r0oWzcGfLPHO8nkex65906Z5qZw7VJ6uVNxyDWc9VrLNrUB9PvF0cgNMp5ZSAS6eNi6x
PriUqG5zsu044tgl0SvLmFCeTQiB+JcBotmHECat9t0hDJv8fIoKHt/of/6Y/it8LN8+rZPtv/6b
v/8AN0AIKOqEv/7rocz589/r//nf3zn9H/+6jX80rJU/u1d/y38s777lj634SydP5tP/at3uW/ft
5C/7oou7+b5/bOZ3j22fdcdW8D3W3/y//vA/Ho9PeZirx3/+8aPscbfmaWFcFn/89aPLP//5h7Z2
/n8+f/5fP1y/wD//uCz+jL/98vuP39run394zj84NHE7ouyXmAVxgD/+Y3xcf2K7/+DvhDGA5BCe
UtefYMXWRf/8w7D+QcUWCmMAJNhQH/9TW0Ij5n/9g6gg/4gXzwrKIhTyx7/bdfL+/n6fz12eTy+1
ytGfZsU/rIvQswsLtrT472WTs++sKMNrcJnnT5FuT3fPuuGvjzv/eGo+Th+fOMjQxgl2C6rmpnk3
2osaPoQQ1H++/vxTFv+/m6+LcD08P1O0GoG9JwgJHaxCbrOuCwn6JYrOch2NQ90FZwKav+8rXbwn
tVS2JNym7f3UUgO/gXsUUjw+2+7X17/MqWr27y+zfsln74KTv4rz9YwaSavMWw0JWf5+VBPVvpnd
rph8xVlIa+ZzXb17/QNf+kLCbZU9oRrI+9v7IfOc6YrcbtBvzZbY0P71D1hf899nrb+/0frBz76R
C6EBog0qwTElZHllz0agb6u01SP4RVGi32p92qdbpJLFTNoOVAfFdEU0NGeKYl4YHsfKw2efj63E
aFHg5Ph5RgL3HfSiuv9ogFBRrzol8px7Ck4M+/L1LyvgnP/+tsI6XTk5jLMWeW4fko/bUlLrO4b2
s0oN0qeIzscBVcjsKDclBIp03+uc5kkShlBAzxQnvPRC9dP+zsI5pxZwpL+R22+NpvzpWBzcX/9+
Lz183aaedWbJsjC6c2dRbtM6n9USOn4A7OHMVeSlpwsLUeYmsd0amICmRhw/quwqN4WCRe+ZzfSF
x4vB11IZudZGlrXPOmf4qCHVoFRlceSWOXe9Xj3rGjAJSVXptbWn2nZZ9uqkAGmxq7I8F2B6qflC
iEZHLMKdImHpKU0QNrNtT+amrpm3O6mXK56eMYaE3dqCb4bg6thv27iNuo850byfcs8XlprWVXt1
nHAuX0otx6TGVMgGx2nbnHm/63N+s9K4a8c9ewMeMsqsx6uWWAK5sMNI5gyN0jiTJq7jyPQkP0aY
4oYJYgABtOOjvNS7C5Kx5FWXQsumfRV34yQ31cSjf10OBJCm3PUrxKcPRASjNwXRpofX38VLfSVM
ZHJXrsZx2/N1BWBA1jaOgdvSXNafUguazpmuemnIChM6AqgAo6Zy/QYNxqWSL+ob6ObN2bvF71+4
I5wsyiCGYEsSAeFXrYNXSSbzi72U1Zmd64XWO8KMJjVTQjWyuTxkvIEuC7F16kkynbsZvdB6YT73
sVHM2Zy4vtkOKe9gdqF5IO9G0PL6O36p/cJZIvUUqwbH4frEa+vikirqgrKNxFnGt3IfIExoR5+N
VlOQg3tAqD46wAHeTnFYz5LtFyaaM68aderu/AoBaXwBQXnyNlGK6EluijnCVgnerLY7vXH8tA0r
87JFteNu0Jg157bLdaT8ZkVyhFk2h0lIqoxXXHN7bHZJSEnj21zBceQKczIyQWDc5+IzhFrja1+E
YyF5DHGEiZdNIXoZdNA+iJ6suoqUNsBffYHOROlRN2Icuyk6TCExm7arHKUnYtKdbY5G+X5QO7uX
62Cx9HymytBxU7i7uaP0OyMeHdSNqI5fH35COeP/HrZsYYJaQzfFtV57vqEuTQlYLBigcwTLkl1U
XKjnNyH8yZ9UPI/5hbm4hXWHEEkvbnUqO5PPbko54pmmvDDVbGEuu0ViVSX6eb9yglXauHiP1TSN
tdw6agszOaNOQwMz6/goNEY/RCKbbUJwNX++3pEvtV6Yx73W2G4CacqnWtf9gqdvRfWakssto8fK
z2fbMmrBIgFp7flWxk1m22suBRngWef2zCh7YZYdk+7PPqCN65n8UOP6HWWMOubVTaN+nypt9YvQ
KZSiiKyvSBAvdhX+qPIFMoBcvwnrhzEWGYOogbbvBnm/qWodUvbcmyQ+5D5AWD8Wc0nr3m6cfU+y
bU9OMdzh86rs5J4uLBJ24FEtX0+L3/Zh5y8FpRI2JRln1qAXBpUlbM62pkbKxD0Lm3tMdnW4DLtg
LnW5QXV0N3n2zrmIwHWKy8XXuTdu1Ej7VBD8lXuvIrCQ7FJhYpOw+KEzd7f9XKhsz3WkJZLPF6Zz
hB6lMpp58ZUg9y71YUp3AVkZX+q1WsJsNqrBqrqUp3eBbm5HA2pAm2uxZNvX1/2s492CDNZA/b2/
FoNtUwNtro2tntyAF8kQSG4b7FnaBQxqnB1arwi3g2Uuh9d7Zu2B32zHljBfi8CKlkVTRp8M0yM3
wXQ4mIShC78bnXO6pJeGvTBljQFedJIGo28wcVHDl8leM8tU7oZsCVMWAyLDHBd79EGZ2Zf4y/W7
hAysXO+LWXatgwvgLkm/Ghab13GWO7fVlMk13RQ2azbqIMUUvfNrCs8Br1l6u3WiCYzn6y/3hY43
hS3YCqDLK2thdEXN8FXahd1NHwSZ3KQyhSlLfFQhhZB0h6YPx/a9McIAe2M1rh1J9r0wa1NUMeic
dUSvYb9s08r6MntzcWbgv9Q3678/m7RWoqS4ZwfDHvIAmKu2x+nJQ2Yo1/PG6dMNih9AMboDPa98
aXTOd4U3BZKvVZiz8BIbRWntv5puAnLaWAP2IXJNF2er5Qa9G2nDWsi4ohp5eivfMcJspUS8wsuQ
p08Y8Gx7N+03tq2fNev7/WpmCBtsZFpuicqVp5v6Yw2C/hDGoWSw6cjWfjZiUqSvbhzycNCHuU9l
GMYsqT3JnQ1EB4apQ6+ZzemwtzoAapM26ButCjq5LcoQ5irabQpNDbXfFxQcbxDKP8KH0+RGjCHM
U0D4MGmjsd/naUTxuWl9UYb2nPHdC/P0KDt81utqYIGujEDbrin1XTvF39pVny411kWxQw2lNeEk
3O+x3UV/nIDY6gElSj5dP10EHCNRsMbCHtPxeu22JT3yFqh4dkbk8FLHCPN06qlONXmyv2gkGzdL
gRZgp3SKe84i+KUPEKaqXqMvw/Nw8GdzpcErRmX51ah3P6T6XtSLaoAPQKvm7KxBmwHBaLVdmybz
Xu7pwtbaNwESpdnqfXRGX0Hg3remcS/3aGFXneA25/OsoHaKlDuWxy+zjmBZ7tnCPPViKhM0eLYA
lyOXOh/roUyDUm4REB1MYdQqjedSFKrEGFUBJb5x9FqVbPk6ip7NU9K3sB0nV9lTF/NnPGufEI6f
kX68MBB1YTPFIjFU2K9nn8e2VB/rLdyJuTVCuaX36PnzrOk4b/RRaqLyRmypfjZx94EZAjpN7qQh
lljg5KNTFVb2ONY0y66cnO9gns+Zib/UN8IkDdy4doa46X1rbuZtnlc0PT2XeX3h4Udo3bOO8fCM
hRWJro+svHfrwg6+zZSg+iQ11kXYv05pYNM1McMxgkVg5ONnqPJyr/QoSH7W8sUsvSSI0t5vrMHY
aO70BYuit3LtFuaoOZrTiAaddiftg9nPt6DVz9ASX+pwYSctR3ABnRF2e+q7lK0CjSpeVMn4gLZ+
6LM+0RAlOphQKXtb9d7ks/PFbeZMbmkRtTgwvgdWc/okiwqQtOUBwzq5lfxYg/Os2WaFmHkipr4v
lwHkDUJ1S24HPcZQnz0ZSgMAdvw7fAx1b9ySGlrQO3JjRJiWcdZNUd/T6Cr/gDILtPFHqQeLitQM
VgUO4bxEM0q/N5N37y623DqliltmPaTTPNqdP7eJ9rDMne4nvdHu5Bou7JpGAR8gwREU8g7Zfb1I
L7zA+yz3bGFG4sjbrkaXCu7mnG4V1f5GyaDkxqYKc5KBXdeUWnc+Ftn4+7SmsvM8Z5CbOEejqWdj
kIpSpzOtAQ9nG1d0sBWSJwlV2DSjMIKEFc2d37voK0ajRahX2w9yHS6cbEfEIzNMpnavRRVSXtLt
uAt0kiNFONii2FRTaIXt3s2st0Zf/YhNLL3kGi7MS6Rks1q7XrtvcuMtRXI4Ow9yz9ZEUZc2xvib
TRphY91Qb3o3TK5qc7KleuUXv9SoNYeM8+xq9r3Ym0VNPmR2JHXA+gXOCznGHGGRdP5kzF2yVc2A
MiF8ZLRYamlBuHe69VRjbgbkaqijM6tv1Jd8IvnwQeaNIhg8ffRAbWtjg4bZ931o7WroQBRH6Y7U
OYJS49OnN9HgEI+eaPg0ve3L1Xqjlpuhmlg8muQOEIjIaPE+M24zBId7F7qrZI8LM7SHHGB7/dD5
apXdm1SVg/6ROqRonjg/LaXA0DZvfV239O2Ya81WM5Ofcq9TmKAzGYXWzTtoUJn9JWynq9ix3ks9
WtQ6TU2Ho56uNP6sZSPmKk59WCmFUscUTdQ6lRYFT5TdNxR1qsuuWMo7x2jl0v6aK2yeOMDgLqeN
jV8if4Gq0jfKtTKo8zu5nhGm56jg3FubPW90mP9sOcFNrftd7tHC9OzYeKLKLls/tcN3WC9fqnku
Nw5FbdMQwIRIMrNBr15T1zSG+k7Jih9y7Ra2T9DRQdtMUMm8qIIqPd/l7rlj5/rVf025aKKKaVSI
Bw8V5cdRPlj9pnHs5La2KzBqq9P3Vq79wiS1QDkUKZZXuGIaX7PI/ASqRWrzh197uiZOiBAz2wka
5v/QXgzUgVCtbcql6gBTnT49BK4TN4ZOw03tUz6AGDCV6qNUp4jqpQgnkrRRo9a3VufV/WL0s7mB
wBulcpu0I8xTEzN7t4ejQAW3ch/n+kNcy93FNUeYo1ls1VyYeXQwe/edGr8JDFsqDaU5whzFsSrI
62GmHj7IdV9x9e5eC8dYSnyriWJj3RlUa6De0A/UBW+xpvZhZ8sJxvBKOR0t4KQVeC+YvxZDpW7U
wTnUYygXHdZELVSH0yf8HLqc5fF6mPXrzJrk5pCogvLGEDMk3ON9h8rCjbPM114D1lBumAsT1GOU
UAWbNj5U6bcrfrRRO7l2i+qlJiY7gR1g7be2+ynWmvssraUucZTtnb7KYMJ8J6ySxofmXVNkF46b
es5dufVQVCN1RgIftvRq8jZRvcVn675XvA9S/S1KkVSVe1ZhqbUfxgaMrpFAxb5XFVuyY4TpmVCP
vAzJzLzxZtzzett+l8XqIvlGzdNuH2CvBmjtah8LEX2rteYdO6lc9lwTZUi9UlCoDWLBb0sPgDdr
7bw64rnekErFcDQx+18Tx3KVPq98o0ncrwCtJ7Bx+XAh92aFUzTiX9ULp4I3G0YwxQtCc4BuzVou
S6GJBYBzSnVikweV7yptWsMgqfKfveeMkldSW1gJAPVCD/GUym+iud2BdgV5h6vJQap3RDmT40wU
fA5qBTBpNZG2Ua1Tqie5+opyJnAcGjH+ovJbE3OFDUjX9Fs6g+GTWyVFRdMUNzZV5fRNGWEtF3f5
hynT5HZUS9ys9RKInNPT74VbXcwtUL0xKyO5USmqmQZjWA0zxspPAmv5hOFWeGE6bpVKdoywIhis
wpY+81q9Iqgp8u4xGN5YQWnXkh8gbNqk+rCXrQZ63mjHy6ZxP2DnKBf5p7LwdD1z0hy4PIbluKt3
7+MQS8q0ey833oUzdRhQz59lYe07hfe1KEdtE5nmOeXu2ru/uRWIQqMOjNq8wCf2mUvexkb6slFm
xdlLNV1UGjVQ7boq4+nWMPcb+ARXUJLODPajgvp3TRdOvWBAkNcBJ/BhJq8s27xIWA6ceErhl3lh
Cj5vHt/3UIsu8R5WbL+Lotp6oMTNqd9Sltzi++nk9kVKXrK8SNLCtDdOFhOMx6WCuuTNYiZ182Gs
dSje6lwX6bcyipR6a3Ow1HeaRax971T91O/A3OCnYZOlni6hzrgwiJ0pMi+DMhnnraYSTfisoOyd
DxrAVbC0zsQzxyzulkMIfLil2k5f+kOug2PbtUNuFF8nSuuDtx22lcn3Fp5v7buL7g1+M/F9d1UH
HSBRB8vdFo6uATianbC/gDgVeje2Syk2OPxFf6+7OEoMut1cVnHbLL5aengWgCcdzN3QmKG1H/C5
IISdRYO5DfE/LjnPeh4YiCY2nE1exo123cLdbQ+Z1jnq9UJvj1tYs8Plsij5XVMMqrkz1WFYNgmo
qeV9hsGhI3cKEaU1TR4Ow1ANpZ+6Yf+xcYGhNHnhdnJrgiiuqYu4Q53vlfhHgHm29OQGTwm5mhtN
1NbgjokPqUttPR7yGAmU6pj4U63GkodLUV2jFbG2KEZS+XjaWNNeb1dYL7irtN5JTV9RYdPl9Rgo
UVf65Ad+4vZzZSmtnJBeEwU2VT82Qz07pR9hCmJuutaZMrhiif5Tru3Caj9Y9WIMvV75WQ1Sc+OU
FO3D3MWWVW7oaML5eIRLgi0zlOi4mZTveTIaPxplTCRXTmErzycTp6HeKH3bAkjHtg463PDkmm4K
TTfMYOYClVU+cM7HwEzfB04sN19NYRcfyEBOmU67rR63Cy+7grstFxQ3hTdqDSiyNCKnPoXt0yZQ
PIyIM62U7BP9dANv1NCwU5LVfqiDD53S+id2Jg9SY1HkwSSUdQ+Fo5bYW/TVHYWJ8QVQxFzuXHbE
fTzL5UV2rPaFbrd+2KTmDe6mCRUvgNil2m4I/TJWRaapU8hNR9XMTe8wwuM4lrzprKyF5+KACmep
ZAk5IJABarbo1eCGK6Pqy7VduIeM2M4A/CtKymiz7Mo2Bqvb2EC35KoHYKqctr5NihCZVMlgL3rn
Cpi5+pUb8ywXaD5Sop69Vwf7kyUHVewTKJsuAzPofUftHLm1XRdOT7qR9V68rgFQaQHXjnW46bs8
l5tNurB8aY029RO3cF+ZC+MxQsv+uOR9Lqcr1URJmaUbRRIlaeVb4KuUS9DV2lYNxtE6k5l8AR6A
yeHpm6WYNQhszCr8JdOM5qFKY0yXA6fQq93YlsoD5Wx3GENmyY4zYgoA0eMyeogUyyrl3r4om2kT
jDmw+M19jkB3zrBcZ3V4hmyxfonfHJxF1QymTbjE47zht5MeXWlZ424gr4xyk06UzVG+bKt9wrF8
nOvI3Sp5Apcjj7ClPEjNalE3Z6tYTOn1enLATivA7SqkHG+u507dyn2AsCgtcCIpBNYL3zC0OF0x
6aO5SfCBk9x/dWFdgt7LuUHnA+ZeR8299J8oavgh1XhRPJd1+YyL1lL4VYMxxhQaP5fOkmy4qJ0D
T6u1berkPkf+A+45V7renrnOvTQohfUIYJsajoBV/M4c2m2qmGRgxuWdXKcIy1EXZU2ojUPhB33j
7vtIDze5FUseZUWp2Ai+3x1SI/eN1C3DDazo+ipy+iKSG4+iYMz0ptKwCzX3HavABNxzL8CCzXIr
9XEFfLbLNLgChYEXF75nRuNN2+Tm1umS4f71jl9PlL9ZakTdmDem8wDun/DCYtYcfdQ29Pb48uIg
YHO6LX6+/jEvDB5RQ+bOdgCVOixxADC6ahNZXbKOIdUrd3If8MvojNt68GJWY0t/33fqu1AL5E76
qjA2gUt0roqjCyW/lrWLG0L5+N8Vcq9XlJEVDEYlRRW415wmeDfMSvW+iCy5aiZIu6fbZBYXWq/q
bbYuNu59lRuW38WWK9npwoEfC+xcDfIiIxlOVKKs3XvFDGPJjtFPm97PXTH3c5yhEADhtKX4sP6y
ZBhLSD5f2ERgxAQB6L/MXxosV4r0NneiT3KDUdg+8BUgW02FIEWrZYA5S9sPj6NRyyU3Qf2e9kxM
HKGIgrXbKzcgt9G6l7lt9VLDHUr86dPxy+2npaHxAcjwvaXp+HWmk9xS/As82bOh4lot8Tdt7LR5
V8ToEeDIFskgdQlVRUmZi/1Pxdkz87XInndAotW3JfV872TerCqqymY75qY/1sou1MKpxPdGU+8g
b1v9mdYfIze/rse/2GTbpqFPtt0zdOzeyt/UmgalOU6HujlwVer1g4UjX7urrWwqsVXj3H5TOVh7
fdGJ4Bx6W18uHVOZrY23BD10hRlnyzd5YU36Nq/rGVRzGAXL9zKY4/5QVJwyt72VTD+M3DSvB8zD
rmas3A5G0I88AgZGtFFzHCkfIo36lvt05VQ8FLFbtTuuVCYWDTkGgJGK8vMOxriy7PjtNr7FZqgc
zpyYfr9HqSJsSQ08J9QrwLZAmVN7F3V1U8eboSGUeRmP1AuduVT8fpNSReEd+slaXwuf92GgJXcD
hjs3eqxjsSQ3doQFrVRSqyQKm/rQSB9tvb73tPCt3KOFtYxb54wh7pj6xoKeN9PNS71szwE71n3u
d0NSWM36XsnDBa9jv65gglw27ZKNOw9oc7MbOXLjT+vZWfRF6puIYjyt9izbHKzUxw7J3pvpmB2W
Kgs/yD1dWNvAj/bcFo3UH0oz2uF686lL9HP99NIwFY4gmhrGfdr0qW9nIKhRb5u4vYbTtynRlDOR
pBdehcjLR54Q9oOdhfsw7tL00FuThjpMyfZxvuBThaJbLu6DZcrpLhBGRDeCJuPLFBhcpKb9iYVI
cgNzhXODAnCEq3qR+hoJs84YD52hnVmgX3oJwiRzDLScCzW4OwDrTnfpZa11KF2PzLwdDpkqpS5Q
RSMVi2fbcewoYDpg+1HrHn72akeutFUVhXTt7NUxAHZsHR2rO6C5djdBpMldVrBdPn2zODJz5+y1
yI/hQ2MfNuc714ulIheqqKRT7UrDGzMLdtoQX2EdtzFLW67PRQ3djIVaW3Y8elnMfeDVhzzWfall
QdTQQY4u49ZLg10a69eOpVzXtlycDS7taW8jK4RVbcfBrkrG+ipp287Hwvq9XLuFSRpYmIHMhsJg
18J2X1WYrM5eZh7kni7MUtVLm8BSldh3Yrz7UL1+qsNZDg6rihq60HZCZdD72M9mPTv0XldcqHUm
J0VVRRmdMk8k9vIm9uMEU50qcm8Up2n3cv0i7IdTotZ9a5TersvNeDro+vihatJULnqmilK6CL/a
OjNxXyyG+i7NSj9pSrnNVZTSzdE0hXnIASfDHn1T9IW6XTLrzMr7wulJVNLhQgjKPiyZRO1QblCN
bSsborBUn4tSOgjoc4tZBo6fbj5vi7Aq603QFADR5Z4vTFMvn6m5SC2PQqsSj2g3C5prHBViuTpI
3G5Ol4HeLoLCqQ1vl48Luat7VABnWn6MN//meCZq6Uyw98CpwsjHotAYrtU4tygwCmF5PkBKKn2s
nhdj49RDbu1t4snjtu4wy4WQWdnzoe49td4vlRbq33LH0gc/cI3YkYqRq6LoZrGise76od0XBfbX
4GlhTJiBHEdBtYRTb+Z1xmK4VruPHQyqraADIqykculjfDtOXxm8eAMLqq7dG2MeoeHoHijYnM68
tRcmi6jq6ccaCI8zt3uM3nAwVrFCd1LJ1U8U9VhpbytGTa8vOQCIsZt/qk0kV53ErDjtFmWp8jrI
jH4fosfHCDbC6VGnOExqHorsoAVhdRAPLNVOpX9vc+N9HulyBZuqrZ+2HGdrDQhMt97dmy68jA3V
7fdRm7bFTqrxomqziOMOD5UIK5Mmstkt5wTTssiyNeOH3AcIQ7Lp0n7Bv7LHdSSq9litjDtMWaTi
+/BsT7uH+wO+l0be77UVQoefMtgA05ES+6uiaLNyBrMNOh4+9LC9M9yKcNPQ5SShYE5Pm25GWMph
INzv9USrtgbO1RvCY9+lOl3UbJap66qqEXT7QY/yjasoVBNOpip3yBI1myHCZ9VUjG5fIvPa4GYW
3mWO0X2Ua7uw7ZhjVRmaXXd7xVtN2NMl3MezJdkxwvkwbkatJG/f7f+HuTPbjhtHs/Wr9Mp7VpMg
AQK9OuuCZIQiQqMtWR5uuDzIBAeQIAgSBJ/+7HBld2XGKWee0tVZmTe2LCoUgeEf9r8/GKaSB2Az
2i8s3NLXxeSXEhipUFIedDLv6tAAOK5JuStLyOj+/I35SZp4qYLponYk7RDzPRAwdHmQs6rVHtDs
zuwTo3EL/vmP+dkxf/EWlUtcJlGDX4ISDjI5oRUgn/PrFDFhcnGgaYCerWV4elX1dcEhh8nF4L+9
7qVfXK5tg8sbekaz00CS5bUagRJW5evOmktFjNBJaBWlZre087JXEjw6GBhvrztsLiWJXgF/uhln
dlZu3T6a2ndb1NDXfaSXgsRNqmQbUI3cgf+b5qpbmxyS1NcJ88NLRWKf+tSmvNS7QAUmbzbdA97t
X+fcFF7qEcsk6UzUML2r7ShzgOO7HPTj17kKgsD8x1N4jjxKzqbi+6bpt6cNdKLnJuz/ykr+J1vp
Uo5Yxs5FM8TKO2oizKOcz3hNor+q3f3s6RcbFdwzlKu9EPskQOl8Cc6owadXbaRLfVYbkagE0iLd
w+cL8Mplg0zWAor04XWPv9inoCyCaxUasada9RAiNiuTNyzqev66vfqDpfa7/rOe+IzASYu9mCKA
VcmpC195+V3Ks2DENVpP8GiVIFg9N/771yljw0ttFvgMdSnTUey3s/VR66IkTySoWK960y+1WU3Y
Sbv5IQF+tDz0Rj+E7HVuguGlMAt5CJIapZKCQfDT9MFN0tdvXveqLzYohY2QNHGfFITNKrpKNCjc
R+nU/O51zz9vrt+tlF5HYwPSZbpPhmiFhXoyJafzqN5f+Qmew7l/keleCpfqoNUJdyXbKx1MB1su
iwIPNwRkDHOqaXms1Obkrd1A7fuLzzlKfiST/+qHXlyyqScl0Mhjh0xhdf2aR13dEb1rW+y6bi/L
te2ycVAgyGR9POJuXxtvAMgcOs2k2iOxblqVdVu7+KMEfrT8HMcOwrg+hLa6zeLGb+A4I8jR403L
Iq5vl6l0ETuuQZKObWa2rgrqLIxFHVdA36YagdDA8NFlVIxD9VkbqeYoS9q0Vsd4a2H3XHgk9GlV
+HFxJm8BfV0fYSHnljqjLag7sPn29Tr1GfjpAUsy4WEN3x4i3TJY3yvULK3KMFcAuB8cUNOhf6eJ
QuzYpA3/rrTCX5t5BNqPQXceZzPeoTZfFkdq4IvnFdSlNoyn/vOAom06Z6sB6NtllLNKfuzrpBVf
weMGeweDnNtgVAa3r8Z/OKvRgARVfs16mEZNuXP1FLVFisHJcrehlUJ2ASnXKS85VprIF5A0qSrI
stHwOuILE/saWFCwMIHh9gdQAvo8ZXpht00417wI6xjgTZmyEVEYV7wAX7Svs3Ws2NhDYdkMsiqs
QIqV5qiQrNWAVzb2Js04YSnmRpb6qkxShI04S5iaT/i0BllnhiOyy0QUdKqYVU8+jVaxwvltTb/O
9ebjvTYDbe82Qzh7liNJ07vYlnF8s5WSz1XRbZhRSfbCzREcETaWzt0tJjQ4Pi9d1xovrgo3kAD3
IVyNEY2pcNjag2fx6r6MXNWgsg8LisHHFMOO4ikC8nTyedeDU7yreHC2gezmrncBplg2yBThoJPO
y7zz+CyH4UgoCmnkyNqey6xlrdizVgK3zVbAE5HA+mBazpHlMl2H89TunMEZdceGam6e1pVUPUgQ
VT+Q4wJKaJIPlUwIXGKl7wpUIST/yG3cD9di3VCmkQCkriZz2qKYnwlw7wkiKAsgcpyDAhc3b6KW
G7aHwUq7XvfERahqn3nDbkOb2S4VpqtCPzELySKDyVrYzV9IF2Bmxixpoh9TCmB4IcuJNl9QqeAd
No1KhqWYGjpMdy047ewJ8qxR7RufYkxIDOFATxsFbfgmkq7dvtV9N8yYmDHBkNyN2LRy12vpyVGr
qBnfy0DxkOB4aytGsxQgeH0XWttGX5KmLLnPykqo6sq5ZaGn0NTJ8KFxzNMcnvchptErF0cC1s6U
dV9L66q2ytqx5V/AXh/1e0yXA06M7hLuLujdB3+LQYaJ45uHIPk6NGbZjiA0e//UbmEU5VpiJ30F
A3xhh6ol250VYbUPycibe27mlO1CXmv5dmzluj04CN1JgA4xfAM4GLLYNMfJ2b7/3qJzA2Q8GJ/+
ahiarrwaiYjM9TwCCJs3SZyQj8CqJuJb5NryDiPkwQltpO0rJP4qaxytigoGQUGx1ht3JzAklu0A
86D4QyfqRBS6wyzim9TLrr+LwHSNjm6oZ78DO7hZD8KfMcwpW9vwfcjKtnwrR1HpXHsbwBOxCcWE
YQLFpuW0bBM1t1O42fAYawaqKsAd5XA/g0Iv96FshxQ4+2bB2ekoN3IPhXNkbkexsK8dPAH6vESV
xt3LNTQ4SuSwuh2jgzVVEaJbtVy3DQyO92U1a4wZBOlSPUk+ieSotNYss2Vg2BcpRaPzqp9a22S8
j8oQ7KEkXo9gj062sI6EQWGnnkRZ321Of4ytwCsoAAmOYGe44lXUQTWZrFmDqd/1Z0ueDIZ2W3s3
Ogym7ag27hMJvWMgnlVgMeZAQbBbhEvVS4ktnOZNJ4nKmXJ0eO/HmFIYHCkFy7MsbretPjqLOdYn
Dz6dKQEmB1Mb5/2m3TBkjcU17TJUvJfpaxtZW71d5CauweEwuBVaWNaItx0edf40tZ3NjgqGdueu
d0TRDCOaPb3qRCTa3bJUceezKrJ8u3brVKHQuAIvJQ5h6REoYpxNyuME+lmQbQa440dGW0MKYMTn
oJjCJRJF6reteTbhFjeHxW5OXM3AgpbF6Ejpb2Lg5x7CaGrqRxR7iW+zuuus2MM6vrIn0SKNuQMZ
euD7pK1x6dmypCNUzYlcb1QVNm0OHmpk80SbNMB4gZnK2mGEbpuitzZsFWYm+sTah3pFl+owoG/c
3A2wu6vHbPEJKDowF89GZ0R0jGIx2Xs6jUH/mdQr725YF09YaL1UnfwWA6qK5aDg2zbthorXyx6/
2drsqGqT6R1rF1mepqpu4iNmXVl3OxsC8NYOZ1LHCvCS4vJlg18yjM0n2dDDNNRVBSUvxlGwUEBn
bk6ysV4fdKNiKGQJFLPApGugD7PF+p489oHgp0V14pmDTDtmsEmn5VMSyS4AwLx7PIteD7BSIX5v
vUkfIf9cvwNeHboiCnAB5kvTt981pryegXP19MBwPEfZIsbWHyLXv29N0hSwQ67fIquBR9IWBgAS
dmZTaS5WgqWvQgAb7ha9LrmeEKw9tARtw31lA1K4pi4IXD3fsLRf3G23EZ8Agd1M9FGJkQd7OQQ6
l+tAMtAkQiwD5bo8nOk2fTINQVrGGxip5Ba54G1jMff5IBO4KRaQOZXXDn9xu1VdVdSInVBbIG28
Fk1i/IfWmMrmCiM+/gaWgPFnacyaJQ27laoNj8s0BfEV5mx1fByhwDqIlCePW6RgBiMFdv1TGGEv
nhHtC9ZDR3NCcO+Hoqn7AqfONN5twcx3Cxd9PofljW4C9Q6evct9OuOIL2in4qIeh69bKMfMq7L+
BLZKc5M4D7dzN6EKfWiZ8QkiDrsOvggNje37MaowPopAawO4PbBwHIRXX4t1kA0uSJ4IWDGkqJ2O
+q98iXHeB5hhutbNBG12A9FwdS1iuy7foXuxdSbQZd2KMCALveap3dZvaa/cvlospMuZhEH/PR8t
k/m4BlK/kR0Ow0/xoMrMTIGOZa5aP8NRBejobshak+rqtJHImgJaIDtfuYmpW6cQDH7vbfoQ201F
Rd9ElcJbJTH03olgLB+I1uW6hzCy799Cs2abR9gbsBsZ1uVypUbv/V0KfwVdmBWN+WMCq5wlUzNx
JIvXcZQf5t5U4adaxst9E5PxQRuzyczBgn1aUPfdVvZ1iOoxerRgJAYfYrTCAsC9cZLCtslaiina
pGPU52ltFpJXGgTak6w3k4/jnKI7xea5zNONLntu56a5QnKy6VsHTcyDwGWbmmxxChKoit4Rofrc
p4AYmhKyPJzfcxY0cwn5sZxzYrZ0tzJRH72q89L1HxWIYlm61u7ooKNrhv491Hg+9/GQgAietAzm
Jg64BDOIDtcXRq54U4YwaZt9UXWJRmQ/aaAAFxHd1L0NfCGNDA/UQX/rSzRFk57ZXYS537zrzJjV
MYW1g2H9O0S9n1hL7+cIYIbIYosm/qzEVmRF/Mk+VLW4XWKRD2OEnRFF4ZVsAQbPt6ZBwT4Ik8dI
ufGI4ntrsqjp4qs20SKfMer3MIUdPwVN2ps8rIY75Bl2uSJdShnA1GuoxjstR4nx9QhWsHstmm64
jZV2Ae4KeCBcC1bFRTOMdt3TqE6W+6gPDQyd0bgXTwnvndwvHdBLDyOR8Qc+ARtUTEmJ2hKvA8vu
fK/LdB+axpF7NDTj/u1k2XZPk66LrnQ3DMGaTefyRZ/gxMVoATSQHJxrjdxk6ytxXeLI1GsOXnr1
4KGsCvKVYfe+nTY3YuC+iyPicthklm2eiqjW9+2EGibevKobd7HH3Ha3xyxutONl3PeFCUui86iW
XXSbzPpMCmbTObjmkO7KKhd8oaRQ8xhGMx6CmfFe2XTX8A7WXNmmMCL4pDHKGz9XExtuTD8jrM9l
1QQ5aNZLiqXL1yVLHcMhQWa4Xxwq5jSCynQNkQtWFp1c+AQYB8ZSnAT2WOPFhG/mARszJ5SNRevl
3F+1K+6TjzQ0btmTtO0iMHAMzPWipI554dNOfhULrbIpjrb9zOf1Q9+XkiDloWUz3c1Q0eHEMwjp
61Nca4fef+nvuT+DdzezxdcT52244yAnrQjfEOoWZkti+uy6JaiOLeupfZq7Mlre9maOcrRDRvLJ
d6VbcrrWQaFb+U6s85wtOnjxLcaVBvRlM7M28iCthvVKgrl+BHtxvm0WcPYUCfkI2W/7aE1IDqQl
7modZrFzKo2v21iI9x0Cqnz1zZcKRtb3EUpaDzIirAKmwD5St5yGATfDibvKf4t0Ez2PPeXyQGqJ
8YKtmTZxOwbEPIQO/sOwv6e3cA6dM848fE7mcLtC2DI+Vyg5mYcl0BCY2zXN5wCSizKgz5z3U+YH
fovODzwGgMGNTTaF1TWOuOXoDSfvcLpXu5aAT54ptVpobwA7IdQFeeVAgChabB28P7PDmVHWh3pO
qzPmHMAwVvnTxvg3ziv7JiFJcmJhiwUXdyavQ/amo0a9i7ZuvedMN2+qUE8QUs1d247ZGtbCTVmF
/M3vPXiI/sAWUj2zaNUn23guiqYfWa62eVv3vWnoyUMom7xzAU8fq87FAA0Q26fBoVTp4rqsxF7h
MH7wMvxWgwpv31HKmM+WWq0c4uRocb6ozw4Xx86vG4yAuIm8Bit6HCessrWOh6ao2BIFpyVKMGeN
iX0XnoyMSnE3BSDL7xc4V4TPG+sIy4VPFns9J5pWn5CLqRHQDBKQg651ndw069KBKFz1C47WSBv+
HM+dDu/HeI71DtYgvofJxsTkcQgW0X0MsDMBYaO+pnXhuBvmzKNwXu6EndM6Nx2ibpeVcRDHXeap
n+uvK6fxeLOsw7J9AWbNIcCXllPc3h02MtVZg1mvZgdfqJJcGd7VzZs1QjVrN/RJrPY2xcFXIEev
0uN4ljzvxlSR+B7zUA29hiI8jopIrFQcI0y8rd9r3KLqfp4s12HuRbXI0zROccgymNhwxH9bQzr/
BsWelKCuA3Hwdj1N3YSTSPYpYiitsPUfW5Rf3MeWtuKYgPSOko9y6cdoitvgk0KXFoWfdaDAeqKt
InOsDkT+WTkvLQgwZl6LRVWGv2dwqbDP3MmQf5imUZCmoOkYIFgpexosj8xtzVplASFpjCinNCoX
ZdyRu2njq/+elI3ovpkag4g73oCN+dZ3chWw0KCDeQC1nLbrrl/gV3wl6oAMDwz7E2dwGJtzgAA8
Uoryt+zhGHFo4lC6Q9zKNlRFspnVDFnHGKsANhiQUSN9acbcI0hFYI24x7o3jUWI6K5EW7XmuZuC
YdkPTWDFcZrETPGJbcKZYiTdunxqBYWhAJOtmD5Z147LXlehCnLRztF1PVYly0d00+2Nb5qkwkeS
1hhAndA3yo1eRmRYI4OF0fO8JYLDe2Isb4aKjFeuXPnbMSbeTpml26bvfdd1mQGANsM8XzXHIObx
Zth7xxG+cGQs7tCEK9sRtiVBJsWcZpN1CKIzO1s3vUkjl8rvC4g9fLe1YSgL5uDpNWTVBHTKYWOK
fvHgP9ZNFg+BKE+gjCcsyaduawJkWD4MrtYNy/gqJTRKTxbXS/NZbLUsfA/3k/uBTGZXB+M2Q9gT
lMERGVts8xDlcRyNHLslh2tY/C5eLGSVi5OVPgp5vqPwltkIpsXDUOe4CLV6puhMhftGyt4WOqC1
2y0r5nNQywgwH7mlMqrveONC1IFq395hvGE+dmXN+mym5XwaQtTvbgWpLDki6O4+8UYO7q5v3XSy
Y9p3suDerzmlOD1QYazKT3BzQUZSKRypdWPaW2tDgQkJ2Ou4Y5dymevNA7eDoabwUKcm7m5HG0/d
rSnn6XrWemg+E7Pydjfw1jyhlhLvVBAjFMPrYfzotzQxebcm7pnCY+fFEBaGmYSrTI2VjGgn61yq
9jH45nM+ImEdcg51zQLiI1/RtMDhOSEmNWvezSiE5HB3EmuOQS5fZZHECh59S7pcQ/+F2QjY5pDb
QfQWVUMbbEKdUrdQ+WF1y7jdbAluvHdwrxnIjWL1XE+5jRddXw8c6jA4A65rEbIGZ1y5JPcEZM5i
GdK1gS9HCSh0j8gifRPJGDWZckKynzEQHU9bUwYrVLNjtxUtOukIFUqL2bivZQ/izJG0qCNmJbxP
+MtgUVvDfYbsBcTJNYTsabM4424DLgb7iJ4bMTcOfgMIfh1IqHfJDBuonHOj3b1CS/RLsiG9/dRX
1Mr3cqgwMtdarTuoAVXypIhAigMuMDKBFqQUFIJAhMQBuOj3skbpA4Xmad9Os48yHBRrWWcbCtK0
aFMmZXftXYrqSYYps+iTmXQf5wPqK8u919Xm3oR6DNIPrhz7+X5ealGfuBTIa3ZqLtv6uFRyjSQO
XUK/tw6B7afWV04tu01oeGW3w7i9Q/tAQXW0oM6k1mzFPW8OazM5bG8yPpNYxnt0eqJrmCDgNuEU
RudZ79icvsN+cN1OSCuRufCoX28cn/v2o1MoyWRIZOfkNgoI6190I0RbtENpyFNANrXc+ZA3y105
gPP2hqOuSn5Uk+Y7PcVx/532k0gPa1R1YZ4ksMu+wW1W4cauVkpcUbJ05ToHKQvi33yLIFh7XOBt
FJ4YfJrCawr7kO6EiGnVAPeFa38rNKqsGdOxg9u5luYlpHEt78hW9tAAlmHbH2A7H5AHTD2mbMjB
cNocuje913vQF53ZQxqkVY6eCJ2/9E5NAfCGm+XHoEMd5EPYqRFZBEP4WERG6AYJDIJadTej+tfm
mI6w05zB0ici1xCAUYTu1Ab9IQALVn7pdStW/FastFeuqrkrDNW63XVxzMeCgCdj22w0yss9oqkO
aUECezNIJ7sz3Auss6FoZC3WU2mhfM8xh1QJWsDpIJzgil4qdKPRyByqE1vWeMtRE9PJAefkgF77
iHssQxU1ajOMe25NMap+7vbJOkfjS1rTtgsQJ0WJjUGrhRfOd92qDtNYLfpbdsoXhTsxyYPOiCtG
NPHrsY14zJ9nAw7LzXnNrRq/eJ00Sd5Eazzc07Tu1vcBfhuBqwEZ3zDvz17UCPIXvi3J3XzOT67L
YGhXXDRQu8IeypdVde9VNCEwMzOMAhY0llBsSnN0SqizWTgp0X+tPY5siKF8qsIXY5dg3M/wj0Vw
iG2OAgBYM4M5TWKY+T2VzVLhWuTN9q2V6CV8aho3tPukSvoAyfCo4x4kZWbqNwlCG1wNRKQJ3Wsc
7eOL1Al1PLOwYPd3Lk1m/hShsFYD3oLqvf0iYMbaPutgHoKHoUK75s0imnHCYL3nHcnTZYQrMYbe
tOmOUqFrhUWS6HhvUgR5bAcK4jxeY36voi7f0AEaFDzWTFqnRUiZ5ddOow90g0iCs5t2TpLpse+a
1pzSKnbDMZhBOv8UhyFydNavDCM5gwrmrEuJC26GEB47b4J5musPwQaqYC4QBfQ7Pytu7urJYkxF
0TBdnrYOGrCchxNaNHXc9bBwMVVgv3I26fIpRoEoJz3oBM2ynYIN8G1TxPAN7I5OV7HPEGs0Wx6l
q50PfuhFfDCokburrmVb+BxJS+mpbtHHy3Wo0L7fYRo4NEjwepTpUbyfVhrsR0PInMdMNUGGPXfL
9HSuR/UULg77MIIwetzXQYRuDevRoPFZB0Aaz/y4aloYmdLkYNdZbAedrEHYw5CNuFlkbVyBdIYM
LGpuaGSm6ZlO8ER/SatkVjchKtvpvqNyFo/OobFSdBVqfJgthPjzoe77jl2XVde3j47jjbn2hLfT
KZwBxEG1Avpy8Mj9Rh+aOVXVaW2MaN8hqEUpCWVD5usRZQWuUG9O4LBWh/mMzayDHBYVzOsCXbyU
i30L6e3ZgDj9CIfAcIpyIWAwqXYKjZxpPqbKGbyxNm20eVgN3jR0PLESgCQnqfCPMd52jEYJKtvt
HXofqG4t2Ml7sW3pDUXWFVyToEQZMWMhvOfIuQnHyVXYMKav2iYd6c3WDZibjogf7EdXzwL1u3aG
w8XeAjPtZRY5FGLRoSSQTIXjxBdY3Bk1fVJLwsnDAJuQiezPRq0R8reVAs3OzSaWJhfKubbwypx5
cHZid9SUSX9MMIfrDmOv57ioFq/7GzLBByZbyzaMjsmmaXwTTFEU7NFbtHXR8UoguNbjpFEei1Ud
f15T0N+vy61q1reoKicW5XJZmu1b3NO4+qLbIeyOYYzRwWNYOz/eYtrf2KcOVtLy3dDTZL2JkmDy
3/1IG31TL7NKd9tMOQogAj3qDI26GT2RGr52rBxtcjuHanK59QB+Hg1eQlPMGyFtDk07Q687Sc5K
xIXvBUSgd90Cou+70LXVdGvsFvWnFLg6RAQoe5eYURDWg+g+pUnzBZWTAOUnygM9oUSIECyfeqxz
tUMzqUW1AUfoOZlx50hEBGaJcx8EkcE24aPBmIOm5/dOaOTqVYbKrbif0qULYBNQp/W3+Xwzfktn
FNswA06r4zgIBCEhTrruMTaG2DlPKpTvTTZ3CYwYXAy+U4p6aFjEhAZQxcTVWN4RmVq3x/kJC8Ol
6+vlxTarXm+GLVX0PaIAlqxZMzbzyaMgub7nqdLLPa7rKj5MiFMyBTOWMQPDp1qLPkaBHpct+o4P
iIpFepokBgTu0NpQmFMHtWBD/j62SM0peJMJtZ/nORh5hnkg4lDT1C2qFmaUb6FuiKpiWcBSfttA
kIgLEWgMWC6KhZfiOdWhgCa3D9GGQpmrNONgsxpjekk2cLT/4xwtazO/IFuuUBNDVhraz0jJtjrI
mIUAoskojle7ZVU3YEgjg7e8dtV+xbQlmD79mjD5EYPRqExnswN7ZrxSyDXqJncjbL/dCdnwSqPC
xBIKjOJ1QpcLzRXzSa+Gfup2ofjQJE9seZ0Y+NJ2hnbxsk5I0Hdx/ZYj56npK+dPLk1nBli+ibJO
0z1uqRD5qljC2wmH5V9x5X/ix4Tr4I/aH2TdxELOhbg7wCYY5VDba+WCAUZqE6QtqIktDTz1UzGS
h3VClSgHCzcIc5RmkXP8+cfyw9nvX2h1wrNw6HcCpLTxMVt8lewVFxKpsOi9Q6kH/734yLLnBHcj
/qZPop5d1bp5arb6KZq7mB7KqZ4loolK7kA/+7YusdQksykOzb94dexfq5cu0XPVijJgHZh0PwBU
2hU1RgRuoQsccwRzaCqiIciPf/4+/EQnFZ1fwe/eBjNOfkrimO0x6z+mj9YP5VzoqmYJBraRJ6JI
L4MOIevq+78YTP6JfvLSa7GB9AtXDaF7xoHbsHCU2Y0ouv3FL/Szp18IyzRgfVMqBYUoRH1pTfTs
uC7/Qgn+s2dfKD8Rw49KVyXdoxOHbML4Y40F8cqHX4jHbBTZfpgZ3aMYt4MmExXgCNWXP/+Yf/bK
L06hckWbhYqa7aswmHDhLyWqAggNXvf0i1kT0uoYwh+8L8gjYbtrBQCS2/D45w//yQq9dB1iBr0k
vTZYLjIV5NvU18rlIfMEyCBOlM70DKH1ASMjVL+KvBdeOhBJXrkUdix0D9IpfZ+MZrprItSOfvxC
//l1/a/qZXj4xyEz/f2/8eevg/amrqS9+OPfnwaF///7/D3/+2/++B1/v3oZ7j6rl+nyH/3he/Dc
335u8dl+/sMfdgiLrX8zvxj/9mWaO/vj+XiF53/5//rF/3j58ZQnr19+/eUrCrv2/DQYyfW//Pal
47dff/nBcfnP3z//ty+ef4Fff7n7PJv5//r3L58ni29l7G+CcpSfBHgtjJ+Hn93L/34lFCQCdBsJ
Dj87cvWAhcpffwnCv0HiGnEhOLxn4jROzvZ30zD/zxdpLOAfyhPKBIUJNPvlf17bHz6df35a/9HP
6mFAM3T69ZcfjNV/3hSc40kkhT0hwQMThrr1H49KRgB5QV++fEgxDF8QpKrZNH3xo/EHOFejhAyx
lKXtlk+NU4VOwxuUDT4mtkqzhG6FwNUBPZeR76nP6i2Gy7MOuj1Pk/dwzeigW7O/uYf8Wyvstv4K
zd7w3V6unz8suXv90qPL9fJibz/ry3/5/+FKI+dZip+vtKfZtOqlR1r8+Q8L9Me3/WPBYb0xLvCh
MfjupAk5f5z/WHCU/C3BQsMyRI0Vg2xnONlvCy4hf0uFYCyNKY+xDM6v4rflFtO/RUSEXEA9lfxY
v//GWvvjvY+nxykM8UUcwfs9EdHl4MhSVnHfoceyIxqVSJckcy4BUcs9XDGv3Cjnf2v65R8/j1MY
IDEWJTy+HPaG36zohaIcbc0RTZjAllvBg6r8q5Hsi5Dvtx/EsWMxriLi9NLBjDQjH+DbzGEbt3p1
aDAd312NSZ3e2apOIdRBZ6HOMfAvhixqWRmdulbEOt/qEvWF3y2J3zb47zf0WcL+z/2M15JEjONz
h3AErbbocq42SWpOcHKUOxlCIcshoHliDe+vld/UX3EQziHtxc/i+CBxsqVpiBLY+eu/C7NWk87j
jK7obl7XIFv6MXxA4mGPdhHqPWQx8rqXW/0Avc309c9/yx8GoJc/GisW5ySa5ejknd+G3/3oBokp
jdgidjqN3M3/Ye9MluxE0jZ9L72nDHBn2gJnjFlSSCFtMCkk4YwOOPPV/89Ja+vOyrSutNp3mlUu
ypSKOBxw3N/h+epAqpfR8YcHf2GeClO37HaNQ8dfr3M2myfFdT6RkSw/IfSUTWp3fnZXdvqfRi3+
wVH8268VArQgp8vS/lckqgN4a7akFx083XfHsFLBuRVbmIQbScUoW+1kFWt0FENepBZc/tO4W+2d
6Hqf43vW/tOd+bcnTjJuz5aS6xRG3Au8R/58ldrGy4nQ8AXpfdtGAKG9vyQYPXsEr3tZLjrP9/+u
Fv3HDRiGPOuRdHjg7b8SegD00iLcLX7m2o/3TIUQqd8SSfvPN8Dfbj0/JDl/W+rIJJI4+ctBp4m0
Ca1i9Q6B6gbxODnzqF46+9avH4gnv69Wg5kLITXoSDQ2pv8HQpb/B2Puz181iwqKt+D2iyQv6b9t
+K28d4fMMcdutX245wY5moBW4NpuMmCzfJ/d0P627q73rYcF8yoRlob7CLQN4AbT6e/tJupfdZ5h
cNaq8dpDZxfTflShJBGaFaYgPuCLwImbwlLuE/zs+mkp+wU6F2P3PqG72v3rFo7+i7tskjkIMnd/
g83gLGUhd9ix7zM94bXE2LrleMH694ewnTbv1WakGWHZANNrP1uqMsNlJplP0aCfjY4l/bIu0WQ9
7wvCGXRnp4rRA76310Xsjv74XFYFVr/FQZPpvJ4EDuDaYjnhhaqM+JfGtD+bnqTDUy/r7rPQQXEf
bCvfD3EnDIwfjfa9EalItwLXYuisoH0eVRsNjCCgqsQWxBntFBNjnmm5tY78jXUiMV+G2cO1tbHw
nxUa7e9m62h7WF6j3ns7X62jUJ4kEhrWlG7CpSDOMQt0n5inUhLuYXbzt0XCHYiJ8ezfOLMbhirs
k7UeWUiy/TiQy/9aySgaWTUaRT5qtcuvy26tdJ2kDQ2O9oJAbXPmyI1dxmaGd35hbLgOXU/EkgTd
usZNL4oIEoUYxjs3j0qfABkJ72O5u8GQ7JZtZGqU6JuTj9tonZkrYx2bhimHD2OwyAe3MW4dd6qz
YV5ngTclQ9bVZ4rRfhBnBH6HuDPjbTi86G8G46xUdtm0WdaEasz8m/Scsj8g7in/ajeeXoPT0Nfq
80B2TXx1Rbb2fGp/Uc+0EbR9IB3TeB8MiVaVjmpW9g+01IjhqAsQ5o9bV2TOnRcYJ3rQgRsVwYmv
h95nyZ2xfEEXW9cTrmQ9n2x7uYUrFs3aYNGg6aP2bl9yQfRsZ5jbjfcgpNcdajPOZLx1M0LjWDPu
ulGOcxuHzMI1R9S3uo+nSmbvwLOL6lrVdFTSfbaUh0mL1YbBG5Veupo5rOMgdMmuESOMECmJXZQH
bbpRnXavpiUxmBoGs1lFE2EMeY1JiPCiegS4hs226SVFbvYqiIKCULkuIv9YN3SJT1m/hg6t4nqs
Drb2bQJEEWWn1Bnr/lF7M+WaolXThaXU4rPIqG8pHNVyTAUEru+FMP52Ijg8lMd9rWv7aXCUtlPX
Kd074+8hTyjYul8l//peZYIMM1sEx33jdvWJTqi2de7G1tp1Wk0R0532JdjrEwuGmb8V4pasD9H3
8h9MflpMAsMw8867o/32NIdL9TUKnKomGGFW60TzRJUH2XS+HW+SWHKc53q1GfS42OtJj6SqbuvY
cr9U5Zwx1EsIgrLNsmXxGlA7Og8V8HDPq2lYV0GrUIuRc0nZjG2PqNVTqohJbM9QSifPcg6I3BuU
GsTjU9BQ0Ez8OSyCuK+JW8fkWSgWMaktfNvzonis3Un3iMgFA21qFW5kEXwqbGm/9c7POpPuZSl2
UsPwrR3EXjV8A6wuBMBeZq2ciAkT7dZzjm81bNvy2OdlNMbGIs3ymOfO5h2XUsz3dcX+4M3Lg94+
732WqRSqvAdoHxPeq7BxChzGhC8N9xnftPrY+rn13TR++FSgNa+JtTtzEFdaYxItRcRU70HL4nPo
7ABYMqbYsJBlVac/1nIuCbSpLMOu2cNRYd455XYflKCvr9GyaOwub/Du3V2Q3yEYPmdpu9CrS8hp
1V0sMlz9oyEPtp7Cdo6m+1l64QoRMyimOKoE+x7T1vUXglzuljbbMHPG5XgPS0qQEswlhifzE63u
2ClX/IwqtscJW2XfHJ1iJHiQ22J+Y/PdQ10heNUeWIad8a5omUZ/HtZ9sM67bI24IK0rfe1UMHi3
4BLLDTMZiemeFssbgqQo6H4m7kTGjN5U1+5JJLVQ96Kzxl+57bTdh12MS5BYeRW8DH7U7XE7imK6
903vP3ThEsq4lpmio8S/PoZdPbmnxuvtkax5W/62vK4eCVzk/VMUdF54V2TRED7YhQx26+j6PfWB
eGKmR3e3Dnthjh4zl+6oF9JJaMbOM7EBEPbe2Lvl4S5MlJMKVr8xruqMofVl2AVn0tcFjkZ0C9yV
Ph3GuCKKdWmJ4xEkodZ1r9lvRLy6NI4EGRuzPQVB19l3W9Z7xZcRU1rf97Kx6kdqaao65QS9YUNG
9cxcF+5207pPtUWBK5Ud66R9tAqnqc543UsUEWAesTXJUSoX5bCRQ0ArZ13cnqsJOD5MPRBCzhtv
inFOpYgC/04PAz3BuLYZZnIdlkJNb8JzvQrCxSxGlN3VDU9V5TRwceVQHgguj9v7FpigfXL8nL7K
iGNMWDro9VLSZSQAf12drpieurK2M9J+ZEywe4hR9wtW4AUjBzfZWsvlI2nzfHsdYTSvD3PVZ9Zz
6xbmmZ4QadCld0RxxQP2HqwhqzeyMQXOfq+A4H+MLCv/3VBQZPKm9qMxxfQY8+M+d3V5pQSSm/fM
XQgYBvWqzNvQGfqmK2bg8uz30jxnQd2or5NTZF8KadXlue6xC9LMaicvUb0vqlQoHvkvOq8871tX
4ZEcw93Z2RoW/ofRWbnO6zTcstIQ41qeJVri2xCBjjR7R7Rn7CKUjY2JsuWTgw7+pghW54nnGNaU
LMuKLvH6vKKjwZ4II9MPM4tMo+2CLqEkMhGF76J3WZTz61rNrX8wFFKeefLdH4Fdqrt+t7Cy69Xf
frrdvL+Q4KgoOGVi+FjSA9s5E+79Y0nwpLvL13Ktf8lZ5x9G7Mo8HjHbu/tlKnz6BDMvpNjdlfVj
cxV7PmaG1exC+OTO16Ud/epAgHscPhpP2Q+lT8IwGS3CGXcOCXAcqGFsrFS5tR+ltagyNhS2al4K
ezZNPCPGJ3JW5vPcw7s9jDUp5jgQlefGPZIUqZLQHvqLR0wlP8xb4FGpIiu6xkPBWpBY/aC8xIuA
NiYBEdsytYLKCtOZpW5J2bGINmb87SiTNsyK+lyV0m7THCVijm0KVhFrvVCf66rl260pC3yyJjGs
t4hv9dsJGSFG8qvRPxdyHG/l5Ed94vHK0zF3rePzvDCvhTWutF8pbQ3fSTwKN+5G13nbdUnzLFA7
YRheV+NDvrM7m+OOwOfwEtGC605zm1Vl6verP37hfjDhz0qSk/lq272LGb6ZyNloO8wEnGmvMYwn
bYwsvYu/ZtEy8xKPvO1cYOnrm2WoH9sywqptMFQMm/RaRB9nVfnqTkxVSC3L2yKbWW1Nm2UnOoOZ
ZEGr8bkpMLDPjnhHtrn9y3O7sD7mTUAeh/Ya9Usv2Kt7Nc3LN2uvYBkXyzS9WkW/NI8R29Uf+JTD
dOwbASdVbWtjp4O1Va+Yv6tI8ffXkDydrMPEY/8K7B4JQx0Cp/Z7/N5xegLt7LsxM1AnVlXKIz1/
vMH97iy5VjHHroxwU5nXabWa6H7jAkax3ZOPJBtPVDC226w5b15VVoA2m4rlt2nE20zvMkj3QYpv
Oa2ar7xssK3bNatvWW6OIUnVFfM3bOk5T2A0AUsKTcGwN2ZeejXFhZW3iZCtKtOxDobxGJAkVWmr
S3rWfSjWnzkOrp3kukRdj0LLfWlHWZenraYVFGuxzUPiZTVv5Yqkg3PYyM3laWf3wbvNfWIS6pZF
dyr60QiCOIQX4zrfAz92eZv99Aod3QNwi7KkHTzSz7AnJvaVXcHcFdOZ4CUo9orJltEYFvESOOOX
qO2K8DhGW8vBT5BLTkTD3aSXYt4P+aSdXyPh5yrWrT3pRK9MRzq748BIaPI3u30dLUt+Re0T8pzx
HD8Sgwt+e27JJ3D6DqA1c3Cd58nrbPcQViSiKeZSJ5qYe7keKY2X6rK18/bbMTZLjRHFyo9lpF9x
EnJ1v4xRsC5pOFrTcmAetcGYc8gAnEsGRjpXj6lzHOAxEP2HgiEVwaUZw5VrT5+PSL62jfCTkJVh
PsyMT+C4NO50ZiTdZ9Y6ux/pQrpeQxDAFpJ1JbAUEohcT07gWMXR7cm8HArOxLSCnUp9QQVR4cFa
Pc6vREK4mfqhYBBgpk3+XZQOx0syD1VwGttp/jqX1OyTdiFs3q7lHKXcpVUUbxvx6ZgA/U7lfd+V
ONGlQ/wT9EjM2W3dvv7ZeH7evlPbWesLURLbO6teKuusSh/QUp2zsT6S41DyiaXJp4zB/+GnlJyZ
svOHlPH/9ez/5bi4Gv9vPfv6vft3IfuPP/+/nRNP/OsmRf/JMXHdfyG3uLZ0bMcjuvh/9WvvX4xT
sp0A3YmkGWbK/9GvXftf8hanZwVFw7Z9sJP/hYD9F20VVctHBueXQMOOKGv/xRGcXMlj6Zvped5G
nVgmDx+1nekEkSb4r0w6dHLUJZ4tPksAAeBvDNQyoGkw5XP5QjPhZRXblzYwH/50sf9ZKf7rj/hj
aOmfJFTaM7fq2ARuoHS+TGx4o2L7uiOg/Xc/Rga+cCXChCc9Lwz+yizZCJWqZRzKZ8EwYcd6ZZdx
6KzyH/TAv341/BSqAvgarou5gALw70rnhvq+OtQMnpfqUnvnSD8K/Q/X699dZvquf/wIet7I64FA
7/73H1HraBCLn5fP7b1HgO6fbOa/ugj8/ZgHju0RgZWABYK/iLU9/QZ7BKz9TFflIWij67QWB29q
7rx+e+KM9joS2EesiXU3H/7zd/T3jxa5Lh5lGOIOuf5fb+x6be2FPUf2ZK/1Q0VLn33a8T//CAew
ARfoT4opHxCl1PexNdkiBsFfwZmlL0o7t/rgKag4QtfIGwmVu+LMXns965WBCrXcqje3ZIdMD0HS
py0dO3YVL9sgWoK4dfLqIboF9vr5wHqfxfscFceuUO8e7yEykIpgXGQH2ZFBt+zXSpoVqxOKFJy4
vAx6JlZmDQMzExb30S7KNTETNN0hXPo0N5wuqb4HYzxNBpaHZ9fLgdGCy+Osx+aTitgVbMta5wkl
gN9rv9KFa4FaXwPRkZnxZnmOynBFQZyQ+RfOIrk1vEL8mFVsGsNpYy78kI6W3pdrtUvAbASTTxLK
auyH3ddujbzT3GEUkBjjb3DX6LHgaQHkPhTsC3y1IZ0QdKiWMfsiKNwDo9r6k0DlezA1OgzJef0U
gvn8EFS2BjlrQhqvEyQUmDkwscK9f5X92j8o2fjXwM+Hw2TgLFctQwYK2rc/EL/ca8isQF75zGnw
6jD4SQZhSVYT2GneLfZhzektbaGTH3Dc7EsY1uJikQU+DuH23hTE1Uw7fw0UbChZTeMhuvXS6k31
J84GITNC1Qfb7d5y1d7QOqt/LDFNkoV0911ucpgR/VzRohOk8zR60bViQ/xgG6s9jP7cJ2vI7K0x
13AoGoUcWcv9sS/m9jh6fckWc+DXHLb+rOraS7OAzecKUi5e8mE667liyhDZfFpSYz7hxfE7MAde
PPSyqi997VJmRzl+WXvNEOV1lCbZ2/EzYifVaKusjuye+ti17D7O+3C8MOszunPqSd47w2LfD/7i
ISx4+xWyfHTyMlUc/bnG6FvtMO3byCqPlulC+aucvIdoaDeqrnbJMb7SH3xpS26ZSf4KNt40B3UL
BZpmf2thMV/WcFiumyckxBxTJPUc7R+0iPo7cDvL73wKf8yNQ/m4AhxjoqhJSG+tx6l1zFcmQNqP
1YI4EOa+OjNxoDqEehUUIFeH7zQQT6iW/qUMjIA/4JuYRG4e+3kv0tbjP6O2+jlac1gOhlVPM6rp
KJyg+U14gVOVBzShYejmARKUf7fyuF12Z6ivFf0Tplxv3aVljjxYNqjS/kis3ZRyvtx4ER8YwEgr
XEkjXgZqFQSWQ0LciPkJWkdGIShHKN6ZAACNAGRLZUi0bWjhN1TzQITt0AqwICN65nmy6Z46OTQA
LnJzapY2/0UEdWB/LlTswcyOg2oCnV/038NtDA+tZ79of29T5JnxotiHP1rr3F8qqeZDmEN+qKIw
uojCbA8c7ODKIaFcyMvk/GHfTh0NSmAfOInXFO6LuKmd4cSOZrljDsIQb85UHp18YLUeKFvqTh0l
fmNS+g1H4nErrr2Rfjpl2xViTFt+b/zXJeN3GIs8QWbQ9/4WErsXXRNXzFk85nx5qOOGUUGfwsVL
QcEcEAhICfdLcZhF9XPIs4+j8EeLxVLLb26+Dmlg5tfF3wixtxmxZqUBdjF76In+WnYuaAPEDlG5
q1eBNvEXTgrDPG3nRmewChBBHqat2xPyuDpdkABsJMCcVhtC/8vQTe/UJOiFZmP4PPTs0UM5yLQT
zP8sjC8eNsSiixh5YUkxlecJB+Sw1Ci/dhaoJGyHOQVCEClKrtRnwiWglDyMrFvOaNnfLd8zd/Qi
ofqzqJ4GuiZJLuBSlWorz6z7lFT9vjnUddMd3SbXR9ujV8ihRz87S+QeyEfX59Zv/YcZKtNR9f3P
veyi+whmBFVtWye0ffGjtOed51q7ydJST/SLLoxRYoujNzs56dr23Z3tKdlduSfLGLImVnX1A5vf
nFcysC9Ov8y/gFpUiuqzZLq7P82f5q4v71j9+gsxX++Ou8u/mzZzO5V6knpWWZyQhD/oCURnRxc5
AYtG8dqZz4y6C44IR8N5WZDNjNjgaagyOjGCcT1YrS6Ok9hKSFrEgxeLC0mgPvpaEJ4+6DJvLrBa
urP01/yrs9Ko93VFQ9edymdwC+Gh6LLbMZ6hKbuXT1Bj5iZZO1nAd3EV5equ7OPW6oJPACnypNaZ
OXPM45WXsbbdNJYsqanbvDnbTQoqQmthaeddEG8jE5RgNh1re/DP9iSqj5Gmzh979VYcC/BA1x1t
4HGsn1FSq/IBuWB5N01gQ3GKpnQoe3ny+/5DD9nrKNxt5u3IcCV4VL9azTl7adkRDWWjARM4NlCB
eWLt6gEgMF81GUv1C6oC9zS+CuXD1sbXbCEMWA09CM8qntdA/GDGRf7TnRcrFSYzT2FQ6h+02QFE
KN/CkHfX7jEohctS7dWnRszmQvDdSSxnKe/W0ObSTewZJl2+T6tsxGEwjvBSoEzVi6L9zrVbyvxE
zLpADs+HPrUZM3Bq3BKoQjTLOW6hNh01+4lHzbbgELSiTswYwqmJBtR7o8ujjZWJLb/Fcu3da2nJ
L3hwzoPW+Q+bDwE0wVA82iBIgDihQ4wh0JoblUnojxRSgZcUSClry4AAdA5/fGmDSYHN8+xHtP/6
LiT7ChHL20LijA2SDXwGGoHNKK+Wgh5k1oAiUcb8D25887LW5MrzjMmIgBv6EzqgAV0EYMtMtkmE
yJpDoOfibQmt8tJEFuneQfFXe+43extzSmgagEtrccrPtEOtbKP9PitUwBmq0mzK36XMhu/Kc34t
t/8tHh5wGY5XNLKMriollntSDN9Ln3lcoMWpFoVufV6xM39x6nPYQ4Q8scJ+l6X6rhdhfZ8Dzz1O
Era5Vdnup9vkRUZ8MUsvrsttfOwqZnS1GUJkHYn8PEvGGQZjSDACzxRnpzNJEW5WYgCOHeAz1Wk4
tGwtMBKep9r+ngMHW2KVDz8csf+SXmtdOtAcYyzpCpAsDoq7laDrwW9QmhZ//iHqgM9sL6wgI9mE
xEXHvVYooY8MMvJiQYs+3dx5bYmE6PAEpuuJZvejaOgT2fIwyM9D/kb/5FCA+IstFsp4meX6BFXA
T7Op+201+6/BssZrPhlMdQdJhsd5uWOXoY8NB5qYq+iCXFim1FQ2XCI/IC/rD3MioxFGQFBaDyVn
75vl1p7ZA1cPCGXto82TFK+3w670avs49J1G9uI7EC1GL2A83nkAb5fTTLY+9W0QaE2ZbceJEvJF
CM9JvMr+1uJDnkHBVwnKdX8VlZgYbtVE13682ZFOzlXDSI9FsYXHevX2k9wzVuaaMWxF7b+LkoKI
sMkOh2i9dzojLuZ4vXqF6Y1yK9irV4DhL7T4TYLI3sf+HkX3ygoeh6jeE93u1mc8D3mYHOl8LhjQ
w5MaksTn1QogpGRa3nViOicbws3nV1vXK5Vo2sW9DD9soTSxK6z1oa5XMINyfG8BVCLD7/KhqOV3
32GnVTRAY26AsgJlPdfnIqxRqgA3pnsHtGacAspSuBTnzWrHT9wk1T0WTX+vtg7ds+mcD4Nk/+ro
6eazqQu8gRduOJnaJgqfynCunmvDltVf9euqMOMESIzb5Kvh0g7iSxeO8jC6q3Ow6/Y3ZZzx4EdA
vijEFycyoA5VFaOmVDdye6p7XM9AGtKZSK0HtWTbxdEYLkkNmvEzVLrtGGlBkTgquIVBAWR3yoWe
x2OGFoz9iLc1D9mzX8OwmnMvf2Cd285zXwO+8EoI4j0mKptAfbxZSty+NOVY9LPxgSne5Bog3Vwq
QCc0We22JUk6Rv0HY4T33rQVblXHbLKKbtan21SSp1z3cJGCLvykuVcOoTPzQiJEMPElut5FG5te
KKejK+A/72QMT2FPj/Tq2OFPWu7+oScIBZTRVSfTK5WWs8iPbBE8ZGfPirObOUpuLgIt5LKzyJtk
1504eKPuHsoCulM1bFAw+r44rv32o9qALZVlt50BhfzymnB/wDrML6NW0UUVnnrcVg9G29w2cTCw
VRRyBuzVtFhPlZsnbmfcNNuZjBZnpbt/XCEdPmXZ7ECr2KIlnelLnSfgf+9iX8ejYFzsqd9xLbwu
w/EiePIDn5Z6oq3zg1vZ07mv2+05FGr7XNJCufY7PR9p7WUcUUh5AErAqXiTtDy3OXpD3y9faW9R
kg9GlF9lWQj0fm5TJmdbWkTig6c2nacr9Mt4z7zqg3C688AOvKuc2CNeegOk6hN7NXUlUdoAue7Z
xpk2e5sDmR9ZMltsebOkrclEIlpMM9qg0MN2LMcR9Mexs/ePnLb8uB2oV3HlkLEz9nTnDdMcD8xZ
vrcG94zil3naWxpTpV8SYsI4S2G1oOB7qkuiwtN3GcONz7UovYc56MsPPjfPhbpcfpKG9xU70fKR
6M/62O+ePDpi/dq4IF67qFBHNbkENPwBihsT/Q6zwygPOLbsAquJJjzpkStdREMcgW0otFpBkc75
7Zddc1l4bk++hcC8YOUeB9ZIal/ypXDy5aJCxbGgXoY7316r42wcnbKYuSQAhhEORq4edesPL61b
i6vTtt5h8xmU4WrfSWtTt2fMXYamlhxAY4VLELf+BCwAeYs+v46+dqr4ZSG9owSxeW0s+uoVYIAR
ckJSO/ILMLj63AN9jG0IHXcuDXQOltFnjlI67md2TqTliOGaGfLt3jtpNkMO2TMhD+7Ottxn/uCl
dCHRSXdiVcBViUExsPbLwkk1ueMYD85OlfLfUTM+4TSxD/N4L+TDvjyUETmQ0HgRID7Pf5Vgd09e
zuDdAshqInGcz9AhuqSEIXXCHoCPslucACbLe13Hhg5cseect5yfmUWgvIsied+U9Y8t8wiqMa45
EXu2Po19vp5Ii/2agil63DqLqivpHxZFvV7yhkKiGljdlVW2d1oE0ZnS8HJggJdKDC7tiTgoByYl
w+s8BfIN9iRzSwrX++pGE+iKKms+cOFyLvlavUOEu90WzTc5i5UFSjzykPj3jPCoKHzZ48GlYgwm
S2DeaV8QDeHsqTqgZlPrAsXVgHom8miHvmOAm0c57DCPVZbk81TH1qRmnhAOyCtmT0K0gfY2eJnY
n8dfGXxgeEeTnxogsPHesq292YfnbJnyc+TACplyv7zqfKmOYVGmsgeVpx1zsfuWAH/pJcUiL5TE
vSeswOaTFe5+0o3d5yoasoNsuzzust2PGXVaHpn/ySdwanxYTy+HwDLyAgHqTSpynKDtlkMfGBsw
WUV5Ev5sslb28tBRLeDV5N4wg9bBLhtzDG+BQALq7tG1F0tB0XDX06zGiIF4reKichy+LHY1Jhv2
/QksANSPMXMPDBlpYUzfdqbkTOKypnYQZNCznMX2bp1xVmzt8ivMUHc9N7cugZ5+C0PUY2P2ZDrU
gTkYZ7fjKgRCXM2y+oA5mNOzN+1JUcS9WMtmTkYv7bmZdH72ezqzs4yGAyCy8YGPQHdrlfUD48ad
+5W0yPeydL7OHWZtuI7QLGULjG5pYLVI+vS9CuQJQDZn8yzfzihUHM8LVdKHyJv7yKjuk85L/QSs
9rd2OCyBMJwSfwYUOi5D+RTJsj3ze0bwBYGWtcijh3nRw6PbocZ7QWSei8FUd4ucfgT8w/KGOlK7
RfXEuYWY1Rzmj8W2V+yArE1eetDcR8gC0bnq8PthAgCCHYGDqIzLTeW1vAZuE7xFue1+H3eBmb2u
U7ybjYZTLwLomjyYpeoCVmsARvdZnuVJhycX96zKsezm15AQW9L2JVThYXTPudmaS8BVerIXCiF1
WA4nu+ydl24MFQUqY7OhzIrTAmDlYDk2la1sio7zGBoyKIJP08vuVO7TdCadMh/7IvzaS3c8tWhe
z0ztXQ9R0Yvj6nLv0jZXT6VXzCedrc4pd27vKc5yR3CGzgEbG1aOB9Sbfc4bM3L12Z0ppzScVQBg
buoll46+CCv0H1q5kB4RUP321fXTsJiproxrfgIQquKsK6pLVldoDiXh2GlzZZpTIjznEkK3biag
Hws6Qjs2zrHbEBnasBt+AklRH5m216Y+N2rstMjUWXETiDkeLok1CFxZBI3lpKwuvRmxCUMRNeBs
ES9mkmctave+mmsg3YHDoZ9yHtu3vCXE79nuMScLVKkeMaHMbvSBcYqLZWf6eGWBuVUT+rQbtTHx
EErttrteAyWaU2btaA2B7u7dkEZnxIC9E9zTKqb3oR/2GgDqGPhV0oNcflZ5qM9LzkudePqvPa+a
CwvtdKS1PjJPYNqupYRNnY9AZIJ8rE98kdl5zm9nQ8+AOt49sJP1HKZNAOFCCYL4y2L0FaCu++mW
/+AvziFghMo+wjj5gTBuI7vsVpzTf4YP2hF32WF+0Rvk1TRZlXOaZFUm3UxQeiZRceqL4TOb3TLd
OD8dtrXMYhiNwSWn+vJh2QjgOXKJmSa/AJdmx+bIGzc8JEnAsXFEv+O4XnMK/tLs7nrfCesT6Pf5
YAJIFmTpbN4PkwvROWjiNTTIUHv/Lmu0gtkywWGxeyduy314dlnUEkIivKbdYPu1mFl8c2d3+rhG
hrDZVOXnCr5c2sve+pJxQrgHitmmBYMNU7bT9o0PKY8DWhxN8me7hb4srR8hw4TILBve0r7xz4uT
Fc9olCrWDt+tFNb2oByCHdbMJHEAXcFlbYLpE6gKsh2FPd2thS1PRuSMT13bOakGon6RDeZmdWlk
ibDo0gh2aEKvlJvDn4q7RTPOdW5g7EPAGt6KapN3A6rmx6lvYWRMJlyTrq6mB01YOYVsJBLL0u5n
HJaZQjubwLjVpHThInnU62EDZY2+3jov1VjXz2CevwzzTeBfdhgkijH2u7sM90GETtKGy/CzopT9
BE+vf3I1p1fAb8sp3IvP5Z6NdzOTG5iY1fpUVLMVzicU4YDA+iIOrctOR065fpWyJQKf2eEIITfK
oTnAF/wf0s5sKXJk27ZfJDO5WtdrhKKnCyCB5EVGQqb6vtfX36E6556CACOsql627W27Cg9JLpf7
WnOO2UsbuJ2Zq1fZ4LyMYrI2ZdQL6lAJu0K1ql0TVMpB9NPkaqx3m0iLunXPOX5JWVVFSTrGa11m
nNgi7TUAeJxQ3gA6MnYBhKOQeIJhYcHqvkZG5/9s41y5ak02Wc2AuV+FCIG0w/RudI6Ia1T72p3p
idZZVDblMWoGYMMDRAUS9suhCa3+iry0eo39bXqsmbnXDWiwgEOhlBd6XzyWXea7UlTFvVFRJBLt
q1cIi1YE3xrdDJMXGanaTnhBf22x30JMGndbtO6Ka9aheJZOqv7hWPjTjL3+itaa+ow4OHqIrLwF
vUJhdW8Bbl7QVQ9uS0pvG6VXASiHeNqJRWQJkWuBeuiKifeg17kEnNy36b3agvcwAmCPmLuRJubo
EzcJKcGmG1V2BXwXlsrvnmrSqknD6l5T9PYS/GTsDsJpNhpm24VnT+mhRnbNAW5sUpjOXZ4gpkfY
uSwl5bOxpunVVrZ5zXn0jZW0vUZRIwgzaG5pLAbbhE8INWD2G1g/0Jvge6ErBlJohK3mBhOloj6d
GhZqIzq2oflL7cPkwBnUAhzhddeViutClPglgppSoxcY3qIo+18mzeFVgMtg0+qiw52bCOVipBmB
cKYY3JrpdRP11Bq62mSziyQZBj4QujYVOeUrZfwl5s56osCQt33r1bY8aMp22g3XCIKUVYH2cy90
uKZqoohlqlDZrimgVsuUwJK1QCL2Z0p7sQwcLbnV4iS6q6B2XSMg4FVgJwINCoXiz0bqK80OV8mz
IoaJFRnmnCOxAS36AXFmGHkBX7Sw/dWIxNhRh+5vElUyl2WvO3tWsQR5N2ZOJ4yLvT61zaHnm7os
I0ToUSCVy3xsoReIZgtwj8Qt+l8rTm8VBSyF85mZZ+MyLzT9ACG93hQyapaFriacGZDspBAzl62P
2x/baD/+aIWMNBppFHErbDw7RyPNtJGN2GBmlYu81RsXaJn8rYxds7Zyb/6uc07T5v/IwhxZe5hz
vTp9tCIunj29EVuwJW8D/Pc9HcOnwZkewAW+of+Wrq12D0VE9XPRBlJvl0NJyAFnBDP/IYHv5Ojh
mw0TPdkoiopVZGjqYalSXHgoFWG8RaU2hi7ANnnhxUiKco9qVx5aKTuG2L+oUbkfx2RKaXyV9l5a
i7FvLzHjFRu1mJRLfty0KIdITzZaWsZLxZbBRo9zsa0nD7Iz56UOOWHk62B/42HcNDwr3CF+9zOI
9OhiLAvCcGsaOJlASBamVuLqNA+vqIlMENQt7AgrgksB2zp5SjPPUR5rnHvE3QXDVvPzah3SVl53
IqO3iDnQNbwmWEklCA7Ul7M9ZZ1sZzIVu40RZ+0OtFHJeciGHt8LZUFhhnlJ7+RYxt2wjSg8r1Jk
fbcc53zWYaNbD47Vb03BHtzwNLiV+NLWaeP56zztJpr2LCEtHGnXII8Bik0+bdFEeq7sNc4MEKmX
nS/BCyPtx/rhWW7X69Oafsozalpz4+cyWbVGQJlOLyMO6k71J1ScCaSob2jUwuGTL6t5p6dnPgC5
ZHrB466+UQ5XG/7WWN11kANXbesPyzhPmnUQNz1njpRwPTWoLhsPqDd5A5qryD5b27VtHmyCRJaG
1WjsHKmnD3X4xikdjvsUxat43t7VTlq5IYCmjd7axVIt6E7Nhg4pAg7oKQko4fxxCCUcqCrDHjH+
6gW5j1U1Q0o7/45PpvHgjWPKFVnxI3dcvDplSrpHVaJjiPWQEgcMf1qnsO7y+jWx7PhGpym1SofE
WsaOSG7H1jGf4iYdHpTabEq3w29C9SfR3BpazAIOTr0o8TnQBLWezDonDjfj3A12OgDp2WkHyIJA
rkOFOpe06VNylAIp2thzagjGjKVK6+dFgdQZrHGz2ujUQdm5Qzw89x6vOZjBnKz52upSNrkxHCX2
L1ejL8BcaoJCo7CqtSb7Zqt4U8PgbbdN/d7fYy81wGnZ2tOYCFNdRIHBHsex++u2hKqlW2NwgI2t
PiuJwT7LrL18je5cWzLXdHfQZ0Eup557omJQgPupPIwtklO8n/kjRoG5JDCO7mgZDeYMdO0cPWre
/z7ap2qh0Y+0hi0ENKhKim6vG7Q5K6XPG9SiYtiMIO3XFmizxyqbyT+qZ+wj7DN3mMuMez8NOCPg
g6FVTusSdt4vonnaRW1lKSJW+O2p03aHABH7OhJNGlFgi4+2L+2Oycpey6aXnbNDrMzGtYsxuVfQ
qEJL0uQvDKsRWwfI9dhi8jXH/36TDiK+g0/nbIVahr+GmNgUwlW6DTW6nqMnRr3JK+L7jASFW5ZW
EozA0mEwdnKhxYu4U69bzUsXvdr1JGVM4XjkB9HBhUyk4TILydqhpsCkrHhq4MTYXI5yY5pFuXZa
XV1JKiaEoyr6eKCaOLldYNPaa41xberJlR5l3fWgFOayqfS31IbjC4fcu8I90Bz0KY12sDJxdbCl
QI6jmK9qm1IRhShAJREIK3QszJz9hBAdpF7AaYE4EMVf6hp5WjZI0Ql1e9D1yy40rUUHRIsz7kAp
r1EoGeW+F92RHG7fxkkfvVHPa9u1WeA+pvXoLUdelQ3iNFwW0iFuiOkdLB1wYwiCq+AqofVHtX5S
dzDj9UeRJ86Wu10fs7LToPy12g36VdqYhXXdsVs6mhz3SjQ5ON68ltcUDFc2753VFUbIcpfHSbUS
1RZu68EP+zlQZOQlCdJidC1dJeoNJxD1VFuU1E1xEB2J2+aNxyWx11svfzOg+dJ4UfSDlWvWz6DD
bDf6Sc3GY970sU1Z0y+grYe6fiVa29k3ojE4osoXDKszCLEdsVRVLCUFTPAy8vFott7v0Oc1j/gH
tmomc+TUnNZg101s+us5koV+yAy7N0OwrZbsx4eiaFDMQp5OOFCG3iYldAAgr1CukJyjzbKDaqU0
tUmjqy7v89zkZnj62GzMqkn+dMLwnjx0uMeIJIIHB0Iq4QC+QrmyoEOR2LegvhDZsGU9Bxk6kbSx
VzBVNHoavT7dwh11woYx56/1bAv/YSuHR208gxb4iG2xP/31Ey1gV8JCB6EX/KCjejsOFBYAXXuB
usqd46jE7vfaudNr0WElIMtD2gpJxIbF+VF5qPQ6mVyemt6m6o4IGnX7T/88LmoVrS2qHQtswDz8
eyGoORizlVq57XpnER6RipyRgH7+/bYmsQtDkLBmPMUJYyRMo1STnjBvkccQKbOcaY7fX8KJ/BPd
5IcRTrWssm5zcpIYgRUp4EPdez8tFrl/OIiGNFJXcdKbpqlhRvl4nyB6YccGyHy0uQYLwTsqPXFO
inli2efMzaQVOCssWifSPIVWDCXRKKrWF0fV7FcN9eJORYnwkNKP//5qPj0U7OeznBkxKxwawz55
QaIWhFlHj+F2TF1Hpb50RvB57u+fviIkNpR6wN8vJ8I/9jGd0e8v4NOd0o0Z/6CBvNBt1ToNeVey
oiEeo4zuenV8qehWxuI1FfaWXK8zl/JxdiHBpkNqmZptcLPQftsnsAFV8WI5Dcgxy2wDlJvUQxzB
/+Ri5iGYWBA0DJsgPYGP8uPcguDjiRFuxtWEz/CtmlyvXhEM/N8GOXnRJ5y4hod59MogG6/E5+Hq
Ib5h97+NMt/Nd8sJxwF8S2nvXMHMnforT1tqqGHaMwCGj9OLG+bALuJ24RHgdmnq6fTVjYmsgyC8
y0O8T/7Q45obO3/zz67FAcxkAMYxLJUV2Dl98jAd6kJVy+mGjoMPbXOMN3FYZWuVXtle0ZJ/RlSR
Agk7niaWSV4+QC7Wyb0LcU9CjGnETeqEabp2xti/kmqRXRaa9H+0tpX96uL+XvQAR8+8TifMwP8Z
G8gTHwK+m3Ps4Mfn5uUo1AxLFzeZvcWsB3WSs2T/4iU3yXST4l2boh896ipCxzhuU6hhB1YZ93jU
zrwL8+fgb534/EMoW4ARQCsOdujT50L0ZD5RAUyPefAosCD3T07NgfpGq5884qZS5EzfP+UT6f2n
EU8/H3TSo6DXsvTogPRYYua7qBxrUY7BW9zXdOUKjmP0cvZKXh/Soj2eGX6eq58vGF28ZM3XPvGD
Rj1s6A366TEqqz1ohqd2QvBCCboLwxCyqGdhcUbEORbWHsMGZsjuzBbgL8zX6U9gb8E6xzbAwUvx
8eGHYCFEw0ntSF3ualCayy6JqJ9q0x+ZT09WQb/KCV5Ix7vMB9M1caUsLMWmUhy9RIq1rUhCk8TX
DKlcCq060Cv/F5PCmV1ums5Lj9nn4w9sOx+5NKqaI0FiR2uaEZuOAzSCZkOGns8iMqyymlekS2cW
mi8nB6dQsEq6Jiy+yR9HxtQnYiNK0mOMkrEe2f1mrNF4M1LzR2E+6d2zrC+UYX9mUszfx09P5N2w
8+fv3TI6coAJqoJJ4RnDMlO2Zfdr6J9H/2gGDvluT56HcLy+poqN/Prcfsr5yNf5nzfi/UWf3G41
D3PUnml6VGKKBVM03pjwpZdBiqjQSn91Flr1hvTHRR+gI6IE90r14nfSWXdmYi/52K1L2M/kQ3AI
M3eGShVkEAXaofK1D7C2toF6YyojGukW8E3PGNWU3rBjSDmEclQjFI4tmFyPXfsnhyWxMDN/OYss
WPlckaGSU6xVRCgpAPPqKhiMlTFNTwjADjKmHC/7Aj1z7aZ5sB6bzNV1JowfxMteG7atV9C71JMf
iQccK1NvoDawgedfQ4NHaX904TjtQWetMqt8FJZHQirF0yGTE6VWjNVFh/gEv8TaQD2/9MxUoGID
aJ8TaWNpv7vSeEH2iOy7b1ZVCuB3zA8hLVtqu+gRfP++DOt2GdXao6j9gy1/x1SxEsN5sIy6W4i2
2xC7wfGXniR5R4JeRHcx5sb9oPQXWVSucjqRy85uVkXt356Zdh93Vf/74EGm6cJip8Pm8OO0Yx2Y
qLlbyRFr+w11EggIzlBQ41f2WJ03wYhcMEXrZ00bPZoOYvB+BCHRYNTdak97yVrliNrr3Ar5+WWg
C6wJac1HCKqWJ8uTnlN1CY28OMblm8mXgOdkUJ1VxI8yWjvUCpXxpenucVQjAticuSWf3wWq+/ix
TPYa1vzfPt4SGAJRZwHdPqodsK6JRslaVzRSXxpjooc7qH8qqQ0QcxpEUXZVXDfJ9IvqYbCfBKh5
JdGtfdsDFKrKEf1mSGgnSezGWu3j9u373zqvRR8XDVOoDjQ/yFS6YZzuika7b0XUNTW9DV6gol6r
drZKtTNfi883xBRCEHfDJwu/mHGy9wocVFFNMNTHAho7qKkXG320qcuj3sWrqKkv6Mif2bqebvfY
jzCktATGMSbBKS9VGSuQEIIh46nXdsiwlINaKv3j97dPn49wH+8fj9rgCGxROQCTd3JlEqUXvV8z
P1bOLuzewvxRTljOHPImnRtSKMHeXBK9SFd8kZdXHEt+VcR9mFN2UQ3XXo+iz+ug/7xkMc3D7A/k
LXo+pBUKHBgJbj4Mab5+Qc7YclDjGyc64xr9/Pjx2AmNEFhuFSeJk09VGPkFpqyxOOKpP3hjfEMw
DS50ij5nzttffBTh6guOLZAGVZPT/cd3og9zUWm0I49ZgvwjpnL1RlU/2TaK/TZkQ3odOsYAdoJa
IWIXBEzhYJyZEp9nIT8BWy8vpO1wZjr5CbBw0p4YouIYlg9jb95m6USVvgTBtnWSV0NNzsz6z9tS
xmP7wSnA5MwpT9YghWBH1Yy5uX7mWK9GPyXU5Kdk5dtNsAWxpf1I44rssEGgpSJR9Myx6svLhfxq
ObYqNG32P7/fDyhqS2+RwAJeMrIlWsgXBNVltyHAPWoq6s7wM0BW1pnF7/N7x0X/Zdec3wjOBR9H
rVUoRuRtcJODBAxPAshj+OcbrA9j/PVSvtvphLZXKFPXFEdD2ziUW5vRWBbmAwoJtLmEqzmrTBAg
2mZnJtAXbwtHbp1zHdAcE23wx2srdIF/w5PcUeHcdzPqq+9+TDTovl9UvjhYmZweqbviA8ehfHqI
LEOEG4AIq2MtzOvay35Aq0KGkWz9oL5DQeiqtnPfNOOuMap1Tsp7TXbvoKP1d9LiljCnMzNp/l59
XOQ+/p55pr2730lfAAOVsmJDe21StxyYOSg5Fkpdrfv4/vur/7yfmAezZ1Sj5GxxCuocqNKCZTIR
u4bhTs1RzrTNjsyVLVSoM8e4L4bi48eqPT9Nqq8nNZRwZP0b6XTx8YvuCDR3jrEonLUfaX98b7TP
3MXPbwZfJMeY+ZOqKj8d2nQHxCTy+fqoF9kx64w7XQ/OrDhiXsJOnhT1B01HqQ4V79ORHMGFgUJy
qo8y/VNp+VJ4r472Z5CcAAuMBYNrZMcJMWXkBP/i6t6PfDJHdERsvpTzJ74utqUg1FuS7XzmgX1+
AdHjgp92WFC5kacfkaxAYYiGwwQd1ZXYjnXrEuNGepjCZDrzZfw8N9i4qSbnRrYt1qenpQAHqUcr
Co8t2Bz2KIgXAh2v8NgHuQssbDrz0p+8Y3R5DLDJhKkCW9Y+T/vYF5Zo8248dkJmSyVLi83UAmiJ
k7FYOarf4rCo9X/UlaB0ROecGqJj6thlZlrBxxfbS7QENWBrH6VXt2uPdPolHJb40Jm9vZ6TOfdx
r8TnJunJd3EelVKNhMmBIVbVT5dRvaRykgyqciTkrN+plYjXDdjCHWQbXB61L64VO+wfOU/iFman
vJd+HafLqovjp8mGtGRowURQT9snx7DAMpYmtXYDGZAv7ZAH+1yKMw/nZDLwiwWzzWGfR7GV/eTJ
zqFQIQ76Ta7w7rzEo9tizalu4vHMd+3cKPOZ5t0ya5TmRNpaphx7R96pBWBAK0DLSIq2cqGqub7+
fqE9WY+oG3I5SO/5xoA6AbH9cTiidPVZoFUe23EBZBFy43/7+/P47y6nrBMsUapTHsvnBmNA8B9/
/unHeJhyO1X4+cYI/Q11zZkFTczX/24t/XR/5sf17veTI0SQHMC+ozPdyAdHHDlU0yIiihD7T4eA
O8c4vzAeJ+X2v924eal4N3CD+SQvWqM8YsMRg1u0Z67s3IM/WaoL0GX0Ik0eDAsbisJz1dFzf/9k
VRmnEV7txJPJpivDuIVI+5/uj3nSVrOdtrFzdJdHtkmodK8K5czrfvKZ+d8nD6KcExG5Cqdnx9pv
BuwTSnmU8q7MN4OxEed45J+W+79evv8b4q/j0rtnrMZdl9i5Xx3xZa6iWU7RyqUhHxWtQBR7rnV3
5oL+2ja8G03ibGrGiVeRMrGDULveYbz//qGcG+Jk8UKC7ujj/LbjuM+MpSYu2unMEF/Pq7/v2cmC
JaLKh0XBEDjNEQODLP3+Es79/fn/f3eXPOGbWYyx8NjH2ypdtXff//lzd2j+/9/9eTJx4aRNPHLO
gWEL3g+PxX+8gpMlqycA0woTWR6re21gdTrzAOZ//dOKCDofOQMbTHT+H6+g4LAJYqOujkNab/C8
BFG07PInAuyP39+qL5/Eu4FOVkBZgwzQrAq+on2tkDgz+Wf2IF8+C/gT1KQo3ZB98PFKEBuNkaij
6qimQMxBhlvldWpffn8V5wY5mU+InwYL/Ed1tEJ/jcPhLu5sDNPZmcL/l0uJYxD/Kig2WObJ5gRR
VGeMiIiOckP+cm8tb/RxR8Dj9xfz5bOfAS2cLVB/nNY04fwpMrOYWobYR95B/zM1rvX0/RhfPXbE
DOx+HfBspnPy2FOtJORc76qjYl/isMI78C/ej/cDnHz5EHY38NgYwKnBYDyHZXVmgK/uEkVUQ6Xu
A0LgtCWampXPHZyKY/pS9wQabDB5F/mZXftX88oQtP401D2UlU5uEyhKD9Mx5Q+rvVCSp6G6asSZ
reh8I07fdEMDwEaUkKSHdbJWSYf4yi6lgo3h+V5zygtFlVemOaOl/H0SBtPCmEvq//zxvx/0ZHkJ
irYrfYWavWm/LjTn1/d//ctH8+6STu7a6Kd6n8JWOo7Stfwd+AGEbFBL/8UoJKMiNaH1SA/i48KS
+TIqhskvj+MqCK9l8GpwZtHOfEm+ek9orFNmkwQ/cZL6OAhnyQbzhGACxPtirVtnHv6X8+vdn9c+
/vlJwhHAosrD91uEp0c+Vq26/v4+fTnByNmZZzEn+dOT55TS6dOMgRMb6aXgwzeShHm4PQsz3mjx
1tT/1S37v/FO94x1UVnJGDNewrYkne4gxS+/v6LTCvdfu0bO8LbOQXpeI0/eGbvBF9agxTxW9hYH
Pt5+dEU1eAd8qjhFf4nG/X7EL5/TuwFP3pcwyBF5VQzYaIsuuoZFkubb74f48qWBD64SSiapfJ7M
NNOsaMxnDKHgths0HJJvpWkv7N33w3w5G94NczLjeO1NuPEM42UBRpqNX21KbTMCQYb3QjzvuZib
rz6ZlHZUAJM8J0QMH2d4mVq5mSVBcayzm9h7S71VbF8AVUnOySS+elPfDXRaqbatjjhdyUDyD4Qu
3ThTpPpqBpgqZQlBqYuqynxf320pVTNNsQezYkp9LS3MySShn5kBX1/B30Oc3KohCh1iZlNeVMBi
VrDpzi1mX02xv6+B/ubHazAgEsjOok3h49TTiJwyQnxUBtm0qXHmA/Pl7SJUh68A+k/KTx+Hokoe
dHTp82M+4VB65eybAmL7fip/eTl/j3Gqkuxq0i74pOZHrHyGAZ7YLY2Vh0PlzDDyryXy9BvN9vX/
X81pe8lWB2v0Uj0/qiLNsVI48iqJ0tYdSlS5NVbDXU+l7YoA+fAQdWjKAdvh+rIH+o9lFbkFlD30
OPwbADPlrgKBApivnhX/iZKEW0MncMcoDGWBh92A2OVnzGJyYLd5b/8EAoMgsJh+x4piHyMT1nE0
lqXptoENAjLUTZKoO83ZZmnS3vSVH68CLInALgGUUT6dDTeBYFER9sI3OQlVuEYxIv9IKpj4gDxd
fPjFBiPCqyQYDDc5DHe/DJ9z/Fo9nqFVRFwU0LYa8l2N1S+ceuu3Y6dcpxYDI8GBt0ljUJYm7Uj4
XVFwnIZxn00p599GXUqYJQrWInAikBCICvd9A54N6dlg1PPA2oIoCWHXVQaqdWjoCzs0oOBrUIG0
2HIWjiC9xTYhtVCsdqBCAauKtcHbWoRz32h58kqSt7HC32P/tPGpb3RIc5uM1Lprn1zvLd2zcml4
Agut2vRuLVNtZQFg2qdV0S2D0IpWitWQsaN39UEt8HVnLZ1ygFnFLs6wFGphaWyF8PKfduPXG7Nv
y5WtcehzcnwxMtDtfYZt1J2SRFlV+NNdlOK261Xdc2341jIzW/HHTIJxjiaYNqPaG3AdLQ0h3zi0
oPR8dTkaFX2DaXaOVIWHWU7q8Yrg8dCdSl8sBmPsid2Bvr3xSyBnjpM1P/KG1NwYOj3p3ZD6LpI+
0C40P/1TCkpBqEXkrms78lxG0JPVFIFPzeBcYE3TFtXIItCHcngOOweMGJCElSoJFBizUN8WBkZh
7CXVZRhLuZ9D5rcmmHRM7GrCA7UE5LzyF7PDXpNzov/0JwunmwbtrGt9e1eq2Dn9ZkxWUTW+af2h
93xS6Mb70ibutwpQDRVB0F15XuFtzMiLltKZzO3Qjm8YRRTc9ZKHIrPStWC4JG6QgFgstDbb2EJE
K1lnza62mmLVF961CC+6eB+WC6UrsImR1b7AKa9t8Er426zugbPnLWw/aDf4aBIdn2VvxEs9bv9U
vfJcjiZNW5LXN55daVe1kSJ7qouA5XG0nwBLjaDZkxRmQJhhFyHLZFMnlb1Q9VrgqfdBtoQBQRt9
Lg9akTfrxoyGBRlAw6Ztw+HQQ7taWwVwzCYo/cvaNn4rcx5DKxtzKUp8mN2c1GnE9vMgIkR6CEOW
HAD7daJ46sIjGmMnwnSgYaCHl1UcdLvaE96t50/hjrQyEtGBol47IzZ7Z4KKi6cZEGuWhi+KBnrD
MMAxEZbur9IkJL+Lc8gVvPhiEeKb4yBrvloQc7Hh4vCLS/kLZqq1LrEILmVM6kmdenQI86I6gKKg
7K/6lz34m13mSQRn2MQRMQQ3Uu0GN8hl9uCnlr3Q+Z9r3WiJgYJYue6iycYgmk/osxQ8uRFZ76HS
a+sin/FNRVa4Zasmi9AB1xBqs5d5wAAIuBOIZYoyJxajf2HxP+E9TDG8/yZfBVNVvPoKNn0ggGBV
DVtBXtCWhGmY9u+AgsDCr5t6gzs7IJbWT5Z6I7NFE8UDJh+rXyBj9pkzfu4GjWrhrmtmIE/KPtKc
Orf3y/bORyG0bmZbfltM+T6Q7J+7DCSMlU/E1ZcT0kZiVhb8E96NmMB6qUHxM2oJrYk5B7ltHRrL
sK7o4OqA9eDYkJgzCrZeQYCZ3/G8VZWXBPKFo+5O0AbXqRKX6Mwy41c6ZxKWOCSXYWk/VzjEl0YY
v/VZ/bvAwoe4MnrrTOVRL1q4q4P+SqiDt65tboBRFricZflqmqgubM0rlqJtQTXrUeROLcpVAniC
O/rCMc5ucFNZo9xX8cDPLK1kGYlAuCXBPIs4BOPn4wrH+UVuxCgzfWNBmFn0JfuHzjB8RKcA0Agx
ANgJ4qT+wT/Im5iEgCyNsCINhBXjR2jXOATNMnno6vJVGSeIQd4LcsnsjhyOlFQgtdyPU+4ffLpD
hN8IeHNtyJtvzywWzKfKq+FLx00zLMtYi3vweL6+7wnzWWs07l2AzdY+8+3fhkSiP2H1v6htBxph
T4oc7UAVMWA9wKFAF+VXnb4MrSLaaESdrrqICqHK+7KGpmLdRq3oN5w460uAiM1VURjRvkpZg+fW
3gU9w5hYjQC3TG7+YTEq3M4il6bjMvhvDUESsYzWReeMG/BPA6GBOJbNom+RgeAJxSKKfdvQZ6tN
NO21ru3dqa61uzBWxLOle361xPQYbUIFT2ivOtGD4dV84jU20q9KAfdoAfuvY8NQcU/V3j9Gw0zl
1jpsuQ5iXyeXL06UNYuyEGCCnMm4wj4bgz1LbKIycExDBjbiC/pVT3Zt/jTb9mHEjLKo9CS8hW8b
w7xiR2h27B8sa3QWYLiqQ9Iq/o0ZgiVxsPIvm1pHxjbEGN16b0gWVN9SfIehMPStRxbZ5I6+We2z
wkCDKk1QA6bvX2s8NDSXTrC242ygt+eba7JC1E02A74yQpMWNJy9RYK6dmnbLZCkICOEscmm/WAb
w1qr9GhXY8K96mIDybVvAKT2jN9pieq3xn28V5umWZHYJZ88aHQgNzmqEfhSLG2S/9YSKIsLwV97
quEr4vDDYYC/bjLvp1HCRmiNCK+cL7rbdICs4TdqdikM4Gq9kvwp4KQugojWVK1aFbhlJbyectA8
qdnFWxSi03WRt7wstV77F4bVA9LKLeUwzvon+HS+y4fPu6ubxNj4Zm1sGjUdVgkQC6yHbfGQlShP
2rSUS36qWCvYHwjTwCq9zJWmgs3eOdfwKpjGY+m8ysomVadShAu70bkBoy1XhtrjLRwIVfQTNlIw
2wPs7MWDlinNi4XNGCNmPKZgWKeUaoA6seZrcQvlxOjVoyhL795rfXBEbTls4kx4ru9k48ryERc7
2cTi7EkHYqeStpupGf17FdTRrRHwJRwbNlOxHDq38DtvRUu9uDdmG3aMmWrVKKxBYNsQRg96tLai
Tm5CqUZuVHYY+h00alEr76ysBkjnsZcMetnnBJqVv3XY+5sRLMGRmc1cENZv1UAFXGZsbesKobPK
V9hfJF2c/wLSbK4R86oLrEHGOowmkrHHqbpWm06BJOFwrYsgydNDFIrmvnTGF6tWazZB7RtsQP9y
HPTqkqwb1Y1V8TaY80Mb0MhYhYZNtpdy2QDAAfczBtthoDKHJlewjY9qnN1ZcxWgSV0oGWuqbMJp
Xcxpnj1e+LUxiuHOG8ZiSawnIT1J8qMvReyiTPsjtYheDsL1PTa8a8gUroadKV2/Evx0j7cZC/2A
VsFmC0Yac20te5A1C3Xo203iO+F2iMYYRasl1mXlDytDn4i3C71kZRvMU6v2YVdJ9sOH0RScJQi7
2xP9Vd6aZRptcWulrqJnE9kJ5Ftz48eN1sVYWPtxpG9JViGqgbLmFgzJoQQKB9Ig9u4BSkybHlvy
JqN4Bl1VwqhmJ0L2oR5UsHIy8aNLQY5imIldp8jkpVJJf21O7KD0gqxSWHocDNSy95/riEPIOq7G
/ljAuanYs3blTzupLobBfMZ2V+BNl0E2WvumAOt+AblQVS5NtcqfMdTP05FG3yKtCR9MM7Mj/LTp
aLjWJl/3Mq/EoU4jaV3XsNNIIub73FlzMCscj53Z4BEnF3cG26GYDycLCkFmWCtHFvk2nkJrYQrl
Z1I3+G+rMt/JAvF5XAoONDIN0I228Ctk3OfQNAJ22V4iw2qZNHq8QzUxrro0Cm5E0UXo5L3KvgtC
B7p3Zdx1ZLmhfUfDymIvb0jEmsH4FBfKqiQMk+QAu/kpTLJHCbtTJWF/erjTO9J5SvAzuyjBf6Cw
tXbNFlAzomN2/YNqLsegnhZOHVOlMCASo7hI4b2z+VGt2MHQXui7qLAfCY/mZZGVD1qxwk7PerbI
Au9n4jXkBMWGBkGaCK24n1dC7OOLwiKEFKivCXhvDC7LeuQPQ+3L7lNAdpHrgKRkey8VfqpI2MyA
NWLBNKPxEk4UGVEiMqdLKYqbuEx+tkDDt72F9XrR6piqlcSpNj161Tt7UCs3ADyyIks7XZPkwscB
/Db2ZyYmrvnggX0AGhpoxW9W4A+vtup1ZL9E5sYUeQZSqwmuILbiBvUnUxDwbHce64LIn5oUY7qW
SR0o2mBviWnTCXkDCcieo9tpYWtfE7nGu57NGNbOqlgh2e24VT1C6ZKec42EB8CiWf/0bfu3kqC9
0jiK7Ic+Ux4dTSqbalTyF2f0oLogSOW56ITSNaBulDRoyA/xFBTMOj5x1oWlqZTKFjgGMiB0uwuV
NAq3ZBdwYfWwSFRd6gtJaXBRcMbXFlHOZg/AKeEUfa8QBQD38UatB7mg7aWthFeqS9OPpgXB6uTr
1Tbvrm5PS0o8mhup+m/HBzdU5GQHiMwnH5QtnAt78m0YgE2BgYEy7Uy6q44G3FJVH9YpBwyI3F3n
u6rJnLQKV5nS4a7RKG+UYdNtKxNRJNBX/6KqTWAb5Lr/P47Oq7lZJIiiv4gqhjDAqwBlyTm+UPZn
m5yGzK/fo33d2t2SJZjp7nv7HnJC0+EuL+1hx1rt8Ak2wT3JOdOuJEuS5DzZ3bYE+vGecNyciCTJ
g2zOiZHm2TLuKXUJO6kTkjK9engy1PQ7TrBBkn70+CzFejaSp6HYRi6pNTRE/C4GaD1K2pFzhhJo
XVfyG01zuKq+cUKouWlgxIa9EX1DI6gEe+BpkuT8ma73btWSWAq1rNW3vcb/ltSYXmKjqg+9rYEG
0culTg9YFYvmareiIZ4y6eUflPOZVD+AbdGcFWGh4xxvmog1EgErJiyXrr52vfGjRKo/e4pejyqP
tiwhcC6PRg6AtSFEJ5/lZyWdfm8WNXMTxxJMmBW5ErWJabjK8NsSSPDq6csb+LJbr7mQDNo11Hla
oe2cwYr8vGRuO1WUrWymkZ8GCNVXIEu2IBAJ0FZ9RyrK+sBAYzzpMcszkRvPd2QAd2Qjwg1JSz3Z
p1YU7922Uo+J4TpP/CkmvDyezNRlhaqbPoku1ILZIphBp4ra4GgjHKgfhxAx3Hob0iYNl74wPzMx
9GfzFjK1aeEwIV8WXdBzjJ5GiwWkou/IGNOjN4M4VU5orSIvkaiqnmTToCqUse88njUSR75XBbuM
jCzyG1yTs3P1pm3mOVE4qeZ7HpV6YdhE5lW8xFvsiqQ6Wvywy7JYj5WTvKzZNAdMgAhzM92aHArW
qRlDmhtLDr+T4RR+I+DBJYOyOHv4zXRSZw/1YneP9lhpJ+KHnBP56snVsYp1W+ZuHq6kojPCbfgz
xK371z6IY67vcmemVO0rxZjPYoQRR7yZ9j8ull/PhlAxYA/z0Y4ZmRHVtI9vIDN525sCsutwdd7w
EtIdwNmSDOhU3HUVUUF8PpnA0DHaMNa9L2zg7VYbKt5Jze6+mql9xo2eUHR109aw6vJKWTi+zRUJ
eybM1g3NI9mDPFJbwC3wXnJJV7A2Mv9YiZ3YVtVIobHYZUg7A7hEB71NqATszr6uvWPsGH9A7Fg1
bNbVb1qbwEvL/WsavSWPvciPi7bYFxapqsDqJ7bDQBOrx7YcZvr4or9hCC3CsNk53rpjPADliiCy
l120MbPyG0tQwsuqfpKZhClCTYR5lBUP/rCKf7cgjw3bPPXWjSKZbzoYML95ZMPg62xxV6LBh0Tr
M5mzRjMYeu8pJwfy7KykhTM9UEdjmCfif93h3ilyl0Qaomzwso8bU0u01wLew8NoiuRBdWZ18XLX
eYd0wJTKwbHPl9vcxXjetqRD2XvL6ZaAmG4zJPDfDKWh0XWB+Au0eDAI0Ku78qPvJRjrelL7JBHt
PhJdck+oaxdUYiVHl5/FH7LJOJnQ3TexjDnH9dYO64kEvjLK1l2decbJIPCEvE8BZdgEDeF5ot79
zxNScbddq/VLSwaHEWwzy0M/YfNjERdTGfXaVnRksnSNNu2xJBPA5yb8HMWEcSC15GGarb3bpM8A
4eUmqbshhIRNR6Yn2QGTe3v1wCQcDYa1p5WAZG4VBdYd21TzId3+Hbx5chLEBu7yjgS0Oc1+4m5G
dJ8YAVtrCzE0gi29ndMuIi1KzgErMIyrWhoCy8n1O4AUvN82+SZL7OlhWZuA4rPJ3AI8skKtMpqj
pubqyYgy531e3W+nmnledM4bgj77LYz6YjNrlXuw7LbmLGmrZ0wSXWCQfU/n7vW+yLX0YzSc/pxm
XeHbqUZ6+jC3oKHXOciawiP0X2te1rSHvcJ0AqiE7KPoiR9D0PYVjedXHXksDpHxoZLsQYpO2h/L
ao9H/DkD2aazcXOj6tMLF5x1G/EaB9Yz9LukYTBhONG4X0bnFvcKy5HQebzfFnlPZUMHYDN9/2En
PfEIR2zLf0lM3lI1FOUf01eW41xlwUYcZnkxu2bcVqWVBnVr1n5C4j/WGYt8VcseHzMSjAJ9jEAW
ebmzJf2AyBeLR/yOOObkiAcZ7EDcK9+Nlhl+Tz/al0EymlsNMlDrTrxn6mb2n9tfo82nPdAvApZs
PIoHI69K/J2EjYT61FRbU5jJxVD1RLyvQ466B4tBtYb1JhfrHU+xTtHWfNp50oEma5kAEF3VH6yW
9VdtmkMjioYfs/REzGh3oRXJ+qY/uh6pdNUtAbbXe/VuYEQJRlXSO9mFb1TvtwzQqXsyaos7oq/s
P5fT/+yU0wd7rM0RsBecDgZPzDM/0hKP3RzD+mKA0PuzwlxUtBohtprgIKYG/gA82p+Mkhw+jIzZ
0yhqhWhAzD0RsM42yqpkPzXC8GtMewdoTeWxk/jOeffshJXQQdaELQ7eqfFE82GvcFVBM3TGdrHS
l8FL6FLM6SNpbpwAawZ3yVVgPbnMDEhcH4o0gFi0ko9flhZh8aUZbfQsepxpK662uxLxxnC67V5S
9suHbdar/gUnwuDrXeoRpNaBR2kTUz8SeuweZrKj3yKldwHvL8Zs2UWHeKGqMLzkFRC7Dq83howk
bHcXGZq2p8mJDmSXiwAS7PTi1qDCVrzV8L67YpcNE+M8b6xvOdl20LrNd6lX33ldCt9ko7oKZ0dp
7Wmkn1Qw44f7wiW+dnBJyQfqlNE5JUbYkvbGrDf/HgTn49iUBTMHC3lFG1vzm8Tu8o9zalhv/JvQ
yz4ZotXRuaoG8tpJvIfIK8Y+TXcKZ/x11eTCHpOV7tiUS32XxK1NlSvGXaWADyI1+bPmpIZXZO4c
Nav+FxXxbUT5qt7K7CTbrXi6/QHsgQdcHFKeLLITgYMQr2fN5WHViZvN8Ia1rcUHipYiEGYrdlIQ
pt0jL5E8R8R/LAX1xVyRKmtk3s5hwX+NR22zZPmLEIhzllJimxWu/QjDDsDzTQkhcay22IiGUwQE
iQF9AYCi9sqLNS1iv4KW8Ts9/SXZvfJL5+SM9yWOK5tEXCaeRikp38siesde5l2MEtHHdxYt+Wus
aXiGK9t9CpIoA2/pTbHxrFVc80x5Zhi1fX1HtTScXSP9dM3uNW50SBIF6cC9GJmFORp8iLlW/MBV
CgC+4aypPba3LIIq74ZGn05WTWQjc2Io2alG/rnGdLpKmVAMVR0zCu7VNrt1qKSwoZmYhP+aI8SM
OIGrXVTAxQrBmJ+pUbGza+udtozVgaT1o3WlnEilRoNLXqs+kT9nTaTcjo0xglMZ0i1xfSx0dyUw
pwU7Qmkyy4FYxK1nEZjbzWgubZo4J9gwH5z3xs5BFvFNwCV3sB2yIGLr1AelR+5wB2Z+p7OrcmuA
LUK2TN5yTRm3CRF306Yox+63dOijzNytw7qjlouEhFc3xb+zMych1L61CpFC3luOJR8RxuZTGsRi
ujqVCrnyW0OzaBYhuOs/Quu6U9Pr5EJC6NqUJRszt1uH5zY1fyxrdVE9dGE+EuddUSevTesv1fRp
clQFBZgCn2i0L1cDn6AM2S6htRQMDuM1Ku+M2BUXlJz6YnOeoBPZ3zW98SmL5UI+tU3SvO2xrd4J
4MqRQLEto5xWvfjQgQfvSQ7yjgyhv/sEbjBJpUwJs6qN+C3xjwZFP/ZPraczuY1yRcYhIbhpQYCA
7cQJeKx4uKtK9QU7wwit1mOtMOPipqorNjlZ2CNp345akGWGN6skOWhynfKiDapsTqWRlxcdbQlM
u+hnwsHHDGIWP4eWrXDdYr28mnNh3DVM9X1eMipHfehfJtFRo2faDG64ucFmjFdeJ3RrYxrDwbaz
4+p4+VHqt+Jb8ROgs9JMG3G7BfieBMrr+60aHbVHwoGv11YJJg3owVrtGRx/lb7xGLQHUWa/i6p4
ZUvaPTpRl4RrGhl7uH/23psNqrmon90t4uXyOJosSvfOZB7kLeJ86rryXM+K1ODOXQMWjBbCjUly
nC1LC1d2ccOuGyWRB557cmL+C9f2PuvuRsbIBcqAbsQhhl4gUpqD+K/IizYZNz0kQiUq0COpiB3W
8/iiADOg1jjGBpmdJP8uuudEseDmReIoRZHvx95K97fkcFqdFWE/82gX4BWFOSRxZmhMG6aFkZYF
KIaLFQMCIQYKRdIp96MNPimVRBjMDHW3fcyIfMygSxBqQ+eZNyUFdD+jdcS5D7a1O834sE66nRpf
UwlcSY2R2E2KREOynOu9a43Fg6BS28XZ8JCDxd1lsgWQYxXi0me3ZWzLHAOimdcTa9HWUUq7OVga
ARC1G4E3VKn6TNK0CWPAXr5FTeqvXmlwv3ARQMvJwWfp45M5Is84E8gMoCh42KK+C+1qvZmYBOva
wq7Rh9dekWUMW87L13XvebEMx9FKdlMxITyvb2s7qj0oozp0Rmt4ZKN8QTwiJyxrh2JvEuR9bgzV
nBbRECJrju1DY2fEErfLQLm3otG2cXbXqenJogTda7PJhKzXLGCjN83a0r9sT3WXxSJxonJ6eegW
Y3lqxoHRExWG71DVVCQikr1V3qlEuqHmTT9pLqf3eKpkslnkwhGUcyg0U/xTjovc5m4a0UdPOVK3
zn8w3kJQq8l6oLWIv3rbrHbgLuGy9TlSb9xmfp4547UyoFIkxgoCrYpadtti7wj5zjvqC0ymOM8a
9njLp2VocvAp3Mtrly87xqwqoNpv71XeTJdKlPnecd3hVidqbAIgHBod2pSz5MVNQ6VSXmoy+Kcl
2cjMfimawduh+KhjI7sbZ7LV6YNHsilkT2pw5B06p458LZ3mazPHNaiAG6vA9GpgZt6fVoh/iu4E
1fqfjRnjIF2teJtMK38Yl2XydRUPocktfFcxLg7zEcHXsOPqmHm5DYy9THdZmb9kllPQkgr91NnG
zBfQQ3KrcmvjIOCgPrHrJydWDRGzloNhR/FbHi8/Vd9+kDSS+IKzHH9fx/hsbKgFLIsmUIPrdIOc
4HZx9Ls4YhXZc/JuW9ursYGYZQQpp9ClKjrCzpYF2VzOL0Rk4973koJo+ERcJxmV5PcL7RXa3YEF
1etSi3SLOnCFtetu19H+HI0+CeyFq9YVPOLEXSZnj191R8cmrh4ppg/EP+S+NTOkYz/H20ZD4f4w
zxGEGTs18lHu4RNx1WHpgKmZi/2pqO72RDRgMvEicumH2dxUYBG3iWcLXgXz083Q+xpbtYRY37q0
Vn9frSk9e1U0HGlvSCpAIk83pGxM2NOYE6Ts0vvCqnhcmsx8gCCZX0RDePCakJuyJkkbirSBIMvo
/Y7FuHzrVfSJ7FslG1vCXS1Gq2S9RLoEdk1vE3PTLQ9ZEjD8AtcmOnu/Rh6ivNSsv0h3/n8R+O/p
OfzIy8i9cbQf+hYH1aX58OaBuI9pGC45x/Y+0/hzYpNZUNNZr9gLkltWy7pfCS335Vo+uNPav0k+
WuBlKGRCN6KTBhM2yPvkA3cPAfIWbuwxdQIRJ9NzVDvOXZvwhto5Y6aMzd9D0zvrtpMrpqnxtY7Q
FrMJgpxQQ7oZ2T4NmINFvqvGMvQS0R+MoejvBz3qd12eVs/emJgBBC7DZxkGCCuZoZUftZP8tA29
24/uYr7H5M69aI0b+xy1EFaRT1xicgoGe5iH/I7mKnQTJoZLO7SbTI7uDa+WPyrEnMdxHMldYSwF
q+WWpS3yiynb7qut7OrMhMpC+Xei54VJ2Ua2E5m5ccVgNo3QOpHGLjDo9H9559LzkCjzvfZR+14I
d93PSeZszYTmVKFE1prl14QUGgTwUbH/9vX0lmjxM5RCsD43285cMBlUbuRiUJPTq2K3AjHbqbZt
h6BIg4RyQVLonZ1N6lvv2/FV6PQ+Gf0uPIFlCGlV8BbMyAR5J9M72sUYssjg+EM+xfuEQLvAcwYR
xh6ehNJ1f7yp7p7FYP6y+ZCxtt87u9kwM1+INmLHkOsSWUg8ZFRmm16iZkCegftlUPGwk0uwO9rF
XpgN0r6G3deMptEHUEqidKmyYTMCiXjHHGVs09F5cTtpPJpWY+xpvfDsyLzlgG+4WVw7OkdZu9IX
lBmUqegpJbH4hHxYvvQ2ZotqcYuzkEe8Uiqmpc3eIAo5fsOXg7WM9sdy8ZmhVuiPZv7JBjGDnYeo
v6MU8BUvq87wOc2NS44HYHrNyq3AZISmeGmrf6PIrtG6kIB+nxZnkjF148TAZlMzMMjjH/gVXJVk
ihbk8d8kfheg7Asux60t1d6SzzCx4BmKILefGnGybaaSd3FydNM9EfIpso9OuLbn7u2WCu8MdAdu
FFVyRf9jbcr03YIVZ2p8vfu12Mvyx3Me6Ls2qU7r0J1ttRMrvZB+6hmCVkOYqr3QLhozLfBizkOt
v5j581rdJemuc5jz2Yel7hDWfstpXzCO6jTfwPFd1eeF+VLK9ub9TX8eUBqLsUchYTLH1ab6vwH+
SiJ+Oy0AFqCG81z+DERDGdGVWb8oFeQ8EFweHpZEbeP6ObbetfYsmuxgI15L68Fpva0ctHMd3Tw3
ddjwzRMLH4AoPunDdu5+FgYYdo7FkcZKn14XZlRdHE4jbgM6I5PSixl3Me1FdrSWk5tk+9YqAtva
68VD1TxXvDmKTvvi9kz7CQce+yJozDOKn+/2blCPP7dfTSZ/K2tNVUbg2wqzJ7Tdu1q96ZyXcZMf
c2M3iRMcsUNZEJNMF83BMOj/sgQaLQ5V0dFUev44PUUxkSQDA9b5hwNoU4qjMzCVs5qjmrh3IHbk
5MHr1WstD5JRBIDdTRpNQCaOCf4jnhjukYBPnSfbVtxr0LWtj7i+L8ShT35uOApCQ/zJ5gu8aAYc
uotX3qSwD4Ysk/PgAVPsMF86/yzxvMyvRJts0Do66xK5uwZNi7V/DWtOv8tw05R22IufAlW15FYF
c5CuGvDDSx1dUwvkHg6u/OJyj0uQd1ant9uafhdkB46wstYUIu5ovSSwaQ7Meb+M3Mivrst7tdJZ
5ZcJerwLvpOjvVczBinr3rU1vzRhuRcAvTF5wVKQ58hoT8kI9LbYF061mWA3Jk26HwUkMBInMe4i
Lt023OaLCaDO4sTzXsaWg9dDZCsYqUYba3wBTxAQW+m3VIPwz1Ok5Ym0GAyu+yVOiSd6mpHdyosE
xjVnVmh375n2xqa9Qu11zUtOjKaXL37X39nzi+49ttEuw5a5Nn9MKneaetXXR8N7wda/Fn8T0BoE
rBoeDml8e33M8KjtbjQkw4ZXsXyk7UsKB3bU91E8H+Sk+znJoG1NkJgHnYPxPcUCWsJhwYRj6SO8
cfw+1VMnXjszqHVtT217qI0bggfcUPprAU8pkFlqPhODhk0zVptSfs+Sny87r/xaQ3poYmY6S+Sz
GEBzrd3jMQqM6XVm6cnzfuB5cvveO/IHS6AfY5q9JdQJYLarsRuIR804bhdk+cPNG2nBzUwu3iKo
SDgQeQZomAKtqMK0015HTGnQSTdu9JDb93OS73Pz08DxvlREkONwiJvPemRlcHye1N3tJpwZIuLO
CgoNW0Cz8Vg9zwoq0lJgV3mGXa3TJQK+qZaLBXnWJDJijt5swD9ZEh0jgtWdaNOnP0Rbx70Zatmp
BTjo2kTnjPcCUPOokMWRjihZOffbYKrXk4K9t0BPTewgNl+r+kPX+UZmGh7sAbWEN7FF9OQHe5Zx
x4DjSkC5RaJZ7H72xs2cOl/zpQ9KLfruxiZgygza7iKXg1a+DdM/W98v5U5QNOXesfK+avuefDQ/
JU48N2uO6KOiR6zsXQVbboLvlwtC0R64VtN8x4SxmDR/dv6tnLlT+0/lz459TjC92M1HPHzgLAtZ
xqPwQUUT1zXD376ftIs77wnc613eh/sBml/5rtUfLVObxqK/db607inmTenTbVnujOy1G/85VbNb
MN7iPKBCeLJIu25xHVbaAAY948iuNqr8suJ7p2t89FmUGkIOn7rmDUhQCQGWgQMp8vjzVmglEBmj
8bux72+gVU/b2/KxmP+QQeruB9ftHl4BvXO50Y2fcoEq6+2W9py1XJ6c4j1x+A7mRTPbreXz4OKW
Xe+kfc/ttqWe9ol8jP5axiV/FuZtyWxP21XxazY+6Mt7iVFE9CeNGit2vB4coJVj1kg5kSQh7Blm
phBGXn8sYL3t+PV7H+5ZHVamTE6tWdxPpMbwwydb6hdfTg/jhI9wYEhYXoXHCDIjaeo1nUAG2/+c
+bfDg5JBb7dnUuDX+EaZC3kY/CX71VAgXFBwPY7rKbECfKWLre2YLoI2esNhFspovUIr25U6bRW4
SnTtUORE9+F8KuTwsQhz28WH0n1HMKCVLral/ZZEv/Lae4Day3335R7a/k42/IMTvfJmLHc92hyb
k4cpOUjYKU2tb5L1fPP1jMuLyamal5wZtwPC+im5pyLgoVFy75TkfgCorB9doD1Nzo/8wSHmASgl
EbnKi0BCeedsgXHne+tHbD91wznzfmGrFOMxns+QTjeyv9zeNLRpXqIDBKPOuKbNY2QgyNtOCLSR
/9tvXYQLVR5zkqn79piGoaJw9ShfxYTgp19ZfmnwHpAGucpwIC/AvhrG3SIOqqOV1ffW7GxHrg3T
PQoNQaLbWtlVIpJM6wNWVdzq10U9LtOXI3hiPor0U0tszHDY7GGMNdplaAMsAKHCFaSPH5NzWut7
qf3USIRNQv4FbN4v5j5aNe/r4lC2z7qJCfNLd07SeoymF6BndXxY7a1KTiUB9OvOcxGZy6vHZLae
7ors3sJ/m/afRdrzEJxs9wVYy8wtlsZssbzYxnOc3Q/jWY+Py80y1b9n8khS5rC61CthSvAUT+gm
l4+ecZ2Nh4ax+mjzPr6v4s4bQho5vCP/uI9QvQmsBjQZ/c4SJFd1dmGo2wWAFb0gaHPn0edb/UOS
izA14KBlFjaJrWzZn8ElFXE56zeE4aUE3xfXh8F5zPTpPBqf8RDtCsNjVg3nUF1paHzpKNqeajMi
Ycz6jrAl2K5NSJlOwczwuqImkDq0drqS5ArZaONwAbvVI0lmeFFfzOV22mXHGVBG0f1L8VKXFRCH
6lCK32R0Nq3xlnEAGHpGhGLmM30uKeBndMV4+h2WJNDShWiu5S7rSsJRGeEKrjn+fKZneX0s4neU
0d3g3bNpQVUQb9cbS5OiY3ZCp8FLLZ8MWWzTqXscYpghq8VBEwcq+pht3PzTS9Rcisj2tRb5nmnV
av+NXRmsydPUfEUJ2a2YPDOOhJoJptKCVEcFsO9p/c59Az/Z4tKKy02k4Zzme5+glXsGdkXJoTcY
L23BA10X4Czif5aJapX9tmOFHoGXH0cNl6IKnOE4kveDzs2xC+mDeXPF/7LC3hJBC3eYH2XqaRzf
rWYn+zu4GDgxOLSjrap+TNR25aXon3+1G8qBVI8oesEmQy/eHhJn2I7ip2UlPPJAmt4SjIdSHRom
oDpbOxvj5vDV3rVsPtTQjvCd3Kb68Z+KYNzvBXY3DQraMnOXJc+LsQIMVCGzv3PXt1k4c4JPUdBL
89XI268Vlk+hd75l/rTlX2I7Jxs6TkwaaVm8TyqlOcf4hgSI4ryOAEfvG41LN3lNvZfEEOEAH61c
v2fcIdFztfx5LdBC9m/ExwA1euCjJntrPVRsvix0iIX8jOE/qyBb9f3ojOdBPk/tViLnUgMDBd8I
hGG6HV39AL8d2i/bfGhrijQToebU1ttC3A3ObpQH22H/H0CO7YZ4KPye+lBW6W6A4Dth7zP0h16d
BuukEMdl8lOatj8zOu61g4FM2jDEzcSLw36/JnaYPzc6fRSpkX6G+ZE28+YP8NNbN8bQZnidTWA5
Q78xi4fZ/YFQ+L3C1bFKyy+ta20+Y1zdpPXMzOeX892Krko7CedQZrshhzDMZ0M8t9dHz/4bYMIz
/S/UtkzeJiciap6TiMWko8bjg1IA6uiM+Gzav1Xc4BZ9RidJMbzhNCO7Niv+9Pmit882ftXqTBgJ
+gVPsn6VDZavvboBk9xT09H32Oex/DOlDGLARopZVfosBzQluDJNex/Jl3yy/XG59m2E6E9J9iZw
fS1kfToM2Gn4eAC66OKkvHbVUzm+au2Tqx6nZTcSGFO5WPEJc1NHu+BfaO5V92HQvVjeqUv1Q82o
JF+oflhALItXWN53c0pGzolVwU23PhbOqZTvGXyYdel9RwKLhvyXTEcd5NlK3tDKWp7JYLWknU6o
6fTsb8SF2gz7GLw5mN20psXl5q6qHw+8ToEEloodEFYT20+bXXE+BW0GCjZu9kP6OtYLCw4K5fpf
On15LCsneA80870yvls17hJzCUz9ACgGZxfP8eoOD4MGpJyYfllj2yiSsFekjWjjdgUdJls2MSyQ
xfn0bWHqW/Sc0OnhzJ7XkVFDtGHF7xXUkL9ySuOtzo+Rx1xfc68sEvprXp2LekEsZ/uRUQ8QqHQJ
jbE7dqSZ8304ioYnZ6XKUvcmAa6D0P4iqw3LiGDc1vLzWP9zFcYkYw41S//wYtaJmMNW3uCPHLDY
K45Ov+x7cpX0G2cNqiA2+b7rdrmhY5Re/4nIuEOx8CussNbo7cyuD1NxIwiNQVtZ+3bhZXeW6eDW
8fsw1++oOXtvHUNX6ue6htrcrD6TsI1cintmmaE5zkfm+x82xaH0xiOQnAd4q8E0Ldu0SdqN4dRk
XcvQjfRD72rnMo9PialtK6T/DUrGr9Lkdijnx3jRUfERqibDX+3u0PHWpB7RRKX5gf+FOgLCFTex
2rAZ4hNg/JSYZiCUfqnM9nPOXRkaNYG7XuEdBZctnm9fH8xNq5nh6mmeb085C39/S/nQd0/SGimP
12pjeLdOrnhHFrqf0nwrZrYGnOW4kvyCJ+6+8NCHTG9XKYFECTJLdJeqRNarUOgHtZ+j6N5IR3JU
CaEf1u46AIastDHIUfMiHf4ag2Ug6yeXk/mmZ97jK7zMhPNWsf1mNP1m5MLsc4PdP9w5Rnwy4wI6
UvYiSAqfjfWlW7vQ49/RsUcOS+x7cxZaHBwt9Nd1WbHpwOeKPcwV606zxbmry73Z8Z7iqSRuy1eu
g1Ur/2g1d5/X00WJ2a/t6aUDp4maCfB98aZX3P17qeZHOFFv0zgcrTwKzBV+gQArTuYpLc+tp2WS
uCXTCYM1KupS4+W17vThZ4jsnWdoAE2cU6LboY2wXNIrSuIbcLWTJ8bdK3l7CYM6JQWVe85WXC/F
vamPofyf3QbFwOoCPGZ+kqh92/Ww6vrdoM/wysBYouxBxD44Rh1IFgLN/Pb+8Nm5kTE2/3rgLyfh
HDuxBoRXX2VNtTYa09PIAKl3mm2sMY/TmfrM9hwUDOAZS/3qi/eYkkLs22PCHyWLX1Xze7tl2Nhc
UdhrWwPrmUn5CPfdZmwQLSEQIpw1GD+mPjvkUxF4qjjoesW+Z7Zr5+oDNbkIojXBIdxoW6WQYW7O
Q6NazugSDEWmGThCtEUutsKBJMIki3Vmd2ASI24DSU9qyPSUuxMgsngXjfMSWIROdQwiirk51TFn
ubu+WFhfx55iuNU8BeES6Wu80dE9JoG6rk6Yiw75AoaJ5b7IS2hG1K2/PmAbGmjpoHZL8wmGZgCm
7g5EXLHJWEUoVfzW8vAuC6nyYnioTAdygVU2W01kT2b/mo90eB278kKyK8jXyZHRNk92n39kiwwt
bCuYI/dzGcMypKQaGuo5VkSxQVZYz8pgRlCKRHFWKGFNz5FM2cPjkXF/tENzt+Cd7BJeClH5Ll4H
bKwsc+MFXznloxTAIW9C01Jg0NzYKjlWUb/JoiaoajRt1hxAUWKMbHxVcxGR9o7lmrl8EybK3RsM
VyFYhNk4A7lzNkZu7hy3DAy7ulJfHtn7pcuiIO41PyYL2zXYaVeStSF2L2H7+GnFLMyCSYw2gMkg
q327YDerb49eNm7qW7+WAE4vRbe3KHfVUP7ZHTt3pbm+iwmpbVwuI13hyki2cbA9uxCa8Bu7PdSW
ihNTskZUDTlTPYN9PyPBdea5uG1bJiv1qaMZBK3pC23acjIcTMx1S6cCA4eeNxWvzZAdhznTfVyz
d2sSwXG0ysfaxqyIe4KukCW2zKreOxbT6NXQWEycsZnQL3hiL63LBy0wT3GXIM1Sktm8fcmODa1w
ylB9V35FhqKsKgVRNPvEiW/NyNkM0sVFAJG1kGyTgQqfsIU7jOPzxmRe0rHf2UMZZVd+QjPH5cWP
o2FnX6OwIXK7WKfSl5rNTCMrA8mucqN0rl1WRBP3P5LOq7lxHAujv4hVAEGC5KsCJVlyzv3Cst1u
5pxA/vo92nnZmtqamnZbFHjxhXN3xLW2sbne1dutqqqL8OkdS06Wuq9IKtmbINF/FSWT7ZI728TB
+Bc++WlepYJNoIWmxN/3vzUTeMPPa6249ro5G93to1XsFdJeI9WtRPZvKW9s4qln12tnnytnfVGZ
OpLxPjR2/8yKk0cc4duGX85k9GG09iao0UOz+ZiwzT4e9IHi1I5K2R5T7lEMjKp4kD4lQcCkj1Aj
P5uZpKiP6yfFyk2DPoZOcI2Dnd8zlDPDJaP1FCiubnN1GpjY2YTLFlrXjDdFd11hT/nZ9g6B+XZ4
e00NfzU98Rv1uIjUU8mcT+uB/1eCXUgHRmEnXgm/Oz8L4G0S9188exywtIkdMsiDN3wUrhuqIruf
EecGk2AIV3S94nPatQfq/dg7w1ab/N5x6pMcacbV08HW2RNtcLRQnFlM+5PQ9kk6wb9Wp6wJz6nh
JNVzzbqVq72uBAKcHr8gol3GhrU4kfNQA6WhT88P2ZdsKiZpqDiPXO9jsdDgh94D4Gh9zsQItxE8
xGI0BkeI/15l4ykF73kTXdaRoto8kKhM4pegMrdDMdIhJPzvNkO1GWkwEM6qD6jLOBophUHWXacZ
7gLvBoeKIunrq5diARYgnW/mmu3Ty6ed5ewFmcjyuB5EfKrc9jYtRiboQdxUSY8LEDXwGVxC3R3e
6j4ZDJsECa1FXE7ZDHy8xjYXr79lu/0B9P/ZG5fxiLv21zcqdNPsYhAYaaDsm1i/i3gKx6hz7ua5
Rjn0YVvUAVca1gBjJ0fak9uJHSFe6+/i65WxXLjG004V3CZ0198J1912rr8haXZSTfqvVv5v4K+3
HXtPGhZiOg61Bqe6mTtAGABEjZ3cuHFxvAZhGHt3i0/y7KoBISlpdBhpd0gmZt0oN2ZjMfp7bfHS
Rgob0Cfj6/vQonmTclV1uoXc0cD9I0+Y5tjImWkgGmUb78k0hMYO6ICwbxbXPpwKbNeehnlluvrk
JJAaQSy0xmXudlBXYCisCkl8mA5eUZGxHMmeZ5UDDhEAzZO1UNhnJbJ/VzeaHStZztmsxCPxv5em
KDsWYPtXl2iyH6VfN37IfuPhUKYJ5c6p8H+y3v8WnQj4dbVYEBKy+NuqcLFs98KJq6J3Hdj5GWBU
cZipce1mOmR7rQkKKXa9HCOvKttNW+dfGYuR72tNAowIETt4DlPiD6fOltgFzmJx4XE/xslpz6ZL
fta8Hw80DVNa5JVmUWaXs9Y0ie59KWl7xmvCc60Sm+QdOp4NvkL4b03T2R80/P0H21nKHA8MI5De
oeKiz6ZlWaE25FOU3Uy2e9MEIDKcjmY1O+ppXrIY90jXpbxtIYQc+tWh79a07BvX+bBvc49UU09M
z7CTm1eDWskOVd6Golp/W9q/rHUkZZuxG1v5nv3FtmECWxPh+LgBMdBkcXTTp9zry3w0NFMDG+eJ
SvUTobTklHWKuJIdseWA9WDZC4198l4+23DhTgZIxzJQkF1s6jqPGVwOH6hJPD/MTer96NKFXbKM
5WNn/OiVn6G5SNeJnOt86xJ1Wp4x/cM4ZtWut3gwH/qgo+Wt8LFhzJQ/rCZdQzb5lTtRwPOgmPQ1
GmuOiUX1iDoT9AGalLuscEnBM1H1nJ5L8uitQ/0vXweuuGldcQl1bB0QwvYgj2wHWnz3ddE1x3kU
z53PbmNHS4QWV96WbhEdHH/CHodF8g7mhvft4NM3dmGuPARp49G9G4Jw7Wb5gfUcvIxVhPnh1jlZ
SPqc567vpjC2G+csAj2+Dr2NBRyU64k7JM0ebZbHLLfWf1VfFB+CgOShXc10rHBL2XCgU74fWYSj
A/qPyXxW1l/dE94PrPFFxTY2S8BWRpnTzB1TLhc0DP7/4FdgKjjc8qylxNwK/uBm/skFZckrA/qo
FvWc+q19cGcSJAwwTW7dkFYRqNM9irUblxxVElUYQbB4o0xL4DNeKzckM5deyMXYO9vGo2hopzKU
VYM5sZqW2IceRzzA2mXPL9MJr8T6VdSCGXWyOKlzWi5iU2ROd3AySvDEGHuHSIg7HOqrz9PMgfcd
pB2rtamBTRvCrfQTc5aa8LdOd0XjGtSMmLE6TfytZOsyii0HUAXO+5k/ggPKxgKvRTne2SOA5Q3M
HMxoHVOzQ1049FP6y1KulIDzjDZU5QG9hRYDLAHbhd/RsEi2qPlppOp99uKwNrkoF967PQCIJSFg
66OHZtm43FvdHSYdnaAxne9T2V3ZUuwhyzzGCy9ojk2d/6hofSlzQ6Xldkr1g59Ax6egCaUjMAtR
P6I1x7irOczt5jljmJo3Q8JhWl470W7kVo+5UT6vpaohX8/62hM7k6+oCem+WmZE02STcehGaK15
FFAT6fXyMHhlc+rrySeoi86wM7b1OQXcY0eG4I98kTW1S3s6za/QBJIp5EfvTmm/thwAqK+MhWO9
KzOvYT91Ef9VQfyHIWW9laaqPwrUIWd5jQvQgIzmCayNCL4BdfN4SwGVI66Mon+daIsnMfrR77Bo
GeOKR+nJi/z7iDfh8zw73dmxyBWWFsudId8HnCjXU6NY5d646baP4LMx1zo+fdSi66cTLEms/dhB
D2H0ydytSOZAsoeKoWPfdwVcA6qvzVHRLdqy5AaBdYkXLJKsFR19XITWzNiEHVGvttUaJyEfa3yy
0hZXSEyUyqucht9qSfc8g3cg9sR14VJ0H2X3EdIg2c3g425bhyCxzZBG2BmHdmIhlaWN2OSDxeSs
2/XDWvG7ndlSPBPun8XwtAx2up/AKxGL5ebCEqsILd+Sm6pD52pU/2e+0krAxvXbiRXMxyGwcCDt
rA3npKQNKZJWfM2yZPwmdjWkcmazXcF4R4mCQZ2mH0vXBDyrJNIUc0n88MUXeUg+lq/QWNIrwusm
dJ3yNmKzNqlolsaP/LU3dcmkHFve1+px0S7EGDPZuvkmlqgNyo/ohIxDUW2bdIFcJOhYRAFtXLJ2
7bZPupjwgn6MqY6wjK0hMzF2Q7RB4Mpq9pJGUbeb1ua2mYdfwcqd6UkzmhFDiLKHblbFqe/o6XX0
lhxk9OQuSHvDIj0riF5jy57/lbzQwYEp+7vyvb/oWcG+mUvuWYz9+TaIsP+CeLqZvG/X14QMyha+
tbBsi4gtO4Z4r5fvVevajzQdxg8AQbRwr0H52bf/DEOdqX1azJLTeoBKFkM8O2EbDCdsl5zfZ9bd
tdf0Y2ajVnlccvbekJdhEfMupqtFbdnpg4e2sEky9vJc5Ka/NpIaMpZpi3qjLdo2TfHhrwXIHr/5
4go7Ek6K84avP/PJ1LGLeos9AKLJz5L8FnABk4goyDq4znLfrPpfNKbXKdc1P4R8/zYLKSjTeveB
tsxtlEQ0e1kK0m490U7DHtqdwwut0T0PCM0r9CoUfmN0fbBXOfunpKPhHJmouYHfwmaoJSgfqFW6
l3L0obvMwZxghFJyfisJw+4hACAisAndurUTApD+nIoraAifmN7ENhPwCy611lnwmMYBprVjGb51
GrXfwinRcFpiE3y2A7lNwBU6dN30Pkbibke5je2PaOBOgeIS1azznE1g/+aF+9S581PrjCiFzfSg
ZutSdXn7FkVuRvahRR0YJ8W7LxvxQfrpb2n3AvPYeZ2HBCPMK9/YvpjcOkk8vromgHwiDKqtorLO
svrHpamfKFm9FD5NKocaJe9yTtPN2rbvA0jluzJjBnS0BeUoBbSTO/X8KWy/FLSV6VQeVnqD5b1o
irc2vlbGFg9bq5ot6RF/z4j4x225bccVn8DnneEjVGzKafhXVOWvcLIKbYqkkHZxo1sIVXxlsnic
to2yYDMIHtToINNo3Gvfc8j1K4bueXBYBshsum1bqzrodPxjTyXb3frcv12G+LpsMiDH4GRg3boE
HXHhtrQF4wVTrVf2cVQ1Kf50Cmq5M1mpJHarI1kqmPX/LOWV+yJnxilWstfF6v2kCHNhVaefTVNR
I1m4CDWFtW4yqC3bcfHIXdLxxMUAgrGvlqT8aUpRfgFQu+a5c0TKvdPhnHmxRxpfOw0nt71gRKrR
a56knUku+RxqK/S17AV1gwso7zGSCb2OMQCSqT1e6zh5GCUW8mrmG3mqs2rm+x9JAofdEoHYicmK
v3EP0aeuaSBODJL4oKlNtZd6Sg459XRYj6uzPsh4Hn8Kvtz53vKt93nR32WO6QtVrgpZmAVLypvc
30kVY72t7Pl+nvrpzZUBAWjdE5W6MonLnCU0XBf7F5zcF0FxcldElrepMnsI2wJHn/E7oesg3lTC
stYjGRJnvzj+7+TzmuDS40HF4CJNCNTjGueu1IILfynv+wUprvWCnn/J5RYF4hmDJcpuk7x/XDuq
fkxzNqNZ3jqPZVJhT5SLwC9letrkFfzXhl4GbhSfSTIRRUr7wUNOaV8XPfuPFgtawymZynOkR3vP
aNMie7IdzndZI7jxnCQI2yjofvMrtY0ECiPj5FkPI6Cpv13Gv2itPMQW58KOrKq/732kAzN6yMSR
X31rZ3V2VikGLiZivPBNq7eFwwMHOWs+akJKt1Og21Pqp/6p6Dq0ciej1zoPdD1JtmN8mOq+mzlh
ygnBDelSXUVkakcdrBLkPYuw5/X8AAE1fQC60dvcG927urLbz1z0/U3bBfljb7Lo1lZT9i48N6Db
a43bOU+XMABnLfbR6CSUULrlxnHFz0pOzQILtxE1u9HKLLBOE/3zoxPb495FI9tmnmqOCCVEFmzB
We7zA0WJsm/mKtVfo4Dxu7jpTDtgYGeWlb3m/4W7CAnSX6DDxzrQcW9SC6UtkFEoJ/m7jsOHXmjh
i0wsf3wEnLMy1Lnx4usb9tflz6sgVScKYy5kufWwpZSC7dyXL6ubQoPRKJWORZDM0tl343SMSExd
mz4YnH/e4PJ1ZI7eJmpanqhv2VuDXbWhWSY32PkoreVNGixXoJDVbE2e6tCRwh83q7CHfT9y6CaG
2WyIqA/1cSND3wRyJwQG69gvDcAElCyXZEvpDnu++MA/osY7d2yB+TfbNJ57M3I7GlJrDVMG8L85
dKaHBdA4lJiW+R+Qz2U08qEQzi/0sn7TJQM+FUNuwNiQaxhsUxWFxgOXaZrWem683N3l2lCUiVTF
2vnZ1v6XHpvkjVEj+JhtXuCZSN3uSElyfu9KJzvUlGmo/NEuRhBq6/fVoyxWEZTY9QBLw3GS+l+q
n5w6P0banR/bApRkWMaYhE0Q86Kwl+6mVVYGKkBYtC8Zt2GsFR/O3IKOqOlNIDMu6TsLjBduILQi
t2RUmw1uU7e7YlXPYpHL2bPXes/AzX0b0eSmsqpP0Hv5brb7l6K33gX3gX3WL/ICuqp7Jf/c32FI
K3qIMRKWzKNzQIGPmmAb/6DfuMwv1FP8Jup+2iWdQnvMo82IyvBZ16tAwZoRWdbOvfB8NWHWqt+i
7VzaA2N5TEpntc+uHdfDX+NZOqWh6vcQ42K5zRs7PXeEt25Sj8RTOemZPFMG42agUeoVi9l22YLY
xImTLLdmduRTH7mzc6LMFG1b3y6y0I7szGxpoxDoyLxuKsIsHQHIFCTPwKC6Up1bh7rjAiDpuMaR
fHbwTUne90XIImi22dI7uLDFAmsz0zUAAkuyyTAAiQoUfl+sjbVbPW/2kJhEjsyyNGrj+RpeUy5c
AreL/z6k6PG5reJ8V6n1Ta0KGwmalEI0jWKSnwuBpCZq8uMg5Vee8H5amgX/oW+XFfsza7qPNU/H
GM5rTYCgNAkL45sRmBPazIMvuwnp3XbukgxhKhKp2pmJkIwZceTAfK17VpN3Bw7N658QvHpDMXzL
pEgPLinKnU3qbIdtUG6H0Qn25ZoXf9cg6i55k0UA5aJi1tte4QZ2npb3q9P49Ls7N2yGzN8X3N9u
yiYZ8P+wpXpdMSAk0r1jlXDw2Ap33AV6YJ+dhWQ3E9db0sS+mLVYX2Hy1se1nuWDVJbeBn42PFDX
rsLGXsEZ9dIc8QGQobQTfRcTQwdyJSPDqsSBOiwRjp7zPc1SOFzVkKLEieJQ+LXctjP6OjVyElu+
L9lm7AoSnfqvw3RzyarS/QEqAM3NRdAvgT+u/Mj4fatprUPSe8lWMzXsOoOdqo0sb9dmIb6g8ok8
YcILDScq5bjHHqkWmdJnjwm6eDp+VRmeHG8MS72JzipPbtD058G9PlG8Fw6odizX6UUZpqaSD3wX
rh4UwmaZIIqCQ2PT4FQGgITGP17MR92v1XxVdYu9FGnybrxF3JRi7F7KkSeE3EVJwFLnXH4snNLC
ERb5zaQBjAoM2Qd5An0WWyyvuj8ySdu/8wIxCEV+PFItyc9tXDZ31WR+hNbxHcNEyXNFpjno2paa
1FodA93MD2tT6TMtYAh6GJE7PbhgZ1Rc0R+kIjf5nO5Nh+tR0zbn9oNDF6RIX+kQyx1wG+o5LXRg
Qn3rTCIZkjKU4s2wVstmAfMQxj1fNolwf3XVmSzz+PoAc5wtC2LGQMtm/cjj0XntE+a1OaGaUU2D
hv7oB2HhOuVRIGFt6Lx96CK5LmnpUjgdWiBcsP10x0aw5tWYnBcU0wqWEFSYtFbm4EBR/JcQJNsU
9RwdRUmP1C1J4U0wP/ACuNjIdF6YvHMK6SZIQ/wxdRhnoK0Akur76+m18WhdbireuntW9eDZTTXk
qrH7s4C5AmEa3UWaZnu0VNmugztFfiX5xxkEHFeaj2UiXtx1kTomc/HKsDRsfWE9F4q5bVPOTvse
a2HugjYWl7VK/zrs0OSH9OP4rvZzERoz83wHyfzArdEJWarbf7RNgVDtKGJyjcTwStLfcvWxidNh
fGt4j+xsFlyeQEtZpzhyenrLCV6QcMDpeV55A8WPKEmyxvb19cZryzW++OYOi5ykLPIqTM8r5hML
fBPN3NY6Uh/8mpvwrOT0FmdVdOf3Y3ep02raczMi1zeX6TP+Bq3xjnxwCsw42azUojZrl34HZVqf
p7orzoQz+NEhKiEAxASl63GQlyJv0Fn8wWXyiIEakux0imeAZOo4rpV8xA8i4d1XhNEmqgrkdq6f
QywzhpB1gJU1mVb9cWdR3fHMQV9Ikl9wGsipqarvvUgRkEhre/2XpoPa9QoBtXMQW+aBao3bWDZS
csWADmg68ku1N9SxD1PLcu247XBbvRp93a7aLZ8ue9THHjpNbNvnVZCzUVAJNiQ4CYQNNaULQkob
A06L2+/wVIzMl7Ysn83oPBRj3OwFZO4D1E/x5V0j5fW1Wci3h6HRcTsiuq641ZP1LYu5C9PeMS3w
16bbZ5mcbiCRzOwIzL6oW0fbshRkeW0W5LCcQ4RskVrOyQo5J7axCBuRf6ZFTyTYgZjrjckXwJsy
jMlYgD7LzaWuaq4XQ0CqyeICsEuchmleEKcItF0e0rX39vFSdENINg2Heg3MVmmLq6NNiMvvDH6m
Gc4BFdnl4i8VZK/ICZLryZ8/JKj+32xAeEWwko9TsebdWdGWEw95McA4x0Ml3Y/31h/tYeh+ZT8k
j6n2/YcoIUrcsSn5nm3xV1pV1EW8jvJsoj281DW5dUK71I+o1STXZPmYtcyW3Guam6gyyb30qQRW
CMpwTSBz2U3xKxJ8VrRsOn242xjlkCOBEDhvLVvvjwkQkwPVWDr+OhYgSAIUmwY2qo5XrlIM6AfL
pg/US7Rb0rN656j4qyBWeVq17C6gD+Md9G1Jh6NNtzOn8jY3gT5PFfuePVO9x0Wvwjig6Jsv9UxX
KPH3g1zUS1evFONmRixpDUVoL/M1icnHWjr1Zxb7xIJ9i+d54iulZP+XSy3W6mrTqoHOHFpAS57t
aQj4botrLYEkPt8PGEZzP9HiYOxxHdTjIoJ+Wg5qgO7h9izxQFQn7xYIuslxxHIaK9NkJ0qPboWT
vyj68tO+X9Plg55Hvw16as9pFUybSF/Z5nJh/ut8chYK0Wo3FzklkGHObgJlQCJX4/PsVflRgY/f
erOFOwxR6mh7k3+ZHToCG6duMefauucZymLbYHp3Qi/nMuVCME8me4ma8i/HMczzSl99ojp7GpfI
PLvlWHNGZbQ5fY/EuE7sjwUq28UxS860T/4nYISfUM3T16rNYPev5DsizyRhItD2HR0Jch+rqg/k
Exj3/eA39sqvAVgzvyKZHla2KZwb0+Y7tvMy9TUd3Nlk7mh/TSmBAfRH8RrDpth4C3lfAV6b5s0a
75TR0t9kWA67uF1TJGZLDdsrYFJuheJXNqye/UzPUz6pMiMMovjvZOkfBISAq3U57Yo5Yj4wtIEQ
jKLjSsWAADCpOtMg5FkR9kc24fMKFtKt+HFsx+iSP4WlMREQzY62ZbqbgCV8OzIY5KoriI83rKwc
eMlag+GjYcCdJzu/GAukezL1bsgvKQkXN/i1dEIwvI2Dc6G66az4BsEZb9YLEAQLQTcoOoaACIJ4
HNFbRdielnMxtVD30zo+SG5j4bJMlAdNfKWBgJ/AY85aCN5xv3dUXx8yP3OfZ6WL5yWNAS14TXbl
V6iN21O8jGeMn5F5xbO55Ced/Tn1nnu/gJwNRyUpIEcObzHlhNwAIvsXhOi0Q0TXIPl0LJ9jk/Rv
0s9JaVLwQUrvuQBQE8cctohFiGHsbjrHyl4cn4nZHpRGNhnHfVcRObNg8fxGVpY/1kMM15O3+Zef
UmDNJ+6LMMUhlc5EBnKnt0HuLpCvfaJ/1aTVAWuAMbkDMQn1x2AIZuYRsrS8sbQ7fEWtiy+FY9k9
TBJOCLWZfiuL5i8qg/qdRsnhjiu313bGRdoH5LBaOZEOugS4WY7eRC03Zjkm5ZcucrUfZzN8VCNX
DOAkTNyz/0PRl2R3EqmQgYLUi+92SPa9GR+T1kvP9Yh4KomvGTVdKy5qTjiDZP7p4/JziyfAMCyt
9dAmfnlf+Lp9tFG1EFavwrB0aPzolWSmWTRJ+TxlTwN8fWohfMtDX3EhxIkbWXIxe7tE2Otd4DJY
0B5E9MFdIebE1rA5Y2CDgDXaSH6Z+SVqXh19a/Boh7V/lCWql6ll4YAgsPVV2PO8ksV2+mPNgbFz
Vt5jlmPyy0JDmXSsjLZ9Brw+almmXRTomYrExy0XaKiyM4UciFUchbX8ZQ5iYnOL6zu561hE0dFP
8iVUgd63zVPkk8QFv5Y8SPrmMPtBuZ1GlfmH0ZvL4zrp9hC16wCIw1u+OrZGhLTlOSlgBfIaoNSK
XTC8sXECqpZTauyAa8uEMeEo8ZtezECQXMxivTUtG2PTkuX0sGCBBAvew7O0rTvbd6aQK5h9nLsh
+a4aaZ1UhCG81uZ7cqXmcS7TfxUsPtKPpg9lNjfhLHOHBnGqQFvFKpQr0V3sYu6OLAoIHRZ2kFEl
oZbUsncOxYLamKX2wYDq3iyKnvYUu7g/WTTsV9V7pE3ZqFEPk/7omhml7nrMLrT7TpOyohvfIIJv
UtP9yS3H/+MsHZZirZv6BBK422nb5aOAIRDHn+VIDpEMXbXHh4iOXkb7JmKJyr4SdQYnwrOOeRJn
+zQeLY7VuNqrhZBya/v/BseCDXWlgiH2QPFJcngmEqrOsLZIhnA3+EeEBizP3nqKRe2cqyX1n+y2
TPag2XO8LbKyzujKU5Rj5M3a9h/VMLF4x9efjBj2hT0B1lmDG2RaATe1VaCWd1SGf7HprmEqdiVv
U+GBYeprtnrk+QgXMg+yU+GS5S7AqekANDNKAOz14sOrLPCMNe/QaqKDkwSrPFt507y7I/AZTfVs
P/I43StmoZsMGMC204RTiiyLbz18qcvMU8/raZiJQNANqHJWeU01OMHE/cYgUg/Uz3+I/iHPrSY+
TLMedi033UPANfCG7RTy7NtLH/LmbQ7FyrGXdVVA87OcIUc5aZjmffCJJ8fSviUTG5ZdEivVLLRg
XWS/TTtkEx7ALSAzvWf3UgzJAdo5Hkz2reweMhKVgFtmRZ5HJeifWfiFpq5JYFpALYFlO4+MdN4L
hAB6EtCDoNBBRaTbklzr6UtySPRcMrez9jnT1g+v99SBNMaRNGerE2aRF1/IvJIKXJFKOYeJ2cra
CW1RviN/xfsWXXG7TLbF5GmlZ4S8ZL9YHoNT2Yh/axK8djRfXnVh8ZXyu9GjyWB7T7SMuzAoUmYr
Sm9U6pW3jYgyAbQg3cc6dn/XrXF1SUrjHmOblEkMUaGD8eFhxN5hQ/rvMoYnze1kIr7D07HWa7NL
shXAV0JvsBLxE0SS47p4VFV0i2FXmZJZbCmQwmgy2lZVHPKSjjVDAY2B3hLws4AEJ56Yt7WoxAm9
FzpFkTZn4XEObYPrMh41L969JQgHDShDMMHo8eS1d+hV0T6WTQEIqOjFBRr3uk0lMkGg0/oYYGQc
Cd1COJAMMmFpgwwwafXWV/jlHLXJSYFW9Ij7L0zPDbDLjfEHbzezumavqjZ9d6qFBSFIh6Q3UfJv
fMtV7ySd3LC/zhOQLprDYKNBo4g555VC+THrpiAsDYnaNJ3gbszEiI1T1m956lVPlkvzlqvzQnQL
DTwvmpdgMXbIKQEVDv/lOOTCe0xF34YpbOY34p0APQofP4qEApZnLSmwYtOYYgQ1D5Q5ZNEwkim7
svudf/WG9BqoFb5rTpC5ki1Rjz5AevYHXgsza46Y0+bkVs1ZA9Y66V6t0sDJwiu8Ax/Nr3hoyke4
7sA5HMiS/dr0O0TGBj64QIXPu+ISFc36UjN6XdwkfVigVuyyavzlUJk3JmCjIH3/5RCx8ASwCPOt
S+hnoxkRWaCB2Ax2DW2CRRpDMZ0amIGXqES96Vq0SX6ZxI+NkmSKB3EAuP2R+LwWNtWYQD4mChYV
UyN2npv/gwVa87gCKqAu2pJTIsoLnkM+mnj+omLyp4dzcZrXZHkbkMx3+LJTSAINkaIaAmaBRN/i
q9WHPpq4otCXBq3AGp3eskmL5nVDTxoWW4B2sQUuE2zyHGuxbHS9Vb1uwQ/zCupM6f/kwCAvrZ/i
IE5MskKsyW1toxdvsRPKp8bPy4M/Bc4uWpCJAj9nr0DLJg3Qa8U9qb95O3O2MSsT/Zlq34DtRNPs
q5RweB15F2M3BCTyy9o+9gL2CWx/8ek2o/ud2leilkdLSHOd3GagUG9lNHtbPeZLWK2RDn0RdO/Z
3KMreFyT9ZILVJrEXMieyx9OAKqnWeGxmyZnLwe3glt4jrxM7bintIMXXVRBeSFKWjJT1Qwe7Hj5
4Rhm1gJIQl9DBIcERvoZry/f20b1P1EyJn+tGjBllkdpKNt02sTtlX+ZT2SjycDBuFbIWlMzvqWi
wyxiXCORS+XUm1CuNkHEoqKsGZNXjOGIgbzIn2ZWjTwGYOrJ3C8D5Ko5Cmu31f+0Q/SG/8neZjgK
R5eIxKkd0S23uTVrMvFFQTA2BaF/afOqRTppyxOn1fpqq8a6sfHwD0U7csQwrMiRoYlwDLfEzKOB
F4kveDXvvYgfR+juoMrRmYrgtZlfaw99TyLm3LfG888xyXOCGivXVGey6ZYRFcx5jm4z7V0b5ENF
4HitxckuR3YqINcelJ2nL/a1FiY8mVyQzPLfUuFE09SfoHhf5TU5mn0wmOLMBaN+WE3phBab0EIA
Lewp0Plbaqm23vbHrGbNC8y4AKXWR2BnScrOjWEqH0t/r0g8OqekvKW/CphkjLBHmsGm55HZ+uwD
/LkiUoa3dLpiNnxYp91ckiwh7IkRQJ7PqHTd2l5X7zlI0v3A1gj+CJZe8BSI3WKNTVh1qiNvX0fr
T1QXDh/+NddRpe1N3McZWVcLUru4WkWZ7zy666pwZk29C5whOPiKT0p3EAkE1CPcs/oNhVl8sevI
PeqsfhIthyKK73/xOcracJo30gSsPsrNpz/7zS1dp+RnlMl0K1ekOUwZUnqtDpgmYJ2CeBrLB2Th
5X2qOQqwYFmUXnivbWu6TeeZT4kX9DcqIoGzFHDZYfOacy4H8bFw996ock0PcPv8K7aNIh3MVB6q
gaeF79nZTWZ2GrQ5Yw+NlJFvhwPV8Lp2BTWqOccE6zepZsQK4K+OAIsr2rOzfd0UM8AADpA0t4P3
MOVJ+1o7MHk2SZzE58Dkzg2BvmanlwUDVKjlts1Kn3f34N/JCrmMBX/FIR4DsK2TFxALwoHHFWQJ
xxJ0lxbx+QFfIwUSW32T64n3DtfzB5208mgmIHIZPiLZIru8QWWlgVva9WFSIOaisYvvTat/wNRX
N7KeqPeq2Ye2H62bhfvaHZunOJpJlnNccE2Xpo6etCY0GXsN4koF3THH0Hz+H2nnsRy3lnTrV7nx
jy8i4M3gTsrTiCIJiTITxNGRBO89nv7/cDr6qGoTtxCiFB09YTeytsudO3PlWllZUUDisfM4WDQa
hApJB62HiaiJCvuh6mquUEefQzQaQKJBjkkesnSjTCdTHI9ohczvJzQkw1NoA6/izabODNDZqeU4
QnqLr+obJ9wFIS0pRlPUz8YIEyYOBSoYHzkm8IwSPTkKCdh2DLlN7eKbPwfPWVl2P2xYGv9OzdY/
JA4iKFMCJUsged2RHGbmyt3oIxOjN9S4YKCNImA6liaPZK3hH/SAmdw1Fl3XnkKPm6LCMKCjQByq
VXNXWzQNGI4+vqCPpZJk9PRbIDk0iJvKFxtSiSiyeA5ramPA4dYEUHgHDmUqOX+AxiukOws0B7J3
/Q59rxb8RUFGLQFRLNFPrXh0mtlJgdRC5g2QP0Hl0ziJjG6iot8WYPMPptY5N2U6FUdJAUjTTlJ1
4vQRUNfk25vICne+mtp3CejYHZEdLqlpPxcgC0810Jnn0p7Qam0RUwxtmsPMhNDO01FnIfskHaD/
5PRaNcH7KNsfPUV+thKj30X5qN9PlvFZ7Qyo5hPu2CajYgH80n5u6bG7jxtuvrxhp5QGaO1EakHc
6YgGdOAQjqOj0yFbAsqi6MpxIYdKBCZpUNpShHqHFFaw62ONhhzIuHng0J1dj/WI56/zO8Whe0Br
Sx5onkpVvcuyExRbMkjwNjplhlH+RfRKzAM0FXqYOGnxiLrc3EC5xRaGLkgCwMRDNv2m65UMe2BQ
noxICt+xw7QbVNymE8+Z9r0ayLTet3mGyyhomrWa4gtSSTQTd1JrbRSeqeAXVbpPKuAgpPV4pVua
gusEdjTEFS1KMb00Enj0Z41jhkdU9J050cjS6RWdV6FXf6qqqn6Sa9Qf/dKOj/44KDuo14wdcN2/
QANQI4SC8z7nBtqbjQ8je1FDxkDT9haMj3VKIngFtNbB94/q13awyvuacj59R9SDagVUs1+S8O8B
C+96pf8LUTX5SOe9fbBTvf2BlpF5qzgRpSRH/hvKvvRQwcL67PTOX4FlA3GrqE9QTfsO2lfZU8rh
tUqenVQSjG920YMK0VsEtjqT1J+cHw2deE2hNZzcquEdrJEmQR1dr52OLvjRctDqygc15+wXWnpq
Jc1/VI0mfdZ5PAIkb4buQOQU3rKp/i4bihZFmvOKsAPuJa+T970qgy+tFXljWVK2G+jr3ehjBl0h
wdx2mOjTBB+Y71ufi7DxKD8h4RfQMRcOx0EKVPqCyMeQzBkbhLTgRHSA2t1GSGHsWAre44E87u0k
+6misbiD8in51oxF/2RYrfRX2ZMnSlWtoSlRfy4JMx+otkFJJXvDV2K/LyDOTHKutMkgijrsqpa8
Ud8BX4ii/DuD43CTG9qQn0tOeURpyi6C+nZIdB064bJ6CnBAp6CAMxP0H/UKiqxqRlc7YBwUVyhr
qHTIxUb0YEwhD4qUnlo95BllDU5L5743ejfAAxCBaq0RjDFpS3mCiaZFDQTgFOim2qqmW8fpIDoO
7PhT4wGgtFVKEHXMJWHIPXNIImzb5JJE6q2qYNGvarA6/RcEKcksx4kF14gMxz9dJcOQn6jZSNs4
piOyUzQk05OM+1OmsULuESOaMpopncEEGtA1GrrgNQ3r1YhyAoXHO3pR3kdxjGcxs/FQGzEp1YCT
lkDyQU9XG2zteJQp6VBXC/OWmAD8Pa00MjhkS6rvjcYsqUUAv6F6oPPuaMfC39ud9dN32s6ncDoM
8+tfgt+KVip6a4xd3o+UFUsPBDNcuZDRRebY3prg132CQqNtKgSwfPzdFt2MgFd3rXwCjPSpvEdl
sgULgNRPDXE4aAbH6KjAGnAzSnPqL3Tq+EvfNnCHmhJM6BAbgmTzjdu68EmwgOH4HoyS8TNqFKrF
OgzAUlL8sEnRHoHmFEeE4sb556U/aT7Qd51GkT9QOehQSMAxODOayvhiPDX83mkAG5D8oYRSc5NX
Js3kid7vSlOG/Ium3DtSSuTxe+K5Tc0dTEecFZ8qJKEgO4X6LLRpZ2kdFdrg2KzuqW5NLyb6CS7/
WwQOmkDap20o7fU2GGnyA58EQFH+LrUAM0nQld9jUwt5OcQqb9aSudFmZgS9o1htajaXf6YZd5YJ
oq+mteWGV2pH30FU38QI1e4gmrf3KqU8aEQ0C86QyLhVlThEPnQ4aCVNygVV075/13WS+kJpm6ZJ
XSVJaVrmre4RZnJZ0O6kaP6+SMfqHdzixr6a0hLqCMQDrCqk462iQW7Q4Asy+IhXEV0W+UwJQqoa
VFoYbvWqhdDGNEB2+nAX2UoHY3yXUE6gCZ5WzKr/EPVe80WFvAuqVTJNT6UG5ixHiWg7FR5czBr7
rwpheEGS8sWmQH6wvPcODQ7EerNyiTwBey0lkDUG79F7koUQEtM0Bg50rqBmrf7VJ2b4XGYUyqYu
ke/7IDMeQaTPGWDfeJaLgv61wXHovQcfCDyyIjNvUOulHk5HFkhwy1CUO7Onl1Ly2i9TOwMoVUhq
5ZA+c96T7b5pwi86l+Im6UhckGDXj2x4knN6r0NPA4QNgvHoCMsdwAkZoraZrFWSiEUi2aEES9xM
4kV23hk1RI4wgFQvvIiVY0fTOG3SaKnclorCWYmQp/OUaDipXF9gY6XhwSLJLZ+GElwyamSxVTzl
A/29HiArvBH5MlWt7I2dJNBCFDbLltJwEzoG9PhGln4CY/5iNSYOp0uRPw5RHTaduPoBgy8AKB7B
NdSyZryb0hGeMTSLN05Jy+wY4MulAfKyhh+6jUrJeJ6ApALTC6tPKMioR7tIejcODJM7hW1XqxRX
KaNN27qMzH2A9tKtqoJw5+ZWALBoLVVWslq6bpVwwGX5cWo0+++c07w1IPTd+B4gqusS4YvK7Zpt
63Si6hb//uf/nIvDA4ZDYTmExBjKNMgLzU+/+3lDUzVHNTRKQLC/Kpefb3Vf5+E95k/0R3/wp2Kb
K+PX6yZea6ljwnCI2TXVNHRZ0Gsn52ZRsO7yJ2W6H+0XOufMmOZlGiKv25ln4lJJnUEolqMyVZqM
CPblUMKgmowxdbKnInpP+kIvEB/DMbfhl5LGw+u25t98zZZ9aaui2SmctROfxuFL5v90IJF1KIQr
ZOCT9F1d3wEWu25xaRZtzVIU1dH4L23eJ3//9Rzy7Pl//6P8X73l+ipBWD2B46UTrckfiI3BXVy3
Mv9uYVy6bFmmxkl2wDFrl1ZahdKvEUrZk67dGlzuMNjwMD4l6qnsv183pczfumZLGJGPYicbHlt5
DxUDzQDt9ER/LZDGH4CGt61E4plyR//dcdwhJuFarwz29dFiN9qWozmyquAN5yk/m1KEsVIHOCFH
69YiqsxO1we4sGIXnxf2o0M5udLGOH+Si/uwJMNylHy4yx+vWzGWZvFsEMJOtB1bse0eK2V66we7
Sb9p9b/+zIRwgJsuRWcixISqHpSvc1tXtLtuYWGquI7Y3rquaNT3BAvJQCoPfET29C3Jv3b0RWYO
sdiKEUV9PVX0kqnkBxWgwbC0Xq535BujXtPt9hT/ZW1+8GYKrUc7ueW530q3evsAkiNwXq6PbMEp
nds05EuboEe0FK6n7MmCXh7cbFw4gJX0bZK7nnN33dbCVriwJfjyyHPUSUMG5skmC9vTSKpD16KM
n69bWRwRJRodwJnuyIaw4bLJIhVrcGxV52Umjut3UgclgQE8Zfp23ZS6OCLOp2mwNxxuj8vZAxht
9XLDiAiokWp5gv3vYP40UDnZfij1D4bm7bv2Y2DcoEtHrZaig06r2Xsnf0coEXqkPN4nMOkNN+hV
Xv9pr3yHpcqWPCPMNcWY/3P5y4akbCQpcNRno6s/V+pHIPM//8zC/AvOvFPzrwUtf8qcxz/8ujCz
5HMd2tH5/ZUC/ijeSUSX13+/ye+7cO/CDM1/P/v9lWeS1ZaxYFGVyJEm2yTGXbx2phetgG9TzdmB
8664tNIptCUhyqY9k3oBCQVVjupBgtRpKKD1f0sqSEO/flKH5KtCSXEwSnfGlfpRcjRtXv4d6pQb
3oHH62N/vTtMOjvpfrG5Sh3VEVx/nHuDIssFQqLOJ9P8GN3+2eeFQetQPsY99SK3gmI1PbS/ey9a
TOZ8IWqySuCmCn6kjMMC8I9Bmnc6tcMxGlZ2xsLs8H0bJI9jyRxqYXbQoUTEW1K8ZxLu2ca03/Dz
VdO0uFDg9tft+Ro423iAVpXCkmvrGbmUCuLjFS+79Ot1RdfpC1RlAk3h5MS6FqGdMHjQa96Oh2r4
/bVVjTkmMXRTx/MJl5RS5EYRSYnvmhD9qRyc3z74QFNs1QbFpOG8NOH7WqADU5Ms6TmEDRBK+lJ6
99ub89yALtx4NMsrY4ZMMyR0IB2PWb4SCM/ze+lXTBLncGcoimWasiLsHpB2NIg0ue86Lb3rNLls
RuMNGxRIkikTK+Dh7XkLnO2gQi4iJBkA3NT+d+edSsP89Sl67bRgWdFM9iYBvSqLjy5DahpppLDm
4oGQlwW+pyEppP7+Rr2wIpwDRRqrptK00A1hdoJGLFsZxcJBuPi+cAVCj08fBFLTblPdNOENWeHr
s7T2fWEV+OUEz6EeuuOLBZVhueKjFxaB68Kx6YnTHQJ1wYmGBjpPoBASN892oNKTO95wSKxdH8O8
GYXNygVAIc3UVWqFYshZl1UCHAAjcot0O0nO7B4wVgUrfLQyWwvHghMBY4plyQp4bcEtpSHCEyDP
aje1H3iJgpPQnffXBzO7BmEwFybmGT07FiX683j1snZj8K0HZAxTmuzHElW2SX504tatawOOVMig
SEOn5LN/3zzvA5k0hWLqthgMUikOaMhRK0py9HJUE/zTJtL2D4VqNe+jAjlweQojMEEIjtZE3ffX
zS9sR+fcvDD6LJAnWZeUyj2Uw+dY+nz96/NuE+dW5x8PfEcmIyMcJgPuphF8buUOyks1uSWczghT
wsfh2O1e8m+uW1vaLDriWvDMqORl/nman62kDWAKoIVdIXQOXJVqbWn80Ip0ZcEWNr+j2wZ3/BwG
meLmT5qMTrXcqFz67vxM33rd04SMBeTe5KGvD2hpcQwDyIPNUXM0MUsG/qAs7X6oXNqYnivTv+0N
beVeW5ozw9Qp+pKIMxVxzqosHCY7qlA1hAvjGQpI9TFWGogkI0leueKWNoOlqgwHSIgi60IA5lM6
kSMtb1yQqDll6M/g4E+9CctSA1oxsZT3AzS212dQWZpCizCauO8fhygGBn7WgkbFaArigES9eQgo
CyY/IYo8+Njv2u5TH7WPPY0RnQMvXnhKHf1QNtbz9V+yNNFnP0QRAoim7KuA1HjjNpDXmd3TmEOf
Un66bmTJl50bEaYYasyaVtCqcdtmN0nv4/HWsKif03kuuwh912vne3F2tfm8ObxVFH0e9NmJg2TB
iIuRQclgb6rmKfK8latmzYLgn6zM6xQdPToXkJ1P4hxymcFbOWb/zL3optj9AHVsck5cNpfDcCxH
7nVjrN1aegQQkwPlCZVHp/yiaNlJ907wmW0Q3FxxJIuLdWZ1Pi9nk+dZdZpl41S7yQDCubvJ9BcP
pusJwliKcW2yKcGGXN8fyrwBXo3U0CwCA80wNfGB74F1hvo1aFxk93aycpP2XwLvsfCO8PGlwU0X
gl2TfoCYXhnr4jKe2Z3/fjZWP4QqtvBD7Ab6e2qlnzz0pq+PbfGAmWRuZMtmS9rCSQ/ypu6lwqtd
jfeL+S6FklQ9XDfxOrlrmQ6RCGpHlqyjUCrcZ9BV0DaBR0GbpaN46UDN8GTWj2p7rzjWVql/5tY3
xX8vdR+D4iENVswvTaItK6BGdW4DQwyGfNg/JqTjGxe2T5n2sXJlBte+L5w1Oxp7unn4PlBPYCt6
u/IIXLoAzn+/cMwAmMRJTK+n247kxumMyHel7kOZaCnNNp3Bk0EyBq40Uc+7vnBrIxOOmh7ANZjY
jCxH5mZCJS/Nb65bmOdGPFgsDO8e8u5QnQu7TxnpYkthHXaRb3PMF7smxEFj4/t1K6/HYckyLzhL
N4i+LTEvRE3SQYpDr13lIKERS3vN7rqB14doNuAYivyfS1pw6BPEGcDFOwwMQCiOKuRnxL1vsDEn
tQDWEa7p8yDPfAGK1kOsBn7t9rBRx/tkVmFbuTVerwbD4B1N0EnWxxHvJccfvA6GuNrN7R19FrLP
bbiP45XYaXE1zqwI5yUFMVy16Jy6qf450t476f76RL2+IBiFo+Fr/jNTwmK0g0b4XBhcEOVn6oBE
L4gyAppO7tP6NJYPtrIWLi0t/xyZWbbC5NmiD6Xgkk6gF2p3BDYvaXBqUsruVhZnxYgjREJKpw31
mFi1GxTvUWBzoCxWnq/P3GtPw3ORDaCQ0pJtMk+XW8yLohJkA+cdgh2pgTJ321Egj2Dahzp3xast
D+eXLcG3yIMdwEqUEqE0R0ulVHWI7JVTOf/cS+dyORzBuUSRPEx0G3F7oooRIbLWWhSSDHWjInpX
VWtP0oUo4cKeKazQEHaqT9Nx4wb+s4e3DKVbufA3tbJrbGS0Kxgk78rhdlBWDtTSsT1bNlMIXyOv
HPhHOKkp912MqvtOd45NuzKba1bUy83RGW0FwhMrRHtD9MWP7oPqmbvo+hZc2RamECqAUA9bB7Ic
N4AadSZDRJhyxZEu+Z/z6Zr/fuZIB7OkKWdkW9g0WcGZrq4MYe378xDPvl+1QzN5dckQhk+DR3PI
4/UpWvz+DG1QZZPcgLjcea7nMrRqjYvuyDbIH6b6+xsMqLpFIozChCwWLKSItvq+1MgeRZ+gRy5e
3vB5DU/JhWnxehCWuBrkqO16pXbh10NKUV1xYovTc/b5+e9n069T9rSngc/LKvTjN1KbHq7//sWD
AI6XWjq35asHOSBjbewUr3It6MOy6aUi90S2Yd/SLnzd0qIDmzP0DgkA9dU7sbXlUqJHj7CiBzRl
+gfFhGWmUlFdalpg6sl0um5w4Uk3JwwZFhgxlYhMcJlxA4NVZOoIbiUI4er9Nho7GN6PmnUbW2iY
zoTu0oYe1ut2F6eU8ga51/kp8k/p92zNLFCcUKSSzetjaJBhEdARlk+/2MbNdTtL3mUuDZKENahl
iTvbhwV2hL+JpGXMS1/39oga38SDvmJmaQuqljoDSgAWvKqZSbbRAinXGteENQTW6v6YhJPzhs1x
bkS93OcFzcKNhFi7W5IUbAHKgu+vyy95dyiqldBj4QFHMHU2IPHIWiWtIZGFrewx8D7APADo+zAi
eCrJrmzdk/5BXnNMZCglvV2Yrlxwy/PpAOWaM3qvaoSQjwCoozbtGuAOp7p9R6Pil+s7Y8kEHAqq
bBu6TugoOG3YGZRYq9PWJa23eYSBd2W1lnb4+ffnv5/t8AC5c73W+b6lBdsEhS6pfLBahDiP18ex
tMNBu/FIIAC2XyVzk9KywYTnraurCGLT3paiGZa0/eG6mcXhGDxC5qKnwwPucjjyWEO7KsF0wjti
45toeG5VVMvJ0V23sxCR4oeoyyAAo8L8KWw85Eg134e5zM31YmvSJT4pN315Y4UParUr12LShU0A
VQTvQxLVKmG84P3QAaRJNm1G1/S/N9sq++v6YBYmTQEqoxomFwdpJGEwFcDyzgisAce96/rDlN40
E53RK1P2T9pNCHsxQ8pFpQmZ9jjBMcCeZiVSNzFnaGxo/seIPtzMeJbiJ916UP2DkQczh+amiKwt
oo87Gjq3OmBbWBDR1gR7+4ZR6/qcLSdiscQScK7LuVk24ei26RHEPFxwoIOjr9eNLK7cmRFxP8Z6
p/RyNOKg0s3HfHrD41vRzr4vzClUTFFs+NnogljvIYNLkS9cObmLu+PMhLA7aFRoDNptGAKij7CG
3kNHHtIz/GcTNU/kmR+KBmmckJIZ3aA+oXAa1k/Xv782CsGP6s2g+I2ZMFFoJNL5272bnHvH2v+Z
lflXnI2ClmbNisJ4dEPjzgykrdHRv+Xc6mu1l+VtxWklZDBAtQujydXOG+UgH2Et2inWVv194Bjw
BP3X94VxgGlQaLNjWynTYdBOUbLyVFi4DS6+PweYZ/OEclMK6KAaXX/aewqNVDRSHK4vxaIJA/yI
SeoDULowRZrtp0nQQk2FdoxW7HuEeJX9dROLq3BmQpglWiyGtE790U2rB+SWp/L5z74vzFJQIXkX
9AwBuUcE8zh317+/NEXgWDUTrKnGlSx8Xx6oFXaNOrmGidjw32PR0VK6gu+YvyE6fYPNBIiBWxIg
1eVKj7TVZUNYyC6gVkijXT+DCSU6WdZt2A0rS760Hsbcf6ATsjMiwVMpdRGked/IPEvualna1t24
4qWW3iE8EC1gTxQhLU0VbuIKspfc543i+jqMd5zyLFbkjdFAMGDBLhwhyKjW39rQuJ2iNUDdUszB
uGhSgOfGeAWegM+5gZk0UlynnnHgdnSLoGyiHxw6zbyVgS5NJU3tRIYGAcErTGsK+eZExlV1W13e
tWAVYUm9vvnmhRc3xrkFYWPUU9NBFo2FHobPh+gw/PTTN+xvavqWQWFMZp8L+6Efs5TWfF1x5XSH
CC/Ud5G/8kBcmiebByklOIpUPIkvt7flefoAuc/k5lCDpDCxQrV+fZ4WLbCXKXcbumGJO06KpCKY
0nxyG1g2gybafL/+/SUnQPXJIHFAGMQoLkcAx5PW0HQ8ouYY7WHc9SJpL3VvmKZzI/Mgz/x9SEO2
rjTF6E5o8mgbVX2DJz7/vrAMTTJOUekwCM0/0iIONf31SVrarOffFzZrMqoITiDQ4jo8jxQoBpER
aQw0Q7UVd7m02pQIyNXzqLDJc11OlKaiCdvH3ejGEUTWas3J/v2hkJwDN6golLVeZVKIsQYL1oKe
NBTat7n8TkM6JhmMPdCUlefx0vOcHiBd1+jUAfUino40DTToucreHbw628nOoGzynOZVPbNhiVbT
cIt6W71Fcw/NBL1wntp6KD+oJppUA/lwyKXkoVvxbAtLefGbhKUcDRksTMNvKrNw26TfO+m5VB9s
eeVNtXRTXNgRLtdwkNJSVqre1Wj1G+InOYKcMtwMxWNpP3XSvm8+6hDYX9+nr7tHLEvllU0S1qao
/KqmbCjkXqsYVaUY5S9UXBO1gol3RydgMRwtP9lMEY212QdkMCqtWLG+cNerlAHJQNo8qGxLcCWS
k/SOZFutqzh/Rci+gLqjxzrL7zxjpUizuIh0dlCaJa4gvLg8JjW0TXQ7ZJ07qT8TmBdmTEwBsTMS
ctcndOE8AoiUZyQslxVP/ktDUVJPsNa1qFRVBxSYg2nFcS14XwC2XE82iMHXaRFLKyU7h0rabVFR
JGQ+Tkq1rbS1cvaSGYPdQPRA+uVV6ABXS5qXejm4YbpLQ1rhnxXNvT5TayaEc4XmcUz3ECYGBwIf
xHNvrbUMwpoJ4UhpEYR6w4QJ1MTH8I5WO2VtCy+tNwV5NhUJX40aw+V6Qz6cQxlWDy5sNDI0Ztvr
k7Ty+X+cxtk9GKhWVsgan+9fbP2hiX//WUUS599f/08h8Ozzutmkg4cP5S5HAPwug669X7nJl07e
uQn1coJgye5oKWUNfBQ3/iFwatHNW7mj1qZJON7T1GQoS1SD20KCh6DkFP34s3WYf8DZRIVKUHfW
fB704av0DRKNN3x+Bs2TsgPfI7qnoCmQqoM/w4U0NmlpFqUh/s8sCANQdWjp6wwLIZqcSELv3/L5
+Z3BE2dOOl7OTzqqegaLd+8WU7mVw3S7VqtauipAwv7XgCWcs9JOOlv3uB1t6wHuHQhwUUZNd9Kw
ye0VQPhiFAI9KFk+UL4WuOzLwdDFP8H0M7ZuUrmKsfe7Gy366BTHTr2H+2DfqEc/LOnC3ve090bW
y/WpXHi1zQEQzpe+dUB6wkgLX8tytPZKV0UbwOnKTY+w8OwmAyhjoK2e1tZuYWrJaOLB4DMnayyi
H02oDviDU7hKCqWGd9KDd1IFVR+iFnBhrOzD+dcLr7gLY/Pozw5SaWsebHN24eq86/PstmsPUv3k
J9/j4KMVw8w6aCsudGk+z4cnzGdCiNNCrlW4XpZ8rhsY5AL10NTjraabEFig8Tn1K1fbgjsifzSj
+RGs4CEpbKCwdkpnkJXCzdTN+D1f+fqCR734unDWNJhDstbi6937ZHgZrRslPjrZx+u7cAkDcmFF
cKl178CWo2FlHE89LKN6+Kn2w13r/KzAUEPvJw1Hr76tUVK7bnlt8gRPZVSDnSLlUrgzowmpvjdc
qRcDm4OGsx0o1XAoQg1fuIAOGohM1io98/9f3OE2fTGAAImcNLGhwwuQ66OqnruG/SUs71X7toq/
/f4U0QVI5CzPnTGagM9J0IILtSAp3OQejnpjWDkxSytw/nlh+8pWRJPSmBYuXHdd97mDgfsNvx8F
YeJxme4Tc97hZ0vQ9rKiS5KWu6P+4NSPXmWuGFhyaTbdhgQ3JEF4G18ayMZa6wyeMm6Y53dDGB2a
CKk7GJL9Gnqeol95hC+dyBlr4Fg0N3LchTiT3HTWNAF9Gp39LOWQlufJDu5Aa+VtsbCzDKCAOvUw
XhavWoXQCSj8os5KN/wJmUD9N61d19dlwVXS9c1FYOqgJrgMLqeNDNskNVNSugncVZtK0m/zHoUx
qHoRy91VUI7F0m/TVYDQOLcpHPfYNhwHrZbSLVNo+6XdLPlzfVQL2/nCgnDgUwUOU7VnVMWIuGx6
iO21nsGF7XZhQdjPaY+kTlQyhhga/iA8tBDLVUcaBqw1YpulLUB2de4I4rpWxeaj2pasoff80jUG
127eIdXbGsfr07WUiIDa5l8bIrkDUlolgqhcmFV909TB1pA+JhCeOeaj7r1PO7SwHg117ZZeXCQe
zqQDTJvkj3BLy3lnxqhqEBfYSPccIaK7PqqV74ug0xDC2LSo+H5iv9NhKB5+XP/+gguAp+ff3+8I
Hifowkoxfb1wg2YuUKn2Lo7vmaw/s6JeHlA/6PLeDzWspOgn3+gIczTIvK8kS9bmSnADsSqVSWsz
lq5rPpdafu8V0en6QNZMzH8/uwGo3pb/ma4i2NeUh5uVK2xtOYQzH0pmrecaEzXV1I32EkS+0mZa
O41roxDOved5jVzKWLH8Y4puRLH7s1kS7pU2b1U58+dQiKfnxmn99n7gJnu5bmXRe51tXSEkr2qU
oruUUcTltpPvVZro5UMUPUZrkB5l0XudWRIOeQ6eRNNSDqFDdShEo7Kf0HGzlWanaqG+j22vgMtb
PXpyfGNL7UZ16k9JKJ/QKkBfAS2SLrC+XB/89Y0CSlTYiLkCT0bGFOfpPsi2TX0ff6H98bqRpSzr
mXdQxCz9VKahnMScKA9i5x3BT7LxCr/dxXXYb4IimZBuMJ5jFnuPVnC1Qep2gMQQeRGfXuQVB7+8
ayl76nCK0Rsh7ColMJ2yL3nveehT5weU51dGO/sHIQJmtL8MCBvKKQplIoYv3Eirni2Y0UIdDkJo
Mcpa2esqnMi6c+gG47ZnlCryweQwj1UpP13/HctL++tnCLttkuOJajL3WN7eWx2CKuh9gmjmAW2t
rO/yCfrXkoiXzwKtN40KSyiRTcFdLj9mwSn371Y7tJYP0C9Dwi3jWF7Vth0z26k7+BXqcMOhuD5r
y9f/r9UzhTsm9uI+8zJe6GWO9oHy0cwfyvQhlN/pBRzox97/Ngbj/rrRxcDzzKZw4yiNmcKXy5ak
A/iDMROjBzFE0T7krflesc0PvRqsnIK1qZxPydkN5Kt2U5BTIuBw7rX6IbXJB7zptv61WvNPODNh
NaWpVrMJ+J/3StU+GaZ/M+b1oeqtw/UJ/P94mF+25sNwZmvyR9AZpUFkEDw06vdU/2hZL7MKmdxA
4lf83akfnfFrYhxhr1nZ/SvnzBT8CcStXdJpbMpaOaL8LjsfM28ftysjXFwvA4gmrHYkAkVciJRo
xZQ1E+tloXbzxKNku+K3Zn/wym2dWRDGYXuGGqU+t5NR3TjtSc+3RvEhlg5lsPeVu7FeKXYuuuEz
c4KX1LrKgfW159qFDRzm7d/veZxxDL8mTHB/RRL7RWgyYWV8/NSsXSIrkyWmIMB7xGhUM1mBsiOP
Vj2G/g8v3Fj5vb99C7jkfCia4PYSyFEVbR6KoQa0v/mbYOWqWNlcmuDzykTRaxOKZVdKDq0POvv9
0N1cP6Eryy3CJuKkGwLUDrmNUJp47qJh5RQuD0EnaQlbifmqNblQ02iAfb5wterkdR1CWUcfUte3
DOKXEcFpGkPuaEkzh9XVaYwee+P0Z98XPGanpHWb5Xx/NA5GeAO/7fXvL7oq9HT/O0mCl6xpcCQs
YJKU+imWbq3gi+ofLZSZr5tZWwvBk1gO5Qk7nqfJ30eQ95qEcSsm5k+8dlYWjhCcEphk9dLfQ27f
9H1JlcAe9lL/M86OBgqNqvUVPv0VU8uT9suUcDl3FIPD3iDn4EenUf/UdJ9b+AFqa+XVuTxpv8wI
eytDRqa3UoKo2v+MUJFk3qHRd31d1iZN2F5qi0pNZhJm9A2iR3u6CTY62mu1vTWdN3mUX6MRdtpY
ZrB8/ZOogfQdxaV0u8oktbguJgqAusK/Vz1AaV9IAy8qHDwSp752b2fv8vKd2a7Qtiw5LnosDOoY
wIte9QANVgq3eDTgfFF/GY7y2rovBpznBoStbDmTk0QeFyE61HH6rc2PidVuwu65sZ6M+m+rS3Z5
tzKopbk7tyns6VLX1CGE29o1EU7NIP8/qNY+rT79/n47tyJsaQpLQYxSaOGq0qdyRK4GGPkhRKVl
jZhibTjCxk4bM6rqpCZR4Hhu2qBdUVaHREG4L87Glah2KVY/H5Swsy2rNdK8YVCovxCle/HtNCCe
tevlR1v9eH0C18YlOFJl8MFvdIxLUXdjCGb6NA3vkLy+bmXJ85yPSIjEslautTFhh9MNZhU7bSRv
+4aLR6f/B1AQHekUWy/dtVLKgxPb3Aitad4bRfGs2P0xJLKEzuoNgDXjzJaY6sxbFP+UOVqqbvyT
DIgabd6VgseyT/h3OGK2U4K2BikwsiZ2elSaB1t/QxxwPgTBJbR+mExjNGdl4BWSy79qKP2vr/na
CAQHMA0N0hMBFixXmzbKlz/7unDwW4BZgC2IJ9P8aNb77C1X8vn8COe9Tf3YN/15O8knqX0x48eq
+BYGK0CI5XPxa5WFk24EZovEmly4fv6Yxi9y+Cx1+z+bKOGAh6NlgZLl6A3jwde2a4X4xYzj+UQJ
RxuB7bhzPJa5jeNdGaEZFb8EoCqz4k5KH/UhPYB03tjWN3247dR3gfNDQ3vZWHsir+024fjnNYwb
FjoEbguIo/EPcuVen8dlR/nfpQKHdulf/KJoNX9+wKjK06CfwvQwBO+V6OW6levDACJ/aQUBQ2/K
U6xovPS0kzauhIBr3xeOvWKGfVIVvJHUkl6Mm2QNnLm4oTXAzEAnLdsUcRk0R5mIjlU889IOfK22
sYfqm1eoKwHz4jDOzAjDyENFHU2NW6uuHqvwk4fkwBvW4cyA4LzCUY1KSEeIY1GTsZofZv75zwzM
IzzPJtlN33QDI0iHnTJBJL/ifRe3K2xrMmonCh3Zgv/qFIQlEXOdIUfbqELA6ahI+6RficHXrMx/
PxuFisRa2CMD61Z0QgzKvje+5IT8ibVWvFwzJHgxp8vCLvCYLrQSN7X/QUcDHaLQsX95w7IQPugG
6RBDE9t6x76JrSnC7U8S0GWd/Qti67qJxSPyrwnwGZdzlsdyEnoTPl92SO1sJu9TtVYfWDweZyYE
L5JanQfZI6fc+HuC/+HH9QGsfV04fJ4l2cMw8sRv/GfQefGKo137vHD0KqnSSzVjCSTrmGnQsq/M
/+JWOpsc4eR5jaZWocWezcyjfci/PGlrxai1FRbOnl8gVGjOlXAj2Y7RAwXkfO02Wp4kSD4tuKBV
RUwOonELaslgEBTD434br9YoFsfAAbAdHSQ8vvxyl5YEoGkSl+SJEJRGP2Zj9neh+dAHykEJnY0W
djslf7aab5NxG3uo6iFR7NwDt1xZrbXfIdzrWt+USd0V/A7vcUSzElmZtQ2xNJc23KUz6b6qvmrw
ySKvyYyuT8EWKScnyXZ6/eP6iVkaxLkF4cQgepsistel7qT99PMHvbzR4MP4TRs2STd4N1TLmOnF
xE5LI/HUvhvr/GNcSOEpyH3zjmyPdVOMprNytyjz4l+kxv6xZTjkxQAMv0JfDjGsasn/knZlu40j
W/KLCHAn85WUZHkpu0zJ5ap6SdTKLbnv/PqJ9L0zLSUJJdgDNBoNGM2j3M8SJ6KYi7es0f0kQR/R
6IMqZddBlbF56pjhFRC/ggKlX7RpACWNGJqhWpw/mWnpUUf3mzgFIF6VTAF/BMSfZcPrAKDJ4JwW
4s3BunlSyr56CxvoWtrtXknOBbDEWvKndSUR7eIWwRRc2hJuEdbXbuVkY/Xmuu8RST3IvfpRontc
N237wl5a4pvr4o2dVDutKpST3+yQ7qcIMqhDth+kfUqrk+ei6RDxMECPYpsFrvTM6oqqelPzP+pY
QmX6JQ4hQz4ru7yQSeosjhxmDx3g2KY2/muB/64cmsSgRirfwAj+xWrjR0gbSzapzIRw5sCSbJsK
ij9vtC1+phDD7SiV5GlWTIBnxgIhv2WgLfcjNLpYGXPqK0vJ8vKtTVW/fHfzRjKGlU12ZYD//cIA
Cg66piRF+aYn1EuHB9wah3Ege0v25i6Lm+BnuRyK4F+FKDqgWSjFgswvFtTGIZTrgeLEY3Wzm4t7
KFcckrbdGSy666BHmdZbS3XgUXEhi2OBSgX/iE1dlVU4fRENxZsx5/eQe087VRL5rOxvjrGHHh5y
+QR03Ndz6WSlZk11VL6NI73rE32EjOAMNV4FsIXGol7RpBKLK9uD99drJnJSAJeI3OKu4oZRQmEx
V3S80D9Hmfe9ZgBaEwaIcnm/s0g54UDl00wsq3jr2u9TVO17IiPBWtmABCxbYGJxkVKzxUlr074t
0E9dvFkId9VXb6fFX27fbvz9Fu5sWCCgr4B63JIhjVlg/R8LtXiLIblnVoNnx79yq3ls2ehrg+1r
7n6UKVGtj+ofm8LVkI6twdBrhqcSorqtGbTqOYa2pTXe3R7bqh1OdoEd58CV4n+/OL5ZX3Ygc+iw
qYG2Gsa53ocJ0HhD6fR+Bv7M7Q8FQUMvB0ij1RStNdfmoqZjDGSF6ds8VCi3sP0AEFSlbuZEBE8Z
fE6cVdB/qiiEXptRujRXCCUJl8+C5qysL3JtU19+XlgcHcLrHXQBkreS1flLbZnlg2NL03sLjwwU
+cB5Q82G9w8sSKkguq0raDCI3tohOihRvofoyr7WZESsS0cJHao2Wn9NSAuALE9YktoYC+gNje0b
Ws52iXGc0u9O9GBZjyo55Ozn7e22nDlcBhbwvZxtA0wYwh3e2Fk32yE8wGkK/Q4w782iJC7UqaAr
gLyICwC72HfRO0XXDbNSAudiHqzhS8GeEhP0RvN3Z9ia3hVMCUdnHOKyrUunfMugEZt5layFZGWu
NEAhoeYHmDfYwoTXIDQYKNwAwH1LMjp4rmIzr6nzzc83dg1YXHA1u3AQREYybKtkatW2e4Ncj1oe
7Bot9L4rY9xbGQo6I7jXi2ZieDVChNQAzajFwxy9UTroz/WYZ3vLjUtJpnppxUEqCfhrODvgKBAB
eBaCsLmmFT2HdWvtIONQN+Zu6/69NiFcLK4aKYMGfqCzFQXZeGqO/7/PCxcLVdKpakEdeS4/di1L
N7dVIX5EhwrhFVxeMRYOu5lbWT+2lXvWunLffw6bzZK+ggHhUNgGyFDrsHbPzZiDQgAZt601W8GA
cIPUkNg0EW2457FodkDreMxLZ5CwzZupe+Hs6TzYgGqNZqMN/voNidNBhXS0m73l0+OUR6lnTEh4
69s37bUZYUdN41BM4FjK3vS7Khp3piojIVmeCsDk0CqEDCsiTqRKrsdhTLo61wNJ39Bw7LnHXh02
v+ncAE9F4ojD0xOX3KI0NTolfbPYCxrFEu173J1unwv+iWsPDA8GaLzBlskbQ8T3PG+0IkvdPsVa
tGi59QvTb6N9SVLJbbgyV1d2hPOXaJRNUMBJ36hFvPJHnMhYTmUGhMVwU6cpmwkGyhGB8mj6Wry1
KAv6ShNJD66WZcAfFlYjDStj0np7OIO9DLHyzp1l/GULvwQWLJX3p/MXYyF9lLmkGF02jGez27Xh
LnT2Qy3xShfTdG1CPHsItZLcTmBCQ2XuhcgIDxbbSfi8cOaSljqhO+DzVHvo/tIE3QflQ7G5b4Nb
wRULVxS8ygsxP2almQ0xjfEcPygqRGvR0b/xVMAAj0NR2sRNtegEHNW5aWJj7s/Ta2/f9/SNTu+d
TBJy2QKMpwJXFHpZeZvpoicrh3lqu4MO0oNqPw3WY9ZXPmRyP88d1M7Bqawo9GBO5t8C7WGqIntx
l8XbD/sWEmbgOuFcVtf3V17NYeJWmQ6GEOaVlrYzjCObJh81PH8wH8roUz89xW0INeA7Ch7QMT7a
bdDJ7unlnuHTgNm2PtQYxMiFVREiwKTXT04R+i1opJuI7Rz0+OXjVieAD1hDxAk1dEy3iBGt0Aeh
RtWkn6x3tT+q1tY0hvB5fvYuIr550KC9UeLzxjDuAeWPWpn64PqWwX4BI5WKfK/IS21VSuO6lYUR
DIjwhsIr0DpO471J0A+xB1a4tA/54HiltAdjeTdh7i4s82DnYnB0HlKDzaZ+atSHev40hI9u/Hr7
1C3vJphAoIzh6ZwuUNiPaPCsuiLS9VPceL3jp/Pu9vdXNpqu4kjjtQPxIQLZ6yGAKIWGJXx2VDX2
bXVkj00FtQXJQ7cyT+CGRnITQ+BEfcIgTKoYUWzk5kmph/tY6Z9iY/xUVfPh9lgWmRPO6o/ebhfB
BfSYRL8/rSO11dTaBErsW2feW8bfFi04lLw0+oFVQCSpsublldUBwEpDbzSOKTqbhIFV7ZznJDes
UxFHfq2/jpUkobqyPEhm6bgKEGiihCHssLl26rGikX1qotehn73iew1MZ2mdb8/cyjhw33J2ZRPM
jZopjMMyZscpmGKdenLQFd+QjEL2eWEUqU4qZG3x+UZ9tZB+SWdJ7WHNAGTNOWAf3NMLGdi6InGt
Umqd7LrwfjupDPywsoF5yk+FSjuvpojrnBLa13nH7FM6vtUxBUeEtiPOZl8KYgUatjC0lsEisBAQ
ymYUqorRPqmA0pPCZ+HvzavswDvAhlKhtwx+0OuzPul5rI1D5ZxM7dBFO1NGwryyCkiCYPZVwuUI
xIJJrquDESGXd8rQjIO64j7Zbx0A2MXRLIRLBEawGtcDsDtSsRGsoyeD7prcr9jmx+rq+wtHkOKh
YsgnnFTtsf3DCsn9tDzM0OkC+oSfY2jYGsL852RonNbW6GnIYq8i8zMZm2en/+7IxHSW2/XaEP/7
xbtk1m7UgxGenpJwXzwo414mkbs2Ek4or4Ng1liyvI66E/VhxYA6IbmvJd9s8y3sPa1RJQ/Hckch
FwUbCDFAqLGgCWrRsK0lZhmeZ9PP6WNknjZvKHwfJTcdSjDgshQmipWjXjVdG56RGUz7YyIjIlv7
/fCqkMVBIgQHW9iw7oBJKow4PCtDHljt+JCCzFLil0tsiJs2By9P2EBE7zyhh3dQD8SR7dulBUDT
Ec+7joVTDbf4ejuRLCFKTjT31O4Avm5lu5Xf/lfhNrIEl5/nm+1itxp6nEdIirinKd0P+ugbmeob
3XNrOD41ND/cHu7BHrwR6LbD310QfrZhXFa9HhPQPLsHuyUHyT2+PH3X3xfGY5OZNXlJMZ4ZEj07
2n1St7931ybE93pimaGlMKHbB6X1Sv3+9rng/7+4JJwKm5OfGfbiPaXz2ISzkyonfR4hcwC/szi6
4XGgz4SGmz1c5IkubAlZkDFOWT1OsOU2AdLCJJfBBVa2LyAsOur4CB5RdxTib+r0DikVi57cLwkk
AdRoMx8jV7Pm0RqwnCuUompoQmPFaempeShMsp+NYX97OVZOyJUBPsKLE1IDVdHUtKEnLUnvws55
gE6Nle1qfWfr7ZEa7uG2vZUdfGVPOPC2MjJmpxgQs9TfUdod4yg7Toz9uW1mbWFMgA40LgYOzjvh
oHRjlddxhmEl7BWMH7Ykd7v6eWifIK7BTl6QUieZGQMsUFKoNXzL0fCfb677Yd2BLgLbEwRS4VUJ
G2uItaay3Zye6h5IqUOlb/ZqoWIOcU8UMkD1s0h9xWY3dXZDrJNR73rNZ2x3e/7XlhmREk84g19/
kefsCwAPwtI2TyzMn1OTPelGdxdWZGvVn4dkF2bEAx7VxdAhPAS3z079pcq6EvkuEe6qq88LSU4L
xOZgVSTmKQcNZBWn/uwkfmjhoZKRFq7OFxgDcFu5qJCK1b4WDFVJkSQWmhLnn2pKPjXoDGqT5O72
sqztWxT7EHQjkgUsQ7jc+7LtHPBr2yetb/2mOAzM+TcLT5Dh4pUZjqS6vk/AlRGXoHTCxppnCAFV
4C/dT7JLZHUYF0aEYZhqxsyhhxFwQHuN+5rFWwtwfF9dGBCiyjLJ3TQMYaCbMrRTJN6/cBSuDAje
m9oU6N7g0wT2sh355JDt8QznPAMXNi9PI2sr3LNqwRIzoo5xMor5foiV/VxKIu+VLXtlQVhp3ew7
ykWbTlR5n5p9zY7btxIuVwO3FKgBNeCIhK1UsFJX29g+hXS8VyBgUIyVp/eHzUcCCg8muigAZATF
gLCX9CbmPOLUPpXRk/kCfbvtn0cGFDISYAFDtUEovmV2Q8dez+3TkHxxXxTj/V98HhhC5HE4elh8
J6JCK/Khwz5Cutj4Hk8/b39+5QJ0NGA7oRKO0HIB8gwNkrG5VJST/d22el9jtl9ak18QWV192TUL
lJiu4bnmtP8AcAnzVGgOm2erU05qPO/VYZ/nj2r1HI93sZb6jrFTkRB3C8nzsbKFP5jakaQmEC1x
BKOzXqtKlc7kNITvlW3tzbI8snBzIAjEGHy3/zUiPOWhoULujRvJrZfiwDZjY8FPjIkDJJLzwC/2
72SoSjSD4ffkpNDf6+pPaaTumz77BBJZSci8shuQBweDumkjawwJxesDmdQKscqZ0ROpdkbnKX8m
5y6WwTD5eRPeXCAsABgCkMdBM7hwHtOhTue4o+Q0oyvfIT9tO6Ds3viSaDLY/crq8zMDyijNQglQ
rMeodtzWeMEQHfTTXY1gTavRLNfod7fP0PKxAu2yzdlNQd2JvjjhJgbbeVSbdGrPkd14wQAJ8u3f
NzXIggNfA/yjmBobFcuaiz5rz7nxO7uzyl/bP89FVfGGQH8cdN7Xi95B7mccc7c5k/GzG/la8f/8
vnDL03IujLrB90PXd942a9oSGwo4fN7x+xGgCY/UQOZxHikJ3yb1vrYOzWY/AWICmHrkGDjcVZx7
klHgppy4PvdHx872pJYxSS03z0cMgFDA1JC6FfECij5R5NSz6gwcP4n2Kt2clrz+vuBAt2poU9Ni
FYiB0k+ZF+eVxMDykGHmQduAnCBS6LpYA3RTLZzdvC3PBSl/tN3kk553JJjfb+/S5dWEV4Pfgigk
o04jYmcj9A+oec+aczN8S03Dn4A0pkAlZJWsqrVckY/3yXZAe0eAMxMuQVLX0WCVLY5zf1cRr5JR
Pcq+L1wXcdMrsdHi+0a4Gx0v/n17omSfFw7EaLlQoRya9qyg0Gx9hzzZ5usI2Dgw0vCHHOBFEexn
D01ZUVdtzxkY0et7bZAVTFZGgIsUwT12FE6E2LVb5L0Zz1PDzkn2td3nmwVn4ebgtKHei04Jrkd8
fd/NtjvZWVkm587dNZCRkLwGK+fh6vPC/MehAvsFPr9j1vfqPu++bV7fq+8LzyfLGoMqA76vg27m
R+lGh9vfX/v9FoE3Y3O1L2S4r6dnmjR9npU0ObNob053Gt2PuiTJuUxJARmnYRdxDC+CVeFF6Ejm
hrOaJADGnd248Ns68tsEBM6uA6RR7g2y9t2VHQV0KsDcuKUgdSMG32ZfsHp2o+SsDqqXR/d1f749
aUsDBJQ2KE8jHkIFVMSmDg1FD6xioY02faWe2W6OxK4/z81f5PCmOE2QTcLn52Q8WOPkFVoLDRpb
svSyUQgnAye+KZC9yM+VVyQ7qCrdniS+868dv+tRCCdjBlEjoiV8npmTZ5lflP3UfQWiePP9hFQt
yvgIyODyo+B6PVkAGIIoI2bjuS5Kz2GxV0ueopVp4oVENIoi7bgEMxUM8omdPnZn2ze7V6ZvDie4
NA/qrJDsRdgiBvaNMhtun6nDWYufioz4UZhvX2cesQAWonKlR9EvRsmknqaGTOc4fgjvIrI59cgj
ln8+LziUUTKGUdjj87r93mVne397Gy0vKPhhoPFAJwjUAuERX69vXU6VYtmFegYrv/JQqFrmIZ/m
AurU1lICU3GtUSmGmDPCVtvCZbiQSzIZgrusMuZzpd1/Ztrx9lDEE/Hxdbh3UD5HahDezfVQbG0a
5qSs5rObTe4LGPnLQFNYc2dXKtSpWUor/7bB5XAwFBdsLryID2yQMHed68zoBomHIPpauPuwkoTb
y/Fcf154OyLg85OkxueNCRpZ7VfdRFvzIZJVmGSjEKYtVaNaCy2Y6U2/dL2ZSHaY7Pv87xfXLQKO
kDQxvp8T1Nqnx4ZJogpxC8OzBD4YZw9QZ/ToiaVdjSKE78ehD7TqrJGdq+KQv25e6UsTYrolNCIl
rZFDDTTdqytfxka7MkVcDgNNPYQfQ9EJTIjRVamR9UGn3rn5E5HVdde+D7AEKiMcjQDo6PUSdEqt
FW0c9QHSqOCjS7zt0wMYyEcnoYHToAkuiA7CJteA+kHAWxdjdBxnv27PP3fDLh87LDFqRwjW8fCb
QHkJe7SN+ya2gNEIrPJeoeg19ah7j7cuVc63Da3MFHoVOdsdvFkuxHQ9U0AfM5xo2gax7dFwp0lc
D9nn+d8vzkLquJCLK/H5gb0rw3dzK/XCxzxd/Hx+VC6/P8V9Pgz4vqp+0+ogCW7PzsqNBAwFEr9I
s/MeacFbVmyrcac07wLQw3yvyubgDIqndM4B4goSv2PlUF+ZEp69zMgMVCyyLoirg9b/ZmxfdKHE
hmw4wrYtrL6w7RHD0aIdTXYK25PKU2JJCCP65x9r8s+kiXcH5EfiGu34XTDWgxcXigduIG+2Gj+J
/2rVfRvLhrV2WODo8YVC68Sif3CyS6hQhnUSlKFDv2vuCKXLqEzN+4jR6XFMqumBaQOTkTwsANsY
KCflAPLvPzx3wnQqZQKQR+kkQV2n5gvk2m2K1yR3QM8xQLDGIX+HNuoOlNnVU4mpj7xcaafGG117
OCh1B4FAmsw5FFqa7FBbTih5Jz6wgcItAn9VRcYcLiGA88J7TViVsSTK0qBqy+rOQUcqVN5bzX4o
88HYTzqYYFvXBHViNXbHykXTL9O08AAFmW8AbKp/ejZDa0splU85QnYvYSQFFDSr/tw+ZStb/+pn
Cre1ht4jWqHvJWim6Lkz8z8KlD703rm/bWblLoJ4FG5tMGFB+M0VzCRJO5JJxy2hvzrafrPQFnaD
A6Ea3ogLhAwRHcs5bi17rPU6aA8KPZMy2P7rUZoFYAnNCcsKcKRrWWU2VR2w3rfYzhr87d9HWRYe
BR5NxD3CVZcNvaNWfdoEZvyYHLvsX0z+5eeF640mjVUYDT4/WWcre68kOYGVteWcLrwuADTEou9y
ymKljRW1CWpj5yb70JGkKSXfFytBVaPkcUTx/SHdmdQbJP7Eygm4/PmOcFDzNi6LAYQxgdk096yD
CCNp/Wl2NgcMGrxF1UHciZy0/VFku3gtk6qe2kK16iC3jnNseXMdxFbtk+Tn7b30keURLh5UgmwT
lCI2+hTFomluULsKtTYP8GsM321dw9dyO/VJwfRDpMTEL0H6tGe4uR4jktc7m4097iYw4/4GlL4+
OdH4zaBT9nee4uQFIhrDuaii+E7rQ/elSpzx0CR4UdRwzHRvrA1HdrmvrAiqGbyvnse5KFNfOxaD
kplq6OYs6Lvh3oTA+bFi8byrqfH19lytGULjJcq/QPEYAKNdGzKzInNI3LCgKfP+81SS/hHqY+nr
rJWyJoWV5x+rDjClCdjpkt7BcEcWZ6WSB+l47NL7sHzq49eplERxK0eFIzuQLuMdF9AVvR4QsvmQ
7cycPCjjJ809pLLW4bUJu/y+cJNU0IO03QLfT6pXnXyqkmc3lRxH2RCEh92ouhEtsDChanfTi13v
bi/50l9BSwrCBhA2wGWxRAwMyTo9am1jDGLT081vqCyq+j6Mfs6/b9tZDoO3vqhco9YweHbxeiXa
Oc4cC8QxQZEc431aS26Tlc8DuMVFs4HURBFHWIhGr2K3MZs5GLu/0bHe2jIA5QvusuAhBRAbe0nY
R2Nv9akakj5ooIBgvOebwZn/MQC2IOBMkZ9Z+AM9SAttiw3B0PzWnd9s84MKmD2ycAgQ4SshpXU9
+/U0oy6nTEiWhNRP78BqLzGwPAgwwF1eoMKQ0zeEXTo4aQh8aTUGVmp5YR246olmW/t4MUkmyOsA
FQKOHO+qAIFgaNJKnCq2ghbCnrj/Wkk2dHknQdUPlDNIj4EsBQWh61maOxah+SezA+upUb+4Jdun
pNhb2vvto7DAj/BxIIDDacCUcQ9HsENN2kZV7AR1FGi/wOOsmIf6bz/9BhfQMSwknvfK0YA1TjSE
iHpZcx/yCEnMCda6CIylQZH/i2XBYFC3RiENj6yYgJhD4hbqmLcB02zvE6m2MvhiuvB9VD1QxQFy
RPQGeyiP1FHUtgGAzb6+hxKTZPPyy+HaQ+BFNGwqV0ebOyCy1+sBliEnRm9yG9jRAOjkSxu/NMWj
+6Z8KdN5f3vxV1bjypawx/JMiUhHYUspkMyKfaXaCgTl0wWWCcAfCA8JRQltc1RMe2rmNrDU564x
jm7ae6OjgcZEpgu0NhYkr8GTA5g072kU5q1mGUKYGpmtH619Fzp326cK4REuLoJGKiTKrz8fImBV
wiTlGQKvc/Z2s9lPB2jn4vvCUhRaBBAXTbognx+VxGeOBE63tq3g3qJtB5HAMrFYlgbEp/q0DxLz
TzF9a6LfZf2Tqd+z8a+lySSHFtSLfNkBr0e5GQ4JuHj4DX3hT1u9MsxgP+wCMhIvN/dqcmxeJ7BJ
tuq7zXzC7nP2UP6sKr+c/IHukuyEXl3Eb2jZvL1ui05k8acI+6IoCOl0xeiCySkh8/3cK9+n+Hui
PKeMKz5YbTBHL3p8vm125QnCAQZVBWCkcCtFYlJQsht1lka4hr4234FGAGbgtoG19QQpIeob2DS8
4HQ9w2OpGooJsrvAcdp9FR9rUt/3c+3r5jEj8aFwv922tzogi+PSQfzAe1Cu7aluFbNGI01ALeul
VuhuLKe3fjP9Bl8thBfIRoA2gd+C12aGMckrvUT4BSYBpbxTZOhe/v+Ltyv6OOGZwcNEskNwDcwZ
9ARKSOtArZ+ayN4N0+fOfbLLl7ZqD9tnDCA5YvNaGocYXg8lL03ahbqOwD6qjP1sFroXTUMFYUtH
RnXKF1sYFWgJeVMyUi1wOAVTFrUKOx6HLhjAGPU1T8dmr0XvBR2MnV6FMlLwlTnkoDAdhS7U/eE0
XA/MBkjCyUDjFSgVMJMxWMEfXP0YzaCM2xwxYe6wHT46RfAcCo50lDiR2c88YRruWdv6vWt5txdp
5dVwP8rNKEMi8hA5HRqNxlk0OW1AC4qHaRfVsk4nvqPEtQHaBvsAG3opQU4SloyFkg9BG2YH8N55
TjI+q31y7CfykjrFJ9uoKk8NVcn2WxsZ8HvAjn0wFoojY+iDCXvd7YLUGY/fFHsrRwVOKkKoD45K
He2gYrFbG8banIuxD9K/SnRQZWjWlfsGkTjI7xBDAY2vCheBroYTtDnmPhip4TndV8gd++GkbV9+
HkIh8wmcOe9Jut7K9djS3iiRmoy/aD/nH1v3FlDFaMXFK4A+twXEnHduuiVKnUHfp4/w6R6Rh5O8
6stZujYheCVd0bi0wX0PcsjBnwv3CF3wT9BRkiAPdH67X29iDpBGKgYrjaBZRFN21WhOBmvigNGm
gPjX2IMRnpq+M3fPDinuTe1rWDW7Rg/3bm2HTxVNpx9hnOQ/XcgsHEhqD94I2pE72hk/wCIDPpAi
N3dd7oYHwkwZ1mr5OIJTFKvJ8dCoUInuR6izwZzmMA7iJLsLzdp3tbt8nu57d7y34bQD43h7qVcq
HrCIO56zz/E0orCRur5iBISdSZAyVfNNLfUK/cnbtSXZJWo57B0WDp6uEGOXuDZwRqHxq67MER5I
2u+HNu4k7sHy9HMKPM4daCL7u7jXlKRKprJXoyBv7gu/TO9vj3fl8y72Neg8gOmEIycMNzfnWFMj
VgbV8IOh2/Xn7c8vtzUurovPC84NyO/LqCnx+TT2aUL8xB52tuyGWT6aKFChBI4mFZu3oAo3DPZN
T92mL06quSvycgeGt52VHFtdckaXc3VtR3jEzDEtM6WDHac+DSXEIH7fnqyV7/OzCcAoOJ4Rngjj
IHbGkDdL41P7y7YfEWrd/vzKNOHyQjDtAri77NTtEmdQe5TckStzv9nqdEg+K1F9h1drs4eJTgIk
IdD3jx0LCZvruzisUneKs44GjfI57w7hfLCTzacCFFlIKQPeBAgBmlyvTeiFQcYScdwpHPflz0IG
01lZiavPC7exmZtVoRN8Xqne3Z9lK8mdrIQyuGQ4950DiC0/fNc/f24qoBXQSRkkydvEUMpV91X6
WNAHd/gUtYbHNHXf1j+JLSvBLz0+EAzAfflgh7UXlAnRrA9z5aRpYIGCei7Hd5Drtl40uLWXtsZr
bjS725tuJYDkyXik46E3uBJA6npZZpBjTwLIZ3pT8ziXqR+RYx9ZO3N879yDqXyCJtzO0B8YSOZz
7SshoBO2dihux5OvZ19v/6Dl0vI+FyilI+ODBk2xbpNmYKKZaZ9CxvzQhMdQlrZa3njX3xcuiQoc
rERNuzRoq9e0yb2mq7xUyr0sG4WwgcrUIil4KdIgjK19Wf3QpOIGknGYQpg4ZpMdWlOTBpPr18X9
qN85Mrjr6iBABsmDUIQh4iEODeSPsnpKg/534h6IJknErI7g4vPCIW4Q/hIGErEAWaoemGmwQMoY
qhY89uDa5ZAM0DNiS8FTEdZhsGwW2oqZBvH0MJDSa61D1j/h3455zLN0l+a+072a89eRyvgtV44y
+IB4szT8OGSc+PAvMjO5pY9W7ZZpoJMnKz3Ec+Y7CN7UF/T6SCKQVVPcq+YJClTXBFOm3qM8aVZY
qHIX0l2XepQeU+qV/eYatIF7/R9DgrvQ6VaVmyUMmdqrW35q7reffZt7CpxOHHktcU8PdV/pLfs4
+116GCQbbnWabAPLgUY3pCT43y9WpB5atIRbdRoohg9dduXZ+AGlxlymPLm2r5GNQtlFQ9EFFbZr
M3ZsViUz8XhM484hO733QFhxe6JWR/KPiUUVvdAyvbftJAjzPVa70F/d2O/pnkmD6qVTghW/sCQ8
5Amd6BDZJAmI5rXJgfWHCaK0WxVv+TG9tCJcBXXZVG7eu0kAEuNh8ApZKX11FEjcIMUByCdxhCVJ
VXdQVDtKAzr7BnLio5dn91YhceBWFx4gPSR+AdpHg9H1woNbvADiwcKqQGvcDr844z0Y/26v/Nqd
DLpCTuoPUBVMXdtAvNMZk1XmASTVtPjQy5DDazN1+X1hDHmNFtFZa/JgJm8WCIBjlBFC9GukRKaK
9ZGWE0JdcKkidY1MOUg4xekqs4zGjhsWQcKixnMG8xuLXOjn6L5aooOjK442kHupEd3lZeu1lek1
RrJvnK0Nhth8aEyFqjeuHGR5xQRvzMzUtROU2nW6r52DK/OFV7YFHGEwsCBNjT5bkeglTceuqqws
C3RWPpeU/kpJe5+N8eboB9ANpAuRW+MYDtGr17MGqPKkgZno1w9LhqdZ2XdXX+d/v7g747mu0aVa
Z0Gkf06dQNYSIfu8sK2NEeCpGon8gMzvZG+zt9unZm0JwBIANwAeJei5hV8/QN8tnNomCawOrsZZ
sc5bu3j5Jrq0IAxgRhub3lTcgrnPzP3wfnsAK8fy6vPCsUx7I47bCvhSUh2bcd/2n2wr2dWF7d22
s5LPQV8QUpmocwCNLea363Z2rbRJksBun5Ixus+VcjdA6DyGalYWoOX+39iDHArHoRjoUBae5KaH
nsdoxElQZZEHYuMHJ33Xx8+KvaflvT7Iskdr2wwnHapoULBB3UOIfJMpzaxxjgCXTQ7UA+Tl9uyt
bTPgILiCFaBHiwcg1NQ+G3uGlz8rd7n72OSvs366bWNtJ+AB47kv7lyIgNqmKc06AnVKUDqtX0Kl
mfZngMT9NFV2ty0tR8M5P4FV4H3pHFN6feR7syYIY/Cc6Wl9p+dvna5BROTvbSPLFbk2ImyAya5b
yDbDkwEq3GfG2SxkmWfZMISAj45UacwRFlg/ICf0QohvF6Uk3yEzIjgYdtPkdh7C5zPqY1Tez8Wj
KqM4XzUBkBCIGj54XgVPTJvCGZQ8WA5HOcyz5g2gGyH65ugby3FhRHDExpCUqHvByJC8x9Hvmkry
2+uDQFzEjyCSaMI8zYlpVeqIeVL01K+zCoQpAES0Mn9vJYHDx/F/dsQGAMQpHaQY4La2X5POM9Nd
Xt2N7cE9DI7fvEOOWpd1AKzAe65NCutj6f0cg4chCeK88ZIpQtPPfZ89KciqAiNRaAcGcu603Xwd
XFsVFswYh7kdRljtOdfirpyODvPM7ZAPJPHQ6AwCTKhJLqTLprp1wrZQMJ1D6I30WYt+bb8GIF1K
EFxyCLVYwlXMuuiiWGEIzSJPo59pJLnM1u4ZVJ7wyACxAmSosDozHZBgT6osUMoHSpSdm3d3t4fA
b6prd9bEHQknSQMdEW5nwcLoTPoMAXcWdO2Omcx3k6eyfZiT2Cfx9sHwMhfyxAjFUdwS4uQsQyeJ
XQ5hEGrF3ogendmWDGZluq4sCIMh4TyxVoGF4rk29qVzuD1XwiOGihGaOFFrxPOCxpAF5I6QvJmT
ms4vY53F/lBaeyfPnkiZ/OoymSaLcOUsbPGhXniupMgNgxLkXZRyfnGN5q6vx8DeqtTxXzM2RsMT
62jIuzajlGFtxKk9v0BzTQesvfXZ6OZeVQ8/Ns8dIlnUnIDaBTxO3Geo6WnzRCflxdCf5vI9rZ+N
9keTyA6MmDrjA3LRogzmMVDkIagQnn+jatOqG1rlRS10RJujNwMVR+bH3Co8M6v9pNfyXV2P1lOk
0OaIuly3d3tFlhEXPNL//AwENaiuAxK2oGlUxqkwWZYpL3OnoXi/D4t9H1NPoScU9LyykuzMld2C
GArYdA7vcMHecb2MqWUrqqZj1DF7SNwHnb51MuJMiQlRq5lUsWIBsaK8lOqzkn7V7bvG3JYl+O+k
/d8oRKgp67LOMutBeWHsMKC7S5bblA1BeHVAeYEzW2OW+rSAznPnkZZ5ukx8fW3pIQQJkSnUJ5BL
E46UqRaZkikufWmNX5HLfI18Htp7TXkk4BZ2w40IlY9JA5MpMlF4h+BhC65onkS6ERKdvgzztxjp
rqqWyf99QCMv3oiFCcEXnZS+7PQEJqCtAjBUZnxJh/xhSKzoRWFldmwmoPjStqhrD6oEn3USpt7Y
TT+M0dopJRihqREUMUi6Zrfb6F/+97ehLQf980B3immQ2khKM6SUvrD/Ie26duTWle0XCVAOrwod
ZsajHmfvF8KRSiSVSIWvv0s+uGf3qIUW7PNi2DCgaqZisWqtVfOj8J7mkUHbbO8BtuH4gWUB8w0p
WFQf/fXxaqGc0U26n040nc/vyaPV7qRBgD3HEV1P8pWN9e2oMpHbHaiaqTn6RjpVUxlxpU9RPQQ0
7HyzCtlYfwe0Kjgo3xo+C7cRSTda3hkp1TqGYMaXLC/MCCjaDBRKx4uNztBB9BFu5DRBESvmKGgd
d9aDWbD61OimPFOutAiozzYLe9NTRxDBBJ7MOOJocaXL0NelG9oVzc5ODt5rYyFTOzGFsh6Ygqe+
qhsACnNwrJ38H0+5RjJKxWOIO7kxipFh5VpD3Elfi+2FsUGjxggF0d8Orhv6kxLQCR+zsJ6DiOlV
+1wWVAsnKgCHbDlOqEInQCu33bA0jS6sDasOmRzbp6Ew2JM5eMNJH3P9WASuQHufgEVCBtobEM4+
N9xD82zhj+xzh252Olr+VCKuqDH1YTe12rGZ6z5RVuEkfZnVF3QGtk5W7nifGM2sYwC9rXiSef8w
tCR/4MKt3hhS6x80H6l3neXQJvD0Ls0yz4gMVdNokk5xzDXvIxRQrAcyeOjdZXr8wZ674lQGTnuU
TK+TIGu6Z9C0jLizcvcgGCQOpjwgUU6cKmoajvlkbh9zDTcxQf4kaV2LHwaH64fe08Z49tkcjyMd
nkSf2Q+55dYRlUZ5Gk1SJ2MpzfOcuXqIfq3BmVWjGU+BnUVTPY7x2EonzBDxPdVTK7FAcngiPvpu
jPbgHvVZl+99TatDZBVJ2noFOQwgkqUddNhCqD7kYVXXTYiVNGJb11BidcizRfoq6UjZhi2UXSMj
0/UP9wOHVYC6HHAwWZZ2xwtjAwHE66utcoOmywEaSsfciTLixyWZjhAtfVIEClhVaexd3Ru3BAzi
kCMbgpt0nZE0jJ4CWNa7aZH7YaXN721Nf4MOFr/uj2vTDPAxyLnbLk7n6prQ66kAHJC4qWk3oMYb
5mdpWv1RmE59+gtLYNOgFGqi1YqzuvYGvSk7MZlu2hV96BHrEEzeYWj25m3TSSL+AG8D198NBgwo
rVz16AOWgiQbeVlJo8FgsaHGj4U0P90f0tYdu0D/gAEAuOhGmzP3nRoRJSVpAAXFEC770a7KN5qJ
zqTcF8dyKmOj2kO5bXpoVPkxhYvgwzqEratclqrqSWr+49chT+4Pae/rq1VqrWAWmsDXXVFFZlHE
jtwpg26cpIXACPbcgtW4wXwBRlkFszOS1GDVA4RKjtD3iHng4NmK4FjL3Z19tzUiCEGB/ASd4QAV
zNcn1/eGYlZcYpFm9lOiZXRb5H8xJOSWIF2A+uhtD6FJc02prIGkHA1+elt/8gQAtMaPxumTTAt2
LumNI+tDMghlLMR2KIqsQq2RcFIwYQQppNpibe6fSwe1xXlPmnLPzCrcKopBVZOag3T20tyEzsQA
AZO9FPbWZrgeyyqk6Zk1+HKCEYOlYjizOrTGp3qIzT3iytZRvTK0JgbUsphH5cMQdOoH72UQb11G
Q5FZAAr96pwdDNTO3K296uz2Wpt3QE5bKvhgacWxd6dHgjvz/mHdNAO4K2ALKDxAGuH11u5ohXAJ
bY3SaY5EcWFWrGk7j6Etd4pmhkszAQCcbuTUskHWtj+bGAlYkCAThrV48EURmcbb+2NZVnodeIJB
6KHnL7DOeD2+HgtxGsVrjwapZj71w68c4ZyVP7QkCXLEnHpSov/G/2ZxGfpVbsMkTSFJBotB1xxq
ZLW9+mV0/pFBHw7ilJko3hjjjs3NbXg1ytXZdQfEzO0Em43NopJDu4x9dKE/JGt26KomGqBpen+U
mwu4dOZe2owAernaI6gOgAifZSRFoDcbZUydLBzIlyL//hd2UKqFlgqAi6hIvZ7NSfW0ZFoQpGbn
xuPshE39D3S0DqTfAaJs+fPl9sBuBNjTXFPcDE2VmqWjNV/d6qHpJ7nck0lbJ8B/v+YCXE3A2+Ol
dbMXUXWvrFaNbtraVsob+8h8930zjFgm521XTAlQOFXIu6wJmzw7BoX14/5kbhxsgMIXNTUXlAwI
lb6eTK0cqGPkzE2NyetCpqiAmkQxxH6j7ZErNzwwTIEpuDRNRVy72pFl2elSIPeWutqneTxRdLsU
pXvKzW/SnHf24tawLPQ6XDBQMLf2V6hgdrXwMzcNZJd2OsA9lkXtg7Izerw/gf+hSK38CVYQyDVE
Zsgpr/2JFchSz50BLDCfiJdJ82RkjsQIc9pGrf/sKBXV41tNVVHWtEnj5onmQt4i1Nr6J9OV+JQD
e4B+BH1rnHjQWSFQCG0RtYb90pR0eES0Nx50VpdxVXUyotVQzyGCtj5ybOHE+FU/p9IY3hCRy49V
ZdRJOWX8PDSyPudZ5YZd0LpH16bBU9YQZAUdBT0MJyBZmGu8eYaQrHUxSSYjTtkUublXIm83O0di
9llKBFqUTENPE7POWgRpQiWUzSqiEAt7y1rintEhxw1b3VZxLTIauo7g0WzL+Q0thm+c4Rf4YHs8
DEDFRR3uqrco+pDTACD4g4UsX4ROH3M40DY41o1uvelV5z95LPg8W2Q4jgKXDXUK/9HnbXYERV4s
WszjI63KHlEpHcxPBT3N9qEYQl0YzaOD9AwqR77kSW5pCo9T33uoS6MAUAVP/kJH93JIZujp5NnT
C0Mj8PcGFeZjRx090TSQMguz1MNMjta5rmkB7BnBiMrWmh8y3mAZ6q56aAbMlVcGwfuy7ZH+mSCn
WHFSH9CYF2hFVRtn/A3NtUpJI1nnMq4sFNDKzqIhXnMQKvC7JvSo5YZF30yRsnszrjwE8h6ZZYSX
DZrWiaKPjblRv+ToaUdOcjfSrdx/YFntvFGNYz80bTU8u2OZRbSxvKembauI2IV2KtVgfIT8H5Qq
TWuE9pzyjQ+8asmOk9y4ZyAjinYUi3gLGoSsbtPB8Wubda6TEhDeePVBkz/VWMekLMN6+FYDurtz
3lbUm9/v42uDq8vUyhxb0yDKmqo2bdmX0frGyXOenRwL6DoRdvocqWmHd7flTq5trlwX4inqS8jj
p2w+URW3Tuj8oSbu72EB+eogzgbR44bomRcSalEO8RCV9LHCC5nUO55qaxDgXaEBB1Bpy2q9dvUl
Na15dEcvVdYPg1iJN7NwcuXe+mzcmhBogLYaqitAqKw3xGhKXHfgBqUld7QDUbU4QUo1gxie+DZK
aT8GxLI+VTbIDJMbmJEz6G1ctQU/gAhao5W9170UrPf/PFBedCOWWgwA6zcNSJyhNKuRYH4dPxS6
ihq46V0S8uYUe+BPIneKsvYaUwo8ecXHchl74/0CW5miW5VbJFYp8r+44MB2BrAEoiRLU+nXi6nJ
SisocDkpbX4pdJzv42BPbG1rIa9NrEKDuq56awxgAoIbfhXm4x7se9lwNxcnCrF4TwBhiPP1egxD
QWSVu5WT6pX44g4AfRIBDCPJ9Y9O2yEqL2h833nYW94KQqhL73kkBsCqeW2SIptcZvPsp9Qvmjgb
5uEAqtonXVaAM+bej24SLCYm8xK/GaBH1aCXXc+BTVC5KSDZZ9NnVzosRJ2jiOZc5Ac6dfobXMYu
ql7mmKipDA6MlfpZ8wsQNZsWafrCFchhBuhSmDPjLGq7CJGudB+p27nHIAeZd8St9DGfszpxNU0e
bHrSWe/MIUWaF6xAgX/jLYS8aDm+9MXIzsimjshKjnaCW0U/KN2bYzvzNVwDCpdxN6LPZmvtOd+d
6VvjNdzRtKaKGH7qDU5cDOTTADwD4BQ0BG742E5o7MPzPwTt/MczQilj6f6GZm9reR9hCRd4BhtG
0dV+qsVHt3Hf0yLwdo7U1n4Hxf6/dlbvioDqzchnx08HvNcngE/seY/VsvFEQufff02stp8ZVH7O
kQVNu/qjiTbmDnyD/S5DPHZ/n2/6oX/t/KavXj04vX6i3G4xFNp8lK6B6OSDUJf7Nn7H0OvjezWY
9dOhsY2pQvDppzVE3J0ccuuuBpWqDrom+Y8Sjaow2iYsGvtUWvmbotBDR/QxUNE7Ecj2YHEvAK2A
Dn7r+Fvr+ISXYOenSqsirTYiVnQxkMTJzni3Ag8H5NkFkgiMyhqV6IwZLytt8FO9JDHhzUMlnFAZ
9glU4C+tY//oi+kk5uHszflObmRriIgKEB0g/Yus9mrf9Dq3VF1Vy3pGmh7Z2Jtv749u28JChIG8
wCKA9Noxmq2YGRqr+KnLn/WBYQ7BlN1RcNo6YIg9QC1HELL0SXttQye9rhDcemlLwkwderozS2vS
8W9PcW1gdYIdLahbv5+QRWyeC+0L8yU4BCfHe9LLZ58kEjm4ITgNUoXSeSPrN2PZh3KPfrpGmN38
itViNUzT8nHGMHX2rI9FWGR+pNlJKb660o949tMgR5X9ur9+O3O75pmVo9kaLW6B1GMiHSr3Y1ft
Ne3aHhj4HwuWCfSM9aMa2F9bmdCgSIuxTBvolYM2VUa2qFOnJZ+dvPqKd/e7viXfC9P/cX98v7f4
2tsspSO0vVhy6+tTnnk66RxDID6WVqNHvVehm9tMurMvbXlymzqPXJ/yD1U+kbTL8GiVc88TV++R
QiSUQz1F+95BFDICIEXFOSXZyVAmiATzOMTV5LGkDsyv09S6KCQHQSIDtwizRtc/KtcBoKXQqkM5
+WPY1sRB9ph5U3x/jL8JYLdjXHQ30UvcvpEtQW8soJYyz0vNEo5S/nIhJvqkBtc8eWZtHETBykhC
HThqZoHYvW/9Q81Mgcf2FGA/a+zFQ8rqyDKpXoaGuKhgzp72RS/Bbiw6qXXRtOi+oYRAThThERyJ
qz+MIAwcDaQbIrRf0iIgGpoHvNLtp4BB6rsAce9CiBRJrTXWU+Ogklq5U/Mx2Gt38fvCWA8fhGdI
40IhAmW71cGhfe+UsuqQJuVISDTBt3YyPs9o4MF68dbrSxQoyYvu9ynCrRdDawFLs54DY6ahWc3I
g1ifmV6eITqgwsZunjL/V6byMdSsvZOwddggdYZ+reifAfrjypG5bi8Lx0E2XJsOun2Z/Jf7G+E3
0WE9E0CPoZaEhxLKSdbKU9ZG3ZsZZoIz5IGiAVhR+4wkQWm/s624+aKLQ22FfR4BGz/v0aq3Rndt
fPn/q+ABDnRqa6sP0kLMzbeg6atDU/h/2FvhP14SyWK8MPCCudGtH4u+m1sEcWk+AxzpyMS1Tvdn
cfNKu7KwGkfe23xyDLz4dJnHrOxijVWhx3eg0luztWhOYuNCoukGKuNkmQZZINNL/bp5bzLxgEa/
Oya2He+/NtaPvXowzJZLx0sFpIUq6SIj7M4//bqHQnipUtsoknHUHrjiyZzlX+5P41bMejXAdSsP
u7cDVsBRpqNNQ2p99twXgfQkpzs5lj075uttNzdASxoVBtn4kcpCr38WTWzuNfzdenMuIATkP/AO
BMH0tRWvy7RKa7ifyo9iBooIlfsmtBwe7zUE2N4X/xpahnt1ioracZUcmJ/OdmQtSu7J/WXZ+/7K
B2Wt26m8x/c/y0ksIKKdPM7W98GCW6THkMu4EbUi/uwZbil8qNUTGbKgf+618i8id9AUlmZ+EJ+4
QVAY9phZtMQJ5Wi6zd7Szz3fCWs3R2EATw5ZUpTL1ykGrc5o5irLAxTEDF2hWKgpc0/RatMIqje/
NdEhhbhKlABX1CFgMmBE8dNs9YfAjf98sSHburQuABT7VqcDqmImQ++htKbiYHVfCfV3lnvrXCwx
+YI9WtIjq7tXb3R0bBRZkFL9FJjf8BZJivLBbudTSXfc2ZZfvjL129tdnYxssrQSNTzUkukbA3Lc
nQx7691fTBhqkNCyWm6am1A10IXPRRmknj5dUFC+TL23c0lvrjoEMJDNBLz7Bh0TdO5EDUf5aaYj
udmG8263ij0LK49YFrNXtRQPzpqh0WX4FxhqCJig8gjhLUBJ1yDPbJZDyQhyYUhWjepnm5/M5nh/
GTZ3FbRtQUuD1v4NAofUxmC4jMBEoxdRWQW4N4ZKjw0m9KhtJdQwzHKv2dXm/oIqCSqaKMbdtAxS
Tk+5BcH4tJxUqJxHoR5Hf+e5tZUIu46RVtcIs30BLCUCNCezQzl7oSEvwXzi1bNRuGGQ7WznzQhg
UajwcDrxBlq/fgY8rBpwFPA8J2aDeB+I38URxZkDOZG2bI3Qr7rukQdzdzTMxj8jEm7f//liXv+G
1Y2GVG3n50r6qdMrALbmDFF2gKvaDJvSfKmcZsfpba0jVK+wNQ0kW25YoArCv+gogqSH3XQJL5ow
JyRu6bTj+bbnFtVb4C7BbkWW8fVN3aN3i6kI7IyUP0OsBYzTVjz2gVWFysouUnhfhRj/6YkT2R3b
mdStM76Iq/y/8dUZ13u0qRBBDhDh7L8p2uIcFGwnsNqiiKC0DwFl4AaBiVwDPMvG1njZem7q6JeA
i3gmD8P4Ys5pKVB3ZYkph4SYQWS49Ngbe8KsW3EdHuxQx0TqChDT1fQGft8hsQrrgFEfrJn98oL2
MDskZlWzl5LcStFd21rNZulCNEioAHAKaEOhEK0fe2q/N/n8vu+LDAoJAhVdefBG/Tj3iMruH5Ct
tUTLQNBffo91HQcA+kJ6s9DcNBsfuw9Wv3Nv7n1+NTidoLdokeHzkJAJDw7+uP/zb8+bibIIhKlR
dUOlbF0bQaUCGf1xwCuj/sH7IRrZydF+3rdxOwbYwHMP1D5cCTcpwHZykJ4DcD4tw8I5Q5v3/udv
99rrz68SgO5kCloG+Dy60n3hZv9MG/GkAeLXuPX5vqnNkeD5ivU2f4MkX3uNwppNSMlObjoDxQVp
jLD8cd/A7d2JsaDpCaJjoGXwwHxtQIMslcNtCbgMJBszONv5nxGPflU/Wv6eq90czJWt1bw1Ys4L
RQEBNzldQPqxsydYcnthvh7NKr7MurYfMxejKbqXzIs5xGs75KxQF3blz91c/dZ4kKQHhwUpFHCS
Vj5nrrw+88bCTVVhQHszOM7D+/urg6YrmP/XORow+6HkgevhP2qpr9eHasgF9vZEL67QGw+tuSx+
YmYt4x63dReNjnTO1PLnhJlD+37wVBYXgHCf6w4kPQXq5mXUGuesNxW7cF5nB+qX9qciL8Z3gvfT
ER5sgLCb5rxFNFOelEGqU225EBqdwZ9o9A7CEjm4HCFBLi0pdaNJShR+3nW8wxqSDNqiY0aemr5R
R+FV6lRxs4p9F/r5Vpf5Ce+84mCpcghnvcweyqpEd2RvlOVD4akvbev+8mD9sTMq/dK7bXlgZhkk
QJl/mRu9P7ZVoaAOXNZPmrTnA4S57EcJ4rsKSaOQm1JiSqvRpanDujKaga2MGrSsOjhZ8W2EIFro
icyIaG3J2G6I9hxMfHgqg7xMkMJXAOiUkEkdIEU554OIXUjrvrMKuwqbSheRGCUJzTzLkoAU1mFC
evQtkRmLMlV6H4nmigMpenaylaMdBdCrj3VTuBGQuea58ezPNYo5QE/5djiJmb4gt6wijQJRZXTA
gPqtwR61Rv9GB7S/452GCp2cf0KX7P4e2jrh0HVcoNwQ3ITbfb2DvB4aVPZg0AtRDlRfy0eQPEH9
sT/4U3fkhtq5P7b8OwAQuKGAGUC+apVU7L3OcAbDoRcvyw5M4wfS0cfK2wOebpoB/RwcUAAnb5ig
tIeCkz679GKPhoRGVPaExU8H+eeAGSQnIBQFzitGhGLn69lTaFdneQJEOOGL77bTs7A3yE7otOVH
IN4EK2iohrO+WqG2N5kug05LzQmlTasI22onBXJbRV2YfPBVuglOOtKHKzevmsbvzdEtL97UnP3+
0aSHgT4BWRDx/KQLfujaz077YQBN3XtnBHv2b0a48LuB0kFR0UEv9pviuj/wUXUmuxDvIq08VKiR
3d/lexZWd4ss4YVmiJZfKitu5+hPOycDAvN6BKs1mmtBkOjF93U4JHSUDw1xvD+Cm6jitYV1NX30
RQ8ojM4u1HzIAjx3cBvnuhULa0/K8ebsrCyt9nQ3WQoyO1iNDOhbqJQltiOiyhx2lmR7QFD49UyE
Ysj3vD46BZoXOMq12EV2h0a9UOdUEHAXo7+YNhtKEchcoy/q+oDqkvWlRr3qUqAQZYqv4PML/Yec
3t43s7m/fpeL0DoJV7H5ejCTx4e+ZEF1mT+jT4jac2ebn0eDE4CGfCSTftNYr7JVNqFdN3s15oq+
K/gzFnBnMbbWfHng6jo8GRAuq8XQcQO0Aen5JQuOg59MXaK3OxsYeQJMwqtgBb8LDgz9q0BGu82D
8qlTclIlvyD9Zz76GsT9i5LYoZvr40GMxoybH+hU2Q8f/GB4LvIQpMP2i52DROq4Z1zBT1L/6lZN
qHvyZz3KAUmOKuzch5Llh8Nczc+jxf/pIAxI8hews0/D5IFco5dVNI8ai+uOjTHVHRJVuZeFhA0c
GObiq10ANOLNWp4AAMxQ5tKNEJJzTtTNVR75QQYNyIigi/LnecrmmBfmDzpNLCJgSIJcnna0f8wL
8b2fW/3AJq0KZ8tDtbZ+Z+pNF0mUrKO+hcx4AJywL6bvtsnsU1B62bOGhlJJJ1T1qSs4e2N1hjwV
bX8sL8UF2bJTH9CnmT1Ru419pMigqaBK+larZv/oDQ2gx61RxXo5aslM6WdIEaNHaj366PAcCNQv
hgerQnrrPCFJEliHIkPeJgAL2P4uS14fGHCsod4NYzJaE48ctF4hJKH0PHBNizWvcMIBcNZxcGOB
DqSu+X3R/VYR+qwB1jWPuIyAyBNh0wnAxo3KkiiZWL9qrW1TOks/Jpplf9Za7SuzbBIxr7QTu4MW
O6NzcQws9qPoOhJ2lJgJNN1QQrBnejT1EWrtRLXgYtdAb87iu5KjH89UBOiqUnSoDDdVPLpo0dDa
zhDXPprV6lzP37ChG5JB2DwOjNaE3lXXvO+B60yl33nHebTHuNRU9pSr1o+NvoRA/tDFnlZ9U5XO
wrKoxKFXJItMVcgDtIWrz6gZGAnvDfYsOmxbWTf/VAr5GT7xIjaafnqyhtFLGBHflna/kZy8L7yi
HabRFwsJ3EwKi4+R18vsYFbOOywe7tWOAozOHQ4MqO+cvMB7mZyOR1VdkaSxkZlUziTekdKjx7GE
vqKllwcbNWhIr5tGSCWE+v1h6B7mIScXvSf+ocsm+5HbA/1iDY6X9Hwe44aDWRu1TjCjtiHzr9Kl
XjKpZZNLxMpewwEZBKYntLheJJJO4qHouHfuGAEfUnXu0n3KCruGAT8+TPYTuHh+SMZ2DDNTr8O8
RgyMR2IdCg39n+FpVZIXDXfCtgVinNYussa0MCAGErCvPcqSSTkQkRidPoS+d8iNw0ENgwqNciax
aY4QN8BiJjneATF40TQscz+LyhnoLoh4e4dOQ7Ie8IwurDyXRx1h2cEWyjpVSCKDjDiVodGWzecq
Q/8klOWDSOp9dwRvrH00AEhMXGAJgCOdpBm3PZp5CYFXBeZCX8qZVaKysY8Kp4L1vJLnDK1iIh1Q
GkgrEJr0VFjnMWh5BHUGI5osRqKJWnZYKsBEPao+8LGuo1xZH70KjAheWUemo7mCD2fWju6nsjcN
sAkML8q9/Jdn0y7u1SCjwcGINDmlvK21CM1w8iRomf0Mqvsc2uAXxJQOeLxApipBe07wOnLXP05C
82PViuZNJSrr3AbFBG4E0D65MSKjpoiRgHAtw4xUC5+e47h4oG+3lM7JxAbwsBocY142CrW7CaQJ
ln8dNAeyEmiB8kAxYnRwb6eDr7f8ZJJKnZmcvyCA5FFhBzTW1ZzF2tiWWNSWxlDcFwn0Wb2TMisX
9Xoz27mmNm8QYNMRbqGn2E2/Lz5VORJEI7909Q8Lr3eGYjOZv1H40V0d2M0r8crWcidf3bleT+FN
vYFfqHwypR5OZpRPxc6Ati5248rI8iOujGSaTeByYKRzPnnVu8778udxyfX3lyDs6vt6b+ToE4Dv
M5C3cP6D8f3/ZmAVOLgZ64g5YEWQA/DmEJmH+9/fXoUAFUdkoIBFWQXW6KRhEp4Z/DJkEdypNgI3
/zcmoMSI7YQa3Q2tndm1X3uBwkKT55m91MBRmjsPrM1lvjKxen5AC2NCuREmsjwu85D+oW7h7+fH
Et+COod3Ipprvl5mJuZM4kDyS+2WoDvWoY18oCH2KKSbwwCMBE80EL9vKsCQ1ZWlpxX8Ap+c1OPZ
gge+v9y/laJuYsQrE6tAupMUkmky5xfTKiFn0rrTGV1b7bA1ewmovMqOCFQ+IDwpon6uhzelu2SI
J1ziZgE9FX8q/HA2sn+8Ek0sZ6cGx6LL9KiuKGLA3KijqRnzBBxsN/EGGUSjT6YYesKQJfILGhID
vLP7Q9qbtNXajHZm57DOL7howqFLZbdDx988IkCrgWmoL43pV0cEaLtqLD2fXQrna4/7zxVn3fzD
9rD/2WH/GlnXy1Wjzx1uWHYBqdYIXc2Axg2i2r+ZKrSXWBiaOIgrZ8JbiSyEyPiFIIOX6v3ek3Pz
+gBw8/+/vzqGBUojRd3hAVLjDPLj6B9IPMgH42+c7pWZ1YLoYAwKSTEMyb6R4skJft2fptta2vKQ
+teAv2SFr7w6L8XQTJ3GLiURjzkj6K8xJ7NVvGWNETtjlXjEfCgJWI3mPCaZ2yeBLZL7P2J71/13
Ltecf8+SvSQ1QUalSd2sCCfyYQAn5b6RzbMD/VrQZBwg9NYK5oRqczu5nF8ckh9sqDFZzp6AyuY4
rkysbkgomJhwzS2/6CBbjKMMifcAH7czkD0rq53tFZnqa4WBBEMTtQBUqjw40vHwv03Xan+bdHKI
mdWYrjlGumPYUydf5uLGOV/N1WpjB3Pbd8QV/MLRbCZAsGw/BOJ9me2cnx0za4IPh9pSPXgYRonA
bkSHxpkWoW1+G60daZGd7bUW+nQsX2sGG+NpLYLVyJ+aWft+f0l2Fn4tA5QT8Cm7GmNpQYlWJZJc
LXCghf+nafXFIyyKqBAIgGj1GmrEYAYVno5fDPFmBha5Mt8b+cv9oWwvy782ltm88jpuOfQWmRt+
UeZCF36jaR544FNi/6n09n8um6vRLJN6ZSnvXQqyJkZD5i+Frn3qZzC67w9me+n/Hcwy2CsTFPX/
SZMwIaZ5WFjwb3vhne7bWI7D7XH518bqOHJjQhc9FzYa5n2g7cXyhmS0v2SA0+d2FBRZZA07tYLl
k/dMrk6oxusSlEF4MwSLjyyQsYOMgV77caCxD8SlfSQMcr4/zO0t/rv/MqCaaIX1eionOddmR3Gr
umC3mIdcHauf/5sF87UFqs9QlzHgPTuWjD+y9tCPO5HH1t4GXxZSgIEHSO4adkD4SEVpwhOUxpFA
FsHMnwOe0GpPN3LbDjoAQm8D6u/rSkcdDDRwuY+RdGD9SBb1qKUKaMPlOyiUrf0NjYv/GlrtPaBt
eunULq4C/an1uohPe5CaPQurrQYhdiRgBSwEzgMIs5X7Fy7tagTrggdp9cHkJr7fe99185PVPLZq
54BunZZrE6uda+YQXSyYBz8jDoqpEHSPpw4Xp9S+IMkfNfLH/X28OWVo1wnqkonebf7K6cwoiypP
EnhQ9clZNB75P/cNbAW4eAegEom2vOiwuQozAtVrOQuYuHAI9AkHDK+vKEbHMvjGwdW5b2tz8sCb
QO8l6Bgba6WdYTD8snDwMje9R3AdoTCvfaVH66tp/s1WvjK0zOqVq0bHh3pAzpNf0NgOgea4Jwmz
ORAXmKMF4GfctEU3MwdpNeGyi2GJmFgUOVhgIb6hdBBpw0nLPt6ft81NAI1DyMGhZx8IVq+Hg47H
pSF4gPKaFdb0g1ftbLLNPXD1/dUmK5lr5dBMQ2Ceh7MWIdYcg0PZpHWZ3B/Ilt8HKP+/A1ltNlui
rzVaULKLyJfeqW91jUNh7E8VExDYXBtZFu9q8c3cDzRoKbBLO7UflOqeq8mJDGPv5bl1VSOvAYQi
JPJBqVotCjEFoCsW45dqKg5ldh7ED31mh8YTYQaJ087hyVSSv7l0royuVipzi7Y1l3qYG1yyicUT
jWuLx85u48bNlQKhFpJpHuSI1tFhuzRVVcsO741np0Ou9JjLnUO6/NZ14IFeaeAHAEKAzNBqM4x2
L/paN4AiMseQBE9t04c5S33//f1Nt3l6ruys9gPokAg5xcQuSJN/Kvd0jbe/DmUoZ8Hs3yCc0d6a
SJ9KfL0xntBd+b3mTztvjs21AMvk/02sFn1pL2Q0WY9Eymcze+egdY67sxR7FlZLoaupcSC0i+wA
fWHORcknf09vZ9sERgF9FdA11ix06RW5LTTFLir4phcfB3XM+09/s9D/mliW6urgVwMTRDMGdhkM
lHf/j7Tv2pEcB7b8IgEk5V8lpSnfyuoy3S9CtZP3Xl+/h3X3bmcytUlkDwaYGaAARdIFgxFxzvmQ
yhOunXi0fkKrwgaM/oxXTYlIBqgugvO5IzdGC7mXxUbR8HXW/5TjS1Q/6v2/PJ+PTaqnQ0IFX+kS
gOi+xGF9P3SpZwD8NVn0tpmSl8uzt7ZAnJgFCGmGtLCYNg9L2g2muSA4Q/l2rj9UMHopstz82mkB
gA3y48A5wHEKEaCltrPRlphCTjlGKuMmtEDxd3kgqza4UIYF4kckgITNbIR9n2ZBnX1JHbbsdHV7
/echwQfcJEFvCIgiTpekywHE6lDE+KLbX/X+6UqV6c+HLE9dgSwBgIkzyfMht4ahL3BOWk4kDn26
f5id4+8LzkSZqizJQnhDPdtCQMKQUa2Is0+R5UecClwA8L8m4Gun04MokraRMXYPACw6pvWjHKLN
5QUQ7w3RgnAm1GQaLVpN3UM67kn1aNgvzX2q7y4bOYMywwoeWwjtsAiAr4jqtJNiz7Y6xt1DPdIn
VoXbOQi/UrXYZelHHj5bUfIl48oEOIuK8qqr34alj5weSHfJD+ETdnxN8h/CmafwY7gAvIj8zGI0
Skym1T8Ete3nxP7oCgAb0xhdMH2a7CAIeDNp2j5Pwp2J3k81SiNHX4xeksoRnd/nz8BLnUvFQxxG
hHZbrV2jsomfQcNhCwWx3dBqkdfN4wuUuIHzTom2sXTIrAEQIqM/+syqnc4BIOtcShwgIigniFiM
UA2Ai1L75mEBy8guGPr81myLh2axwGUXBzvFUF4BMbQeqrm9DRL9e6MOv7Ww+UWn/gXckIUD7vZn
YsW5A5Ik8hjQrtk2aI/bBPN4yCoKCjs6Fm7cLWhOVm4iUBhFEzqMzOUWfM+PuM5csw28rAdYLpiK
XW90/H86BwwGd2A1KNHWYP62VONeH2ji9TEQY1YYb5dK38VmvhtS1PDaOtySBB05DFcF6Z9zZkau
YmY/Qtqn3uVtc34MEYwgsgK5IxrJwct2egztPljQw501D+1rHt6qoSRpxH3o0YIwMHqD5gEVBbhY
vExFyEjRtAVrWJs928mLqj5H+budPRuxF8ikfIRxcEOQiUF7HOwQA6DF03HoSauDs6nLn8ESAfI6
9FyZEneyZgEvKERX0FJGJ57gEAcNlFQ9+hOen8pMAePQlUmPzxEcf1+4jip70CC+ERTPKLho474Y
Jc8d2e8XwttWL0e8GfH72bRPp60Mry2EBfzn46ZGiVgFAgssf8JGqikQkHVeZs+J9VEDLqonKRSn
NO+q7SpaEaWZ22IqmpxW2bNiO+VP4+2/fV1I2qRaa5W5UWTPaC9DdetaPZz/+fVcSQa8zJDgFYuQ
Qz1ifYEUeF6Adk28+UoW67PvC0us0qBLMz3Knk1t0wyQ53Ol18zqMh8NQVjmaVHGDk4re2ba1o68
2NpRGfWfcG+LoxBLkMmQTcBzYBSpZQ6/5kRTD1o9zy6KHcEGd/Gyv7zqfFYEH8WR51Dfhelz2p9J
0xVlyez0WQeNKFJCXjjtSv13q6dOob43iwwWcX4QwbFFVKDzeDYA2fJTV5WyIE+CFnsYvYsxXgda
J3mlyQzwvx+9b/o+ylRW1dhmjW/UN/W4vTxhsu/zPXL0fTDDhOU84agHy34pbiArePn753vsdIIE
T1uGSb30NiYoRF+t6g32Y3bl+wILjXQM4hOUyBArQHH5dAhFoI8q9H/0A2S40Zla5pJobGWKdPAc
YRxQeIdXFY6JGYVlHuahcWDNY7U3Mokv5z/vdMvi5//9vEiYslRVoxUpoFNlUz1amvLbNpNb4HDQ
uJrsrCHxLi/I+Ynk6gicBAARLp4cwmgyaKoB6xLMh8yLfgDJNRTubEtsrMyYwWmvgDZDLAJSg9MV
yWOg51t9IIe0+jJNG9W+fkVOvi+curqJTZYp+H6kHqoOPUCS7/M5EJYELz3Q+4PBC4l/sY9eT5CZ
x7t/OBSlr5KwuZni5rG19d8AZP+pp+a217roVoqcP1saAPegEgb0MbbaeRNbRAdlXiLWH8AD5pSa
o6NTiZiv4fDryi3A7eDBj+gaHTRnw2vUflIsUvSH2K6ddvDy2qu0ypE8Hs5OPqwANstMVJrRlCe+
mYOpN+s8KftDWuyGygOQUq2udV4wYfNFQnocLoAKd2TEaB/RqW4PqWItLmir58ieJXvhbC9zGyDh
xWMEtK/oCTrdy8lgIQE0at0hC3Z5t3+9vBQrX6foUQWSH5yQgLgIp9FCzT9R5nw+zLfZsA3rzX/6
vCr8eGVAKjxb8PnRuqe7PpG4LsmvFzUBkyJQjWbA5ztlG2507frlxeQYmBZUXPAYEH59lqFrHL1m
82G4p+V+kFEwrmzQk88LEWLGjGAITHx+TjeW9aAlD7Fy/eZBuQAVY+gVAM4iUmEYSjwD8FGTQwz4
Qn4725HEwMoYYAD5CpxmHAQxw9qVE6vGOSKHQg+cUFGdKa/dYZRxtK4sNAeOI9bl6YizvhHdVvoB
55kccsOrJs8yncv7dG0Yx9/n9o+ikGkgdgXxM3JoyVMefynK7RJLIkNbyKnwvA7SVAjRcNyQyxWr
qmWSWHEUqMvBYEX0oNMFUIEWKOMARIvInjTAerfWTrP6d9wt46+aLQmCiRECXehzh7BLrMSFq2kp
1TZlaEaHurNSx27b5CaJ0DVaIWP7GLVR/AuvVhtJPI2MypaNgFT05mjcgqNq2IKApNhBaXdy1bnM
vk8Ny57iYqwAk5ghWWROduu0gDO4ZpaVz6nK2u421yvPNmuvU5Gwdw0yWrlnAiQFSCyZN8kcKj7e
yuq2z2i00/Uy8yoyAvWnFnm6jcI4/AG4xOgHEHFRWkDOdDMLnYQAJbxBD/6yGSH9R+iU7RcbTfOO
ygBDr8JRcbpm6Sq3UTTzLbWaYtdFSbNv0gRAkShr/QotMb9CTR3uymhMvTSHEoAVU/RfKy3ZLoPd
OFlLjbccDbNuk5WtY+V02CY5IAxdzuhPMprmNi8N7TCpFbpraAjE1TyXYBGwF/oztawpQUfuXPvw
/QS84UYzg3E7bO2vYzIlqLqFPzotsGQUWaub0YKqD+hMcEOKuWSGxF8N2tzl0MWbeAQu3qnz63px
/2cv4qECvRZQcJwBaSO9iDRaLwuEvXeY/iHdxzJu+5VggqHHG36BAD+N2ujpkQoBjKjUVF8Ouma4
tNmmyqPO/ALpq8tHd801HNvhv+Po6EJTo1xSiBQfaOMZv5YreUr4TCGnBR5eAMHxxPoUpTn6fFwm
ahwrjXkoAUnLPOPKwsHZ94VQtZ6sDq6nNQ9pvkH9x5kymdSQqNDKTegQEYS6Mhge8C9hJaYuYlFq
JMEB0MXwo02DwM8t8yNjivqWD1HqpmrJZgfsUg0kNJVlqwGB7NgJuwsgjTIwYLxq5XejK89sltVJ
z/c6Alz8QGD64dzxcBZWb8k0NJzG2kHVIkiHbLV4Exg/r90hpzZE5z72UPoAfcCBxp79GMmowc43
ID6PGBN8PejIMkRQg6VWKiiPTPVggFaydctaxvy3agD6lnhycMlJ8RJXtLIpuhBuKkSQbLFDn0ji
nPOjihEcGRCO0KBNSkgnXTss+u/MUp0GCIM6LZxOlvZcNcThH1B7QFJf9AmDRtsaVTLtkFrP47RT
g5d5frfYlV3M2PDIvgCthFYZhAyqmBQxBqDAR+R6DmXROlFzm3SqkzQvl3fV2bOZG0FBjvGOb15/
Ot25dRqlfdNM6gHwUm8xc6ecHmvthvYvSfr7sqm1DQDFcii92eiYwuvs1FRbkrEj/UgPav11Ur4M
khSJyCX8OV8qvotOAkQneAecfj9jU0xpMNBDn02OPf9Bb+ZOa0o3Sm9t6xdrb5P6fiShq7Tmpqru
pu4FLTVObTSbpTjQ4nHsHov6p7rs6ivbaoRfhpvk9JctbW9Bvxojj5Mv9QJ1YYgFSZ6Ja5OrYQ1B
sMTBW6J3zIwpyZOxYQdC92S+W75cXrvPfMbJWx77BKExDhjYdRAqC0MgpCcM4Rv2vEpcs7QcMMu4
U/0VEkuQqHLZnHm18mBa24iF3jBus8ra0vh3ENtuWH4vAWhs9ors6XE+aKaBKw5MHYSr5oonxDQW
y2iRePBJ0rgOoivJs+D8oJ9+n9s/ujUrOgD+nOD7c/1nVM2NxrrNnIGyQ9YQJRuIcAqzOlC1aoQh
FWHYwNwU6liXF3B1KDxQwvZACV5cvwidZSQ0Td3XtPJLUs/PXVVBL6z73kwy8Y41UyCagDHoRnL3
dTprPRINQQzOcn8coFPVhbu24XLdNiDOLJS4Lz4xp9sSSMIjW0LcUQapbgLSafhR967iNI/hXSVj
YlxbHER+XOYQxBlQaT4dT2qPoxZAvNqvzcGxu84hkrVZGwRvTQStGIVWkfj6LKIkzxbcN36kTQ6B
l6+CcYPDc3kHrA5DJ8jIgZzaMD+xgEebWVGmeUnB2+nbIH0iDgTp/mUY/BoBAxC43sQMLLQg20Dv
FgyjB8nCQLw0ab/2iqx5XBRQhDdl0Kz4a0fYXyYbIAsHR+XHFkgOFjjTnG7U+rmP9w1QMkPvzgSi
YPm7ar1ePYWYN1CMIv5EiCQulE2TSKeDQfwatNgKAO/by99f2Qgn3xf8TRR2YFmY8H2ld1Xb01I3
frtsYeVsnlgQ9rIZg24LpG/EH5sttb7FgxP+TOh1+Fu+QJ8CVbgtiI7zKSzQgLcMsfqR+JA1yKIn
8g+zhBclNgFOJccPnJ5HJTTqqFcH4ttq7dbDJgksSBZsLk/UWQWMj+HIiJBRDMZK6UiAMcQLdCSC
H2iDdE3jC623Sbxva8myrC38kTXx6DSNOVBSTliWuH4yC+PDGutbq4kkg+KXtOAtjwcl8rpD54JY
44xBLcMdMFhxewCJBwOxrFXKUl2rpsD8yUA1hJYXkQloYQoN1S4lvpH+mfO3heXeOKFxMTwUVSbJ
Sa1taoTh6L4zUWbXRM82RHrbQv6S+BAe8AryEfCwBDcO/bi8J9btcCZ5aL8jGyBsPDO3iooYHfGz
cEfNGKrIm0gDRd2vy2ZWNwMPav6vGWHrzdrMegYGVR+oVjdX4taBqp4D0jjJcNbsaMQ0DFw6CMjP
yjMMRDxhHVPftPYh86rFsb9eP5JjC/wXHF05ehBoFLk86ndm7NjFHm1A1SwZxcq1hrbSv6Pgi3Zk
owD/cZEvsJFqDuRZcpm29+os4WmPAslnb57waglnZFTBw0j9RfvQsntEMbYMGLM6BM7KhdQM3t5i
/SUPx9IeooL6VQb26r2FzN7ldZAZEHYUK0iq511L/VF/67edTOTpExwk+hW0u//vAETwkJYZTc36
GuvcFnc16sddj3QcAHjvZj3sDat2jaUAN2X3lvemlyiRh3BoQ+LIBYPCJtVAIQUCATdKJi9SkaJt
Yy8Dy+Q/TAKeSDpSNJhjsf48j0vc6JVNfXRVos0O7Xb/6fuiDw8LLmeRGtSP6S6Jb8BE9Q/fR48M
CJ2Rej+rcaEqkYVDwPD7jRer+/py+etrvo0LQiPK5Qlb8f1oLHY2N0XI+KV6s0y2Oxu7fow2YAvy
Lltau1kh/PCJYKQASAgHikE5QQ1bAm89JzfAmmxooYMxy3JHqvTOPNUfFCSdl22uju7IphCR6LnV
xnMKmyiQOYp9sxSQWIYUb/P7sp1VZ3Fkh506oyQw8jmrF+LPxatCHnX9O8h//uNYhFzjQFtoBwew
gRf5A1iiHnqKoliFmksQS5ZKZKr8jOSO14o7liPnmqe9GczDTHwyxV6hP5XpvVlvYsP2rLnaLGXl
oJrgFc17Ob1WBHHR8+X5XFs36Ax/wt54ZVe4cSGCt6hRrWI+deR0n6BlTyxnSHaXraztSJ3i2cJQ
xMd/BCta2eqoSmGUY/SQJk8NwNbD1zb6mkzlhrSSUO8TmyM6y2NrgjNOajWYphHWVEpu9cXexLMN
oZ3aRQyzoaS6AVHjvowrz2oal1iggJ4yr6shB6pSr8+Xb2ED6q26lrjHz3N34XeJTnyuwi5S+Vqb
oJiz7d9qcJOCJq3uQVm2j1LbIdAcCkbJW2F1hf/OvRgnRhaL46DGyWTa7FWR9mqMilfF4HNLZBJe
MlPC4ezQEGtkKQ5ON2+L8Us1gmVvryqS47l6GR6tLxPO5whi0lq18DwJlPQhodM2gHhTlZf3UNUB
8RcF/56OBM980Its24Gppp2M27lOt22Sb5MQtcEkdpMo9dQwc5JkalzQwe0v7/i1NzRviwd+HNtd
R6x5erDHuLLbxOZbPrsty71pKFuq3fTN/dxA+zwPIBuP2BMUZhNKoJdtrwUjx6b5y+HIp1hpHxvY
/sRv2g2Ip5XN5c+vHmZAZD4zleiaEVy9gXqtgucAXFb2x0aQnue9E0OWd+q+q9NHFMl6Q1bsoccX
VxJiUC5SKMxkmg4gC7YTPBQD6D1uyZ9q2s3gvKZfQ1mTIfcMwgnFYwpapDYXTzKY4KeiLAV1S5Rj
5oz5T2MtTmI0TmHFBysgoFsdcg+tmtsJCnWXp3TlVoNdDA9v4hW1DKMaowbMf8Qfwp0B3VcwKcjQ
rSub4sSEcDaRTBr0XsPQFEAJaP2Gzrrrt92JBeFYxmRozDTHOpnG7Ngkdcpy+I8mhNsyK5RxZDNM
BOlz297GV3fJciAJmiexq3GAIKlwenJYGIZZnmR4UyfMGxZQP5be9SsNyms0gFqQbDir0XWDHvWp
rS5+UWvf0zHz0B34u5B26K1tKAsoLWwq/Ocs4QnqMDC1p+biK/atbexqBdjpUaZmtuLuwZz214iw
GkoBL4xC0eJbZuUoZQeWWmei92kscTiywfC/H/mzrBiLxAYllA/B16h17XxXUomJlWQKks9QHYBg
OuBUYp0DoEWthCbf4of0Zp5uEXINr6N+dTMFw+Pzs5DCi9giKXHUAJlnDmTxZ7prmh06VSpZo+Fa
PAm2YQAkwUJtGgCnnM5VQtQW19E8+wlj+4CETpz2T2BbR0xnboYS/eaU7fK2/wOlljsz0Vxwp7qd
KluyFW+Dn4HaLfJSQIaJ5XpiD4ql1ersQx8AmrIQGnAvn6OVvXdiQNh7EdUGtBybs6+hBznbVNqP
NiNO3kigRGvjoJhPtCKjbHDWnAIy/2pAdWL2l85FaUIGhFqLEoCkxJsTkmfAt4rUUCiudcywlRmh
zOBmZrIHaN8tzbtUVbZNZzozfTSCzGn0L8T8eXkGV7cKFBuxSFggXp8+3SpFVbA2XVLVN7JWdWMG
3C6ErxwdgrHO3KQvRLc2ITVuMh0RVWv+apfpcbHH11SLJLO8tpigNEfTAurjuOKFm6MPWIr8CVH9
1th21k+zgjBLvlUlFdaVM46iBso/JgOQ2BSVskEZALanlKp+kt3nXeM1M1Bv05+itF0UtS5P7uqI
TFThAbs3kHASniAsy5k696rmW+PTEkCj+imjaFRLZB0Ma3bQcIq2DBT9V1IWDdOiLJtgJ2nBa3/b
lg44q4ErkRy3tXNwZEfsz21nlpkDsFz+aD2aMahXU//yhMkMCDcvagFoX1FhgKS3Y3jIZGgCkWOQ
P7Sxs3Dn8soSWj2EoDgeo3GpS6L5JcvIrtX7xqloH4N72crv1RApq2Bp611tlB+sHamDV2zltij1
gpN9kPW88aMlxJnwKCBnZeBn0pAdPj16uR6oZaSMul929zXb18U9lQlbrZvA9c9rquA0ERxk33Uh
isKV7htt9ZFp4b1ll/vG1jf/sG5o6/1fM4ITGUFpt3QEZmKt3VBr9KZ/SK1irv5a4Efg6PbPY6uL
DaPU/Sz5Cl539nx5ACuvC5A+cgk+1B3P32kxhbhvUVHNNzpPD+60GPHSNknvLOJKux1W1+TIlrAH
53bCrYX70i96Bko716rQcivLXq2epCMjwt7q+2ZO2k8jnfubXN8ojmMEsi9wVoNc6CyGMRLUHoc4
gsPBWqulcs/M+ebyiqz6tCMTwgDMkZFCqWOc1Ki07gDzbV1DAZq9LZTKqbRCxjK5Zs9E9cFAtzUu
YiLcPminaY2eFLDXgYO+zR1V69206L32ehgCJoyC2JDXVSEUIjg5c66A3K8qzVfqfZXs95fnbW3h
cbXhJsAzDGRMwlFMVSPLcxrChWagrspl3Alrm/f488I5LMremGO+LIO20VPoP9xbmgSmsfL8Rtz6
dwTC+bDCPBiHHCMAmS1a98sCxYp9oWysHxVEGwzJY1I2IGGfKXqeh1UDa2plIRn/OELswJTJ3PCP
iJ7eRM8YBA/AI4SGnVPvBY1YrSugseXH6fOgpE4OlHKo/2Dqa2V9SeEGLu+B1b2sAl3IK5tg5BNm
sEysxiYV9jKwKkADvBqD4sUjSMZk1Xv+ofNx/TUkTF4AtcOsZjA0AxZ42ybTUx/ZipNG2WuOxIpn
1dDSuDy21f0Nfhsoe1L+j3BOS7sdq3RKNX+avoCvO+4lMdv698FtAhAMMDxiU0WZTojR9UXz9WhX
ZY49bi7//rX9BhpoeADG97h4PlHHr62sqpivjtu+2KI6kmaSF+ba8h+bEM5oFo1jBjQS86PBBWfu
xG5LiE1Y/7AQnJ8V9AqQW0C973RP90sInRjGmJ92dQNtBnVx7a6W9Wyt7TDIIkBfB9U43gZ8aoXE
lapObcx8i6qbeDFu7Mz21FnBcxWMmapZu5eXZ235kXvjwmRg5gHk8NTeCHJmo6Soz+lQvHsDy+Dl
z68uDTQecCrR/A2lhdPPs6axl5lC09ecw+DVzCd105RNHjv6rCmurY/6P1wHyDYgkck10M4gXeOi
lFRTW4ay+r1ZPeqy47i6nXmPmGFziK7O5/MoLmuAhCq6nECkmOZeHX0Jot9cpvkfZg1eE48ogr5A
MS/TmD1TitHArFW6AwE8Tw3IVkshtigpzqwtD7KvyNaDOQlAA2E07WDYsxVj9fuBZm6qpy9sZK3D
KFqf1BSaM5fHtba5j80JR6jTdSPJe25O/xZZL1m+DbJtMbyo9vtlQ2urhGcoaK3QKIqoUAg5KB4B
qWorqGn37+b4PVi2TSxhgFufur8m2OlGqBmgKMsAE2ZzE9ubarnR2hsa7y4PZC02OB6I4A5o0VpJ
XmLG0O+8TNvwDgIdo7mLA0f9AwnrfzDGacCQuUKDnXhYq0phnargsOZ1N98QAypHCWlNPBByeqNP
Nso2dQ0RKaRYEwKJqcmU/IDVOQVfByIH1GbB/SLMqWWlQWTlzKdh/1A36Y+pDVAqQgLRGQLZZlzd
I0fG+I85Oslhjc5ZiHzB8zWb5leR7KXaM/z0iNECx3Hj5kc+GqDGUwu5ni2lzX3roB/i+BGKDpfX
a30Ef78vjACc93mZk4T5yLA5LfsFeZ/5H1qtELb/tSE48HxOltYeYAO6EZM76csbdj5z4nJ4+2+D
EUKroQ/7hEKRAuVrc4eMsaMpgxcrkh0mWxLhuqujKZkqDVbg36HlBJGjoJCxuK/uYlBD4zmCf521
xOfDrFYD4CrYWF74oBC3eZhkpBqrS39kQ5gtM4DAlGLrvGnnezRtO7rvhz//sCAgTgHyhf8jEnxl
dhGC4hZTxbLbIvhWarFDxkBy062O48iI4EWrjmUUfPQYh/5EGttJpo0WG5JrZ3XRj4wITjTp6zhX
dRhhyhdO3nF9dgCKi4DIIJmLpBYEXk/POYC+AwjwdCRywTnefIxEFnScD0DlnOxI43J2L2StTw0s
hKHDQEEOd7pbKsMpOhmn5ZoBlJhRBUL3KShUhGMR0HlqlFTHIyAhG2tK3WiRPHLPDwVKywBpgegF
VDBUZBqqpwmyExMSkWo1h/fhSF+Ay0cbWFYe7EYGJj+PM5DyRKXeRk8eHjZiq0QYjKmR9rnm1523
pN+aBY4ESjffwdpy+YyszRtOMmygkRPJOsHDtw0YLeKm0/zgAc0WQSFx8OufR3+oTRCjnxG0Th1r
Bz3B24ykd0PuxO3zP/x8XgFEggarL9ZCmmIIdCUGPKid3WzYdUyS3j4/3ZgXVBdR4+EYVpGwMTKz
yUrsSPdrEwWxfWygHVPiQFamCCqVwGmhqKyizUrYuXoJfHANZLJP84l+rWJ7/K5Mkba/PFGfz67T
qxx5PxSLeJ0UQFZdMGMXaPzsupn6ymSjC7VxwDr1MU0m4pLXWtcca8p3TXzbTk8zCMeW6lfWSw7Q
2kDRo8nrRUD0nGkbgHymCnVNIf420MiujJkk0lw5oGB//3/fF2tyC8TLe8LQ7zzTeRu27WYqIoc1
yiaQ0Q6vjQS5OhBocgVxZBdOvZleLQ10/nB3ae28eezraXN5sVa+zyhmCRzZ4CdEIHv6faoVSRmP
qPAp1rfB72W9g6ufx6HHlkad/6xfFjQbOWfEVH0oWlbjq3Z9xIXq8d/vnxWdIDJmGo2lomvwz1ze
o1nQsSfJYq+NARcK1M45KS/4pk6nqNGLGIijUfVTnMn4e6vJXrDnJx+lRlTC0XgOv4Ljf2qAdBOE
Hatk8JVsm6MnJnZiGQPp+RhgAvl4qKnrXPecXwLH8TvkMIdKA3VGlrwEUeK2nSQAOj8RMIAZAkkW
OleI6B3NXgduzlQGX4WcLC4pty69VtlmliQDJ7PD/340kAot9BTSv1w8mziN4qkgYgr0fS5FuK0u
CvAY6E9Aru8M+N1RloPvjw3AsxSQTSXQ4zUd1Yh+Xj5/MjN84Y7Gw5CtnPWEDn7RaVu1SW+yqvxh
qdnHZTNr0wb+DxTPgZ+A0pywxWiBt/9S9b2fJL4JufkS2hiJPnttc31nOZ6CCI4QzsNdndGBAHvY
GZ2pdr5u7Ar9y2DvIcHjWOnXMfyYk/fLw1qbPTSy4LWIzDkXTTidvVbvUiQHlc6vl31k+lm6V1vJ
VbJqAkg6nlgA54XYeAAgIsv6Ou39KNGcihx4kd6qNv8wDhO8GiDMhhqDSDLX9nEJ/mGt85FYgl6z
Rh3d8q43AW0ciIpgF3Du79OpIpEyQHoV+zmrvnYolRXkSZMVr9Z2GVin4ZKhAMUp2U5tJE0PPWzT
HOGN01uz0h7tUt9WQ+NVunVzeTjnUSsiSFPHPzxfcJYrjVOzQmomm3xrgQB3fjPGG/D8eur4NWlk
yey1LXBsS3yyNHY3ouVz8jWotFuvDURG6/jr5fGsTx3fZEj8nrNrNVHKpqDG1IXTdxpvp+S2WlxL
ljCXWeF/P/I2Og0LmnSwoinTDkTYn0gfkz2SVtJIs3bfIPGPHgqOXDhjKhjD3o4atZ18ZP2dBXmp
bJbcyquLcmRBWBR9quw0sZvJb9SfUwnSbLTsy/oKVnqvwJ6OyAhU0fxYGsJ8FUHXWNlcTH6QvJXK
a85ul9TYaDbHuCcOeLldhd027L7pa8nw1k3znga8xRGxi6UmKwRD+2CyEQ1P1ftgqrdJQZ/Tqn5a
LHWjLgZUXdU74O6JY6C9fTGab5c35P/nB4DvEJSBQMSJaeEK4PJhZNgrVnMo2B86DF4DeRjlhvRv
FoTTq31H7zX16iQ7Zhz0+/9rVYhHi7mb29yA1VmvnBohUe3N8Y9Ql7iPtYNwbEaI6eok6/VkNka/
tt6N4ltVbis0FV1N/g0alGMr4uU+l3pEuBXQoDoRFFij68SveOOkCb0Q8NOA5QFt9kJY1+QLSGnn
EZukSSqXTK0XLtlOsa1NTMJvihm+Xd4U/FCdvuy4Paw8bpBPvvFT/6HCQ81RsICBDUxyrL6heen0
0w0dmccATslkiqtrbgQYNXhETl4Kaq5Te3auJiBtCSe/ek+CF03G5sTvo7PhHH1e2AVZHDBrKPF5
AvmrPoKaPag9mYNiEgjjnNwePKJcXX7lECo8tThDzvl7S22iGInbsPS18sUemaMlmzhU3Sp+vbxS
5zPHEyE68Amg5kCJT9h64DgsenAkFX7pGKCEt6W08Hxrnc4dPo4qGIq4iCnOCEbA7VpMyTIXfrS1
6cb4Y8+ohG0yiRs89/LcyifolyDHJUYUgFtGSzzASgr+WEetI0dWD1+ZqGML4lO+TAdIM3AL1Npy
MkHdvXoh8KYDES5YGhF5iwsRtWrbV4BHI3485K4aSrJGq8uAGxbyU1zITcwaLbm+jJE64vPm7OQx
ddLhm6J41PZKvI4uD2VtMVQLlVy0qKPBQkzgTWMGqpkoLYAPeTbxjig26MC5bOLcwUBJCwUUtFOj
IH0m+9AMuplGwwhtnTj1aH/bLu86kAPAK23iYquQcnvZ3tr0HdkT8weJ0U/VlLWlX7PBoRnI+/X4
Wctt6pAq34dFLgsp1uYQdBxIw3EvAHqLU4/WGYmtFxop/ITEb2xKECAl7pzZknGt7Wqe++K9oyCa
EWUntASKwn1s4viDOeMGvAySdVodBl4SiL9RAz0TYFeGObfyUSl8i1logzF/0wIMo1MwyhBDK8lE
5BHRfk4p2r7PBdLVicEFREmJKy5zuupGqW+KZXaIAS5uZW8YN23+dekpfkTpsOkpKzbX75Bj+2Kc
qcV9Xyywb6TVR6PR+zxIIJuimtsQslZaYUsa3ddmFjVl9LmjHk+pCGVjSZBY7RyCwTVzC7NBkDXv
axlL39r2ODbCj8XRO2Dp076NJxgpiKfUTnC4PGcrn8eeoFx1CP4CGe3Tz7ez2qMEnTe+7sSoUcn8
0Orn8XHG01nkrJAQ2VmzBMVcoYsxdNrhrZSEvqvf59grFBHQXPTJvns0O40SgJK1wfeD6jXfkSuF
yhC0odICJlA8xvnGEpMWQUBN6O0llW/30dYgzSY1ngaZY1sbAy4EdLIja4HYSfAz2Vi1NdJklZ+E
H90QO90kCWRkBvjfjyaJDK0+IHqqfGa81dofmz5f3kPnETqvR/0dAD8nR99P2iGCbs5Y+XMeOIO+
mwLP1u9I9X7ZzMoFgEZB9CcBbIfMq9g9VI75UIIuq4QyVQNoWqPVDiiVfRQW34LBelfCTnI2Vs43
rk50RRKgCDlz/em4gAQps86ipa8PJTCQE4o8dWjeKXaTSnz02gqh1oqUFYjFgbASPNdcVnVSTKz2
OZn812L8h8+DbwR9ipyJ+gwbZAdpllsGTklY0QpyyPl0KPvoekwqSqBHVvg2OdoGRTQPYEXGNiuJ
cpuO2kPVyzpDVuYJHfUogiCKRYe3SAypGQGNhpB1Pvk+tbdTcXUqBFWDo88Ly7DUcDBRjM/3hhd9
Wcju8gZe/fWogYA0g3dAiuVuQ1OR0Knx+fC71n9TFRlSfGW/4g5HKAawIHrsRGeYVJZSR3PW+wRt
yQTV+qz0TFnn1togOKE5b0HjsGqBjsSMiTLUY95DvLNy000Qy3hbVrwJKrfI4iOzwLPSwiKUZZxH
vR50/mzcTdVtPN3N6E+XqUCtzRU6bpDHpRTuXdSasjsopCUK5moG6XFY/G7Zb4aG7usX/MiIJXj2
Aa0spTFgrlr9vXb7QnL5rYwByAM8udG4y881X6qjAzcBddT0hLa+EuwS5jaL5MEi+z7/+9H3aUWs
vNTx/aq7VcB+rrpLJXGxKz4dj3roWKE3DkTH4jKwCPH7ZKWd32KFGzp7Gntvi8NUHML+7erF4IIa
FvpOmb7CyNo2tJ+KqvHfqe1ns2Suzo8F2gygOIsuGXQEnKXg+tbWOxYTzUczc7sPOkmoufJ5hGe4
ggANVHmnibAUC9OrqJhUePDQacA5YWyunR1ksjkXHIS58MoSayc9UcwJVSa0loS/b4fo1/Vf53Ac
NK+gvozy8unPz4a6ozQZdH9+yNrHoJIEICuzwzuUgDjFfY03lLBRtf/D2Zf2xqpr2/4iJNPDV6Ca
JLXSVKVZyRcrycoC0xhjDAb/+js4enp3pVIv9XKOtHW2FG27cDM9mzHHcOtQdwAX38W1s3a5eQSP
0pna0lerBNloRLvQTMF3fClilNzvmcdt4AUh8+6nMs6o3PrDGU/t641bWodR8wUyEQCT47bGmRWK
NIO27yKVr+pgVYZkzYOfE7tgFjygC3UVzNMx4r/zuimiVucAvqKTNryw5pWY74h3JuN5aslAvQAj
DokZeLZH1q/Ng3COc+PctTbfEh+RoMnra+RY0dkd/bxFHZlVCOUABA+DjjayzycsivKitmhv3YUJ
l08Fffz+AJ/YGLR6xJAmXKrm+JjPw6PfNOrsTkR3bFQPQ0UxiQs+U+vh+2lOHORP0zhH09S+Nzdh
F901TpvYJhmnM3tyYoIA9RHkAFGq+NoWAS1RaAfauIiefHfunerM719W+XOmcWGrBwRmyaIhllmW
8Z8Xg7qlE/DW8e+a+j1Xa/GbtLvJWROzZtPfHy8V9nvhw0DnOjhaj6ZCH2HPqg4kwN2K5Jel3v58
eNBHwOaiORIZ+yM3x/huYUZiBXfcSUrUT85lS09txL/jHx2oiJFyJjYL7+yDpFUCWfczvseJ2we3
BskroMeAh3GP1gcsOzEP29y+46Cn0qDzqIoy6USTWufoRE98CmBb8GnBHI48+TERVllZTT+LjtyB
MX68pfOZMtO54Y9WanS6klkV6D2rJKQg9E9/vNGffv3RlRMuk6SZMDzzs7JI2c/5MNElBF8WLXoL
7MZfPKB/rkRXDr4p89LcNcN+CG696mUqf26c8HQvPXS4dLC3R1s9WwJKHa0E2LiMkh6tVOF86U1n
tmEZ5Ohqw8uE/4EHHACoY0+t8EhlgroEZ6WTJ9V0N/VuEo7332/GyUlAdIL3DzCRL4rkwo0Gq5SU
3InmBqoUFCqB0D3/b+aIgTUEmG0B633ekKHskSL0AQgMnMu8AkOGudHOOXmaE7dvyVPApUIpBBfj
aEsgh0VLWoHaiPC/rbOjxQW1gLV6+P5TTlyNT7Msv+Kfs0XmEHoNXQFqPP+jJbcVXX8//glzDh0N
Gxoy0K9akvyfxy/qErDwGkTBfrn3ykerv4ibC3c2ifK7hJ/rPDr1NeAkRgJkgTd+KaPrvIrDagBd
Ex39Vajjp3k4d4hPVMrRSLt0AYFKaeGOPXJE6YjybtdIcueQ+U1qZzU0fgHUg9jWKGIXfreNJm8V
tMHKQV+axGt2xiyfOOFoXwCyD4Bx+JPHWIEOAiXEWqiJpPXgz7/c4qIeL77ftVPriGoC0v1oEVv2
7vOuKUaFBWZSA9qrcOeO6prG45lY6tTxBvx5ySfBk/wCsLapHeSyXqbo3pwGBPwxTzQ4J/8LmFKA
D0ExEckReN7HVkdhF3zRaRh/0ppE8NBLyDxlAXNZKsT0+P3KndoclOaXMAV5AXCCfF65iHFEGV2A
l6xlqT8igcIOlBXZ97Ms639kSQGv/d9Zjl6cqGWWLyEIcNdY/q+mHRLFB8z2ajG1CcgZE/H1k/7j
egPvCQ0hpGmXw/KPiVBS5pJNhbkrB4FKuZ3aXrNyrN/ff9LJWSCHBMAqNAG/oNVpEaCIVYO/yaZW
DooVc2s0B3Nsm595hU6wbuJ7/nemLzVgwmaBPj3MZDtJ0xxo+BQ3f31234PqgQzo5Cv+P9IUX887
GjxcwJ9h0heCp+X7/1nFobKIV4OrDvSPIMtZgeMT1KrmXP351CouXQuLqUWMcRzkUyeY0PU24VYx
iNjNMwL927h8/36rvloHfMo/kxxZB3/oeiGbGfRrA7k0Uu98tz9zwE9+x/K4IqGzCBocGVkwFAwm
6P35Low3jbmx5pvhnHjRia9ALYCg72ahLvmiqmgq9Ff1Zd/ubyLpJQhEzpjpU+MjsEBWCkhvGNKj
VQJFJZDGcdHufcqTyK6Sn3cmoagMISkkOpF/hLDv5xPlSL9sEAVziC9lM18XDz/e5X+HP87SVrSD
NQ0xfOE85GYdFPf/xfhoawbiZ3kFjkHKbJLMLiO72RulEwc13fYMePzUBgCa/J/OLaTTwuP1yZta
znnT7Kukp7/b9sdxMAAeIO+LkXtEwu4YYmsIF2E0kW4P0osUneGQJc6+X6GvvhNmgAhrhJQRYu3j
V5h7k63s1u72/pAWJGnjq9JOSLPjJQCwZ1zar4uFuYD7W0o7dvjl3XJHpkVLlATieSfmq87IH18H
9AuA5hy1MKgR4f+PTmsBqF9h/G5fzFXWQA2xOIfd/vooLjMAbwXGDrCyHh+oQVnckMZ0+6yPr+M4
G4Y0SOzpv/kO3OhF+wqpg2NClYaErM91LPagTs2oiVM8Gt9v+6mtQJr2/86wHIt/XoopqlHlmTBD
PfBUM5Lpc3DTr28RVgqtLQtBHHxIZ/kF/8wQN6FftaCF2XfVZdMCkrbth0t1jt7kxHegrIAUIfLN
SKmR5Vf8M0s+A8tqcM33vRJrG/Jl/rng4tQM6AeCjQU0BRt/ZGLDoiymOI+6vcseeHvb/9gLBqkJ
1A1B/gJn+IsFt2hr7JqxZj/TWwi68p8bKIyPGiS4ptAliUk+L5BAH1AY17Teq6LLqO8mytp+f5RO
bDTEO5FXQR/IshNHl872QZMyq6DeD95aWL8CeQnGyvocUcqJWRbsio97t+DE4qPvoIFd15Ee+R50
P/Ljo4rfzxmPkzOAWAbpCZAFwBp+XqlgEJCiFhN2wr0U0WvB7tHdj2bDM8t1wuAu+Y8FIfgf2smj
e1EhCz35Ck+e5Ve7UvuZpb2sU/F6Imi/Trr+9/fbc+L8fprvaOHqoqMjqMf5fizmVeCpFTnXArCM
8DlQAIIPFx2ZNWQh0W/6eeFGUpqpmkK+p906okXiRUnnbX7+FS66zBBbwQkBUOfzHG431F6EQv3e
edE6/XmCAuVoYHNCG1DBxbR/Hj1v7YJzarf7YX5xnA/oPH//60+tEHA/MYwhuIuR0fk8vl2H4VBH
Dt+HB1clsbxi9d1/MQMMLfKocJjAYPR5hrrUZuq9Do4UeooixtLYbxNTnqsUn7ojiz3/P9O4RwvV
VejSkj6maZuVx2+t8oDGIjv9/ltOnVggA7DRQAkgrX00CZjSRdSoiu+7+KM5DOc6vE4Oj+IbIkBY
FLyBn5dK1mMIBAXBcY3h7+h6VZf1mf0+Ef7hQKGPHxdjSQoc59WI01lRX9p8HxErsYetH9EsFx9l
Wa4aa04K1Ja0IIk4K9J46qQtvbewMKf4l6K64LI3frMX5sONH+zu0Zn/fr89J1wgvCZwFQFKAIbS
P7L3XsGGvNHwqYMmTu3WfQnzamN8/ifqnCTOf84Ts3CJgiCJLAI/cOM/b5enED71PW32I7pkXVDy
WR1kAeMzZ+7Uui1tZv9R0YP471FKpS2LEVLqmKUbd1G4GafMOdd3ferugOYfDeTAAOJcHE0x5bVV
hh1esKG5Am5kxbom6fV1r89BX05sELJQyABA/QsuhXe0YtrxOLCUc7FXzfR75HYGNzAhEDYM1Lia
dPj04/OAJCVgpXBgkBM4Fv6JO+XOfcXrfdzcEZy38kE4bjLjH0Lvv5/qxNUFwhki4bANIM0/RoFW
UwP3e/ThaoRPQTI6P38q0YgCbjH0CsHHOD4EdDZUKmzLvr5nQzrkZ6zCiTOGzkJEomCbRBXk+OJw
r7Ao6dp2r5ysppkfZvM5RvkThMNIdeL8Ani4PJbH7l7eGmy+hF9fBm95mDZTuYlUk1bjWpFNPW+D
8DHu31p+TZ1zQcuJ8/1p6uXv/7jiMgh7E7pU7CdL/1KBzsLJ3bUNvQC/zJnb+v/4zBCMechRwzs/
skGkLeoOEsJi74IkLS+vI+eXN/4qxXMzxKsgeg3iexdSOzRQ6XDuHp9w4JBNJjiAeDwITODn70Q7
am7LIBJ74f1R8ip2d+gkWYXzhnbbXJtzn3rizMMpQfYawHjUmo5Ty7KLJ5FPGpGauUUdJRURxGRn
keZVk9b+R5BvvW7Vo1XDATeZ6G5jd9XGz9/fu/90fR25eEgF41VZ6gHu11SZ6MLKc7Tcj8a6sSmu
BopsGS3Y2snde7dx1kPv/kZ1D82zTdK4ZDVa/TpHTNPMqkHmmGc2A+2gdNvX73/aF2OHKH9p1152
Ay3Vx7oweRONhcG1gmL7Dbh2k9leS7nyig3Jf5xswwR4+OKFY2gBgi079c8Bdyehoak+iIPbNOlG
5Ofozk99CsK0pRKH1PQXwoNgtmaniBTGt5PWmbOJy6x/77vXon37ftG+nKllqQhCTshDAwsbHr0Q
dVUqd+KePASpmVZNsf7x8N5C0oLcagin/dj7mZjb1UIW/YH5kBqZutSW50gbvlxCBLUQisXO4+FZ
KqSf98LnzmwbGYwH3/1b8QObNkRutLWnPviZvDMv3InlAoEmvgcOHYq+x3AnZ7C0dINWHjjEzsml
ffvj5QLozPVAMRsC7HJca+ubio5eXciDdP/mK5f//fnwKLABeYZqXoxs9+elWiocURU48oBm9nd1
znE6tTb/jr4c6n8uhRiaYAiZKw9d85oG7pn855cnE1mXf0c/8tW9UuWjF+G3v5Tz3nrRw+PP1wY5
MNg0D4w4X+rfVq/rESFnd6j5s+J9Otjembvw9aAubd549ZF+Rir92Hy3oNuxbIbNLeJf0wT3P9hp
748bXs1ma/U/js/g7eHlB2oOsTiSSUfXwvLw9kZtKQ+6QFqyUdD6WvvhAz3Xc/p11zEPAIaAi0BA
6ovSDxBBcTvmgzzYbNWy1Tn1uHPDL3//51BNhNQ9rzH80O+YeKh/TFC2LFMALgHQikAJ5TjpLby4
LHKK8YmKsqnNb7quSW27SUnE08qN7r8/ZV9PMaBNcFKQxMekyC19/pw67lWYm0kfgP5MbP2Rh5DD
O8OHemLJFtJQhDAxAiUglT/PoU1ewT0up4MOdea3MnN+bARRSEdQgSXD+F+6THLa10XABo2DnPTF
r8L6+fgonoOsE/ighQ736AOwdN0cQZDloNZ9LIAq/DHSzEFjFHBHuO3Qw/7Sl2Oaqp6dsPAPcfXi
lwcGrReyPtf5cWKrcfdw0ZFbQB/ZsXOIhoAZLhTzDv0eRNKQvG1WxY/5FPEh/85xlB8ZVahw2jAH
Yw541h+h3nMmUjlhtJbGFdRQlprfl1DVa4cBjb+YQRRZ417jYVnX/IPMF9DCqsg5IMiJNUPUiL4y
pPUWHr/l7//cdjKMLcA7rnOIDNlWJAODm6Xyzfd3EOWZ5QR9cmIBWQYAcGk6AaHfF0bNTg6Gahq4
BzaGj04x8F9odObbiXllDsyes0cbZntDS0jVOTR0N9KZwRmr0fKW1JaFOolNg8lOyzjoNpPf1LtO
qTcnrvIkAo9tMnlWLleq8Mt3Yxfsoaip1SQedT2e8NKJWOJp9z3w0A4E3JV70VV8kc+OpzIrpSVW
euDWJpbBtC+mYdpbcxy8egiFoXtTh9Za2cJGt0z+V3TFeghLUHoxQD+6zoLSlWvLdMxDpPziyb5g
tHwrrapYCxXIJPaqeu3aRfdRTfawm0CaeMUjhSStdNhLwdGckRTz7OCkKljEOvfWRqIJPO0K/0U2
ykcZLWS/ZaeCKgHPwAGCK4+17tvMhKZ6auKwzQZmj2u/jt21aPiUjjY1WwZdwyQa7GolqIXHTlUP
oFfJd/1skZU7WG8G6sAyGZVxiiTMo+avNU9FMkDpY+VVIrgWs/1ANakeJKiRt7aQ0C7xh7BO89oE
dlag+cldDUm56ApWKv6tUfHrVxHEADe2GF6rbnyyYz4ldjs7V1GMRU94TPJUKjE9l6INZRK2vkGz
atM8zKJFYOVYMb2YXbdPG6f0bkOmvTaJJG/qjHM3uvMGR6OCUjRpnqvRJDNEQa9Ct53fGRk/oOvQ
rzvRv3CDzF5SuFZuJx4pUHWpx+hRi/px6qMnx5i5SNDeRiCgXuFwlQv5tzXnGTE8Ekkz5mA5DOKp
lelgWfxPEAGzVOc0T8ee8j1DlmnrxfIeOPwX354gXFEWTqb7acV68qFsLRPaBtNN3Butsj4a/PZX
b7XDRkv+t9ZeSNdodAD9QT/69wEbuyGlAl3yma1cUMzmY9RHaTTN7AAsyW8eKI4XxQomJHX0vpLs
xe7Cu7lUok+skv/Wtnifis5KuqrwUl6BlUT7uU6px8KEiSJa9yKQF7E1BODUZ4KvalEWTUbQh3el
oITTJcLtwMWRuyIhjI6rICjZpi1Nnoy+EpmNRum/UGEQF1XVPNTzlCekrbwVb/Onobfcx4A77cU8
93+6QPVjEoicX4p6ttJB+S9D7pows0K3j7YNM/afWAQWqBVnp3wiqgKvXAfyqkYPGsSRVQt/hkGn
PEd8i6rWI1BJRG0ssJQMl3NRDd4NJcBZmF6apPNVm03UrdJpjIMsrNnfoOx4FvbloFZt5NeJr4a2
XkfTaHCAfCdxNNmVs0t44s1e1130cwN9+8G306DUXcrzDgxqdQvyfBvUYwRtNClSYSojc3XnFKBI
Ud70BjrdbgPdlTzV1PPTonV9ve576XtpP0d/XGP1zU5X8lcFrv9fi5ChgwMhH5ym2c2ldVeHrbA2
ZhS8gdgUgTg9Zfd0qp/tqIS56Rwy+VkTD21/KSNW7vxRolNv4NVoJ5YNnu6mLAuaVGHe/RIuQcNV
FVf6gRNI3l8o38q32hf5YQaBhIVuqUHAx/J5Ulm5u4kMzS861XC2Kq1woBsczptKko2ijCWDU/0O
CVr+8f7JLNCBTvtQtKlbyBxKjxUtr6Ga693IiVaZHsexW82+vprzbkpGRrYuwEJsocWpx8Aet3ya
oncHr+V6Kih5p3I91OsRQPYVoRrHHw3rN1PpORQQpiAHsS+JriVzGpZVrS+fIunO96ibvoEam1w1
arzlNXaF82b+3fltAdPC+iIFUtPuV0bXU1oDHLXL/ahe1z6ZXgcl6cYdo+aBWNOD4eUzuovEReR0
/s6pA3cXdTgduMJWOvojTQBZU0lpEZYhwUvR6c7ntQGKbGdV1OJXbjCOU1I35g1USqW1sSG9Qw+x
asDTodWcdPWYz6+e8pys0pPOBtj6pC68IENN1cuGoOuA1lK+IWkdtHGitRcnblS/j52r09oaYVo5
mmEupF8J9RErQ+MEwFMfcuB9CSVyq4FWteq0rtYTNzRRDgRqmRNoPNgTGPMgjUppj12Yn9u5jrKg
QZ+4cExzlRu563WhEjXWwCva9VscIV9ViOJGhcbJ+lG6K9+HKgHRQMf5evSS3hPWM56Nv7PHGElV
2w5Z5EDOPjEjPL2ED0SIjZtTZm9CvH5VZqBKV23mmTc4s0XeJpUdl3YKr9nH+Q2Juwsj5OpcRacM
qJptGVqpqdEFbHMOhkz8MuI2OFi1djet5TorVjhRyoao/OVOVZPUQ70RPk2ojY1RI34P3ufhAKg2
uXVkzlO0L+OOUhMZvgLFar0WM3FWPqsoTivtD8E0gfqRiu6OAliQIsE4J6CpHxMXzOg7oEjzTT2Z
IomU/jtjBVM8syKNUMi7DUCBsFkSk7iZrl65noZAHHOofu5q0LtBxfsWMB664lapnmH89HNdzXMG
u9xetlHR7yOIVcM2hJAkp6Gurp16Nr9ZUbfuL2uw9QsIm53ESAlVRm63aaFs+ixl8273gb8OmA9I
a8WclEg9p9qU5DLosRxxOPzxXLUn2n50hNcBF2NFh0iU7joaikCmbAIWwEVpBXmZgG5tV/YZFUWb
gm6TpR40fXZzEYD6LOD9Bazw4ixF7apiMrzHA9Zda7caLv0KrCOVg+sxOG1Ypg2irY2uvGEDGUd9
FccUXlgxRQ78U2Wgnsy7X+jC9p7dsXxSTlQ8alW2iT9F3VWdO5BVLkv0rPXwlkTY4cJMpApvI9PF
YmWNk5vkpcv/9IqEUC9v8Yr3fd3Au+qWPOvsp4FTtBOYcTq5MIUOfWoFY6VuwI9UvLeSugnejScZ
O3fKa9gORJkxSrJdbKqNDdkKmZpW7ggL91WgKxxku04CXz7nkboVZddurbhhqVMVG/hqkT+BLXRa
w+RuZD+MF1VgeZltTRDJnLlKAdTuEklGZ1yzFkxu0jYLdgvPtTs3fepw9NIPfnOdGzdfUa+Qq8my
R/wXfRbnr7IPm3SMa3tFI5B0q1FnLHAzJgT0m+LIoGgw/XVn+00LvQbNBAe2HnWFKt54ZZR11P+T
u5wkpqJoUUCDYxJKhg6YskFmjhVJXGp8SCBUiujO/BIjO0B2+gOtofV6EhUUYp3+ya06ltZO8Gxm
n11Wyr/RrgPurEj8bVoeXZc5Gf6gd4fsWESHexNRCtvHQXhg6fKB56pdNZTM21wEOl7NXk3KX5Az
6BKrifMrgmUHayzatKNQt3HmyMFXCVTk4HqVlR+uNIlXJMLb5vOhhe9mQfWlx6P5W8x4+BLSucXB
A6XunFqsA+10TvlzyNpXcNO+6jygaWOKHl5bCVEVfU/ndtp3UsHpK2BodqRXo8jqKqhJWpYauu8R
XqQ/U2SiDei5x1f4DjJD3sZPGo+hKlMq2a2K3OpWPq3nVVw55RX6/eWN02hy26uArbtA+NiDoKrS
Mu+bOBFspg+VEkA4Uqevw50awtZJcm80JstDy1lbDvlLCzXe1A5/kEHQrGB3ES8Q1m1tDrlXQI+A
nxqtJn9lPVdwUGUgoxX6s4pNC8OUasAYXjxLtleIGcBpZqxi0jvuNZ1zbzXCa7eFiDy+DuDYgs6c
luuq7qqsYsU9SoR/2gouXuuXqesPM2zggGAiNn/jeFSw4T6sTohfX2H3V00VVU8AqEU7I5xyNZXA
hc+41wcVGLjvbademOOre8uzbjo5AvUVh1DKzech5X3XeKu2bkC/xwv7HlX2SG3suWQlhbTbmFtX
ztzwAkIBI+T94JmiNKGGroO/aPg61wTtQoMVPI/YoGdax37+C9q0QRICkLclbGq9CzHa16i9juBp
HN02bbyBbOvSd4dVEUlkePIZ1RgA2r3rLmARurXqd6f04cuCivDajpkG16cuLsccgKMkn5rhwaNV
f4Gsi0bZ2XdwbnkAmvNI5vrS8xjgKKKuiqcpyKPECmusA4BKoBYTLboybLddoR3qNfBNRYDPh//r
TdGtUL1Iell0gI0allZ5eU/smaWl5IeGqIcWJYJLLxYm83OjkjmG4CEtmuamJQ1PJ1RCn3jAb40o
4JWRIUyhVojrXLTFhY2XY8NsEW1AceHgLrtRBrA2vwS9I5F79Po4SeTRjv/KddE11+Dw2KuAvEBJ
qR92NFdedEcJAfmSIUOd0K5+b/zhnrj1gwN7ivPqjU8F8cVDVPc2RL6d2TwJb5iuYW53UZMHGfB0
FU59HL2MzDx50RsvOF5DYZFtHvjWS8lLktRwWMtE5hESCkXv8zCjoMl5CnL8fK9tw7fRDFEyeO4d
+Kv91TyLx7YcWMpLXIwm6j/6McpxzdonT0+I/g1iwWLq2iTsLB+arTVPexc9QMMUk3t4wQ9F5LEn
kLiHryA1Ky6Nb3d4S/uwTuqJttdxKQP0yvqquazRmbKqATnYDSCjImvb5HTfRjzmGXQauNgab9j3
PKj0jlULTWcdIKgrYvS0DZp+2OP8UanhauwgFd8HzescmoNdgAV21YauIWt4a28u5V7SdMCXIrWA
xFfSmQFPYBABFRSFHMR3EaiwylWrWuw4COidi1i1IbqJvO7Cb8kbooA3Lx7KtOVzk/gNeYN0Myix
YIsSw7AYqGU1qCtPBdaso+rRAFWTzpFNcYXq8W/nGSup/TBPZxmaGvmGIt8pPg6XwrUGN6m02FGT
Q4dsBGP8VT5V/r7Kg6dJoK3AZvPtVAdhhsgekZ5mJQxLfC8JfbIEs5LQr72NYbVIZ+PWW6OjYt2W
dMAvY91doPmIEF4szRe0lC9oylcZM3C2EZ7SdFIm3jUsz1Oi0YtYmXq8t7SpXyvIi/1GLyQft0gG
yZsS6OvEwcszpjr0DgZMWg8dmBu2oZasTJ2CVDtQrfkPosoZbnggFRB8kG5K4Dm6zwJNzhfGmfSQ
0dYKuzVvm2AzDt3aF5w8IR7WWQPU1vUI9tBV37Q9OhFc+7Vu1TBvxxwN3AikgHjMF0tBhjiJFenS
PorNRkzRb6w8hUp2jZgtgss6G3Lf1p7eVgzBfzhuC9tex0zFl0SGGhIQlA3XSlXS28XtYFaDz5xL
1kNxFnVrmXlaPSI/6m4Dy3mOC4RUUxs/FCM+zK38JCj8HS3JQVMFD7zK38NePMM5C1emcOMLLb0b
EaPsP4WVPoi8UGolJalTSbSsU4sQnnUuZZmMENqomb6FoPRKfasGh6FXb5va2TpdsG2tuZEp3OYO
ashm1fXTNg7qrSt/R+5WBX1iz/6HM+Vy3XfCvnKLAihN5F0/fCQ+XotQIRDnJB+yoAap7lzzG8Sd
j06fV6tqHBv4nn251nHYJ9XQ1ztPI486d+R5tpi4apowbDJNxattGb2BXWVbWZjgmnqevquoiLNy
8PyMhOV9o8x7mbf+pmIRR9OX49S7ulN1OhYCopQxeMTvx3h6FJ0iIBWT0HTrajZmFa5FWik7vuhq
q8lKsDa1CcXD8s4095/xIOt2a8ryHdn48KoGzOcXy4Mum/Q0JgQ25spEwrlRduMhV9NYJBk9Cs7e
yPodO/rWM8beSO7pVVsqttMOaIUp2tISNvC/UWF9SL+FvHRUHsIKZGcCTnOGNu83SjnoVimQT9Sw
8CL3oah5OYHM7NEzyHfZsQPB0kKjIX/MZRSlfm6rG0+WBnQJvoAfEFsF8qZNmAz2KLZuX4oHxvNF
yTp8GmNnzMY6svdau+KDDR30VCgMJ+yhMb8FnoONchHdrifEgHcycBA4BoEQ771bgT617/bSVg5I
iUFgnKqy0ArBE7/nVTBd4pVF6W6O62k31ixcT6N4m4GqbVJvKGfk2CR9AouOAeejbFa5tOLrgnck
q3I0tZRotAwTSZsJKcL4BRmAMs1V0z8ZYNFu8JPEjFAoAMG9ZRBwIViIVoHTMQItFRquNZ11SoYS
TPtO9Dj3kn3ESHnegmPqacBTtB0BXE1ppO0xlZPlrgwNnmzk7GoY4zQAsT14BovqfZCOwieUfZ0I
byxZpoU17yu3rz7CBcnAqIYVjHP3RSHuvLJM1P2hw7LtxLvFj++zSdIZXjYyZJkTD+MKaKbunsaI
ae0x3jtjQdPRa8PEcVvcRt7opPaYl06wOutSthPymsLBvwrf/Yi8JnwC8K4cEu2wJbCwKg/HyJ0m
2FcEwq7Q5Zb1FiBsgDADryCQk7o0bjBtPNLMt+gdjH55Gvphc+PzzWIl9krq2GQl4RGk4q0RiQUD
KGTugiPZBrokSDvbrc5UX0+VFkC3Yi9FDLS3HGPThPBsmuvZPYTjkwlXo7tt9c/rVqByAQIBpB7A
OnhH1ZgqjOBVNJWLwltml1ukqb4vXJwo7KFrHhwJgHThf8eILh/ZKrfouXtorFXvp3Z+BmB0Yvyl
Ugw4CJobIKp5hE1uKkLjqo+jg/LfYD9xAL///Se24N/xj/GbQR9qpNgwfi1GZIe2Hr/IkWv7fpIz
H+EeYbJsmc9RwTGJzXZ4Q6wzxaNTwwM4ASZ9oAPRDbf8/Z8KlYMEDxRVghBo58uP/JzwwNfRwf0H
8DnwLBBpBVHW59GjOXYtlw3uAWgy6yJqtt+vzYLv+Fz2+jz80dogdvOcvsDwROzi8GI0F3rehNU5
6MG5rzi6B8hKor5hKffAzbuZ7tnb919xbvijGrojepGjJuwehNoip+2e2eGTi4QqJLpBUfEM/KM9
APsZDxhM34GTdVQls/gfzs5rt3El2rZfRIA5vJLKTrJlu8ML0ZE5k8Xw9Xewz8U5NiVY8EYDDTSw
N0ssVlxrzrFc/U9xDcR66R3Qs8/wZu6HZ0Ajv1TCpCTkcMoGtsWxcKno+fle+lc1BxYo0uwl6jWK
mzyL4AGfdMKQkb7Ois9a+HDuvW1gzrG+mQlmXExxCUTs1GnC7e2VL1/Te1/qJIT/VODQMDDT1vsW
pEpoRJhU/fRKzMw1/WtejEvPB3IyV9qapflLGXbv2EmklZ156tkHOa5bvXTlI8x9sJhwswyDn49q
87yOa5fo5Ev11jqJ/n4KVrAo+m395OSfnxHvmlloo6QsTgLHppmSdMEqSK/sCxdmBPly2cDRg1T5
rLpLVRDrCMPC4nRs3CXDysi2OqnhmgjMx2P2fIMAIIbgETk3FmZ8E+8/eGsqmshKh4uFPkW3o5Gf
yEYYD2Un9CstXXglrHB4r2ZEA1CmRUtBSHJaTWz5pCh/BjXx+oGrINlmArifbwlZGXJoxCwGiqzF
NOkj8BwMvvHUjip3gaqvxQ2aAvV70kdEIEPb/7SGEKowFA0kwgw76PzvO5Gs2ojIrdVPYbNuxLq9
Bhn/5+xZDGokqSoSWozUs37mfQO1ZnFFKTiGKA4RukAyUi+LUhvxcd3cTdkUDGAOSopyk9YJEH0q
/Z6rleW2k1LdTIqd7Mk2Rk8KMgI34PK8JcJk3XNkHW+1bJSl7Wia3YNCQvZeG75TeA2CmblLFKPd
pHLQr/MaU1Mkl1bu+kbcPMiTFawHQ5Z+NmmiPMUxR8+Px+WF0YL7Fp8QhdORXi/Z9A51KWRzqrWT
zVrqpM+jisZj2hLD+7idczH7bPOlKbJ7nAEYN++7dkiwjnWRrp2EEblaf+xgUxDSGhuCU6S6g+G2
67ZqtucOSJD5ymJ1blVCmsYgNdmY8IuwuL9vXZuDTrkt+yflobEMUMUBHfyr1F+cqPCk0lO49DhX
8BjnazBDFREOfhsaVpd+OL8zC9saSv8UBsHWl6TN48ddeuH5eMzxQcyVyWDtLXrUGuU+Nf0yeq6K
/j5XsoOmXCEgXmthHjxv9sEia50G1mX03JFQbdeS+VmuAJ0y+5lnKRmcTnvxVRKD6lCdlkTPccwp
wbvqSLz4+4Hfm4w4ZHFLj53TlZ2cAgg8KSoqmGwL7fc/fII3DSwWpMYf9HKsaKAkGvksq1cW2PPf
z4UFJTayWvz4Z9BGWbS+VhAaO2FETEooy58+5/B8vgD84PnquLQVJEogtUXvS6fMusmVbW9fmXbn
mx6603/TbgbjAvF5P35UqaUghmIkz/a0z53n2Nzk4+GzX+B9E4vzQT5Uhoz+JXk2pBVmrOwa4+bC
J/jnmMWVx5n2bJIFUJwTI6cMny7vs0MRfHoGOIqJIhQ5K56vsw1H9GHaZ5MUP+e/QnTM4vMDCM89
+kYWCNY+a9E7SZWpWTU6ybMWEuNwiy+f7/y3j1/cqlVRm60leHyW39jdXW1d+fnz+Hi/Hc/IgP/9
+ct6zjopxEToPF/pvNJCmaC6hOZJmnuRfQ2ceGGsEjlB5o10cmaCLabyEJtmmDpZ/myZL0Un3IFC
b9dsTueb7Yzc/b825sH2Zj2tsgbIDMezZ2ld9pEr1soctlx/+qO8a2SxLdhmDgjBp5FCo4RcfDPl
n97XeAuYXFiLsd9x1Fy8RWX4QxPn+bNsJRtKxB/8tNv+h3d408TiY/SNb+a+n+bPr814N8Sf3tao
wgUOCdqPweazXJaSVNRDQHb3lCU/W2RX6pWzzoU1Ay8bKmyHjsJxv/jMaYH6Zyh88zTIq2iPNObT
nfPu8YsPnEh4bxH2mycRDRugaEUyXpl3F18AdCxYFs4tnO/ff+FUjcxJTD0dVKNttCju019pYf6N
i5mNaIh9DbEy4cTl/TT2GwU7m22d+nqDvM1MNr7YfNxNFyYbRU64YxP2+zer379EgZZHLUhunoD8
enp8X0g3ZVB76afrOYDHJGJJPVMolrNN8307JReECFSmfQri8sY/ZFdPSRdWwXcNLBbxUA3DeiRT
f0r+oioKnY0ReVaK8fTKpFseknFWwMiE40V8aL78LB1tQtH9pqQY8XNrcR5TERioB6l7tTApdN1+
csYVYi8yEuHu4y/1zy/wZjTMlhHukFwOYINxa11Gf/M20pTAH7TncUBXgvYo0d0A8cOLM43aNqLU
NrmL4jVqjf6Pn6ndn74wnZu87P2/mWNmh9yXX1FlFJtMRcsnaZNKJlcgR9MkrhZt1cDrGNPQfgrb
ippunRo+QCzuKXZP6QEvOwjNw0/SV0EGrOBFsnO0CWWzdqLa2aKAKLdKpyGtQ3K4bxCqUOokGZCm
Z06S3iIyDZ96x3jGIyqvPu6YxRD+n37RCJhimMRQvYR2B6ojstAS2nNk3HzdFvlt8vXjBhYT/X8a
0AGvUr3jwvEjbZrWkeVOe5ZFsEJYXwv1yitca2GxWTSUnVb1kFegyIa09f/DC6jwfAnXcX6dmfPv
J1+YE0YrGoXH69I2isPdlfOZduET4M7DgqljiZTPTKRaHxFHsyvtmZpmgFD9JLkPLKV8UdoiOMoG
2CfJmCjjU/gxwgvUjohKjTuy0aSzRG81G0vrjEOpJuaTUef2rqPoyS+z7+/8Mc12strbBGekeFXF
Url3pkbZxoYk7aY2S5Goy+F6sptyI1oUVQKbAcK6cPDGCAOcR6a/ccukk39XUJndzsc/MY2DdoMs
6Rqr9cJnZHmgExTCiQyV5Z4T4xgNzUF/1tS/zo9Ae/14HC62g3kc8gFlRccbBdJ/uR2UrW87me1r
z8QUXR3NwTAc0IJ/3Mg/7PximZm9Nxh5YHWRKVu8RDZZ7ZA4gf5sjdaqSLd+89XZCqI3+neEeIi/
tWKV/Jk17uYqG3+byqNpfRcEyiVx5QilzIGks58CTgp0hcWJcHnzUp3GhylZ6M9qV9zVVbru9fCo
ULpYBBRrCqd7zUfmBJ9BK5S1WhRXZuWFUT3T6f63+cWsRFbUdXFE86JBRJm4uHWk8ibQpysXwLP3
JPQ8GydVatDN7KQlfXJqOsfwmb33xAofJNgmZsli3pfJRkureN3HyUNlR18Haa00yVHWoysvqs4p
jbcdDav2f/AghAyJVC4XiKTXuKMTW3tQu6m9KzoHobQkIxcsyuesktM7ikAV+zBO9Dmcp+4ZOy0q
TZw4CRFtQ951dhp4gXD+Tm0MlDwLStSCA/yFWvQ75O3Xzl7/FvXlL9ZJts5f5wLnWa5FMoDUDR+a
VjLW0aBUT1E9jCtB1eaNIH54P5ZKTgX63HLj0CQ7ofWbEsGrXIrfUd4lV7pwOVYciiwA9qTvuBop
ZxhwLZbTOs3S6LEP1Hxf9kl7ZymR4aUdauQpMq/ljy62R1ExWiQIe0aeduSmy+qgiB/DcIUZrDYf
NcTq2v7jxWC5oP17qzetLGZArJbjVHS0omCVmcBVXfMvLpe0ZQOLK0wt0qHJIxqofTwO1osinmqx
/vglzqcX34YLxkzoYNEk2fN++2PnC2vMX8Fj1I83SVTc65K2tST0vGXXPQyaulEMf+VH/tFSsBrk
9svHP+DSS5JMhCfE6Y2VbPGSbWtHiIzk4DENu1UQadvGeijHK4eUSwPibSPzp3xza7Yw+WlKpgSP
6pjjZqEi9EjaT3qUPgm85wXoTdQB4NUNZt7SnNsZvYM81gkf0bf+DKPit2lienLElX1oPq+/m+Bz
M5SWQ1VEWRkUqO/fR8mHvohyLXyMISK6XShgRiKgi5RTmfYkobS/lXJtHbzUpk4tIY5IcNOIxL9v
k89TUMwvDh8d86dj7OLoOYsOeu24ldO4vXWt+tylcYF9l8oBlH9hC1iMy6bAhhb0VfjYI6Stn+P6
lWPJx0Pv0gQGikDqlAIquM0X165E6SuCf3bwiN/JVk55/Llc0zwYLC7AdJcDfIf73fsey5VwGh0E
q8cK36wyb9SfixL8a4DI7lykHlEKmov3DaR53klqozvHrF/LG+va2nChf+BVkWyEx8ct3phHxJtZ
o9ilNSqB4RxTcX8rjP/w44GSIOigCpZ6xuAeZC1X5MJyjtTNK4wvfXZljlyY8zbUIdDYbAAc7Rfj
NTalWBvDPnhsDNePf2mmpzqInD8XPJ4/wbtWFitL4AxR3geC5SvNt3glflh18rlY0/9vAlYF4VdS
8fJinxGyzxUOaeSjOY5bNKE3Nd7Hj2fC5b76vyYWfZUFUGGngSYC9aBJKxuvZL5tr2WzLkzpGXBL
1RTQYfCB5hPtm/HkaKKsBPSYY1ob7qiBwdxXp49f5MKQJdvB6stlgBlhLqacYvvtVEOoObatp9c7
hIcfP/9CR1EQDvER4TPi4UsJUiZHdjK2MjOu+CNLPcruQylUr/8kKpRvzqgCiahAuqGj7MXUG1Lb
CDDKOcfpV5s8pK+d+PTsowGDqghsvXyTZTkhrJd5bQS2fcyD22hfmZ8es3MIiCoFFHycGbGLAaVI
DTm/VLWPXCjHOyO+cvQ6G0lgW0hn/cs5k9NaHskHQ7L9NKrUY1fc6H/U/kax1x9/6LOBRAvQO4AM
wWeaSQjvx2otDX4tjY1+hM+00hv019PnMmca44hPDGdDYTjNxNP3LeCDs8M6VvQj13SR7TP7ylA9
vwXwhZlmGqo28rscS943YIhANLlfTscw7VY4kTnqb7m9ulJ0yLHnJfZ9NJ56+VtgrGt/51dXhsD5
yXJuH2woMXIOKjBp37cvIAbUmPqmo2I86bW6Cn0DitbNhKGCmNhDXa+4EQVXRsaF70YgClcr5VLQ
0y5vxb0iEWWF2Xc0MZZKN0l7ZYG5MPJ4KnIfBvUFFWuXxpKedeV4lMG6dXd6c5DCzx4bmDpsitzp
KVDBvX7x3fy8dzRfl4djqv5WtAgH45+Px/ZSSDEPPVowiM7PM5/M7fsvowaowYOqHxjctRu1PQoV
jwtM3z5I0xH0xjcjNtfGkLljE+w+bvti/800QopPmahFFqOeFHshF1E5HLXOeRVj/jUZzZNWXwt7
XhoGKocuaP3c3tkK3r9hNqIgBK0/HjtVFeu+CItdmqTXVNPzU94dw+lHhjbKAIYCwuZFP0ZOJjUi
lsajrWHyaVmL5D/UgfMMOcPG+fRxz118pTeNLbY2M8CxkpcB07nBNZCtECRfWzHOIh3z+5DJn7ce
8jbL94E+x3yWDAa3c7JTzEpmuu2qb6XSu7UaetkYuFmzka+VVLvYjRw+AEozKM9CdwLHbEJobzyG
XUMlVGE+D8hRErPwfKPbNql8ZWW62JNER6h8NqOtlvK2RK6Mvuyc8WjhVkvC7HbSmv/SxL+6AQhT
iBMuPlY56Upgltp47Jvyr1z7Byuztx+Ph/kRZ4PvTROLIc7pIw7SWh2PSftDyRU3yx+GPKXm1ZVR
cbG33rSzOIrIUWLbhU87ORwNp8QZqV8J8V1qYUb6zwu2Tc3XxZuELIYxDi1aaDVvCPTMHazuGrV+
DuMvuossxSyTYF0F6bhYeOSxAiOSqf2xbjBnc/wkYloNGHfz2GkaNw/DCnNqkd44cacd0zDpr3wv
0sJni581Xxe4CiJl4Qi5FB+KUh01DPrTUZraaNP4yQiyIbMCfB5Kjc8qqXHAMLNBAdxPSV6tpDhN
V4XhtF6CqQKWaCe8oWwGtzX9aV0KqAh2gEtpysEBYCfKQjctm2onEJO5qZZ3p6DT8NB0ab2LMtVe
B32j3+tjrzxqQ6etWnA7d8Vgi12qBK9a2fRfMl0bfidG5uyMIJJek1H/LVnAv1FqxE9mmGTrZqj0
lcXZwlOMnhXBzn+WnYJPRpOnMlt1RZdHVBTM/N3klNlGwna+r6LB3AV6Ldy2M6dVa/bZjRON47qS
jeLFaqDL6FWsr7uwlh7Ih8orTQWX0osRJ0pYlnfdVDjbiSDxpkk76+AL7G4QVkowCtBc4NTJYPzk
fj3FlR26JNsidKSS4oWJaT/ZNTW7e7mOHhzqsbq6HvwtbBnfnFGnDylVBjy41qbny1LkBklB2hJv
7l2mgc6hOJWzGuDGrCpcceuubn/EGuZs3cgUHHqjsmInL9wizPxbKzDl+0zN5acm028DAo4l3sEx
H/AP+9k6chLTBTse7M2gHTHqJXfEvZVNYFoE22L7t2Fk0yqK68iFNgbkyHSoyC451brrY2ntdE3y
NceTuwq6JPUGI5eJl5E6dnVzsJTbNoqeZvA0yJLBf4xj56dWJP3OT3UpvZcxVmWupHchWJPwmzPW
bO7Acr8qU2T3IEP0oPPqevo21rHReLliZw+SLfUr4O3qT2pYNfqqZ+5+j+xA/qa2bbOG9SnFnjRa
1os6qvlP38qUZ9zRxS0lj3O3Up0/tZy3XyYNTgddc2JgjGs/a/9k0iCdpoJD2jCBeyqEFqn7FmTU
bLGuzZVuRLbLWFSLHdHPvyKPzZdspFtCEF2rzB4D0DKm8ASurV3cptRElWO7dB0Mqa+O1DQ/ozIS
niyFRPtqtf/hNyC3SaVJK5+IUuDFVghIZkitO63qT5Y0hDd1JKb8odS7YIs7GmDV0EBnChwKKpvB
tOLXjoeobPW10rLBh/NIGQ2AXkM/HrH0i92YRL8SbYy/54HdPYTaVLo5PfISk9Uw9z5O+w2OPvM0
+nwAFyxG8GgB/riXlDx4Tqvyu2qV2ZemVL8lvsn1uAddLPTJxLELIRgL8NdJGowNX2p4oIOdL9rY
qh6yMmWFxbhdIQ4uNqi17FWRyN+wjBkGXKYGxVbUlR7XMf6qyVcHaeu86rjrmSRZvpIDrVlbg9x8
D5iepedYWXCnV23Hi9qp29r4VMefVvxTcAAA6OAK7U+QGhN+2yRZKX3W8aVL/kMDh7rZWPFWyeLG
s3tHrCbTL1ZG68SbFtaEl+Nt9LhBKxtN1NVeKxwda2FovTQ6kBQRge1KgzEATaDp3sjAc/vJx+YX
DLJX+lS8xdybHOqul3DompizscnjTIjgwuuJVn1phC79xCko3EnHGJhZpfDUKJVuzDDqt1NqZ16G
3xP6lpC9iHpdntp0aEarSG9OVgrLTPUje0uhqsKrO2v4KziX3tTcn392RZTuQW0Y+IoLOHZqAjJ0
xEy1Y/WRPcqP9qtUFsorMJSm8MaibW7hcCU/DYljjxtxk/e0uJ5mbJ04aHFlbMtestZxbjW/pHbE
4jjYpbKSBJCHYOztXWmEVDspYsC9YHXgb9TJs5q10baOyDIKU4Q3AvnF4+B3JWu5hPkXc5wXK518
3yWxsYHE1zxhTR0f47TpVl1r04H5ZK46OymOQmrNg6TYzq7tpGkNECT5Crgh28XjqOB1hELVpjLw
1agoDmqcdIwbORZuqNjpTZvpOlimsSbHGvyAypR7se88BpLir7CA/UY6Bu2ozxtXT9MvpBcytwgk
dO9gxlcCeMeG6vQsHU4+3Sd9i2PUhhyTVBW7AwyGu6aCscCVXLhqOiAdauHj1bqfrwF+UdcAREF8
cIDyuImO71/EbbeJ2qS7m1Rs4XJh12sNqd+6StvR00epWIXGqO+CQFY2fh4464GMv1cFSvedLThd
j2EcraeBa7gllRg9IylelwljWhS6ua8hOHuDqSPukNIEroHi3JmVkkBTb8J14+h/U8ecTrUd1E9l
XGbbRqNZzi8GNV7AlzlBMrzmbWqtqh7gjg2x8h6+CDypLpb3ieO321JqynVodcPBaaN+nWbC3NTY
gqETyMa+TuTBk+rE3OtIRk4d9eQ9qVEgbchBtbLKrvWaxFLXVijM1ZSR4JdGtCAextiYnasJVkEL
Jg/ujH6bjra0w9kh7QzfAkEQQgtwCopmZT2Lxigl9QGcnrIGzpY8NbETbDXM4091kZb7rJ66l6oe
tJUy2vpjDXFizW6WQjAX7Y+km1F99li5joL2PjbaHuKQ0/3t8vBXXar5Mcbh66pOkK8NoLVuQo3R
far62gosYHVTzpwFbXSwkTOYmdpRe9IHPfoVm128EjUmfTViNfZVWJHx1P0uDK1xURnFrqow3Iak
UG6Yur5HzFrdzJS+rYUj3R1be9ohZwBf49vBKv53xsyqydWmVN+3uSTuuUea+oE05Ni7YQyPRWvM
UxIH5WEAQQD3QWbsmlNIMYKiWCMINw9loIlNlRmWaws1u8PQG3hmU4LPK4wMWRFHrdAi/64NQNn8
IP+W5PLk+vqkQwWZsYL40ja9rXeQKlPbHXOzAVLflRjqDGddDmBN8sr8ZU/iV20N1jchqA3gGxFL
X6fK21oUADtMpHVjVPq7ti71m3gMA+iFYbSFA1W8JpPke6rRtdskzTUva4DnVEEUr2T0QBtDLupt
joDkVnCKpONF4Q4dgI26EM4abcFjF4SO4SqWCnEI2Mg28gvUUIUJuWqcN524FfUqnkGUxJT0pzIy
WK8jGAY44PHt6yKC1dg0FjiclnlHdfddjrvyOEFX2BVN19xnE2IJqW7N+0pwMhjiIHgomkS+r/Mi
XCGakjaxIvXboid1PaJusdyMRWhFRK3cxEnrt6uus7rTqAZ/UqPwUs14qGbGkdKF/RfTjsToFZNU
f9essTkqVZf81ss2+epMZrA2YjzWvRz+SpQEFpDU82v9SYPP4WheIzjXqtRA2RWGcDbA6eQ1KkHI
IKKxVsZkD+u2iwbPz0Doi1IPNrFktu5U9frOUUAappLCoCNqgKe8+DYWjsLC4WQPtj7FKy0PEYnp
E55us7TdgRDeOtALaT1A0Yw9DueycdDzcRKbuqd8Qi4G39XD4Esw6aEbtG0NTaIMjbVOkvsY6rG4
NZDvpIfYicuSQy06JlLs3SrWa+1g1E5z7wTW775OercsGO86WLEN6FQOp31g73ynZ+fJ2AmjlELJ
YyzaPfqdDuOfEm6soMi/aSqoJBJp7bPVSumhaYrpaEpBZLpJMzXFTR1Mhkxy2K+8uGkmjt1IMx6a
gTUhVKfB6wjKsasg10jHBOJjaiTHBkEf9Qdz2Ep+mW5Cwvm3+SDsFyBffunFXNEP7C9J7La+3IMk
VfzoTyry7qhLVnZK4djdZEAcVnoB+sFtQ7P0Kg55W44Kc23ukUXBiHDLT2B3JlXpdym1tXeF0zcr
PbG+E7ppD4mpk0Tt/ex1qMz4VoQgJpJsDlSOInoJ427c4GeG2zrZmqtVlfxsq2V0VAMJVJARhdyI
qm6biVFawwSqnkVaEf6Z4MQ4JYf03AEIFJDzOIQtpLsiKL9ITd1w5zSz26gy81NX+l8USVIe8dRW
D0ZaDyfLrIK9XMeMD6AO+8qI//I/xauw1zo0lUxIIxzF1sGPtOfCVR2rsnJ2Uq3YyGL03l+HSSCO
6VhIrtRb8VpT2xRkFpeMLAz6F82HUmzWhvzgMJufW9ks1mHoZ6s87sNVJGfCLYZK3FAfPt+Mphif
Ij1rn/QEOpBGXMPN+67Z1Inv2bG9hwz3mvi6tOpidDGB2kPaynJxrw7clhrWQE/W82YD80PfzI44
T2vkfhsaQlmBR/njJzXIF1NUh4IKpPeFClUiBbg2mDJoqKkXKJjs9hYqb/sjzfHcQ/3Q7mAywUaw
qNiT9BX1bYohOYSQTgFShOUqmeRtqEiu7eQwkSZ1OvQkmtetH1cHUFbBRjP82g2moH0iJaV6GNvA
2rV1dqPZvrOBuRpAEuztWwUP8qqMHWcjzIg9vS6aZ13Jf8dRaz/IGgQ4bmicWXqQrpGkpfsxiOwf
aq1kCCn8bqW2dftgZrl+o+ROe7A6+Y9pFazKXa0c4kEb3AbHv0sgON1MBurlkAyf5+St7hp1QRG6
DsiSH9rmWhoGZQsHEHRTasd/dbUj56QFUL3MJD5ERZdtEpBcHnloziQ9CA/WbTAINbtBZDSAJWQK
GmgOalzckTUARAPQMFhhF6O1vSLGA2nFCdM9zjrjZpiJk35fhq4RBeW3torHtdz7PoQekXmTnE4H
Rx2TH4jMzI1dK8PtVINhjJP0Rdck+tJIXntK7m6Kzv/VUcj5VGtxeWxTH2HuoKrHQrWEy1k0WAsq
sm85hQMYUhR1RYSkhwNWaK7C99l3EcQ+1aykQxdE0KWJncj3lG7wva4F2Jsq+X2o9MreB5a9DpxR
etBbwhJmrBc3ZD6KO6HH/WMWwRQFenNCEYkquZQz5+Q7OswSWXqRnAgoR5IWkVvFTngk7gPSJxzu
Cs0pCHX5f5086W4swxgOqqjyvc4+5UUQ3dxQSqbOk9Upf81VAIIFnSPRfCdbexOaxiqJ48yt8rj0
8ki23b6pA8+PjPJGqxR5K3LZ9qrSFpss9BOv0oxXgmT2DlZT/jcRkIynEYCQ0MJ0nRiB4B5WVw9w
UGDbqs5kuEWpTE8m2ri92Smxx3FX3kLl+VunibMTKki5ITA5lEWNdlOpk7XJJOU2LPvMs4NSPlaa
mLvQGvetIzmrSEt+ZFkSbVNuXoBO0o6IAsReEKQz0xksHhKk2jigpRleisEcNv4kc50c4uxrIkn1
F3+IzAM8Yih1sVy7o4nXTOIQ5QL1DFZ2VRHgEpkCWMSf7oVkDW5YGMVTFaGb49rq3xBnVNdZOUg7
POGgmnpoDC4rdbiRgxrQWJq2kMsyZ50TdHeDrvpjw8cBOT6pcCBLQH0Qa1xrqKX1VJblI6flyZVQ
wrmVzIgKHIPSxvWg3NndkN6GWR29fhyRPYtjzuE9zMWksOeSYsu4cj30sOVAQR47ZW+qt1Px2Ugs
z6c2xlwhQeFQoM0hzjf587wJGhOp1nRsu/sh3ofqldzWpd//5vln9dBQ/9pKxPOdhxTD9ycNG+S0
+UO+k3pTGDbOPDODZbPHDf50BChArPBAVYExLj8bS140sohWN0Zm9KagkSQkduZecwFf6qK377D4
BA5ixWZoebxF0LF4rIJvnx9CzpxYxNZKDYylSHq0qhGGN1m4rPl+bLQfn346JZkIflM8Z8ZezG/3
ZgD5dd9KtTDlo1Sr31ViQ8TAPpvVtpx/SkKSewxWWnnfBG6ZPimb0jj6cvZA6pF8zqj9/fg1LoTR
aQMtDHk9LiBLRTCZK0dDpWocFedBaY51Tpji+eMmzGW2YH4Nba6dZMyyxCUfpNMLHb16YRw79shG
tU5GKojSp9+tXL0G/pmH5LvMxNwWIigahHhCc++7bCTUWE1lbrBBDrskE4fJ7x4hozzDYvsljx0B
yc9q8ZmINGnqYApmeIi5aFIuJYiqemUcC9yD6SEMfn/cfWfJFp6PLIM5jjwNmcxiFKRqwnkG7NdR
zX9P7TaLRpfoLZg8DnAKIaDwyqw/8x3NL4SQAqUXzWLVXjRolI6T5mAIjrmwlHWl+gYpkvpg+OaW
5C+QZDBpY/48aNK6zwEbfvy6F1YFJGxc2elUdEdLsQgh3Vaifo55RBrE/e0Qm5807M1r57sWFplm
wZ4e9rFqHgPUchlD0voPA342EbO9mHOJrcXCVnBYpmxwy4jAo0KWpdfJ4YA2Djrps501a3c0ugvJ
MRWKrXnqvVmERoVzf2+RY2tyxwtHVyKI+/HnuKR8matI4S2dSSnOcvjFk1rLbVWrx4mkWcD9LD/m
de9a5WEqQUoCrZPa7Kvs69vGybdhl3r68Ofj3zDnLN9NaqRPVEc1KLyGYs9aeoEziVoTwD3ROXAP
tczYtSmIocKG05TGE8k1l8TF5mhFoZzpDDZZjI+4Iao0UzKPFHxba8XXoWvclChq033RiyuSx7PJ
Pb8ayjEbMzjSq2XvWpR4sxQ4eMdhkF9VI9jUJtVTDFIFrPVjDJM+B42d/lIm+8qHvdiyw4KvzUeI
M01wr2tl7StKf+wwnPSdRRkS6kHke1+7VcQjKGrPhwb98Yc8W515W4oIzGoiiuGceQlCQZEkodj9
ESsotSnG7N7MSkpJVKvCbk13ZEStM1W9Bsa51CykM+yt5MTnYfR+luhN00lO7QxHg4kICzWEaBtL
KpcLZcU/i/LKRz1bwnjNWZXDoo3q8GzDSymiQjhRY7ziYMwIylwT1M0jcDkhkPjPBD20jSQ237+Q
llLZggJGJPm52dhOSBEJQnbtp5fi+T3IdMxGM1WHHfS+GaYAWW+1GY6Tbq2GyXhQknr/8Yi42FXg
Z2bFOOe0pT4rHCWiy7UYjklZdI+jTQyPQ2Fw+riVSwMAsAXZJRXVPVKp9y+SOX5tGFIxHBmSJKF2
BkjOKj2UHQV3jd0gvn3c3NmBh35729z8c96sym03ijHyq+GohGTShz+2+kxdpc0U//q4nbn/l8PA
oo4Ejc2ax+Vhp5NLJwyMfDgSX3gy/PIGvy41hvRXq1Fcda7HLqz7DEH1laXj/IQwv6COYR8BCPUp
lxOqACKNfTcej1GBPsCXuI4DjjegQPW/K+el4IAQaD/1ayahS8MeGwD7HV6AcxGkJDlG20QKesTp
BR44gZ2/pfT74z69tN/986kryCwZ8ks5rClHZJAobH8M5AeDFVhtIk9KHzrfBBYPCHh6NPOdJt+F
6l+p33/eCMVSzKrM3xS+5R3nCfNm7Oh9UadaJKvHKqfACpG3ILrq7z4fNu+aWOxvdlvNwcNJPdpZ
4w7ZVlIfP+7DCxvouwYWp5Ja19LOCHkHJSZor23Cbt9TUyiOv3Xqz4+burB+zHpfk91zdkwriyVK
nvBSx+Rkjpb5y/R/XBMlXnn8Pzvjm6+BPXWyxzzl8aCWY3cCbPvx778wpC2ZM4Y+r3+c5RZn7Ujo
ZBEihTBBjW64GjvlpUKscUh6xfj8rgRMgOswQl6ufP+PtPPakRtbsugXEaA3r0xblpmSSu6F0JWh
955fP4vVM7crmUQSpWmg9SKIkcfFiROxY+/XQ/1mLGWUjEWTdUCIpT81IhjpGvOCNP3YmT+6sDAb
zJBV6Shl4kjDgIVK0TdVeRyFYO9nn1X/FzIn1ESKowmASV15KC/49wvD8uWhCbVI8XqtGU9l6H0E
tLzzlS9ud6rlCl2/YxOvABKX/B/2aI5g54E3n/f55UKqAHmrxlMue//RI/E/uZzvKFeQYPY9OwjT
AzIrP0e3eFRaIA23t8xsT3IV08tAnwFtGZC+X3l9aqpeNWiDx570KWbRyrSyJ2fX1z8GTI13y8TU
dd1312au6JeVdwqRV2E5QVB5mxw6gkg73B7KfMf8Y4p2K6DZJiDm+fanTb+nQ772TnIoHa2wPyCZ
9ZCb+Rb+MGTexG2VdBBzqz+iOnlyY3Fl38xO35X52b5pPIoCPXpc6ByZ30ZN/qz59aFr5ZUJne+X
VzvsErJFnD4YBSas8JujBzhILQetEZxWz3Xbyy3KQkkEbbOF+ERzJljcNtVwpyP06AnaSmfe0nJO
BI3kD+jfugJrRuFoaoGRu05PaSSMf1C2pXL4IxxX/MuiHY4EbMV0ZV+90oK6VxoxGV1nurmi6sUS
Y+SvPqjp19ubZmn/Y4MmDHo2KWTMFi0fQGXqVeQ6brxToqco3777+8BNVejXVHq+rx5GnAi8smS5
TpN8QOUl+XD780t7nu9DsUdvFbf8vJ0nEEhrp24gOIjqyOwI2E5SQfHuxzL1nqDfa7diRVbC9+vq
2JOj2aZdbx7pS1lrQl2YSFLfXJzk5iASf6WBebMru3GkWCRH7Mpqazxp/Yqfkmdeedr1sDvIE5cM
6Ykrujxwn53SIynnDFQSdxOJEeAuiypkCrNgSC3k69AhhCOnhXlAoTfflOj3HPJABLGXuf6vWkRN
tI+8fGNQ7d7kEspfSj5+Q6LG3EaSq+y1KCJIygQPccfmT2BpD0Gr/W6iRn0aK7mhRz9INoYGFOX2
Gi74jYm3QiNHwATSE3F5ntVCSoNQNF0HYRzbDYAcxMZZTLPjbTOLC4QbJhVG+x2Z2EszU+4cjgx2
CrVUO4spS60YmNMx/O8S/dfCnIG682hxjgVfcFy326ZRYfe8zDeZYpySUduYdfqA1CWwz5RCsHRQ
jebUaubD0Fko3qR3MIhuBL88mH33JJnVLkqCI/ihlX20ONmkPWkrBh7Gn5ezIE14DE8y2ab5E/QK
meTZxbBCADKLWP+ZBzrjLTQJ6Qqdt4XSQwlEVJQEZ2g+uOILiotbGUzzaGn7ZK33ZOlYwPkNE8bU
cQ6d5OV49EjttDSIvRNoIzsrfgommrLRoQkOAzkJvb57/yaiOwMu/4lRlv7sS3PIyhSVplmC0w/P
YXgsft3+/OIWonDA9qT9kattFvRBoUedQu4Ep+s16UFwdXHjAyfbhHmYAi4byYDUlnxGey58dA10
sdQRtiyvdr9SMfC2Y6O4u0RR4o/Igbk/wRFLmzwBrgjCuN4rRWs8qGWxlhBY2lP0MwEaop/kOiNU
dI0udwhCOLX5gjAAnHNoc7nC7vbcLNyI0hsrxuza18AAokurCY4osbE24femewjXGuMXjUx0Lhq8
Z7jJ2frWplboPTVlR6k0aysM9DzUQQfLRJlIO7Mo1ygyl47KxA1EzmEqG81vjTH2OkjkMsERSMTm
wNE7608cPddADhtx5a5ctkV+ki5nhfhldlQUxU+sKmNsk/ix39D4nzTbbNS5CxBjatcahZdOJs1a
/zU3/f2bCzFWMznXYoY2hqiPSgdrgKnd+lzL56CU7TJdcWyL5iQWbhJ3mIqIl+aUDp3QKq8ER04P
hY8HtZEXO6gg2sU1gqGFieQyJlck8myQrhI2WtP6ZSERm4HmO4I1+966yqETgl1ZBQdE6Fbc6cLF
9dbcfOOXXZBkvtlz8yPUUz83ydfbB2vt+7OZi40qMcBEuA6aaT41nLVX+Wva4M1LdroP+A/++YlZ
E7q3yX+82QlGLSqVlDYMoFJ/yQb0RPZ40FqCkx1u2ofvpOPq6/TdhH+Bge77hPSa2PiI+j73XfdY
5PnRFYOVbtaFHcPPIouJn5UN0Zjm5c3P0ocebaiMiGp096DO7RgQFvpAke8few8oSqmvBDqL++aN
wdk8IGHYRjSmu44ptE9aZN3DkgHWnMgKldeRgsHtdZ0n3/6ZdzrLyITACEZ9/XKAspi6aTR2zHur
DbaRNk8KwDkaKvT4Y2Yj6Tp0B8Vtj/QEHiKZdQdsv+K0F+cYpk14Uiir4XQuf8Ig1KhdCdMzBpkz
VXhu+kOb7/Xasawvcfrx9oCn8VztMxjYRV7ANAi8zsebBQVqrKJSxNusQahMjbWdKT16/a+MOoWL
H0jMjauvPNNeudWvbOK5p7ZhJBbmKXepNamDIxfr+PoHwH52jqx9UCs0eki2UZ+N/qs5HATQsfzb
XYv8G91pdo6KY4VAr4DoVZR49GjxxhufIkNEz5WOVijFQpNSSn+syxJtUnC/CI/37lHoZJBfD0bx
EIBC7KhVCLVDA48tugdTew4HMpzdcxD80NyjFgH1+SFYXwbtbizuwIVtb0/3nHLudX9NjYuwNECe
ddWsXfkdjw26Yxyv/45iQTI4qYhwLNB2afyp0+HUSEdZb0+C9px2oZ0hT18lAxju3s67SfcKAK1h
Hm//KnnplE0/CUYveD6veL9dNR50GJUsR/eeerne9s0Xi4g/kspNUSi7AUXDQdrn40OWfweAaiML
b6vFN3jTNpo27tTwP15VbNQghxLg3NbmVk31TTXsh/qPG6K6p27dYi2noSz5YDhpgaYQ9/E6mR3V
2i2MJgw1y4n4NeDydj5bpvD+pN24laV7ofucqvQCal/q/ClLjF2k7No6gUz0AFYpUcN9KYo0PaKs
4D5IQnyIy+fR+JS3h1Z1quxcWZ8BgI/997aO7/T0V1L05PLo5fFX4uN5A/+0J3joTzIEFCYnMqbL
A28im137las6wBrtliay6j6JHobyrLHfw/xzXfxWg7vUoyGsX3GvC3NIlp/gmdI6HAvzB15VDl3Z
eqbq6O6pyZ/y8+2NNXnn2Ukn/U1crpsTwm1OTaBWUes3eaE5oa4+Wb1/0HTSW5AT3DazOApYuiFn
Io93VY00KhiVctoaHFMOt4gP19I7FYZel4jXwH8tTL/gjZvsvWZsKeJqjqiePa2yQ+XL+4cAOwkF
F6zACzC75ypVT/u+1jQHUK5tG6t6ZEtTBJkvr1dK/fpVbgyxatpASOo6VFyQkvr5F7/+zddn01OW
laU0NV/Pi0+p/GxWawW/hTuRKjDZNpI502LMpsdqBqX16KFx8lZ9UvvGCXvzJezzT6HsbgfDO/Za
lazEAkubd6Lhh9+Ivr+r7JHRycgX0tzntGHFjVgZ5ces7b1d2qrKyga+MsXBR1BgylVx7cMCd7m9
YLfyEdlu4rOo3JfpZ73dj81KyWDNhHxpQtbpFWnzIj776dDeNbIS7crGjx1A+muqOVe3CaOZeHAm
6gndoEB7aWqkxyT0fEyJnTf1yR3EMDQgVKRUW4fKr8ZLD7e339ULdDJIRQnqDm1BLFDqCk1xadE4
R8EXX7+X/B8lBwiJ79tmlsZFy7WF6iFklOgGXo7LSzw5aRorgroL5s3aT/a5WT2YefeTN9tRq40/
t+0tLZkigxqBMgqC+rn3pNWl81xLj87VQD+S6EefKg+1WXmteLVoB1b6CW4HamDOshPLCU/tcYzO
sRXZZUW0+bOov9wey9UBZokm5vv/szHbfiFFZDV0xejM8/AXLfs0kuv3EVSKSNf+lL3sGdZYbeVU
LdsEPmiQfgLJPd+HFD1gD1cj7tHArvyPepdva+U7VRC1fYBFecXc8jT+15w1S7YI8YAErqZE5w7u
7ISHodgWG+9vNsUECmBJeH5d4VVaIfKiBgLWM7DMTdobZ22wzmO3lvNcOlK6CoULd4IO7eps7jpz
cCXaPMDdV4b/QaUj7EtY+Ie2+RS4uNzbm2PRmEFbJsp3QOzmaCLEz7yY3EB2HqCRQrnx6GXBnUV7
+yCkK4u0ZArcOtUAJACuZddiNUdzMqnyc0M7Qt19HmgRq8afvBNuD2lp75mAYji4eParxFGiZU2k
KAKg8tiT9kIkehthpIk4lH7pcviRkPVRrNV6ZSKvbnlOGdQ73JNodk60WZceyhfCCo1mrNbyoyQ8
Wiuv/7XPT5P7JgrKI8SUg8LLz7RzhFtj7dcvHaC3v37mX1FZrAQ549eb37OCR1vbb/SVeuvaCKZl
ezOCEIqQhoa8/DwGO4gYlP/nBM1PTaiWSQkj9LkRj8KzJB9ub6rpn1+E0ywvApqgYQEGAfaeTZDY
SX5r6Gp+roXxkCX3PTzPydcw+5D2R00+FMOawYXTwoU3wdhBLE8ovMvpaugPT5uwTKHkKKqHtPaE
R8Byg21lsrD1hnBNHGDRHgwaEIBj7crr9OWYuUXTY4+mpY/UPn+na8jFV7D/bBK5h4hNJmFbqhGz
SdQGKdCF1k/PiZ6EsW32obDpOFMbix5IIz+VvrALM7ryY+ulRn241AInjgbN3wwVDYonWaNkmAdS
aOOmm0/ZCAteY9Klacutl39kCSX61M1YucNOD7+5hZRcm4iPuaIF27zQxV2eBiXC8pF356JYDt6w
CR48etU3fdnRSlsgFCzT759ucqEUchtmgBC0TOmz2tlG99RtTNJUH8ddSvqEToa4j3mDe9bRF8Xx
kQedcNfnirtlmULHi5MUkg4aDAHKQV0LOhV1UblIvnfoBzhiIX2HEepbHkCQuA+Tun72gkjcQWgB
SNUwq7a0E0NNbSU0/0hK635WBFG2LbrRpB2v/k96XkUf4lwNz6LkW0iL6wG5o9Ev76C5NXeqUIo7
XRLdH1YEe5vdeKG1EaJA3kCApt0nMUIbeiWVtpQLyXPSD8q2g+nmuUSUnunpyu3tM7TgAQA6UXeZ
8piIqc09gEGXjML7inuzefydVNJK5nlhCwO8R0p3Ejpjj81CeYDTaRJpanKmCdwOxu9S9BR09y0T
eHscC86SLCU+gMo5gcD8RRR2Y1O6dZCe46G3regxL00gHCvIjYXJIgbgRcJVyaNLkS/Pvy8pbifm
ZXJO/Dv3o/FOrTZ+/oSiBH5G6Y6n6bxylA0a+haFEJ8N76WLXFvJld3tWVoawMTWLNNht5DfsPIc
NKWfpueg2GjNZ32tlLry/Xn5Gm6rIXFbvq9aO2tH/vH/9fO12WbyrMjVxIHPGw8K7/Zwe/vzk6ub
uUJ69yaG8wlsdeUKqyH2SlqG4zNUZJsqb+4UxSFEx+PdicIaGmNpqt4amx08s4s12Ley+DxIDwjq
KPJKJnvp4P1D1U4WiMhu9n01SnqdVtj4XHu7DHRhg64ErF5rbZsL5w5SQ5FGMl6c5tVTvfVrhdJP
wpFA5FiRUkcttaPby99vL82yGQA6cHqawDxmtxRxYiHQLJCcfaU5U2iwu06GRmjY3zazEFGQVZke
6mwC2l2VywPuITCTKDTkngfojyF42elduFOlJ3909LC23RaOljXw4sJG4NCTUplytpDJzoKkUE3Z
c1JWnv0TPBW7EhaW24NaMkCOHawZi0Rb4Wwn0BZemkaWFWclJ19nI618+/sLx0aDgxcsA21JOODZ
qQwyS4miWs7PmrxNPnzoP5f9NlxJPi3sZmRKqZYiO4z3smZjKFR4M+BWyc9QI31s890QhE7XCKY9
rlHzL84WxV+TXc2fczQYvAtw9fWMpqcTpuH/8+3ZWvo+Iru0FsFQC3ZtNltDxRLB6MYW8+PNQN/7
2lQtGqCfDlZ4AmPydZd7GPI2wdd6vzxTDCq2Mf+/fwDc57wXcV/c67MBxFJmGV1SMkFQyDS1v1ek
u9sWlhb7rYXZNVsbBWStXsurxEPkyYBcWfJ2QvufbE1/dWmqrKk5lUc9yZ75cfeDcSiHXi3O3g/I
U6x8xZssfp7wnXoMsAzCksuVMITWExG0Ls5V9nkoNrIRrQQ9awZmSx3Sjdz4CgbU5ADpgvs+GvUp
HqHmSroIkld68+d5CLUpEhV+ivxcBeUfpSK4l9O14uf1lcsDgG7dqRqC/5htJjPOR6BKXX5WJgVT
0G4rM7SwlS6+P9tKlSQ2fh3z/c6v7iKheyGHs9fd4EiW7/2rfWFqdncofUWOyMfUUNpiZ0svtw/F
wg148flpL7x5qmfNKGelwKEwyiN+z6U61b3/oiBxrEIxzkUO6cdsBEJQIsXgWdlZ1TNK7cB6BAui
xtvjWFwROIvgkgCpCRPA5TgSoxEyqBNZEbXYjVX1vVLVfVMnOzdPVnL8C8eD/A8Ab3YW1cR5glrq
kWQLZDM/h9HjeGyilafN4oq8+fzs9Oli4cuNrvP5KoJTaldJO2ioVnzh2hhm0yXpSduTC8/PabI3
4313vL0aK5+fKwjzGuiKODRyeqg2SAcLa+CNpdUmZaIoU4gzgdQuV1t26zzyM7ZUkbbBc1/Jv4XA
DU515Il3qtKNK5frNOWzCJ74g74j9jHQu/kOzip0QBVemucuTqWnsTb8jRxBAZcMUFVJXFZbNwrM
7zR0wfhyeyYXdoNCXohSCJRKRFmzhaqSKA2TvkjPg5rQ+nks46MHSO79RnDIFl3sgKDAqF1OZ5xY
cdkEWXqOyt9J/t3tnt38y20TC1MI4OFfE7NxwH4X85eYyIMfuhLcxdYB4qgNim6J7O0bCGb/wt6k
ZAPwHqGsOdLXT0YzlQUe7q0A0eoI80gFl2/SbsvWyf2fwpq6xsKOZztyJXPxTxDc2fgGODMVCEZx
05pN48LWGP4i3qa4r5OQpN5HA/XsThNcs9MVv8jOmrv3hN+d8f478+L7szuNftKoTvsMNx0pUE79
jsbt7SVZmiL6peF0IDaiS2ba6m+umqYO5awRhfBsKBvEbCAGvf39paMyJTRpGSFtS3Rx+X3SaRKw
pTE8R9bGbe8EYVcoK35tzcRsDUrIfEUL+qZz1xU7s+nOUlM4QWEc3j8SQmFtSthQBp3fMEGuB6JB
aWN6ZFt4Z9hA1JXzsTSStyZmR95vLLm3/I5qZDvmBzOrKoB2obuLqlU53TVTs6NRuHGo9QW6oqzb
yej8Z72/G9sPt6ds4UYAWgWi/7XkRNPy5eIXrWmNZUtapUp3oXIcdVuEGP4/t40s7eC3RmbXTt7z
HPYsOToPuvVrFKrBdqU1yvslG8THKElMmUCC/MuBQBsupZoUxmeZln9vk7Qre2v2fQJiuPxfIcL0
4wEmma1GY+WamTQIR/B9N7ejb++aovnn5+XZNo2CwZf5PJQzdD3savPPXxgg7zCVZ+jwn/dte1VQ
hWbXDKfEEz43vQhTiGeu1bSnSXhz4f8zin+NKDNXUrdiKFpdgboG4F56I6n9RNoLlG+/eh+uPFH8
Jlg0N6Xmmhj47Kz8Y1gnTUsACF5snqstS5jnqB/QvFt91alZQAxnbm9P4OykXJmYNsgbN6xWut63
VTKeAmOr/iilXVIeK+19MfL/GmED4+eBBczTEZWUyEo1YkQZt9pABX1lFy8P4t/vzy4rdxDEXPNy
eNFQabYOFH+7+iivUT4tr8a/VmZnsarNoUlbrCjFTlTs4KuyNo5FC6/EGwhtIMk9O42ZPtRR7b8K
kojtNjb977FcPUultru96Ct25hl00/crdSyG4aT14mewp88eJKi25lcrpdllOyQ5dYS7obmZeUg3
rWCGb9AQ0rKnFN2N6gSl8e2hLDowrsX/MzG7uSyvNLwixoQHN3bF60IL/2ZzQXdh0hwKImiO1BHg
y82qUEclBixV2oFvbvStm993cvkXYyHtOPFUabwl5dmtFSHkOgyCCvMe3FuQtq98fmk13n5+thox
ZDtWgiACIkHGVv7dnttO/QtvQokPZ0X+lL6k6Se88SZDJSjBEGbiyS+2AJO9O5iL9TU+oaUln3jl
YMEi4QVQ8NKI0QojqAVIFs0RVmuxzu3Q1F5ub6slj4KoJt2evIKIvWZzZcauG3iSJ55Mo9tZYXkM
XSqLFr1V4f62paXRgACHfYQSpgVw93I0hNcQJwnDeDJKsz1IpIy2HoJIK2mEJSuqSAhJrpatPH8u
iIag6UIg4iGrPTTZ4+72IJama4JTE0MCNoOV7HIQegKzrjtq4wnIqC17xSY2jF2THfV65VkyfWh+
FYPk11EGpnXiqjlWrlJN9Tu3P8EHa7fRj5Qnd5q8L65/va7eGJm7x7IxKgVWaYxkUCAUX1qqyuYa
zdLiSF7RVyAjmLHZDoNjJAUErvWsCK0Twh9s2UX98fa6LC47Ad4ET4LqcZ575m1qhMgL9icTeYn7
aszlg+s1f24bmX7p1Zq8MTLbwbQEuE2pQ9CTUAGMi2+pl9u58o2VsbK/MQW2EHwX6dwr4pRObRNr
NBCMCfshs2WxfLAg/m6z8SlH4aZEPeP20Bbnjw5L+Lbo1gPfdbmv87hUy6hQkXPTctuUILRRVpzy
4sn518L8mRrBXlahIDycLOMQCtsxfpr45NcCsFcQ2tUaTTwUOAFi7XmhlnJ5ntcqE5f6Q0Vk8dTp
AxiW6otXxvWD2xTKZoQuHsa7xPwqNPqAzIys2Enfm4cGME3mt9vQSJrD7fmdbuf5z9JgfITMFuDR
VZtym8VSJDToluVJ+Z9ECp40ag0bgfb3TQ2Xom0lYnso0uR9L7fXA/7W7GzHDl7eASL0hxMd4Bso
7XerUoPS0s6huQcABFRq0HDM3gyGFTSWj0wTI3M7mNpy6Lrp0t0TbOsP4iBVD0IbWM9opkyiD5Ar
96mQ7MIkQtHXKvKDJ2fFRmjU8NvtGV9yO2AUcQUTG+YVnloD8emnKjMedg/+16bYiv7uLyxMmVFA
/CL9VsrlmQl8FNGCgK0moV0QmSXSEC9ZtUaFvHRueBfTtiFT9EKg9dJKYaI90lr46LiHK2NEh6C8
q2qUegz79nDWDM32imemad2GGHIHWH/p0YVY2+mTPrVRrvly29bScdCh3qFVl9SFNX9odoE34q/R
PEwF4Unuhl1mCQc1ILEtwXcZd+EXUQxWQA9L45vWCQAgmjZXdH9e0fquWaKoF7tOpp7NWARnuhHW
MrDzhqvXM/fGzvxSFS2Qi9RBCW77dJshYVVBZ271gi1Gn434QckgbuLAh/dtLN7l9RrKcWlq35qf
5eqSoXBdGNjHE5IH1bApxy9ZdS9p20S2RWMlflg6+9yHTKZKDeqqxBVEfRHojcxDsUQwPVdrm5fj
Glh8cUAwiIKpppJ2VeIyw8DILI914+3VHhRBGB+VwnM3rlLDShXFSGOpXfSxSvw1qfNFy4DfCPVg
GDLnQb4So8+makxlWR1Lud6U8B2O8qdAUveWfpKMldB1Ibwg0jfgZZ262HlWXJ700gw6q3EhDNeE
M4/7ZNjn5QPzqr+zuDLtUAJjIrEJgU86bOay1Rq+fUSexRM6OZux/IVwTu1/vn3CF7YGuB+2BfrH
QCfmiclKlIZoQMbilI2f3HGvdXd/8X1YwqZQn5fkvH0lz7xEavtCOlVUUwa7eCeY4Z85evP9yZu8
eeCJ5eiljRJLJ9kKN5HU28VaR8fiDOlUUylz6Qo31MwC+Y8kHhTxRO+NLW9Hy1tx6EsGQIkCupG5
A68cHu1DXZLQk3Myn4ZQsQXwwrfXYAoKZ0ENW3X6NHc/Xd7TFfxmjmqxjWksbeWTGkdQfFnJnRtq
iD02D0qvHUutjjZlZ42o6EVfb1te8OUAsKAkn5hBSRrPwtUmjcRUmLj1aYTpuo3+WbB2bfrhb4xA
Sk6tFbT1PKmjRK4UGr0vnuIRZHMLPUDjiu7Gt8YXXUlWAsTFEckkDunmUKezeTmXamfJgggt+amp
9A9NE36cNOio3IXOYK7hShf8Gm3Y/9qa/v7NugkVmohyH/Hmb7/H8XepPOvBVg5ekNmGkGRlkyzE
YRQ4SFhbE0EcZbxLY4qRmkZpIFPQFmgCy7JdqzxofX/lebG02Wk2BvNH5z+wuZlPkxEWMtwRzsJU
qTeWhS7p+1O7JBVgZgNrNvmz2WYvPRUV1Vwnf4zQjPYQ9s3KRC2P4F8DM4+j6CP9x7UyntRir3f3
9e/bu3lpHXjY4WmYIirDs3UA/G/UQGrGU/htEO9N5eRWf7MEGrcXexjq3HnyGxybP4YWNJVm8itP
bS1ec2jXFyRtegr7SAchiYeeLYEkU1Lzy9BwtACdGe/es74GiIAqfr/tw5WM7vVqYEujiA5dDhmr
+XnMUtT1pGDQnUy6Dx4C99276fLzsyMYdIg0jymfTx/NbGOtxUyvr4JL1wy3O15/YumHw3P+8618
0GOprTUHbSi/RH54dBrPs5viTtLuclnc6vUvaVLdFB4kpAil/tN7d9ul/dn4rGHIUF3rNEewXgpU
McvgvkmklRNzvaUxQml9quuBd5gnfVoLuosxYpBS8KFoEPRL7Mg43x7IK0X9fCYhMZruN6pvVxT2
2QgQJyQEdsjNF/uyTfQO4XFF++g3QfiFWUYwMUs+pFqrvGRWLDlVkgfQgMSSuxnjHAnX2qoeetko
n1FloPo4umHwpREa81DTa/6gBr53qtMmueOWSQ6aV0aHXIGaXxwA1iAxKtdHQpFq2Grp0N/3xI5H
j0SDXcHjfDfAH/GjLQLvTOWph4PYlL5EYy988QZN3BuDn59aP+6emnKEyk+PUbrxxghCC1RJjWQw
tl3USOmBi6dFG23Mn0N0ZNHBUJWXPrQ+1ln9J+gE2RZ8EYK+eAzqcU8ezL8rh8H7lg3m+FAOZnNn
6kUAR3tb6H96sZV+x/IgbG+vxNJqTzcxL246Oa/ufCNFqktMIDGQCidGbBD5z3Z328TSoX9jYv50
Uyq3TOmy1Rxr30Robe1vf37Jf5GPMEF30+Z9FVBkGTPZN57uiGK3D4TjWPzOk9pW3XuQrStnY3ko
/9qaHcC+qFX6L7A1tObBE3/D0vxudw+EnLZrvCTXLj35lxe7lHmpUnDzO1K7z3ead7w9WdcBEVEx
Xn4ysYBkMrycdCHEiI7Uf2x4AhUQY6CUqa5lcRYmSp+anGilhUaE1bkcRhUGXiFIrekE4vf2ITW/
vn8YjAPRykVMC+l9Ifc9S3ckpTLPvTki/KwVwqcxVrpnrRXjlaaqV37YS381NVWR6+aowKw5Bzq4
TeO1Y1ymsLsXxbnLhzvJRFhzVwbRuFF5GkIClH4zxTzadWNUPRt1Gthhmvq2W5ci+n6kCyqzsj5m
uCiTrqO42A8lHWZodBgbJZejHxoUXudJLHdDP23z6faEXR/zyaNrsNNPJFlXxDv0atetkIyJg8ys
qLU2JQq7fHdxBZgJTn1C5kKPOI/sfWJtFTXA0DHEYjNC8F/pPTrE29sjud5ZkxVyMcRDC+EKLZV0
SDZG6Ajtg2T5m258v0vEAhEjhTv0a67koHzPA28vppGjJKKtGUjFio3d9X/ePw4QpzyEJB7avCcv
T0hPJx3Fuyx2IMmii36Np/f6FQls7c3np2l88xoJpbrzO43Pu9q3qXG6fkR++VzUh7A+vJdqh3Oh
QhpCRIfXInE1X3mqKcYg9uwuOY2fDJRBs+59MP8pLJ34y3nFQb5JBXLmFumHM0KzziqoNLaVcMjW
WHMnf3R5vvk+T5CJXFm/5p0IVNEPLCWsHEmuwqdWNP1PIh3H95Gml48qPVV3tNCC/fe7NfGx6/08
WZ7K9bQOQSY0e6L6ai5XcV1UTv2rje3w5b277PLrMz8sDhF6zmFZOUUYbKCJbf8iH0IphIZzwgcI
KfnzcqNZUQzVLi7P6RG7HWBZWotHlyYIl8WqkC1kpmYHRfEklX4nln4onwX3UVRWV2B6xc4WHypa
sHgaCHy28WwIUiPT1216slNja+elnbZxS6kRN2KcGLAWj03wiXcefdxWqtLgzStjY9Ut9Gi1OwQy
vkETfmSuVW5q0S03nOwXdoxkx60H3Wjq681eoI56jlrZ3PqQXO4LKxZQEh5ovY6NcNPTWel1tfZs
uppwDP0UQYC+y8aX3tIH3ZYy2TtW6Fnl26Yzqr2YheNDJxfdS1Jzh3d60AEtqQRD2FSlOGzTMjdW
XlbXcQP4PmR4SdfSZ3NVlUnDofDaGs1WTWkHGFkK5VmmDHTgoKSPfk8B8N2RFgapN/K0JstB8uFy
W40WlOcFuVZHjrc0ACEYvUa0u7CvQHaCJ+P1ATR2vnEjQn7PG5GVyH3lLA31h1FYI2ud07ZPbguP
RZJdImcLR7R8OYp21KG8qzXFIf6lAiOq/c8sSbVDF0KJOb0kH7SoC46+X8jfIhXiQM2FhZe6frES
Vl7f//jOiZd+koAA+DJL7bnVUCmlS6+wqu3H/H4Y90OwEocvzSfKjzAfkf/m3pw5sjGALSuudMXh
qYN8PNW7265soQRESRAEigytkkYGdjaGIu6GMpeM1vFdF/1rxS1elLj2Y6gt8uiDEvnypzHXfw6D
m+3bBL1mP2/rZ4S+E8HOLEDcK79nunNmbmPKx5AGoB7KPpq5DbE2hK4qhM4J1ajZ5o0Y71KzpWJZ
Zr3JU46TKNVUxkMpTU5086J4VFdwBLsEhytzc/0GondFwgMD756e7bOp8SPViHNPgzE6wwn5dgnb
aubtKmurirvbw15YZkzh6pH+nIQ5Z6OuShUsJvBDR9HvYv0srdHkz+k2p08iBGSSJZpUUljryzMD
nUXm52kpOaUYJfciKpl7qIjbs6vXUIvqsTLYTZXAxqH1mXhE7lS/DweTgmDmyWReBu0RDeB6X4aS
Qn18KHeZ5nufPN0I9nlRQy58ez6mn3NrF0ye802gpUVeIhdi1DtjeSdYe095VNb4TxamnIWlPX6i
HSe+mq1uOFQ+nI+YGNLnSc2QNtPbY1jw7m8NzEtXETkSiYC3d7SPlksq+WiMG+udbVzTul4YmYVw
MlImXR9hBI3osLTDd3ZsXH1fvlwIfeB0yVHaO6b4PQlOun9Isw+352ma6PlaT+swsRWwMeehiO/W
oyV1Yu2U8dCpyHMmSWeDf09/Fbrl/dSrwLPL3Bo3vZHJo80FuRYMXe82enWmoimcW7RNzzuDlLHz
fXh3G6fvUDy0PM+RSuPZBZbx7m19YWgOQBnGcdQiV24cQdpK+XaI972+ciddOy0ubjSJpkf8hMOY
XRgQrvRqZ0a1Q9jYQoyWbMBf1+oZ4M7tZVu4hi8tzaJglNnqbFQC6Jjlz9K40/yHqn+R073mH8yo
2hb6Iajv4yRZsXt9bi/Nzs6tMOjQlmmYDRVtvEt8XbsfYCO8uz26BSsU63hHUtuGD2BeQoHBJ1Bb
iUytC85wDL8k3va2gWvvANfPGwMzD5d4ZT+WcdU4QyQUG8Sx203QpsmLkETdPnKVdn/b3vUpm5LP
NO1z0GhdmFc8TFOQIsgaGNCL+yLBUD4coo2abpT0UHYrce3C5MlAgCdWC3gnSOxdOo2gL4kzjUh2
svoxLA6+9f65I1kBbR0xINHLPIzNuyjJDDWXna56DMO9RYdntR/+c3vCFgeBgBLTRmUCvtXLQcg8
VPU08WXHl7cE4s1a5LX2ffny+0GZd1WlT++j4WOiflG1H7d//4IjYJL+/f2zWL9upTBNVEFyujgQ
T11ZV08ScGaItcVWgbfOl4PnVBKLlZzCgi8lZSFP+EFkxK6A4AKiMGNKZOcM4rEIHxJ5a6zVu1ZM
zC/WyhOzStNdyYnQ3fY2vBWlNfaANROzxR+qpE6tBBNK/xB9b8O7MlrZwwsWQFPADkulViL+ni2P
GadCphTp6ERipW7TOLpL5TK2da18ub0PFg3Bk0eNjZrwVadiJMeCFf4PaVe2Iymubb8IiXl4hRgz
KzPImqteUNbQYDOZwcbw9XeROvecCAcKFNkqdaularHD9vb2HtfKx+nkt+w4meajSEtkUUf3fncZ
bXKoLCE3jYQPbs2lQnMHwXTSdlgRkVt/+tKhAcEk1ZOdsRBDxLdXdZ1agqOM6X6k25EavQq9siTr
htoK6tiloB6w/nGSF9l/d/mR1EnkrbbYXG/ihTi12iI4meqygTg+gQDhWNcCbLIrD9uaDEXnprGS
hWNqNRoNn4rqYA+fMuvb7V27tjmXy1BsjpQOsiBZUgNV/whk07CTdxvNSwGKDlDXaHrTQCVvFHTf
9btEr1Ye5ut3E4Z/Ro+wYWOuB28nU7jULmsSe3LQQ6ARHtLUGsA+4e2A3n+/s3EpTfFx7D6RwP1r
SEzcYev59DlzVnN9C6oMAgSkZOYcwpyMu7w3ggtCUuJl8ViCfDsW3YtDQYgdNt3LmH65rQALOoZi
HjIngLIDVoKKpsWrruNN5pEY3Dvgq3xoGaAN10zbgpZhKgs5Xzg4yGGqzYE2oO47uxUAe7COn0Am
8Y4lnH1d0WHd6PKOGvg66iUvaDh6NmrtGc1Oa0j3S8eC2TLQA+ItQ3O20qVTkbEDG7xBQB29l/Qx
LY60omGuoYi8adf6KdeEKXc/a4TFgd6PAMv+gU4EHTwTZkFQANcj2/mbdGstSIt6cLY4ZRNZHQy1
5mJxucDcXAISdq+MSLrSJbqsCAhG0P+GNhtV28rOoynKTiQu3Db/wmjTPngaeHVvK8SSlBmYGQM7
4FS6SjQThkyz7QBbxEH1VUaB9/3ffV/x1Ccr6cuKEBqXpv5ilj/6wvx6W8LSaZyvQInZ9NqS6H3E
CtLyqNMD0/ekXnHJr71B4GPOdFpwOmBrVHfDE6SRpcCBt/1ncAkmeR6Wthm6hIV2t9ZHt3wi/xM2
//1Z9sZ3NCQ+CLRZd4fNWPvR+Pv2hi1dl/PVzBt6JgCNXd6QEpPEifZJOpuUAvkzqMKS0Q0Ct5Bo
K5XqpQXNJJMgt0YHKeLqS3lmMhoVwvYsTh7GH8WapVn7uqJgpt7XJC9EFluaHT6zZs2ZXTr781+v
qFc/leNgBPj1hMNX4luz/pnrryI93Z8sQjnjbJvmYzs7lsmuSh8ov1l8GrTf/k4rVkKatY1SXkqq
VR6hNr5fWWEjojXIoqVriKQzim7o3b92YL26ckbLL7J46ryNhRb9qvPCyVqbXV46DsT+SM8AdRmu
jKJMw5iiLIau0pj6+yB4MPSPFiAqNNOKJP1z9z1BrteHj4wbj8YvZcNqKocssUBQXTEnzJIBPETm
gy67LwarDmhMPZZ5u8bYtrCLNhBRdMyuYHr2KoFvAH+laYIgjbV0o/3yO7SJHW6vakENZtBJ1MuA
DAknQ3ks89LvNYLkSWw46ZfSOhoYe7hbwjyMhYcLRXGUMJUbCbx6MPLZdRon5CF9COSKMb7eIvhF
GAZAx9AMUe8pF9KUxNdcW+MxM8Ctncom8n3xGaQaK2Zr/pmXmVXIQQMqJjQAjXXFaWaXaABEM5+I
69y3ACldiQ0qL02YyNrbt6YYVuS95S+vBaKehDlgYCWobLzOpAu9lakAcAWA6ixQAmI4u/9NvA89
O7WpRMfEFPXG7t7TQgCoQ9VQ4UCV5q0t8szsFBwPqO0MIq686dDW1SnLyu1tEQvJzlkGEL4QeaAx
XMU08c3RIyORIi4qEaZaSLo6MtihBmtCUfURrzCJnvqhJF5ol1q0Iv3aZGB4BFOiQGt/GxVXNB6d
In1jI0UdAy7gSZJskwPk2nCrHRH0wc14HQYtSPksMJRVugzTFtleF5Dtdg7sFcb+MmLjf9c3TSNW
LMySKqOx1UFnD8pLV40WANgp68lp+jjVLS0qHeo8ZpmPjs+kDVZ2YUmbUR5DJwmmp65bFqhvFR1a
iLuYWpsacyh82hXGRox3u3vYa2+e/p7ry6iWXz5imc8LolGzi0uAIGEW9iMo0Vb84qVNQzMUeEaR
w4BxVkKLzBOt7mZljzB8a3gUtH45untWVPbaSqIyfSZEWYefeS1yWEUfB8UHYT7xldOYnw71qqNt
Ae4kErzXTeea3hsoKJo8ThwfydG/ssjCibzWtrdv9BejiAHkGt6+BosrOhOpuBclhg5mamgeW8zA
0KXxubT4O0zJ+aqUB7PPy6QmBValT0+G81DdjyYytwv8d9dc5eRZwu3Epfh+Wv0trd/MfM/vR9YV
txFtoui3u1RegImYna3nIhb+ENEi31T39x1jBWcSlEMAQA5wGFoq4rw4TB8Nf/OOM4Y6IXsMdxv4
kZcLKAodJMoYxouBkwyMuHqF9mT+darWAkt8HimCCwGwxsvPG13r2VljcaQNyaHEdE/fcgT44kNZ
JF8yi77mhrWyosVHEZ4QmqHm6bar1n+S2m7WlQFk5vtAfi8y8KG4YZ7amDFPt6T/kTftwW73928k
5rPgyyKVgz/KRg6ulxmAyOKxU5yyVzm+/LvPz3f17M3NRgCg8WDC9Ue3Vf+K5tzb318ykXC9QJqI
kAvg6Ir16gNM8FsT7rrZfgXZTsgd8H6u0S4sHs25FCUNAhBwbowGNinxx+K10Gz7WCap87lpWu25
BsxbBCSuBOwV2Q8SdNnJtMZypb93yahhMhF1b8TlaGtSLA74QdnUg3Ygzm0QmOwcwM+/Zyf/KyBQ
TI4vvNpLC5vHtbsBT43p79+la2drUKk+NC8lupS4VXZPtmanbdjf22tY2aRAOSfkEkkGyA8e994v
51divefzwE2f4fYwpOvOnseZMreUgEfIkbDKB8OEY+GvpZGXXJfZOZohL9Hv90Y7eybAc3JiAFEZ
lzH7kY7ptvTzvWserXYFN2BxnzAhgGbeuW1J9VLdAWhADYf11JNn8qCzd1hP0DL+/+fVwUXLnP5j
PXW/fOBDse9MMOXmmP9h43PqoFTK15y+5RWhY8nBHApSsYr2BkWFpqUKxjM4EMDD8mnNqVhwrdGd
ioEHwC2gufuq3wxES23hBiwGgXI0iBfaHnnTHHWehFN1f1sTcvxvlTiEY1iO8jx3bBo0kXRNDCbg
7cDEXgcgXsXWEj4Lm4a4G53DcC9RYFT7ut/gqcd+bFCtOnr0s9/cb7Muvq9cx8ZvecI4vi/KE6jW
QyoPt+/7kmFGOOcimkPy4npkvstSOUjBmtigHwvAV6ErbSP1Z71Io0J7arJiMzQ/xqrc3JZrzq+i
4h+gOjJjsACUZ471Li1BkvujVQQtMPEE2hvNKnSBKdIkdJvJb23yOKV7I/ku3J8Joyg9HwafRgb9
5IsvE/oDDeTQi86LBvsfWchjObQha55sEd/+kQtP4/lvVA1659eid3nfxazbMm1Te4d+jQpjTYTy
+maFVbIZgjLmxTeU2qyGhp3+5d8tQ1EiD4M6WWthGU71goxkafWhqFbc4QV3D1s1s6uDLXemd7k8
Tm0cqeDgDIv1Mhuex1LXTpQTK6wdDOMLFN02UmhfxrJo36PA55IVRTJZAHC3nnSxV9KosQ82ew6q
fpsVZkgBsdvvchZP2ffbW7p07+euL3TxIqy8SlNnRdNWhgOhYJYJW0zL/rn9/YVnzHgDqgIo7YwO
Pcs/e8YGAafP5CaLadFFpPnZWW4otZ0g/1LOrJ5ncjAw4A+pYbEYBAG6G5buBxLsDbKSrVpScuQp
AZiCKUf454qSg4UuKZtmANEdj3p2LKZtsoaKuKR/M4kfSH5mgD+1U13DKHDbgZAXBbAxdIyPfn3K
xUa2X7P6SNaUfen0z4UpHn9C9UKffAizx5AZUb42RLn0Up5/Xzl9eyR5CgAtFhsg4yl/jM0h7f50
ZoYK5Up+ZEnP0NUFqB5keuZA7fL8gxa9XUmgd7GVvXoE+AgoiGPkzWp/39bnpR2D143JunlY4Uqf
TQYktUF2XZz0WhjyfA1faeH7qHxCwQAbher+Gx7ZmR7npW5PdUDHWHw3jUdSH+/++Uiz47mag30Q
1ysWNIfiDZVbj3HxIXN/eva3d3z+reaF3neMIynOCukRWTIayDgl3xpCw3F6jwA4qphDQiMUEu6X
xyzx/PrGZMpY2EUELHjZrTlCxmxmlffc0lEXRt0TkTAi/0sRvlG4suxcZMB5YOyI3X5qku4bMPqf
pfAij4iw4+0HYBWH6Ch41Cv/z4jMtQ82GgwKHShg6s3CfSBl+4fZbox58/vD6PPfZyvubQbgFPQZ
WiK2kSzXGQvXWiWXVBBtJbNrCxuHpPzlBti950rJRhF7mvcG/NbnK6c4q4G6xaiRzAEm2j2v8qW0
qcuBg58mBg+nEY1O88nn5aFp+tADvdlm7OTmtl4uWAf0y2CS2wC4BtpAlT3rTMxDBoIMcdIC9Lfj
06/Bb7yIgIFFdsM/t4Ut7d9b8cQDATT6ZhQFSk2W5dxFqcYL2/FDUK9YuoU3COvAh9G9gISG+qJa
icOo3fk8nti2ortB29hrKc2l7TJN3UX1AC3uuGiXGmBZrPdLoxDxOBonLytfOAUqxFR8lPValWRR
lAuEQcC2zDwlyoWmneZ37lSKmNr0ezORTU+Lz770Dz1fo3lYPBe822gyBVM7vPXLVaWoOwD7bxJx
x4pwy/Cv2+e+FIGALQSTUag0ztyDyloCGwYg4cMAhGnbCHU+PEm9eTKs9ADyn+mIgGQnjPzZodZ+
LMp3mAUgCWBWz0FLGN6Oy9XldTGgnYPL2DZfXOfjGlHcktah0IdSPWJQAKgqlh3DkXpbDuMQd1oL
FNFX3T4ldKXGuXRAcLkx8A0rvkAP2XbViCyaiNPe3fzSUK+6fUBLunb+feXxYxOyxwGmiZEgpMep
L+Oqz1+HXHwO0AxyW9TiUjAlhDgUY3KYrLg8jZrxAph+dADY3avID2a2v/39xeNApWkuCWOWUH2k
SGJIHSgGuKH8g9k+WuTEu3co1FzM+o8I9Z3RsrYNxhwiqgB0zVkZ+tHtNSwdB7rxAW83z51Ap5Q9
GjVDkz0A2UF945fPo/k88IO+ElUtbRS4E2cM09mjurr0ucul7EEswc0XswE53b5d6y5cOuuZAAcz
l/PtfzMLZy6b0Y5NTZxujDXyRYu4/HR7m5bqyJg4gz2ei3/AJJmXePZ9aXU6IC8aPZ68pvw+oMd8
U9heuk9JY4V6P1VbFLbGh37K3c0AgOBNWbXNSysDY+X+LCzUBp85QkXMgKNHU7EBFbNGIFcBD9MY
keUO+rBst7fXuuB7XUhQjJjk3eC7EhKadgc47VT7lBgfcrg4PCzzD4O+sqCFEUe00p+tSFHBDEii
HkD9gN6WdlE/ftNLa+dh+ht8yk62SwDjVo8f037c8SqNGmtLsi5K3QTIHftUyH1VxLW+1lK0cC0Q
xcB/nomjMcWr7LLnV7VNdIYX0aw/lF596N3vTQKYWll8vb3bS+cJL31mkNbRBeEqkqBXulPaCVLk
rYiccmuTNdC3hduHpYC/FLUXYGCor3sWWJiG9eCrpJofNeZToT3rbb1yigvLABLyfDMQ0QRXdL+D
1cFZ6lDAlPS1CGvx/e5duvi8opNUVh71CiLQOJhG3b4GUNT9AuBsAfNgdrmvmrtaKaQDXtw+Bp4t
3Rnjv/z8rG9n5sOjo0Uahs+n2RjqJ+Gs0eos7f/571fUqACvlceKpI/J5Ifjj4muVcAXtGgmZURb
+My1bKg9wbqNFNUAxA+MkkbSB5rPYy9X0tOLIgwMQbrz/BMi18tNGqVVD2OOoK9lZF/Brk7Dtn5H
zQjtOPAPZ1ICDNYoUchIiEccksq4cSLgRKyBHCydw/nnFa89BSTWOAXaEBvppq6i91wzNIcAsGru
0rpCLiqEx/XBzOFg9gzz9Gyz4m8sHQFKXcBXBDoSumaVI/CyekInKIgUwDDTp2FXRtP9WBZzxIlo
A+igcwZHESEymeTeMCE94RjhFrWQ+70+F4EziJpnU4RGukstEn5qc+H2MjZlxLWQZitaOpsaJW7G
MDAqvuAnBVCGN2vA2VVGSOhSWeCEk/RpQvKbWW1kkSe/fqQYNs3lSkF94SW6EKdsF/LFk+ySZMDF
jn7pr50ImfueHQNEOh5h1LiuRkwL0QodWPZD3Be7qdxnX26b1gV/ApO/uG0YYg0QFynvey8qAAJU
jYydZir2wUS0fZ753V9zYuCONHwNSIZjmT6mU+1up7zJ7o5okGZDPAPpM4OAGqvngWYlcs7VDOQv
8G6lc38f+KUA5YhK3vcO8NCRDHoZzcdMHm/v37VJwed9lDqRvcfjpFbpK8OA95kjjPEG1Dbtb6az
otHz77vU6EsBSpzERekMCZDBY7sFpcK2pSdp7t+zBhce+twAfJWTHEjW+D04eeK8eU610xoM2tIK
kKZHnARYODTOKkZds51+KEUt4tImH6QA2grcdYK82f20ZcgpzKoMJnhQCaotzG2LDnSn7Xhc6vXW
K8lexz9yXEvILBw58CcdnDgwedCVq7gLwdiRCuhxfdyfXIxgmvpacmlNgOIugC9Ur+zCgoAB+Jx+
EmbWilK9BXWKVsFPQILbwcAfepgVESLts5YHEEHrbDs6L8z5XHT/OMP3cjzoNg/TvglB0Raxrgj5
2G7GpN0W9/fVwWNBv5iBbO3cj6Q8BkhAVdroM/+kNUPo+03kOiu9FQuqh4gWCOvum31TnRbT453k
vPdOJrNCdNhtq9r86BTV5u4LhLQWhhvgt2DwWF2IPvDAZkXjnYBOGhklSKFkf/czgNgcqXZU1tAZ
jJzp5cNmJ36XJQH1T6XLwrq0okJfqdwtaB1ca2SVIAbDv44iwSLBoGsGCWaMi3nuS9xv6S++rxgy
T6sTJxA0ONlj1Beb7tv9Z3D+8xVlIronhrHH5wcWybKKiL/WZ7K4QQCNxAADGrNh7S+PoEn7gRUA
7Dm1ZRmVJRp014a91yQob1XbjvXQmJCQVS/TV4TZt7fo2jnCGwuAU3TLoHyGMEFZgMm6yk8yfL6l
T6Ot5WFDAhG6mvub+PzQBtoRAHbvUNxzocquYYgAwAJtHpxkA/xgTY+qtdGfpUt+LkHZtT432zFw
IGEqdimNSHck97utqMHMc8QmghKkeJW7ITOadx24pk6gawgdHZMBdycacC4wxkA9NUCQ56tvilXD
O+KJdwJLk/zcp59un/y1n3r5ecXcM2eYHFPg8xUwmdBYlDk71hxz//6zxmgvoFBm1KEAfuWlgpHU
sorBLpOTXgOk4NmpXm8vY+F+XHxfUeB6qtCojuzeabKioNlZ98eHiGjQ3Y9UDxI7V/2xdjXhJZra
5OTJjzQs6cvtn7+gqBefV7aHpshiVAKfB3IV56E/baz7vdELCcoGFcIp7IlDAoaf+La4fyYI+wO3
AbkGKCsGQi/PVyBTRiuvT/DO6eHRztd4aRbUFOVUeInzTC3Q85Rr5hNNTyrZarB/VRtWKUiL6iru
eitEdWilSLgoCz0E82uKWqTalGa4pAA83AB3N/jV8R+O9UmYP7S1dpgljcWj/f9S1ISGCYKdoSsh
ZfLLjSsClKPfceR4j3DpYNsRiSj2VWIwilh8SE4bt+SR369xqS6v4H/fV6zryDJHz3yRABkqC9NH
a3rHA2Fjmg4xFNr4oV5KBIpmSy0XGIM6Vdqrn72Szf2X7uzzvhJ92J3dJUMO023Ix8L5lTq/TG3F
m17aIlQ1kJfERAJaIpQtAiYu6yzBEqDS1ztj0p/S2vh8exWzgVb89RlEGjkfPN3oFp5/wllewyy8
xqyyIDg1Ocb+Jg8E6a6xdepg75npDr2VZXRb4NL1wDOEnCKahfCPcirS4U4qDKzJ0OyoG/LQt3LA
WsVNtuJ2Lq7sf4LU2tBUyoILCUEa+WgOL1ndbayeAaA3OGnJmoFfXlXgvEH2YERUWZXpavVoG1Bm
q9+6W3EopsfR+3N75xa1Ab2C/5GhKhwaMFMn9eYLk/xI+Dad7kf2n7sakDNB9RR2S42nG/CaAiQV
XuJUUKSEQoYG2ttLWDgTQHPA35nzsNcDTzyxqK4VtXuy/C+0OTRAJc2y71QjoVOviFrYLYgCJ80M
wzozlVwqds1zP20r4Z74k29+cviP2ytZOHCUZ7FV6HtzgUKoXs3G11L6xhhjGRtS/i6r+sEf4kCs
kXm96alyQ4HJPb++BlpjIfFyISaYewqfDe5JinoMq4k+5ln1wF13k+XylxwG/Yh9/WI6w2Zwq+39
y8RYOJKE/kzHp/amp1UxmqTPvJOQ1UNmH7LnoN6lZXC/oQPVH/Lbs393nYDGGITd8hpiuLFPt3yN
I3VxD8+/ryiDM0ikcBLw+7Rmtc3l3umOA+jRxoe6YWFaslDwQ7KGfTSrgHpw50Lny3BmWqfOrWnS
YlHayQ2+ok9t+Hr7cBZu08WuKV4TEm5SExYESD5Geo6+WGS/MkZC9E/ivz/flrZwoYALj748G8Yb
o/yKD0XdNskMFxdKIydX+9mQtYTq0nKAPjPT4QDL/ooBu6qkX2MiWwNCpRuy5IuTDqHjyJ1RVLs8
b3a3l7N0OufSFJXIaeL3iFq1U2oaIO1NAVCR5o8ADV7ZtiU5cDlnHgVYvavcYVlliV4A0vzE2unI
WfeBAKoiL9bK90ubBzQdDPjiEccYnuKNNIE1TGmL5ZgEdDyYPD8hzzKAAqYn98diaCdHDg0eCQJ+
1R5p7pAXna0BAMtukM6L8mDFtC7sGKAoAXoFSAc0Y9vz35/dGx4UHqntMjilxcYJwPm7Ncb97cNf
0OULEcrhe1VjOoRVSBm9ZC6QyFd0a+HzgLyaMTxQiLpGUtKnRrN57fsnQK4e25ptyzJbSUDODoVi
XFAPRCUNvhu64dVTmODbSpEhYgpsLQrsL8x9qd2dFWDC82fSPXerk1dLazoXOP/92amQepKg94bA
/nuXFhHegBW9Wjj2ANN88wQUkOKu6sApMglM7ysArQDkSDsEeahZn+4+drT2A/UQ9TsfjXSKlyYG
OlSDZQEo5GHy0FhyuP35hTsIDE040vA4gG+htlwgrCyntDfSWLaVFfHeD5tMHpj4o1lgrePO9Pm2
vKUjmcsE8/wgoE/UskRjyE6iJymLB/8RDF3m8R2fB5zKPMwHS+kpBh9VZyJt3max5/2VPQ2DlZ+/
dOD47n+/r2QtOjIyf0xYFgOdfozckW1IIrajIdboA9cEKR5UXQGBpimxEFQe+yIqi6gTK1HNAjA/
JgSRxgPrKubtr8qd5uT6xOsAE1TLdNd57ANoyA9cWpvSNz8UlVeEqLdtMG3YhOCRjDMjQKp3BAzI
7TN7S7WqduHsd6hRD01Tbk0iSWPb07pTZ+VOvWWW+RIECfD5CyffoqrBHm0JJ9zvne9F6vaPE2DD
Q9aO5h+9WQNuXzJU5z9I0aJmZoXzamwMHq8dZh3DvvgMvoA0jc0ZLg+zBMO0EvktzBHM45qoyRsg
1kNX0nxRz2xVDW+y8lxcjAAnD/ycn+hfCj2j+SQBFxLaTHR7b6hZZPhNCj62gIVmTUBYzLkIm7aU
G71jzYaknGwQMdsbSknxiMpVuwvsu6fAMO+AQjVAmFDlAXq1YpPSwSblhAGqOKHjl6K0P4FNYeU5
utL/SxFqXEcRizvchV1ysg9B9VVzo4L8vq13V6ZPEaGcMkmalg61ngLJAlB13R+e8Y0H+B3yndje
io4vLsdHJQmTwOh5VJ8+D+OUid53aVwbmOesHszxnz755x3rOZOhvHYMXX+OVfM07qW2KUfgxw6/
6paFnXiU1loX1+xtXN1ZZGDm1nH/usrXUwqkFIDax7U/vDjF8BFsiKfUyTdBwFaSk1d7588343+i
lHUZInVzradZ3HgWHN7XDE2XSb5iDJfepbkOhLYPdFyhL/Xy+nnjpKdDNyWnrjIjpzjU1ZqvsCZh
3tGzC64l0knAJpOcBI/FuKX+19vHv/Z9xYD0bU6zwsX39b8l3ThixVFY+7wSuI26C8DqFp+vEpRk
IputhNNLCnV+AIpNcTuq66VvJKfBfeyKEXSgSZTTl8Jeg0a6uvZQJ+CkIGGPvmTUseaFnp1DlVBW
mn6SnJzkSQuOg0E3PjdAyw0g/jUIo0VZ0CjMLiGVj+bhS1nEkjpqHLaGRWVPQYZZMPbC+hHMN8bW
vJ/raR5jR8lsbgUGq4Cyg6wp9ACvpXYCKN+W0XLL7ORbVmt/hrTZ39a1xcNCQA2U/wBgFmqSl4iG
V+BeQ+2jI5GVfjC7cWumHwoMPv87QcqlGRwAF1sTBJnFA8GwfNEfa6cHT8fK87tkYwJ0NWM+Ak21
V4kCZveDHQgUDiYtO7KSPoEx9tCN6UrZf6E5H73NZ3IUhRg4otQk4HNRLfic5eR1ICAe4mawtcrp
SSNmVIMorO6sXa/r+94qv9/ezyWFxLl5YC7E6V3hNqSOVlSoZiEEy0VYsSHUWB4O2pcC6d/q021Z
b8ld9Y04F6YstnZlX5ujm5zSClRqhW2n8Oa8P4z6/MFKBNk3rHcjqyF6pFkGRhMrAPgdgnY2X9Co
0BQ9CO3RRrX1RrP+QzLvm2aUj37iwimbug+Ja5ZhMBbmB8dAEwV4suiuLzQnFDpwEmoMkUUaXMXQ
mfpgU8KFBPNLlX508zw5sq4NHsuxcqOgBN4ePJ0gqvIuObR6wuH32slzVlHgQ41G8Bik5SvLZfs4
oYFuAzAduh+k7Ue5zIdjU9n18+iKbptUvRn5pZs8tXnxj+RkxwnnZegMZRvp1BXPWt+xqM1HLwSu
SRKOVdcfTY5CGMYH7FGGZfFIp0BEWTBaUZ2gMp26NN3WdloeckG+j1qfbcCxiR/sTr/gLbdhSUbt
lAALdzdNdhCKbsj29lRiPNuSwz8O8YfN7WO9UqHZbcIUkYtqCELStyGJM/tpicqs2q6A2xQ0v4F8
0G8bPr54mvE0NW1EKr7y/F89PIo8xay5ukwmIydp7JFsa/tZRIb3OILzMDg8WfTuq2QfJqOayzIN
KU/32xjoUV8+OmiKnthHgGnd3rwlwxnAxwBuGpIsV+hpDTiHKNV8OAEitKeXXSTMn7clXFmyebuQ
TkNSAgA9V30tVgKd5j10wtfiQfwENGPJVy724omciVBeUM1Hk0lnTNqpKKJ6Cll+r6uhLEHxxewR
xVvi4PuAXn6s49v7s/jjUR6YRy/nQEhRp56CaswKEu2kk4yHU+E9aX67skHG1TErOjvfobM7MiWd
iTooRUQrwTQFhvBqh6pf8uBzG1WqdEBl1wcjKQrULKpLOu4q3Wz3YPykkWMw8ltnvbGxSBlsnSnP
x1BrgrVhpkU9mcdOEfhjI9REjIkZFd8DenoM5rVNav4cSnPX6MnK+70kBSQ6wKaYARyv4FrBeuYD
iQoOkG9o+1QeHaBSWd6KN7ImxFJ2OyWZPZ8retHSCCCrvzoiX3WZHW9rzpoYVe2JmJjezFlx/8uY
x/X0XK71LyyLCEBpMJNcXKEpC4Q6gIxAOUEwQaNR4wdDChqChH3lXJZuAcg5dWTF59kS1YGzLbTf
eDaaS9y9dL5WxooRWtJ/w0VqCTOOBpAiFf1ngwZkGg6LKsbg2QqMQ0qsBzJmG32wo3ecCpo0YfTA
Wn6V2odNB4xQ4uI+Gz/c7E/iHbK7wZRxm4E2rIPsGUmyq4mxDHXyPjNb3OZ8n5CNbW5Ttn3HKpCL
NjCWhtE6FUShaQxbAqtIO3WMZscR1F17V8hkX3XNWqQ7B2oXXhn8T8B3wt7gkUASSbkthQ8Kur7G
pL7Bx095UDohr9PvU0U+IeXyt50QpUjfWMOnW5SKxC96nOfGXTU4qTCvCmK63jgxnm1TfU8rGTrN
V5psm+lxAtbu7f1ccFJATeWjmAFQBWiHooCOn6SaqAP9lNT/pBWQFUgSDhgLtbzHBnCLt4XNT8bV
jgKZYu54nq+U8qQk+gjGOFqBLaoakkfPQkw0ElHsWgOoVrZGAZnsOVu7dEloU2+N5m3BZqACPUeX
2Nfrqj5QcdshT6lxEkYf6eb3tv2YZNrKEq+r0dAaxAxw+5DwuYYySinLAtIZxsk3X7LJDPnwYNZ6
mIod9TZpsoUTEOS/bu/rm9YrG4teKIwwzaUPF2PZl4a9TxChFEXjnOw6b7YgZwSWuaVlW9L0+qHU
O2vDS+NLPpWtCL126vai76tomvrur9/6cuOS2ngOWNaGAfN4mOtuvzfbrP0hrK7/VLXtFFrNmD8N
DSbI8EqZH81mqnZGCs9AH0soaiPJSzu6P+TYlAfpSTPSdS52iC3KyAPoSbGpC1Jv3VbPdtqUy23X
YH4yBHpIGkmYklMyae4n3oIsujHYWiPUwtGjx8FGEhYwFajVKgXUrJfMJ5hSO/Ve+cQNa2fkxbM7
Zbvb57BgzS+OYf77M28m7S096+zeOYGaddMZuwyM2sAcQ8R0W87ScmBj8QdQIjNez6WcgttBLVvD
Pzn+oTYeazhN71gK2jX/J2I2U2dLYQgAyqKGCM0ILZTP5UM2HrU/t9exsF/oEUPWBwiJc0FYsbB0
YjnYoYV/8vNPtnGgTVTn0MA1er8Fs3MhRvFH+iabuF5ATOGUG0S4hvU3GzayOTE2hmXzA1Bgt9d1
XTACb/L5wpT7WJiaVnd175+SIoim3o88ir67hGz7oA6T8tEcdxbyCqbxS5Zb7t7vf2HyHH98xJ1o
tVDUQzZeykyt8E8NcR5l4z4mpPs8+Gs9kkumDlcKMHRzkfJ6uiRrRzv3NEzi5E0dBRKYbV2oZXiu
tDp0s1czf6hsJ1yl61zS/nOx5qVqlmDzbfOh9U9e/Vm0e5pFwdp84ZoIRTEJBhoJnxrMzaT1b2vM
fwlJtrJcK3Ys6f/5ShTFBHlq7RkpNtCS3+ri0MwJDn0/WNvb6ri0GswIoACFXgIAICjPrkcwwsFG
0zsBDCNk5kdBPhf+Gr7X0losVMd1jAKDIF29yzpeCy+T6FeyhbWtxiCyJjNi5WtHVlZjL0oC8Agw
HeGzAnfq8vyd2uIV1VNMPYAaciep70VsmsQXqwwwleaS9rtnE22XGPoY9pIMOz2vsoc2d5ojyCSz
NMQCAEKhadbDQKrmWKWMRdzy6JY5Wf5A26J6cAmKmYNmm9EEoOkfjlvLyG2YHqJfbthw2bk72vgO
+AL0oUoBYknbj72Y3L+0qJtH6RT+DqWkfNcxG/kYD4h5HU/8D3nmimgMAKFIa08+GxMlxzGgeAI7
Tp77EV25GFaoQ9a52hNt+RpSz5ImeLiu2DTowhWkO9Vp5wC2BSl9TDxpfwXHZOVK5nZNhKLTmdYJ
r9TnVpLgyTI+Fv3H2l+pgMyfULwdDIEDnAdVVRSB1aDJpgT9Hw1JTkQ2P6kG1knfIyuplaXMhA1Y
eoB1odiMsXal6AlEg26q3AAJKH8yQCQC/pRDBIq2DDgJ9KC19UNXOMea0P3/kXZlvXHjzPYXCdBO
8VVSL95i2XEWz4swSRztohZq/fX3KMCddLOJJuxvMJOXDFRNskgWq06dExvoeFzojavx3UDib2Vp
H65vYOmAkXf7kxy41A6aaksfLVYifZkaIDjIy299rwI5y9Zt4ySDsgrK6oYpnKoa79rErk0gqp2N
iapp9+1gz/6qGYrgRfLA+cMb9P/bV4gs7LXTVk3DQdFOX0B/bvf3nQtN3/62WZ+man995qRnBegM
cfCBPhEJ+/OzghXz5CKEdR/HHKow1bFi/2KT+ZPxfN2ObIUQjW0tKNhVF0kiQGy6PO9t93F1WJAa
/9D3a20jpNhA9Rv+CI3EYoWscoY8X4bEe0yDDgLIVPkSlDmADZUlyERDjRCtyudTVcUDKoksRdQA
FEUR5sVR9z6wGqcmttU6CSotCm1tezPRG08F1C71IM7vk+/vXwoIw8GHQe50mbFxynyx11wHHNh5
1uIo373/8+jl3Oqi+Pci9p7MDNfs2MN9QRPpFmh9VyH1t/tLPN6Q1QJoZKNMuUh9jx0nOeqx8SOU
qIJmHH8hxLthvedbKV5MXcMVq6KyJ2xIPlY6REJR0tPK4ZPV2Yc6GY6JidJNTG8Z54oK4iWKCZ58
Oj4hHOlimlhat8SPMW86kJEYxlOckjebafWhXzq6z7qy82MjYaFOut+jVr+Cpz05rmRxHpmVzl+u
r6hpyk6J0+eheNbbupH8wTTQ0cru2iZ396aXlYdyir8hzbjudVSJcq2zHmZLa/frYsU3fBib3Ro7
7r5O+27nOW0frsbY+kNT4MlkOz8tFMIO5dImt/VKhpDHKMJpZlzt0Htg79KsMtAgT0eklToNthqX
vjoTI5C1olWY9gxVNARch5Lo2a5Zhs7veNmFrQkW3rI1ILFYojJX03G8K7M5u6GczszvPAB3SQyB
CSA1umDMFmdfN6y+5YlF93a2Lvu5nUu0tTu1r81o9uvRBn8oGNw4yfvpqKc58VGYWb94C0FkM07F
ASLyzjE3jDhwdZTkpp7rzzZB4nVFRh4UUT5p9OWTHifQUXDWLxX+r0/9SOvdStb10Ff2K3HLH31h
4ytt3R+TMr+39eqA44YchnnVb/u1bW6naS4Dq51qf24s6MGsyXifLbkGGpFyCUqwwPjekCzPELVL
/aZMuqBr8jh0yYq/QHZ1B0HlIYQEKfvi1GkXDgbTw8Fl5QH9B3YAke85AD6df0Lvm3uA6Ju7GzxQ
x4NAcg6zDnBkd2xeaOFNhr/iitzhkV2ZwcQHNwAIClXRvkGiOcmSB1I0Wdhm8+rPwLz7pbW+tQtZ
cTQb+m5iZguce8f9ukB8CXzF8Gmsmb6z56UMFystd2Zlj3f9lBnoyBpG/Mj4n6FzzS9xPhq3tCMT
BRuAsX5tAagtdrVmAS0NWRzKi9o3EIHvIWLzuxrH2QdjZvU7GbR/zamrH9YS8S2ndfY8LBqY4odp
CgDhIAGzuR4AOVt89+g+NW6n+PNcezTSQCN4qE0DNCTlyoCD41aYJC0wwFCU4SEbVue+qLPqoUr1
NRiHhvpL3/DQrKvmS2qSNlq9Es4IV6pvQCOc+fo063jjZohiDaB9idaZKMKOxNjrmQ6UZFe82iX/
Tbqu+uQNgxUgN27+ttvE29tVkhzQ7DzdV+jACzXLLPazzZqw5PXig5yvfyxbgFU1M2n2dduPtxnU
2qG2tvb1zu0HLSQ4L+96Z3JvUbfBQOcqC0u9fJu6eDiMU5o9aXmWBdBeTr70jW72vrVoADIlyajf
EFYsh6rpWt9KjPTWyDV6NHXuBGRNU6jRGN6B9cYcMmMad23T2cDd9HGw1lN6k1l9cxjX3+NgBin8
tkelJ7TA7+BfP6xkhzUKHs6mPadfskXp00gml7H4kblsU1kdWr+v0z3+598s5vdup1KVk52NG/pn
o9pBVkF8bc3JYHUJmNMf25kerRZYVzb3R9bFOBVMFcJVFkbhuNlAQNiwFzTUbLE8hhbx+DFNQtSX
GxVCTvp9ZLkdB8whYM4Trp6hy806z4Cdqmxor3bGUw/hCsUKSeKojewBrytk5i41kEldeB3tM/ex
KA86SM/ynTa9P8FzZkKIowAqKjRngYmB7b3a9E2oINbvxrEhMUfwAMJ1ib5EXI/nwVqJS8SwUmgt
U9BT3Xa5IgyQLAUWeANgbQ0OcOXzz48mnkxL4UDK2Qvc0H03iBC/HhVMAL3QngPwtvic0Y21qbw1
j7Kq9yeCxPbycn0nygaAXDJAkCjgYQzC/FSGlrrpAhnnPgm6FJ3z+//t+0I8PhsN74mL75Nvub2f
NYUPSQ4SdBM56DMBrT+Qd0KKq0k6ZMwzKIo0Dr3N6Fe0G+brHHCCCgH/+YGhnNgSpgqXnVPTtc+i
eb/Yn3Vd8fiSDgWZJ0jr4vVyUaOdPc3z3IXl0ViSJ2Ce8KedsT0C9LBuFKuisiW4bVZbbjMhfoks
tP0Ec5J/X0cdqGjuloFZ1I4PEvFv12dPcqAQhMzIsG7P8ovCraYvicWXPI/SGuRU8f2Ssdssfr1u
RObN25MDfOE4tuAU59sxJtaijzPNI5t+ciq/VOEGt3kRHjUgmQScFFcXUDdiOsWkmZUj0s/BFE/8
GQEW138a8bSL6fsr6meGhI3vjZnnlQ02vmX88rzvNXS84+7FUbHFS/zgzIywfUAFbNRZreN8Wf9h
QK01PfErkJQ5yVNv/nt9bSQOcGZL2D6aB+L7wjDzaGgiKz6MTZRNhw+YANz+D/x2Q3eeL7+dptw2
Gyx/kX3n9i5fdq6ucGOpB6CSji5nHXz0Youps1RunULFIhqLcgE3R5WnL5B5TJ/bPoMcrtXoikyk
xKU3fUxcxX/UcMXOCLKSuDPXPo86e7f6k737wJSdfF54NOoD1CL0uMujyYzROpJ/yj39xrR0RbJT
Pm1/RyH4c5yOPZ8Snkf96nvxP022T5t9HCuSJiorgjtnCwJbGrd5tGq3TnOj2S+shwsE/9uUCY5s
2Fh/TrEiGYigmxYIRfu+p/vrRmTFN6w7gmQ0bOHQFHXqWA84rW7jqFkao8RjAUoiZoZiFFi4loeB
oZppeWEB/ovKroJ8qPTQxsEXVknBFOOVe+DfXyK4CISgtYSl+CUkDq1lp+mKoaq+L/gGT1NAJAkO
IRP7NQTh3vWZlJ5xIFzFzYpy5gVJzDQVmplPWK65f6qKB3N4jovIym4gCvWRiTqxJMQ6oFAykAEY
cftob+jHWd9NAQUGvE2X5/9Hsrn/SeKxqzQXDdTYRLQDRVBs20VQ2KrQYHs8XFxxG8Bkk5FHFlVY
7WXUwLAxYrWrEi/9OUi1H+sQ77aeiT4Z/aH61b+7F3kbFy5VcBGhhxM36/m4GjN1EqSai6gcfct5
qu33Y0A3iIGzQUtAAS4yIUJPPK3XghaRfWiHx7VQUMvJTh3AZNBNDfmYS4hp06ctnRMTAtXOvzYL
pj019278ct2LL1sJMEnAxODV56FoeFGZLIspNtsFVrae9u7znIduflcm6AMMNaAbJr76ixZwS6X2
KtudCHTQW4u25MuaAOiSDaeYVtgFAv9l6hQBvOzz4CsF/erWnHpBuhyXNQQRu6mMAE2d832W/bg+
b5Lvb1AmbP3tAIPe57lvLYnDV8/Ksigenu3XtlVgJFSfF3YLwLr1lFN8Pm0gw5eF6TyE1wcgCZtO
ByCGnKyquTGV4DJwY/u27/TP84RSodOpTnmpHctDcA5sGbqXhMPFBBd/X9tVFul9F/beG0fW8gN4
V4Bd/9rYjuqTA6zKR1KvJV5rfO58e4QYZtagGvn+NzlqCYDngckbopuiilnTudmEGD2L2hYBk/ai
s+P1JZFseLzLtwDQ2QyJVG0JSe2kjC3whDorwHC/C97ube2uQ7PH+w1h54FyDhBOHDHCfOUOb9kA
/cWoSh5T67c2/OYzCexFVauRDejUjhA3mx0BGGHFgCzjR13esuxnN4aEq5rcZZtlA03iYYYH4MVj
XR+6pLJX5AImcwljmoLLVZV6k47EBDgSvYXgihfri6tRdrpbLGkE6ozEd/Xm6OX1F4toR61RcaLK
dgxEAf6zZZ17s7m0WdHhtYRry6Q+bZMYBXQtDk0nXnfXHUEWDYIjeOO/RQbTvShramWecCcdwWiC
qI8iVQqyizev127NmoVOmv42e3034/j2Y0J3Y6y/FXaseIlIx3vyG4QTooakNSiLMd7RGN2gq70d
yKCfaG6pssNSPzkxJLj92q+5FzMdR57n3iPU1gOr9zTFlEqNIBmxFYqBSRAJYeu+rPjK7TSCWCfU
XVTyRarPb39/ctQRd5mTJHbhiF5oIK/2gWsNXFsAdYBYA4Qegu+hxyKL+wR8EaNGJ/STZffGjB6m
614n3UwnRoQxDBAKMqZpSCO9jSzr39S1DqZZBYb5+bodqWOhFLDVureyj2CHpUvl9JsdSm4WfkDx
waco3103sn1EiGuRVUP8ZwA4DcCfYIRkHuRy2wJ3j/Ub4KdEV0SBskHgXbzxtuCtfqGdOUHHtC9z
Dwte71gZUraD/usHhnBiQlj0tK7WkpcwQdtdkoQkvP55+QgQ9G9hHm41YdvloCVtkgWp8sYFASw0
MBa+q5jiiS55XlDA9/4zIlw1TC+hFugiDYjXmNNHenarafdacyzKf4f2Bx8V8ZlqTNvPOdmGvGj7
JE9gjukvcZqBYePgqAjlpZ71d0hi0rFmc1XoAM5Ak/emIAdNsSyKGROjjUpbawh0Y1lmB6V2bT4u
2Xxs9WHnlcNDb1fP3WTvUVAOrnvDthAX++VkVMKrvGnRlNLPBcxq/yTW4OdxRM0or6fD3Lc+Wi2u
m1Ms1B8d9ZOFotMyuHqFSUwW7cC0NQUHihkjph4U0aHKkHAOTEM84/6EIZf9itMnFxIDtUptXnZw
nji52G5FEtPoOiNFzi7ZZdmxbR5o67cqHJLU7xBMbRge+7ITJE+yzCUzCgYapB7iIg/5B5onN+2V
/ywIN76hWaiPA6YaEdb40yv67T5yKJ8YEI4cd+kKz9PgZLx4rI+jivpbutYb+SVUFnCviAIrHamR
cnQ1BJy27WfzU7t8q2NFv/L2Ey/2yYmN7TecOG5SVhWfPYgGGJQF9fi2Oi/9sNdXvM1/X98iKkvC
alikTyaHJcg7Tju+dn6D1nfTGIMcQIY+XffXrcm96+/cCUtDc+5aSY+508jRhThNpjhftl97bd6E
iwD9EU5paB6qacZ9Hv/w8q8MnOxj8fP6MP5Q7VzaAe//1o6K/IlwjmVevizrtt/nBB33fBzZQ2cB
29TNpAlMdP/vQAtggzUHyJYJQmjB6OrWP+YAIRCuse+mPlmADwEPaba581TV1XgDcpS3OcGzDLps
6AuinByAbSU7Y3SawNPyZVsOw8+Ldkp8L4NS6ep2BRqnPWvXU7AxeOjd8ke7X/duFTtHBmJURTQi
Wz0UwkDWBYAAHsFCqFA3Wu5UC1JqUM5Byr3oFG8B2eqdfl84RUuQCsaWg+/39DPAS3r6W9d/uoVi
b6lGIewttAd5EGupi2jqH5d7hysGIbviTgchbKhkKPIKBVAMgt9PIPht87cS/LXJcIc3Y6OpDjvV
nAk7SluakZgc5uYhAKk0i5+d5aC8FVRWhH0F+YvFiHlRRI7d+3n/mtqev7IDKb5e31iqtREiK5cM
aZf1GI3X/O5AjD6pODYvdXrAHX+yPCJPXK1v4CRWFlFB6JGPdwW90+IbLf7Csl+5Pgdj/cy7nxa9
GYy9ZWi3o4qCUzGVf1KyJ0e7QbKVlzl+QNwEyxwm6TFZ0S14c30iZVYAhQYXFZ4PBsSZzy+Qdhgg
Nr7OKH9UNJpSdscy02+1NcgL+98PmILSxpazBXupCCdJ2qR1yEizaK3QwYFmGn6fuetwsId6ijxQ
9SvOeOn9e2JPGFrpZGiHLWHPGSY/BpH27KfDu9WB4CYA90C1D32Rl2iognE719EYGXnpCtHZRZt8
u1YV/mXebiKdiIQfeDwgEX6+SHOJJDVwPllktz9yyK3W44/rSyOdqhMDwrYF/QZz887EnZKQ48bL
WlD3s5Mmu+tm5ONAEha0uFsNW1iRrCw70Bwh4MrRUAQQpIpQWvX97e9PtkyXrTZbYty2xVfIWBIV
P5T087jGQV+5yX2Kxak+JTwD3z+KosU3mx/wQP3A9Jx8XwgWZlTbC66hul+sQTI+YRz/2/eF6Tfn
vnG9FAVqbwpptVMlnaRHCVjxN64zdE2K+eLVGQkDUxcKhOsv01mCuQbS3v1Wr7pinqTeilQH0ik2
9p2+/ZCTZaa9lTTYlXgYGK5fAbANtHjgTFN4fbpk4wGKHLQFgNoDiCjcMc0wT3FRTQCnEW+D2lTg
hlqdcOhNxTvEkA3IAm+bDgQcKoWi2riVN42ZzDipunQ8pHH9ovVo6x+1vAKEH/hoBgGnIh3DOj1M
5RoOdPHbijwU8XwAleeBfIByE0mqjWGcApqHc+F8gpME8KzaQyl5mY6vfDpen1fZNjr9uuDmVt12
4xjjyuHfrSW0VOwBssk8/bzg5faiNV1SLAAvpfu6D5cakhOv10cg8wzUwR1gU4H0ArPS+fys3lJN
U4tXFy1sv3khd0MVzJ2qLiILEDcVCAf5KnTdi6d+wfSZc4L9FCeFPzifONhGiuPEnhtKgTRXYW6l
y3JiTrgDOrebF7A65pGRfUEKzuDP1ydtmxTxKQQAHhg5XICgL+rgNHXdIou9JFp169EapiVMY9SS
emu6bbgdUgCzknh4HUaVv8lermAOxMGETYws7+YwJ8fFpOlaTg1QeuJ23VfTHFrM3M8mOZom/9xN
dHd9nCpzwum0mtXsNTXMpWiSa6Z5X7haCPArVMyXRzAofOCUAsUXes5ANw8U6rasJ6Mrxgak0GsG
jmszf22tAt2oBWCbmu8MKrFF2c4CWtcmmEtYE2lVMq2bHD72aVS44dgeQEyHboHrk6cwIUbdekNt
l5ONibp+NdjXPvk501/XTWwTIvrhBmLYdE/QmCoetrxwKocmKAMv7V3Rf09VgnKyIeDZiyT2RoiG
2un5gsxZWiWekxVR3SJDYs93tvHceKpWU9koTp4nouAbvAx5cm97aMU/6uT7rHp9SL/v4R5HiylB
p5WAXEhLYmqTyYBVcg42oP431xdBtklA5vnf54Ubpupp15roFYnQTJo7++KtK3axcchSxUl9OQxg
10Cyi16PjahObNtPF1pW4wo8EQJ130bieFTc3ZdXATgiALqFgCDoPBHanq828hAzST1eRiAI8Kfs
OxgKO/12LlXvjEuvMnQTZH4wBAzWxZXDlhzlTwIgTNO8jstzZ92ajiIhITNh22ht34BQSOluc3ly
ktjAFU56N2ZRrXE0L0PsVJFlly3GqYHtB5wYmOyltlgNA6ziPrDeXFkUl1jAKwzsPegncADoEVYj
N7yRr2lVRXdL86WbXq47rWSCgIZEIQpwf4SeIm8WUt4TbTUNa132SM/V4L8sfVqrCtCX9z4cCqxs
Lt56oLASK2Fu0rpr4aQlQL5PVbxDF9hTmT3NuP2r/tbm734UnFsTrn2tdjun82CtODqfMhVtjGRB
LOh8bLh7dKAhDXm+5LNJq7lNsibScs+fnz0+KfafyoDw89FaiV4uDgNeHgI6NA+762su2d9nAxBC
vVqbib42+H7dfJ+d26kK+HybO5/fbwXyUZD1QWcWOvuFnZHlM28py9sI+czmOFo3XXIsmuN1I7Kp
QiyPwxB/4IYS1qLpjNigGWki52dLv9rml+ufl+wO/Py/nxdWYpgync2G20RNOQasD6oh9OI1+IAR
F1c3NFDQMiTGB4Roa9bYeROR4bZLqT+gjT9bFIlf6UjAWmfqW6EYYdW50zKSZVrKTBaRbpmPRVaO
r3aWD1/sqaXh9fHI1gTEhSaU03W07IncClXTOk6eFU3EirvI1N5dbQRq5+TrwkAqdy1dp8DXuXPb
ZY1v6Y3fTe8G18MIYHXQZUZvCmjOz2erMKC9WDVYEpbM6HK7WZaIoXVWpRoqmSngJjBHOH3RXyOK
+znaEhMCsp/I1p+aOirevxBnnxcCEg0Xr9aX+HyM/dFEqmNK4lIAZiBhAU4FE6Hn9vcnVx8o2whp
Z4sBMYM24BbgbwdF2pCuBldEVlJLDiCzSMNspoQr0NHzyrHylUXwOb8AR7oxZsEENqnrjrut6nkU
bWxn+n9mtuU6GVCM7PQYWzBTNF/bbkYXF/VN5zHW7zQtsjQeTMvP6xalA4M6kY5OWmQlRHBd29c1
T1YbSz9XPnRjFvaoVYpzWOpkJzaEyYM8nM6qzUbW/QIVfMi9t+uDkFwn2xMbuCnoR6IjVPADT3Pr
ooQQWWQ29+v6rNXDIRvYUZ96xfrIRnJqSNj6pMo9DQVJ0IgGWYEm+lkV+EqWA9JEGxWkC6IQxBDn
DjCSsgERzkb9bL7qZM+tG1sFM5NMloMtj9Ad1fNL4hnQnM8oWY2QbKOf7RwU7e4PTlp/nXbXF0Uy
V2d2hLkCEQSthh52bHfyWfnaqghXL187iKg37TkQLW2aLMLVWCfZAoQZFH2o2WKneEGTmH7fGwHw
k77VvR+4e25OOJFRkoiLugHrdFF865wHGu/69FDb4fVZk1DXbe8EJMI3kAbYdAQP4Ky39dZMIQFj
gNa/C4Cg2RtQteDNl5l8J+gOKOqXuJnf79kwi2ASlw6CcRE6WQBQhZxRk0RglKhe5/x//PzmLCcH
22oOFW1pAcb5og8ycyPJUJzQ22oLR+fZAIQzoHf0gtIODL/oDitDlx207JuegvNkFwfXl0i6Rx20
06B7D4lKEb2PKKbIS1TBHstKfzY0mt6Aj7e/MeoPVF7gCyeWzPNZswgDecWmPeJ1YGUMykYRyUi3
KA4aB2REYFYS30QWSIIHZ0KXRvdTnw9Zo/Bl2UThyYisFsQhL0mXl6ljqV0AtD8n4yvnbFdY9A6e
rwgsZaM4NSOcA7yabL6OW2+AZr6Omf15GT6yOwD+0nFLIngFle35QsTE6buh5lmUsLulO86H6x4l
O8lMiuAbwTGSHWKw1w9WzpjlpFFNNrZhM+xyGubslqXZjWEpbmPpqvw1JnbP2DpraM0IEMBrsYO2
8zeoevjjZL9dH5NsVZCng2q0gWCZiKczWIsMVhKYGfntW64rdrv865gvqBMDCia2f3lJY4HvBEjv
xQ378UF7f4fORq3+9/vC5WXOvMa7C3B1mz9T0h3A6xeAykhxKsqW4tSK8HaEcqPX2jpG4bCXvZZ+
c4nCgMyxwM0O9Vwks9HcItxZmZ6NY8+wNYgJDpgOohhx9cz1+San2i5FHV9hT7YsoB5zkMlBWg2R
0vk+mWraWCTGPkG45n8a8JS87lSy8UDYC18G/Any2sJ49Eov7Qxd2dHMb93xwYPCAproaZj9um5H
tjA4FLdAfLtUxCKRM6ylPZgt7HhV7rtDejS15sFzVETu0vlykOhETgo5ClHISgNvWje3mK/mvhg9
PxtcxYTJDYCsDdxEOLpEEnVGxwq9xjPQGl268yARn6vI+2XhJBIUW3PO9ogQ0QcrwHhk8WacXZ0W
5lPsD/bTMKUhiIkUY5FbQqyHnkwExyJQIOkNr/f4gngPwjik8ke/AIvT7Cqud5UZ89yHV7ssEo/A
TDIBjwRARQvYPOv7gzd/ve5lm7eKIQsUW1H42XjnL0r7DZj2zHnlWwDrc+voTHvbuAeBhzvgxR/E
neK2l7SbIpg4sSfcYiyGCAJYqpJoQaBco/ptdXuQAdV+ti9BcxlmACixD2QYzoyKW9Zt0zwFzDWy
yqApQ00lVC/bqgR6jBt/uosMr3DkGOBttAwGIUtKH7JxCev2LvVUGuEqI5vPnISvo764eQmyg2ht
X0bSQdfphiyqx79sryKNCOQ3OsLR3SrMlEXNeSoIHpfMfeXj82Ifr7ubdBCUoEcPOQYo5wiOPVDL
ZBTqU9FgZY/DvNxsCLER6kLXzUj62pDCgAD1pkuC55krTJa2mK0H/kTYabQeUt3xbdLGe0srotWZ
g2XZUH52wMbBh1BOMMRT6Jbv58I8/w3CzeqamZMzp00jje49/W4ZE8VhJLuJTgcp7KXUdjLaWVuz
1nSXs1fNrvdkdUPo//i2rrAlcwyAnfHYgH8jRBSehMPckGaKCcJ0flyLG3JzfcFkfoG+Sihmgs/u
Eiez3bYecltJVBvV0zS7D5o5PfVoRLluRjoKvARAf6ojyyWyuLYrwnIDSCY0Ci/9vsg18tvsnEz1
0pQdqiBZ3jTD3Q0oLaw8VL9mcMYhlu5shGzMONTNDS1TPwE/cupMocM+D44qzpLdGadGBW/QuFlx
kxtp5G10mnUKTNFrm8ZBqqt8QbZYyHRtA8QxAdTi+UnUV3EN4g6gBSaPPaQaSmaUZUFGh5/vX60T
O1SoVKNXeh2sEf17UAoOk9kIUxXjnfQ6omCLQyrdgPLF5Uppc2z2axrNunvXrM3nuPIe60Hz9TGJ
QIz2Am5VANDcqCiGUMvb3fURSmcSmW8EL9hUQAKdz6TujUusF/G2Zukn1B4jyFcfYs/6yAUFlmWy
QZtQYBGPQ5A+zQDWTVCibhaUuX7P/I00qsSkZDDwanC9AUiykWIIg2F5MtpmV6JjxYRSqaPdrP10
0Ir55vqcSfwcZlxIjSPcA92zsLkSsGJWlok5y2aCYvYMmhw3SLSnZPh13ZB0PCB42DgqIDUvIgzG
Jp0yxsFcYHb5TTJaB244gdm7iiqL5ExC0A0MAHgXN31iYdoqwwaVHagEI807JulBVZqXjuLv50Vx
FzOdc24ueH41GphoF+575OdoGorrQWVFuB5qgOaSrABfRe/0iEyoryEBttSqGEiWmQTjCgimoccE
qIRIk6V14FidkXWN8uEb1cp9O8ZBaTdh7qz+CGZ2o/hsmK1vZ0/XfUFy1Z7ZFeKWhNHJcTgWyUGT
YspScNJ+idlNvYLiNlVdHzKPsDA4EM7B0y9emMs4r1o7Ttojyj3/lFUd9Nn05f3jAWoO3Wv4E03q
wiYauDuZrg1tRIN/74Zup6MRhv4AWDXUSkXLkGS/ErT6bS9m5OGIuF9b0jEATtsETCyI8j1oYsa7
dUD34vqBEvJ2iLpAkoFADb2L56epndjIxTOkMqql3xWrcRwApqGts7s+d3/y0MKb6cyOcNPWLh8a
lliAsi3aQ6w5QdtV+1nvD1n7DF7Ng2WUgR0PwYjmOZSdjr3XBDNTYYu3c+HarxDODZ5DqB0Ewbgd
ueXbnAVVgYr5fFes32g8+YUOYqX1+frQt5FdsSlix/LeqAC5QmBD3B6Zgk+JlwfzwB+Gzjw4bIpc
rkgUSrYCQZQBnlUcjpccSFOdt7xu0JoODwuLpg971QNYYUEc0tDm1mhximAmewAy0nf52wfmDLAG
wNSgIIGXz7lXLoXVTMjyJJFRg585XCAHZoS0eGmnw/QBoBeKAX9tbYM9eSM2E4X2p6UnUbzsEuuO
lJ/tWZHplpyEMIF0KkiVEEyItaHZROkhpQ6eodOdke/L4gFkKPYj+UgR6syQcOSOdpfEgIvgSZCP
vj4M/qJHOX3KyvtaH28rMgRQmAny+Ov15ZL6w8n4hOXSBiOx4628atGntYFGz4/r31fNn7BE0DZn
oJTC97tsR8xj5wYQKxnf6PsZbDcAO/7bIG0opgk3cqt1GgQZK0yfS5Kjt8Rfm9n+ko0296eF2zc5
yPf89w8NTyuIOuNqxtoJJie99hoyI3CmTp188haahCnOyo2Avw3ycaV7OhXs93WjksiD4B6joPoC
Ve9FlNb1ttlDwgxGIdzadD9Q0vwRJ4o7TGoEiSuUEPBWwB/n+6o3IFcGevoEJFY/ONX8fP4CclvF
9Mk8DwywW5MNkm64Ls+NOPXM3X7BsyrOe392Gl/1bpO5Hm77jfjRRXguBk+1R3oNwMY0Yj6Z7zJ6
Z7eo8Hx7fzyL7A5AjpDiAUhFfNMQBow5y2u8afTXvLtN2/d3TyAJ8deAyFyKQ86eVr1C2sP9lZFd
UgVWAe4i3yyD2Qmve5d0TXBoo8CPEYGD5XxNhqLs6cATvOS1W23neYq3jMyv0OOPewV1t8uiGwdR
1VC3nvbYumA7WhqA+0ECej9MsaoHRBaFnVgSK26gKrR4woAc2PqP1v5prHgACWu/dN6POoUwC2TU
0M4ImIj4auKLHrvjgivISyBXCP0X7w5N67UiHpcFIidWxFu7cko6VFu+iHjlq2mNn9jgHE3b+ZwU
3hExb0CLX9c9QbZULopYW/LLw1NN2J2tydtucXEdEX6oUu4nZmDZirmTLRJagpCxtFCNuSAtdFdW
AGAG3IU5rL6hf6oMxHGk9z1jd30wMkOoXqAe80cpWIxJRq2c8pnBUOw0tzFLYj+1tQOIYcOErR8o
yCFc2FIscAqoKwuHZ0LdEWwW6IFjBqQkMKD386Nu5d2/BrbRnkQ9FO3UzqijU3dy9CCBAsX4gWMA
FkCTZgPlDm01IRO1NkmsscRGG18OMQ+99hXOJVkPwBOAItyE+9CXKIwgcVbOvXHDz6dL6XNsUWaS
gCTjW9f/e33pZU9ogDm3FxncGZVr4d1QrXkxxC7ql/EY33sde3PaIUihuYPOrWOSrNHY5be0sXec
jao0geTNcmpbPIXccs7shMH2ijKPNd9XwBdO+h3Xpl3tvLZdFliT4qSQnOAwidT11rezZX7PnaNE
7oUmJVK+bQa9nuUw63lwfUYlJwPo9eEbSPdjTsXN1NcTnWncoe2IOJAvTHx7csKSquq0UjNoEtmk
qBHtiLlr1CLnTC9WpNcs99YYjMDz4mNqU0V8L5svVE2Q6d+UqCEffz5fAIa4TNuEFSxy7BNI3Cii
HMnJjbsO2Os/Ca+L51DVjk0Pr0QhpqgCpz3E4xHcb6Pr+QxkQJVDFKsjCXo8JCORF8A7El2dwta1
qrbX+9oq8ExmwZIXqKSDT8c8kjQ5dmR33RWkmws9Klt7LcqBoIU5nz3G467NaVtEOkt8DcqZaUn9
dDRwLE2+CdUfOkD68a1yVM+yP527wtN8w2tuSRaKWq64rZEMJWlvgtMEGDdyB7BV6addZ9/xcp5B
WKlXoWs1HspgjAUx8pqQ1BoKf3Sm5dZzK5AJuvV9nHV55/OU5M8gcejRuenSXcu8t5Qsze0w2fOu
QfyqCBhljr1BzDcGPZyyYsRQm97geH1T4NYrXpi9AENl45pgKgCVLG+DxrT/DIlBg1uwZgFzWxG1
Lp19pmc3fZvdE7xg2WPfjEdkYu+7qQ5n6INBX22vOeVND9HR6z4i22BAbyEZv9EFok/u3EXcuk1G
UCxVaMHmhynVjukHCo8QXvlrwTy3QOZmWAcCCyXze/1uUAluyhYMERDCSQ//4FV0/n2ra60S262K
hmq97coXD73tifnzA9OE54MNNDuIAESus8Ywi8ry4ipyxo22JCxV+BrZQQQNpf8MCHdu9n+kfVlz
pDiw9S8iQuzwCtTmrct2t9vuF6JXNgEChAD9+u/guXemSsVXhPvGdMQ8OIIsbalU5slzGstMWQED
QL9se9pvhglyYDgtf1AvuhlaUgZTqaXR9WEtVaaRXUDz5awzi+Kg4o9GYJ8bL/cppD7q0Mz9MHHA
IVb8trMq4O5NHm988clx6NZtfmWAGF03v7R0p9aVzddTUdl27KLRjd3Frb8pzWTrdWsgj9nLqb4I
ykKQ4MJzE4y88684CciAt/SgLZCUyKF0AUhg9pDcPsRpA9IDahwG5AWKueJueTfSEF+rybj1xvy+
7pPf10e7FFZ53ozNnhtS4RrPfwc3tbQviwobtQFpkeW3bKMlnG3Ab9cHaWLWK0d7YXbBpj7LdwCy
hftN8f5aVZq88+sK5eUqBGYwzNwnXXz+8KDg3pHxAKsE/q/2B/ukKsdpxAXa5QA6AR8YcAfy6T0i
U8giX7e14KvObCkDksVol3HsFUe93Fp+UBjh9e8vnEEMA5QBc24X+rBKLGr2aPCzR7Qo5uZTptub
mN1x+qeh9335DbrQK9b0hfDz1JwaC8R9C3B2DHOe8aiDWLs56CDoTem9TfqgGO+zCVIl35mHXOP0
zJOnaRyjCir0w3cR/6mcreb/uT7+xfn9b/xqks7sTSnQYkyPo9jKR10crn9+ZXrffdHpOTShPthq
BQU/ghb68pF7UId8FPVTEr9Q8u26sQWuE0SMJ4NRNotb6Z1w/AzWwL4+ydc2uWXTN6L9Zt5tF/NA
i29p3QUxN8I6/0T5AWWhoLJW4v2lM3j6K+YpPxlzoyN8wdVOj1r33LOAJoFc4wFYcCsY6JwScuZS
tztP+4mJyXWgqN5h1Qq739hS29qE7gvf+ATU4P76pC6P5j9TygHpIbdpkxKmCL0t8y6coC+yxnmy
ECEj2QB4JupmKHSryU1A11hW2fDWzIOyqvPNH7xouqNhl7xdH8zSbkccjg9aaPRDC9v5vBWjiwvN
w9VH8y2DUOfm+ueXluX080rYk1qct4aJcTT5PqMR8cBiC7DD7rqVpRUBTAnXN5m7vdTKKTaFz01u
FEeWRoQehnbffJxKFtmfExPK/qJ+J1ldw0SdWRFN7us5lv8LyWxYQWMEkOvoxCJq1x1pnMkadBcP
hiBz7xL6F1fHjOXCzYvHEFI/54uteXmP9tcJwTbrg/EB3BwrD8nFhcCbAZhLvCIvGi+tvsvthgx4
NiQlBItISMWd5ax4k6VwDTEi2iHx7EYFUm3jJbohpirBLDHm3fV6dqgJMN+2DBmU2pBHA32nBpX2
BLScTfXcOlVo+PEKu8LSxgYtAbSKQNfm4PycT2VjDTUbhpJC4q4nW4i12hsIxpX7ooQiK3dE9Xx9
iy/aQ9QNACieJ6AIObcnLL+yWkbLY4YZnZCZ2Yn0FYWq61b0pdsJAId/zcw/48SNzu0hpj+C0gFM
nDcldI29pHygRbqpLPc2Bb0kSYuoQnoodeWNyYyDqCBBYInvNs/fuEEf+oxtmOncO433eeW3za5I
iWDRMYQucTTAgdRQzfbOKTKDTDE9Iuv702k4R+SKjtsekpA3SQGuEVFYRdCQCRKmen7ndM0OHOdi
ZfctLsTJr1DuMp3E0oCGMxzmBD34F0nqQALO2llf/mq42N5zAy5WXTmsKa5nZjY2PZpTfq9BaZxQ
fWemuLTzikHoO31wRuupdadPRVl9caa1QGV5oP/aV5F+NJ3AGZPAvj8+m+NTYgakhWDkyo5b8hgo
rOGWc+ezpLrurC6bhltFhVE2ockfKvRRk2x7fS7XjCjOu7MgD01oVh2F/aPie038lMaKa126sGdC
StSJAae5qLM23eS7SeKURwNlftLcTZofEmfca/SmaZ2V8SxBJAFh/c+acq2CFmq0msotj276DaUd
tGmlIZLkgTDR5Z6nYdKCMrq8sax7NPWurNiSizi1bZ67CNZYjJQGbOe9HZTWs/DTEGyZgYPD1+Vf
UJtbuVSWEnhno1WOnIscAElbrzzGOtS1OzAQkmd9rDZ9/+jNrenNRreg/tOnK9O8tG1sx/BnSiOC
tmglpyLaOnGp5MjZoJnEM28m+l3v1yDCSxsHCX/sGWRuZqaQ8+kcmNuxKYHHbWT7LG3/tqz0G04c
VLNG95DFqxiOJTd6anAe9YmL78DEXQ8gez/27TZrArBfSjPqvF02s1YHwnikzp7/BQ4VBwMS08C5
AqiustFOoHvQJw8YQZeWoUG/a9lzscZyNc+Uej/M4cBcUkWvv1rkNh3ZD+BIAJBcC4tdbWyuO5HF
zwPPMF+BunHRZuRTK+kMBy1TNRiQS3bfdPvrBpa224w6fU9/oaCg7ATqcJ/LDHhNYT+J+qB1T3G+
ErUsjeHd04IBT0cSZvb5J2vPaz7mnglhFKO6LcVXN1vJMi35BgRD8331Lmc5772T78djZtSpwBAq
ECjXnh2xXntEEgidHPJotmJTyvLp+qy9t6eoy35qU/GFOQXTdpMBEgwBgC2tihAMQ7ukJqAOLTYF
OEsTZNL7kkbo3trWTbqNnSxC2hnJZrynvOrYUBlm+JvH67uSp3egVzlUNoswmjDl6a/cKjaZ0d9y
UENrZRN5PT/UnX9rxu6hsZwNKWV0fUyLO8GEx3HwekfPj7JMQKBLEJTO7ZLi0Ncbt96VHyfvBSsG
Mrh4GsHrAJV0vlKIknPbyxg6l/sIWSTNWTkti1fUiQG1PGugqywRgB8fHdsLbPMwgbHT5nTraI/U
3XTdI9d+tiBuI97a7C1uwv+GpmYYTYh1oUEC6Opeg3YCBBTdz8l4ZN0xrnlI12gaF4/UiTVl+5Xx
4BgQhIRuGxfPPJ0iURRrz6rFNM7pZCp3rjMCdOmXKJjGTrGvOicQrR0UThtkmXVwwBfYVPIVEIsv
ltFs89J7pDa6qGwzTEfwpQ/Oy/X9uTbm+e8nx1wUqEl5c/3WzcDUz1G7kit3/uIJOJnV+e8nFuox
Fug0waHWuyGY4r3kT+YacH1tnyinzOFaZrg9Vi6vRRhbnyeQ8CX0MBViW9Q/dX8lblqbNCWa6Apu
MzfGgdD6WxPqKnmzkuxbKjfiTONlD66b98r6+aQlOXhQpY9lSQx0wbavcf4ZCQsSP4z6YyUePPtJ
k13QFF8E+1rSJqD1xuri0DJ5QMWupq96/YOP26pZKV/r80xeuOiTH6Y4m2xyy6SZ8MMK50HUeeSh
HSBpj2Q6GN0UMROA/frYGz8k+0Wq76LZpvGfvDtU4u36vv3/nKP/naELoWWwGlR6RuH1qNTDRnMe
RkAIg0yvtjZiH8lJ0IGHKLHaSBv5TkIV0cLPBVHvXo/JDYKYX9d/0OLEQAjNBgAQCAL19SMmyN+x
CU3S3dQHJj+gjWI/QFaws1cu/sXzdGJoPgsn50kOPcQYRzQbWcZ0U6H23VXtbb/Kqb50pIDHRHc8
CNYAAFKO7ZhrcZpS3P+TbYfoGuycIWQ2xBkhYzpkyY7Ga83fi3vr1KRyiuWUJq1s4e1pJ8Ks3/re
txG5bu4/FhkJR4IelCKNxu51zLbohAoNbdw4w0NXI6T31zjrF58qEIWzwUULLNcFUkP3NWirzv1W
lfw6sR1UuoNy2Pfsky2yQLDvFn8dixWE2pJjObWpzIBjpFQXs2Ox/WzPglSm++u7dHFVTwaleK6q
7mJdFhiUPbANWtnCir35jhbIjke69dwnu+v2lp5ECCHBxm2iYHnBvsq7Ph/dCbuoZdlONGM0xDaK
QMO9M7fEFMbK8Jbn719zaqRiGiLvLQM7CDxqDLh5sTKcpbPnggkb5xuIJHCfnJ+9qgBFukvgdAxg
iG2xs9HhnFXb63O2fA5OrCghAvay1ffAThyZQIVlerKc26osdmDXGdvnSjxZ+afYuMtNPXDZZwZ+
3rh7Gvm2LA/Xf8jiZjn5HfNsn3ga8HwYWszxO4S8K1/8PBRdQMxN69057tqY12ZWcTddTwwIJMNW
mn7X6KOwf8F/ZtlrMTGoSr409pFPOyf/5jU74bJgbiqGdu/18S4GulBkwwojoQ5gvzLxkldSq0H8
dDSrR8K/kKkLc77PczsATXLoxxAidK3AcR7ztXO5BJ5B4mBu4gJoBTrOimlPMpmBpA/NVXRoNtzS
vScupm+5zcoAtAG/HaehG5Lq8dZ2eA4wdv4nm4z2uc+qH0PerSVqLpfeQIEdcwE4DxgqVdYSqGEN
XVnNjsieAjN78qS3S0QT1PxRz1+scS2Amx3beVhxbk9Z/rxwZdLVmPnGeKziz+mgQZlou64Ycekg
YMdHuylwXFgrFR2UxoJnbAQSNO9DUDvG3ocdxPn3FQehEZ5P4MrGg8ULk+EJjJhrrASXK6Njo6B1
0YVSBzBwyrvcHUa37OZWydZqN01CjimkajW8j7O22NK2iHqx9i5fkHQ6t6mMCvdj6zN3TvkQ+wEw
t40ojA2t2o1Hpq3GRWSV+aeu7L6PebwndRbhEosYz+6EaUTXz+ja8JVz4njCqIb5jWZNbgCppzCb
1TtbSJLTzeDtCft63d6iXzqZbsUH6pqoNGHgAiMdbmSwGkAI5s/k0u/XzawNS9n/nkgHkvfzi6Ld
V6Yf0f6FcdwtcRMmBGVWeIHrBuc4/fzAnS+pEmnYVcOhM4ebMkuq57ipfpXjeEjjOqgmUE1bzAr7
SmxQNtv/hV2UQIiJHnMElsr29TRzoNDmQGYv7e912qHbjL1BDm9T0uKWaNUhK2Tkir/okvWRfDFM
ZP2gaKFi6moXqFu9Qle74Rf7TNaHBohNDqQUs+2VmV3cMSem5qU+uTXrVK9jK8VhMem0Ebr2pMs+
Enm5AjW79JhYQPQyuTZBf/FFFbEceWY1BGaKigdddmsASFNu2jWM16XDPDej7JNq6g2m+TBjxPx7
oVl/8tpdGcniVjwZyRxDnk6YmcTlIOHRQPB5n5rpncF6GmiTLQCvRFsqbb/KYtrUE4SAr2/GpcHB
MFrb4LUxk8qpS8ApK4YOijd2W4TQnwjiZuU+WLKA6wZJOUCjoWOtuKuB9bkuLMC93erAH1j+f/y8
4p38VsuRNsLntfLblH2P1yBdiz9/pngFCgfPQLU0zgcNP1+ioQD0Aw9Z0uJu/pvKDJAe/5pQhoCu
Rmr2OuD9lhdldliKMF2bpaUNdmriYplrnvV2j3iax7c+uORcJoIY1dZy6kPdKn7jGv2kJW14fXct
nVCI184leBB8glhS2deJTNoqlcj0ZciXSr4xzf7FHyBambOVfXBpClUMBGzonQGgEP+dm6qgHAm6
cgisYQsC9Zp9axAjdrH7WNeeE10f1kKUPJdM8AAyTbAXGypmQ8tK6eezLBBY3kMpfwH8EsgpD7R6
1w1fic5wjJCFc7JNrq3lCBYHCpZOByG6PwvRnA/U7bk0rJhBI8gZ0D0MFHtIBmbuEDu3euCARWnN
4qU7x2gB1YA0G+Cghlo5HAeg5ZmBdEszaF9ARQ5t6wIpuJWkzuK4ZmZ+D6EpOgwUPxEPMm4gVAKK
vQl6xL3dbqhu3dDevzOmNTq/y+OAEZ3YUk6c42jSt1vchYWbQ5FBuy1KIxKTv2VtHGVluSG8eWxL
sdLkuzhE3L3zjoHCrbptZOEwB/wiaI/traitRnQrJ0PgZ/ymaCBFd32TLq0apL8cGyBw1EXUbJyM
R2bXFdiaDPbLn4DhxUl3tZVY5tI7ov6JxNA79Sa56Ewy2lhv0g4pP3uSI9KNDcquzVq8v2TEmJsq
ZgEV7EHldnSNfhosjoCp9p7RZxPY5RrTxdJcnVpQApZhsIvYnRlyJMiYqhrYDUR/WWxuPr4kUNsC
dNsB6/WFmlhixGiG6VHTlfFNox0qJxiHFY+76JpObcx78CSUACVcQlqOqHaq82D0IWzyUrZT5OS7
GFKmg/EY84dp7ALd+nx9cPMcnYfTiCBOBqesEshEdSpNPEtys92w0gpS8pai3ZjJAgVmAdqLtX2x
vGr/TaeyahrXk1bYsMgy+3NftrtG0CgHMd/KSVrIRp0PTbnGUrcDyn+CobLcNclnklehX+9140+a
/mhpETX0drBe0D4aWOZNCSJ4qxeh2R/c9Pn6HC85kJM5VlFMNdTNIJqNQpJL2jQgg/1kVP1N0dJt
3xiH67ZW1tNX7pmsSTwfyArUX/wHfbpD4cUnRRAjG+3IN3et+Xlt3/rG+b7NOpFYtY3nn/Q/Fdlv
YrRoJ8OGZT976FnHFZhnqrmz46c+PF4f6Kpp5ebJIKpjGMM8q01E6q9Aymfs9+AfhYcbPX4z5T30
XgJnoP83d6CCZXQ0ihWphiH7fFOKR6Yfxn5lbPOhu3Io1V7LJvvfQ4mo6KWwjEPSpvs81YOxp1Hv
aisnZdlT/3sifcX5SH80Y8vDTAr9D9jig0m8Xl+rpYv79AAoTsZLNTv3W3hQzXSCVAMfFwc9ssg4
SEjS207zHnqLH4f+L1C6swvAcxMJQYxPhWuObZ1rJUV0YnrprtDTQOrlrhMiHKo6lGxbGDc0ySJe
bnPz1htWao6Lywh+CAP8I6jDqLh2qeudPZZwQD55GOPIiYuwnp4d7fMEWPD1GV42NRde7bmDVgVq
VknOhGB4KQygKzRCXkd1skudyF6rLi36F/Cm/o8h1ZdZbkbGfMZsxKAR0l9YLYIZflomd4b1x62f
rg9roZaFBTwxp7izxi7zwq5m6Ub/mVZANZY11La/OOyGmL86977M90Oz8qxfdNcnNhWfltRge6iR
NQP1sbtrvDujsYOO39v+Sly5eOxO7CgObDJTkkIaF/gCGxnAl2b8dX3y1pZqtn8SU1g53saNgXG0
Y7vpmRGYjbtxhR9NIBVqjTpKW6ANrttcvNxPxjT//cRmMvleVUE0+2g7+xSS3zQszei6idU9obir
qrF6kpWYN1vKT5WXRUllP3ZmdgPqyqjEW5IRsgM4Ya+P04rtRUcGwi5gG2ZIlPqmqtAkTcD4CUdW
daFb3SVAbEGeKH2Oc7H14h/1x4XJsP9RWAUDN4rzaJs8n8+hRGUVuDKIzSf6ti7970OZR8jT/b4+
p/NWuLhwTqomypYHFaQlvAqeiuYsHPzv7ON69vM4/ivLKONgei2kk+DS5Fr5dRwg4u0kPz4+Brzt
52ts5lxQWaa6FOyf/uQiks2cTY00PulWVn9pc59aUGapn7Q+LSYPvg/MGD4KJZbJdihrXh/HkitH
ayxB/42Hdh8VHyl75ua80uDKwSditP1mGt60pAukZYZFtxIuLi38qTHlZq7xNsyNDsbQ6r9ts0+a
tyanuGgBj020+yI/cAFK5w3zW+o5CC5yPyh7oPza4PqErVlQloVllJfNaGfHz778krsv17++dBsA
AwDiWhTPfRApnJ/A2AXfawJM7LELam0/DSEKquNan8OSqwYFpoF3P7L8F9lWaQkHWtzgxsrK36zE
EcyyEFSSQYGKYpUEZr4C11jcYx4KGXjPomVNzUb5TTJk7gB7EzZW3HxjuhXm3mutW7vJebs+gYvL
gyTsLOE45/yVK7wGINoeKyQbGv2VA+/z6/rnF9cHrdxI8kKfBqIY5+vTxKZGaYHPO4O90fgYScsF
cXsWNsOKpaVFAjMDIkljphhWg8kGVWujJ7h3DGGH3QCOQe2+qm9ZO8ylroc0Lf5iY0P2Ci3jxIIG
h0rd0U+eaEDmiQxKFYmAkvD6zBmLA0IS6F20YpYQOp86v6ZxXNZ5ccynnqCFgaI2mkhkI00bFbRx
kBHLwGaHAt9XHaD2b6IC90Fqx82GygHpgUTIEPrg+m7o8mGjgeAtQK8vA7/JNHzKHDYEMkGfbezr
v6x6qtGMx1gE4md0Kmn+iIKkSSKq9d6bYLFc2eFLuw7VN2fWr5gBzEogwnLe2w6oh49aCoEUAtU1
7I+1MszShXBqRIlE6pFqjaSYQHiGpsgDDwm7wfwLF31qRHHRk9tmYKOAES2ovO241re6OFGI5wGV
Q0x/kZg2Kx8c/mlbgLTD6W5IY0O2RGr5CkJl6ZRaHoisZlEyF9nA861mTa2VAFiIrk+S3xCqBaWo
NmhTCiSzVk7N4qKALgstUKiNgcXp3JTrdclgp3Z+JBab9qNDa/Dvxm5AXJbtr5+g9/SGGjcB+Ad2
c7BOO+BLPrdlUtcpqGahA5OjCciWOAHl6JqfbKuCkkTqDV7gmdUI/F3cbzoZI4E3dt4rpvqNTLwK
ibDqqAP30cHVhIW9I2RAbGYiC+e3D7iN2sgkGgh3eDu80gySsVnbTjfopG6DBNW7n/FERAxiqdb6
1FD+RsSU3vqjKCM8rK2NRzN0S1q9d++hEBDK1HOPJe770JnqV7BVjE8tqeTONvtXJAC+T2QqnvQE
nZY5YEa3k+cUG47mH5AvIbieih9kapIdl/lMiQOEVzVJJFiM8VmkbQ4N4964G107DjjJ7AAqRQ8g
/3b2Q+3aAR9qGqDvJgu4oG/En76loFkJUcOX27R4KcfPnnysgR4E18kOhGfTtmh7CL5UMkjjfIgG
oJcgbtoJkCZNYZ3YYVxDGczVvR3zyzJqOnRamrWJvmgLSafapHXYGdy78QADCxvUQbY5q5u/cQCo
wQJUh7bsS8abvqayLwSeHBIsG0ZbhtL6WosVV7Z0WZ8amd34yZuq7qnR0STNAakmIRSSXwzqb2QJ
OZkh2WLFV87PAkB5VnqDbq0B/CP6jBR7lGOsnPL8mBtcBFUWD0c/1epD7fjxbY1NHerpNG5czfBv
9Z6kz12DWkbIyDjcoxvW2ZpNTm9GPNF2PKHmyut8Pr4nRw6SY5ASmCWjZrJSpPgUT1LFVp6VCKKO
luxD0MUEGVSwNPlW8sfeekLzdzSNP68fc8Wj/GNyziBB8RCQBbVPZXAz4Tap7R296tYqdk57oB9M
KqomVPxnw7uhZOhcOyZ5/sPv9eeW+PPWdz+2l/7HDuCsMw8Ullm5TOwys1hhuh5YrdlP02bAtxdp
CFfwW8991JaZRXbXJ08JMv6xOIe0QHosVM8Y8nOGBzaTY+zGIziM+BT5sZdtzDQvQ8I52SRjw6LJ
Qlhx3bJybt4towkPD2fPg3G1thzTJp4M6PA9xhLpjnBMI27vWmjU0JXLTblC/zEEMjmU7WYMtBpr
ZNK1zQzltMc2/9brf6Y1yNPS98GpNRMngQznoj9ZCk5iAdGiR8MLB/PWslfylIvfB3YU6H/o6YA0
4dzBVB4UJOmUpY9WfavRyF8TelMu/3l+cB1DBQvhBTjb1ddGTgYTEMzEPQoxAoxJghEZr2p85OOK
b1g0hDAGMpgmyGbfPduJpxRca3UIJDiQ9Aano54fyCgPvXVHaXR9ay3MGJIxUM/AYuABpc5YZkMa
sSbcPva5EzAe+NMHm4/e5wwZHw9JH1BHAsl/viZtAtp8mRv20bKHY2MWnwet/cxpvdIyvjiQWeYG
pwRUL+rWHa0CwATkbY75cNuaBzAufnyiQIsNVnjwjUNIR3mbZ41eVt2Y2UcBPNS0q/nz9e8veJeZ
e/vf7ytbN08KZtgS3yfDpv5WAk3atTn4mNugRA/4KoPZ0nQBtIw3IFC42GiKOW44hQRJm3W0dnGy
r4oVX6leve+rjmfsrLKG59gFTaQm65KxZLCOuiznmoH035CW6wJuNeImqeHC3MFp77yq8I5mWZEw
w+NnV9cy23m9VwdNa1a7xnfGO3+oyMqmX7gGwU1o46EIOkaQEc+Tc3K6ECs0RLrcguyS96w1ZG8n
dR25WmyvbJoFxw2WzBkNBJcEjqP5h5wYKinJWexU1tEsRAAjgU2bsM1EpGc718hXhrXkNNCWiKM8
E/dcPE0k9SdWTqV1NLSj0VaRibyLZ32Rxl9sVYhVEBBEoXX7Ao/jeRU4IFL0A0DbPIVEpEHuJflS
WHe1dttrK0mXpbUCkRz2qgeFFfBRnU8hS4vaaXyQeNvJIEKNoGXYhoJn5DTuWhph6UycmlKOuBeD
pLEuC7iQ8dliT6CJXQlIF7eDC75HuEPMnBqzAA4vvKHFoRuo16D3Z8oiytC3l7t6vhHCdu9SMDOs
HMVFo3hgIUkGJkjE9+cT6JS0B6+DD/9LjCimyaawNpnl3fHqKc1/ftyJAVoC3Qy0oSPXP+/Qk/1u
G6yris6zj5VR/bFSFlYAXYpWf7E8/n0aIKneGMnKGVvaIMj+eXAySGyiH//cpmbwafBL7MY6HcKm
hI7K3nQ/2Jf87s4ca+a9BcUuoGjKJFZxWSVDY1vHrnpgaD5D2e76zC2OAgxIYMh4b1Q3z0fR4wls
jolrHSFQROptYwSZv71uYuG9ARLC/0woXi/Xs9aV4DxFJzebiT8DLXMj0f0R7oNAn6hMdv74et2k
MSfelDeOOx9egjcYggA18ceyvoMmPa4BdFTxT3IU6U2WFs7O0hsrshkYcB0nGQOZSxJK4XS3rdd3
D209GSH0338zl43HIok6J93Wbc3CPIndXdz1LaiTzDwJhOfxtSz80oHBUYQAg4+74UI5yrKF2brD
/JvHjSZmzVjfDVNwYa2Rhyz5G8hUoJUEeqGX0bYl8mooUvjrpMmDvLTKAPXItdTr4mgQraIrdmYn
UAM8g9SG5ja9dZTkK6BJG4TOgWh+GC0LACzeXV/v5RHNASt0WWYW1vNdbFC3d8kgLaief/LcA3iZ
P/59pN3wCnJAHXJRtYSyR5logJgdNZZ9aYvhgRKxYmLpEj01oYSraToSrnWxdSxaQwa+0LapA2eJ
EHaTIBt1fTxqBfjdr2CrgW8XRHWXzVAmUv5xgnTMMekSB5gKGpkav03zajP05jeNmvdIPmyMKnvp
ZfUxwOs/tuE28WxFeIL1Ol8sJktNBwmwe9TsLA49bnqoOiCAri192Np0alYuhyUXB0JXdH/Mqkpo
sFPs2aAvpEzCHtGDPjF3w2QEuf/BNPD7sGZGMR3FBgzMUNxcVlem3jmde3SaY6zd08frS7a0xcGV
NxO+AAiEOtf5KMbGdFMKtDm6n3ZNVCWH6583ZkeveszT7yuzpMvOLWbAw5FCAsQOrDafyYwm55OX
61YeMKBCd41GQPFuE+u1i0mOZ24ZB4ObaiFaauiOGmW6dQt3CAsduVyLDOLVadv8EdKwPEzruLhB
DcPfJ00p0NjIvLeapvHKOJbcDsQIQF6IR58LiuLzaUrcsk5g1Dv2fhkW0gxa+shSGoxecmPl/so5
Wjq0YECeHzPgnUYwcG7NNHLSdsnkHVm9t/yX6Tajj4a5v740C/v3PT8+J89wn6nRm89aXWdG5aE/
FAgekN0LLM8ap9CaEWUkJCl6gTqMdzTScmfJHaQSt+VaB9jCHvbAHYUbeZYBu2gJL53KMzrmu4Bz
iS+T30U2TdfAsSs21DxgjPLb2Eqk6ccqfk74dOcV8sv1BZnn4uKoAPkNri+gToGJOF91AwxSfpY2
3rEbNmUVkUP5qjXB0IVxvBJjLu0vzNT/WlIHk2u5l6JTzoP0gPaYxs4zVGX2iTQ/5cYHq8D/uK8T
U8oV6pox5OdK5h1xggJK7Uh6LMgkssPTj+vTt7BCM//lv4MyzqdPr4wRrdY4opMdZah1rgHsFicN
TzYEHXi8EbXbYKpEY6LoCxeQ2zeNW6Nutem5fT8m2krwvLgRTiypPtnJTDLOJ7Pj36tKD4T/07PG
qIFkqtn9ytdS3IsTd2JOcdFenNZZZVHvSB0joO4clX7c1bgoCfw7dYoXsElcTv4EL1AX+8nZGsNX
unbRrA1COTxJPuXt0MFEOTy5/If1QQmFf/bxf0NQS/JwO8IFewlcsv9ltL+RzJqrZivBmkpee2FF
OS1l03ptN9XIIXUjXgjsi2XJ19xr70StPxOPP1te85vF2s60M9DzuGAaFpvrx2jBY2Ot5sT8zO55
kemiQ1JxzxjdIwNQPW/AluYnb2xYk7ZbMzOv58nTGrVM0+q0yT1yv78DFfdPSNNtDcdYOUqLZsAD
jF4aiJVciKzo/sgMT+tdNCV/rbNvLPlD12jtFv2CjbQR2At1H1n685HkqYuSrki8Y6rd23UTODbw
BiBXop+vL4yKq/9nc5wYUk5RwXo+WExzoRXaoq46znpCYSc+NVoWGNPXpHzkIKDs6uowla/XbS9O
44yVfmdPvIBBOale9CzLvGMV38vykAGUtIYOWDzAJyaUDWGAjA8iNzDRtTMPStp8DNT7P7OHnCWy
OSDCUt9yJkUlOElc7ITYfWO5+GqY8eb6LC2vkAspOFiZAVVK1sPuUqab1HCOCXlLknQE4KbhYFPK
KNgEoHBMTASo/LGstYOQfDvK4uX6L1jci4jqML75HrTn/MXJqaJGNtM85S70M4LGjpxXVNvx77qR
2ZVexCknRhQnFTNSuZoFI4NBZk51wX5wzaq+1twdnjSf9N8rmQybfOp4kOWxXHnnLebi4Z9slMEB
yzPUDBkYKZBrLpl71EfnJq2LnSv0iEO+WTfaz2jU303p9JMl+S9z7A6Omz2CBfLGQ0eIMCBD23t/
rk/H8pw7YJ+2ADcBt+j5nA9DIntRxw4yumD8xlvN+0TybnrqUt+Cyg5bSxosPUWgnorn9YzaQTvw
uT1tygoyksI9evQmQ3NEE6FQbFl7SVdu7aV1hjsDRGDWxQJjxbmhvKgqih/hoAV41ALAxrbUtnoQ
TIsnKSTZTEa9TfR+DxrBp+tTujREQMPgTLG6xkXzceJ7GWkl6pK8+satn6y7d/pm6/j7yV65H5a8
zqklJWjM0STrNJPmHAuogMehdKPrI1F73d7dDjjvsVPfwW5qUE9iKiXtdQfctsCPBqUGbhV9aptN
m3Xsu0ybF1z3RWA0pNsMKaE3rEzp3WB37LEfhDjwPJ32TWZCoEObnE1D11pxllz7yQ9U3wJOmmuO
0WOVJzO/4dAas6suYM5feN9TK4rPSAu90ACzRQG4RK0xQtfp9XleHAXudzj3WcRITczSziJxauKe
z2PvW2fFN7FTv8Z8LcG1uDEBvYEuJuQ3LjB51OtdR3MQHPl2HZUd1OLY9NA68U+9Gl7Nlq0xIy9u
zxN7yvZ0uW9zbdSRT5MkAiT0IW7+AgYChU90NaMXCwRAak0P5QEOkmvPAYYG2txR12wHZ1PUgdHe
mmtPqMVVOrE1u9KT60lMZjbZFVwlK7zAqb87ehMaa5H6kj/2kTQBQcacor9ANBbQIEsyJMw0dqhB
KThWUPzItcAU9PAXmw4NV5g7ZGsuAI2l5MNU2oN7rM3xJ5tQoZT/j7Qva44Ux9r+RUQgAQJugVxt
p9N22a6qG6IWF/sqBEi//nuoeb9pmySScE/0xVx0Tx5LaDk651nsJySiu/8pzPxShzxkOjYtwpDJ
as9M9qglbwy2ll8urjUbEGoAqZC7zO+VpMzGNjGAByLh+Bbl1S3NzRVQw+L2eRdidlU2XQnzhmYK
0XvU8p1so2m3cBSt11q6C2sAFSGkeVAlAJnUnaXKDKxtYbZ4DebxMy1fOvupK1+Sp+vfZWHCUDZD
c3rCQ6MuOBsN+BIihU4ASkIYjeHTzx+ZDlr6gOggo7Th7Plxs0QRmvpO3+JgHgHoDCq2cvUtXO8f
fn92tjSkGmqAQNi5r6st7AJuej48jmUR9HDo0Bz1w6EZnJrXbtylTwNIi4PsBbgWc85T7IFQHNAV
Y2eWJp7EtuRbdIubNYeMhaWG7W9SmDMjc0HL4ePsJSQLG16nDPUA/YDCBGCqqJ4TKbZG3O0NVa/g
95Yu+um8gfcIqCKQUZuthibOdKE51XTD0UeTvtbxr+gWyuZBY7P4MdSj+NjlsQFzK6H7aUFAfs+g
Np5Wm9jM9R8i04uDaUIO9foiXThy0d7FdkYdGRM+J0WDpgSMLUAjZ8puQL4etcg30Py7HmRxsmFF
BZw60IsQG/k42XEKrhLwJwyEySTxIiPfKT1/ViU40mFztNByvB5vcen+N56tz545deNUkMbFnRVl
SOwnzXW4E/ip7UtQzJPeb9XKSb+01cEtgfkSGksADc7OkwL186SzR6SJdmBwr3y8Pp61n5/N39hl
dqnr+HlLfB2Puv1vfn6yVQTWE2j4OYzBKau+1TX8fGHfuNUJjdl/8ee/+/3ZXhuQyUoe4vfzAyXb
Zs2gZelrQzMYWI+p78vmVEvZWFqK94Z15nkBYTIGVSfFv4HNsCmHflNW2htxMsvX+rWkdemoeh94
+mzv0hV3cFGGoxLwjzr1h0z4vVX7Jv01OGHw+RkEZgUgUiDm6EUmkZWDyYBrsZCEvaT6g7v7n35+
nkEMTQGFwwY/n+oZ8FrM0z8PVHVgU4LyOw4+HO2zpyIDor+XYjDOpt068KHrm50ls24lytL3wPkK
qSEAwsBanUXpJjHnqNaMMy12udoOzZ7yvVxTKFuMAkYMRdeTQDtpFoU4YiB5X9FzDcbEaNgHp6CR
N4LsgT7W2vE8HRyzWgraCUDO4yaEnvFcVSgF1nrUZEeh8W1EnqyGY2HYr42ovrWAg3s5cyOvRTnj
+npY2lFoyuqAT8BLDpiQjwu7yMD5MbPRAKi9vmmA0HTqYhsZ6Q/Za4MPz6yvBrSqPZFDofp65KWT
Djg75JewzZlYjh8jqxi6e4xHxlkX4ktcuDeZKlZu4qUbD10g0wROE6HmZYsyGZs8dmLjXPK9JqUX
aoGIv10fxtJnm1Cm6JpD7O+CeNAn4D0abgV4UxRViUeG4lfhNqFHS1b+od2Y7WHBFQVhZeib65EX
R4erHOsF995F1xZy25ZR69gDhI/999ppxxenZnkAIo3y/0WovxArtKKhlDG7lXLFJLW1xjyHWXWX
OLCvI/ExrNYYaItL4p8w884KevdjC54bwkANqPSzTyofTBWYvwxhAzQ399L/kaQ2r0aG31ftXSOP
IvzhkOd/MVOTgC42lGkBJ/xxVTtamfAKb4FzX7Uvljns3ST83QjnfwvzF33z7j5S6D6GQ8sM3ONG
E1Q0drcSNz7qSTFbeaktLrN/RvS30v0uVMx0oeLSMSBw6McWxIIYlKrXDAWX0kYA5f7/tM3dbjma
CokuI4CqE9ZABSOR2r6wK3Mjuch8vRhREjNWQVdLQ/ur2TpxK3U02j9+LMVhaQ1kunnWi41m7uPo
Ls1Wnm6LIQDWQQRc6IBDfQxRC5mYY6EDuazyr0PYnIy82FjpGo9mLcx0k737SIxERWyBWneWcB76
kiVmElhFoX0bFFkTC7Cm1+b8onIh+IKi+9Tjmr9GR6IXhgGLjDN0KcHvS8x+y9OE+41t5VAVjlLY
IykptxWkOAKHh8yva230edhn2NgSUOesy/adrRWbMSIwoBl0Pd9xMVY+habL0ZGk8VIGpWBli+TI
quYBvECGUjpEqLvCCvcRiExbPTPAI6uEV2RgkkhGcLy37BdLnCECpKDTH5GL5J47DMIfYhq9aQUF
9rTSv1uarn3FY5FutFjyWy5H5MHo6prb0EwISHMm8TJLN56scPIGTeIkMMu+O7RWlYDMF66VEpfS
DICKUXwGCte6gOCC8jhys3NNgFbcwDAKj0B9ScODOMrclUt3cZ28CzVbJ3EUm407xBakx/yc3bV4
ctLt9RNwaSujdggYmYHhXEBw8tRVaW7jkK367naq89ZVGG36yrove8fclpaz0gVaujVQdEOjTQdP
/kKsGLJUEReaaZzBN/ph23ILyM/D9TEtTtu7ELNpc5Mo7PvcQCJBSCCJ9eiOZA+ZycP1MEu5BEQs
HYdNniBgFH3cxarKRq0UtnEeh+KlI/VRtWoH2yagsuM66CKReXm2hs9enL5J6hnJpwtTvNmNpbSI
Zn2CDJAVjzLxLLEydwu/D31aAAonaWykSbMTMIfFSyZYbZwlAzXOSbwWVgfX521hAyGPnPqscOdw
L0S84AIltGrEFQWpgV8R7fQnYRT1pqg1c2MOhK08PhZHhI4jwARI1yEA+vEzDR3vR9GDZANhlk1I
raBZoxMvDuhdhOkveHecD1quXEiZA9Aeh4+l5e6FFt+0Qvm2KNeSosXRwIjPRXvPhtnb7Pu7WiXU
lCyd7d5rbG0TWmTlRFjYPbgJ/hthntZlTOLVTJGoyjT8ETFgP8ehfnVGnHLX18FiIHCAgcJF/nVB
kgQifWihl2Gch65+00JoyTnKiL2Cwub0eqRpUmZ3ILC+/0SafaAaxENFJVac9rVLN+YLTzF3vkiD
utwouVKeXRwWli7Otgn4O9eXd2yI2sLCAow23r2YabZxihIQY2d/fUx/H83zQUF62QYqgk64tlmZ
2aSq7RI20HM36rkn9QJoU7OwQNXj4px0lhWUldA9WJwbjyDTii+WPsLAAyla57E2Hb2Q2Y3hjUXU
/i6AkQPSIey31OrGr7kDa9Qx5c6tUbf8wByt+gIOeeaTKKyf8N2ymwJafIGZcMuXRhPvuz4kuRfK
otjS0CxvwgzNNs+uS9u3Y5Pti7Zr7y2tzW/cKIzhvQXvN3FoQcRzosDJA9DOd9GYByPxE80foxBy
C85NGjXmHa5wlCSLug30zuweY8MFQF3T2xvi9NaDxZ3oD7IWZ2O5Kd+26aC2LRSltmVfcfDpdFhV
DchVBINqAXgh9h9Z2YnnVin1KHwsA9Pk48YInXxr5MJ8Rl29ProhVDe7Xlcr32xp86LjMPUg/1oK
z8qfWl3JvucpthY90vYtKuuVl99agNmayIfC6LIaAfQhCI9MrhwNiz+PQh6qHgA4X5B0e2bWRUQr
A/jG5o8w+nvINQQry3phq4I3qIOmCPcbVKY/nqWqKcjo1oQiXQ330oHmmL2vymfZPmj6GpRtifUA
ZihURlwDHwRGvR+DVb1MBz0v8Fii3QaJ0BcjhohO6u7QEd8T0d+nZrQxWRH5QKx8uT7Qv+nBfP8C
C8Ng2oriOxCKH4OPHc8AnEKWArHo1uetedPFzo7iGExhyKV4Znkkg5ygdLRvdLQg8+lGEDfHxoVM
0L+bCrABASk3oQUxB5XTWIhY4Tw4s+zYAvoSWo1XRz9dowvCUAWUZEFc3yX6z+uzsHRYguAPz1pk
NJfWFVpVWKQhkp4L54aqQ9Qdeb9yHi8t2vchptv73e1c96RW1jDSs149d3dQ5Ls+grWfn9XQFa74
xnBxDMfiq2F//bwQAjoX/8zPlIO+++OtpiY9CHn0TF+ssQtYtKb9uPbnz/IJ2IvlUnYIUIx7pjce
8suVM2kpOzLRqHKBvEYnYI76IlXmmhoQyugbCga/wMLcdZL0vqVrmtc4Xb5y2S8uKbz3IF+GEh9o
wR+nrCls1ZaKUpQRrSBWEttF9/ts86nPDkoenQhzqBFMycsF5r/OnczsOgbcmHyFMXX4fP3nZ2+L
+c/PwT05gb61ivHzMjk24xFOeba17euNkfwqk5UNMpuwv7GgioAuBu4lqGLMlgAfK13kPSBwOQvP
kR3dMRlvBPK+60OarYP/hEHVBs/iv/I+s40i0gqYM7fLz8ZkHVn+LDsziCtrq4mVW/bvinp3sl5E
mm0apqcFBOYFIrHoPhWAQAuNHlCB8y2ZoA+UBhlHqYEPe8NWm8HtTjE1Xlk8+oas911eBNpAg2FY
K5guTjTOeuha6WAkzVdmTHUeDuGQn1v7l2l+d8WbVb9dn+TZc/7/hv5PiNlhB8qZbOpU5udC/uj4
U+Te03obZo9RvlabWIs0+5yREapqaBEJ10Ke3/dia4/w9PW59rmK5sWQZl8zj8wkpg1mzTKl5xaH
bnzmrvjcIfV/QfBlJi01WO3OLmOukkrlJc/POtK/cOx9G1WqxD5AaX4l0uwtchFpOpDfnega09sk
rBBpEKbuIztv/TRRxpGGabINDSheJSgQe1EN+K8uoZ9/fYEsrUH4wkBWZ5LRvmhYMgMW5NJt0vPo
Kj/XqyDRwRTInq9HWRrk37MRZFLQbi6qCGVYp2YLXdcE7dEStgfDF7fVIWzdOrnXAnBwHxWi3xHo
Cd4yVn5S7mKaYwLkhIun0aTzO/+aRRjWFjOL7MwtUoMfx25VmB7C0gKejL2Wpra5PlxyOd6JWQ4Q
3lQ3gcLBLJEMDTdRbh+NMEaiHvBYNyx+1WyyTfkJHi5aWGx4/LVxW89u/gzm4Cf6sW5/OcYTsKce
ViVQEMk9cdYQx5e3CF6hqNJDW3OS15zXftG11OIoCuWpJK99Vm9Y81UmBvyO3hQ3j7X7eH0aLo+E
CSmK6hHAxSifz2tTY8MyTTN1eaqTx6H42RTfchcfH6mjTn5cD7Uw4e9DzRvj6By1FZNKnjJQTt1k
66abDMZ4jv0sonMjg7HZXg84y5OwpLBrABKfmr4EKKHZcUdyjcapFatTYWzTPohX7uDFn4coGAjl
AKledMjrXBpSWrk6tVEeVOSPET5d//vnFIf/DMABcmuiahCs1Y/nTl5ZDaCDmjyJ8d7sMs+mB02+
ts4p67bcPBfmWz48SKtbufUXB/ZP2Hnrq1Yws6izVJ1gz8Tcx/hf2EBBHAH6L3g/oB9uzRvxfQLO
aJ3CdDLrWt9sbhJwyE1jp7UvKxP4Nw/6mFZ8jDS7iBiTIk6yFI67ZYtCCmwrttag/zSi1nku0Hvx
MlWxr61jp4cir81DZrI6EIYWfy9D1f607abx2oniro8233Zwz4aRrSG3hc5fILBpnYDuVL5KMsB4
08R+jsLodyZsS/iJssJfytUlWnoj3zp5g7dGYn9JRUX9mrNyp2DPizAwD9lEqZvctxWlf5Ih6vme
QUXxhvaqeHZQ6PdrwdytM4TObVLU42NTFOhe1Fr3EDvaS2xn7sNI0etx80rf5XKE2mxUZvFpAIt6
B6MCK/NabhobG7JKjt8nTn/oeYYqD4s1KHMKmG7lNIIgBhhqO6PPYMmJav8hjUxjW/NQ3BTxWB9S
YkFus+nV0WRDdDArXHap6uKdhgXjga3ANhyqZ9s+b2gQdTQ8k1ofPeirFAdqgoQedZz71Egi1xOW
7nwdykK7j9NWNp41WP3PwRnyo662Tiv+hG77w4wTPD20vUqNwE6qApIzrL3hev8Qa525K8dGHFJW
jZu4gmMPPFV1ELUa6fe12fl2G1r3k17cSUDD/ptFE+13ZQ/jNhnT/sl0Ne1GuY1CJayzvzd45vha
0hX3VivbHcqpKb4wUdIn0oq/t4I4DxWSgFNmJb+VZYVbriBEjHZGsi3qhm+oG9tbCHBVvmuHwxE2
tUNgGUW4H2K3hvZnYm8oHWCXVdHRJyRLD3AAZvgVyBK1I/0pKogqGqFUgbKcOECa2/laGQjbf9YT
4mfamD3qnV08q6p1HjNapXexhCR2BYvcm9KOyD0Kbs4uCdsC9iUCHkYkql+bQoidxApCI0pVOzsP
rTtiRDBdhXunR3RIskpwuX2hq8zPYVjgESu3j7lVGj90aWh/SIdc0U0LFUCXzzy0RSbQZtLLXSJ0
TPYAHZjUGdKNcHRt48iq29oa6QNqcXFgYUWOmiHanQ18M6xQIWKqoe/oN2hT+jRN6Y6ZDTKnwrFW
zv3LfAldFhuvSdjbIZ+Y23xnAm59pGfx/QjDn6rgR9eoH5Uxrrzzp7x8frZMGFTIeYNNcQEnIgLc
rz6z4nubEJ9hS3L23Ej0VIeVO3op0PvjcnYNmKFW222bpfcQrNhS92uT7NxoDEL31/Xj0l64ocHV
A86GoO+CjGCa2Hd5LjSWozErx+R+NGL2o7HstPCS0eLH0GACexpqxcIMnY2td2qPi5FhrNQNata0
R5uglToWmRbw/jukpn2rc7W7ERIUPhXfalP3ysbuNiJJlDeoTp3jQh9+Ohw7gLJky7uB+tykFDoU
g3lf4h29czoIrKYDG/xUFDxoWgj/dWFnPEJIv9lpVIXbPjSbYKRqOCdC04Ka56/QJGj3iQWB3Ik3
F/SiHwLmCrYDjU38FF1ebgvm/kLHhOM4Q7HOVonrV25o3MkG2sSt66CiLvijLhXAWq7TwFItY/0T
9AfzPW+LeMd1GW+5M1pbs7UMvEB1seuxApDWaG3sFzlW+Ajy2kbUOh6qodF7Nk+6P11CTE9P+wEy
RHq9j7McYOycJ/cFEdC74nHzMJTyk9JkUxaB7fDPOp3dgU3WaLIgZnwv3NdUNV4OF57rC2chYWBQ
DAHEzAEA/IIFIhu3ZpUjkA4T0DAt3YvXCKsLWTGEgQjyLJQ7sUZnqZyr3IqnepLcKw2nlKO8wiy9
FsUoaAgGjOU+HVdakEsRIQWjQ+Rggq7MCQfg0OOq4jV2d+7YN0gu7Vtl6WpDysY9xTUDj0zPefyk
OrQnPz+dAKbiUAEEBAr7s8GSpMo1qyfxPW4gKB/EMOku5RoYciHxh/QFqg7IXFFDnnfCaRjBflOq
+J4OgdGfM2uj0gBu8an4N6N5F2haPO8OlTBJNYWbDYH6e6A/vLJYeVcspcmg3+I7oVAJxu385VrG
RFYx1+L7xlCnWMbPOdh8+zgd/qhkeAhjCyLk9A4usbc8Ht7qZlx5OS9NJXhjBGJIICZdMCh54fAe
TjzJfW5AJCCMSziv0RdpN0e3zHdRHD5cXx+LA35/wc2ertkIjHGp21ggtV3dsqQbbxsU8DaDJehG
lVZ6jPDy7T2kmu690TH3BgAz7YgOf7iKMZ36X7NbEKXUqZM+XR3gCH/8vPbYp6ZIk/BkqwrghpgV
7o6DRvVs0cLwmgrITNbxfN+nlgy4sJvbtsiBNasHfu7HJv0WxjG5g8xVuMkp8MWK1dFzRewicHus
/pZE4zYMdXffho7aInH5AyhYcwdZR47WQ4QWY1SSfJtZTf9YAkb5EMMm2Cc8l7fAJLVPEJbFCZHY
YwCFeiivKzcbv0msyIdQ9vZD7RTRn7B1qi+Rjgz/8x8KTUMd72pIzExljY+Tk8s+051QGSdKGrlL
B4M+F+gvPdoUxH5gWJ0dg6b5TYxBb6GqEXlxA+k+qkj05/pfsnBCw9YA3T/Ucl10beZHiiONIRLS
ONU5iMxFdVwr4C4FAP9qMtsFSQuV0o8jpU2ZZZGM7FN5S4BDWjOAX/v52SorBm1MuKGxU9cf83wP
X4Hr8zP9/2erGODlf/78KQV7d0hVvZkTAADsE0qvZf9bc//wNQDhUsEJYn24vnBTYje6szFIIDiI
LBJ2qu08C9G612zuNYkoGx+YALvZ2JFRPUzFKqiDJTCvg+dBfdRCtPl5Gz06JPImePk26+3qIdWI
vukhNv/DaUG790Xjml/RlVrzD12c+Hd/9GxiQtaneQbz35NtP2aHtl0Bb85+HoUnHaAiXLM6ilAT
hPPjvDslwPGhKchJZGNQpfwWr7DXT33aKQT4CxM9DQUU8D5me1AaFYEeTmGfnJgKz+20+EWPwwFZ
Zy9WQi2MBrwfipwBWtKXaFeo12kDzqAe78TILbw8NsXPRMPr+NMjwqkCmV7LJQ6y9Nlm7inMHpAQ
9ycBy+KiwsfvX2OyljZOX/bdlpjmbco9DBynkybwXPs1afBytEo5nMLR2OTGsyniDdNvO7GmbLsY
CKp+eHVMxuRzxhRpu3DQQe89ESLKQ11LbRO3LNtzJ/5GsCWCz88eemb/DTebvaayYULOEK6Bciae
QcGoABiwfl+PMntK/Wf28CqeVIzQPponrFSUtoCTwXDqh8YzE7Zz5Mk0By9Nf3D4f7lmC9ekbHs9
6OwU+xsUoGEwA2HuDjrGLNO3HV2CgD0i6Nh66A+ztvES47PNc6wLoNjgLYc9BSM4+nHLYpt1Bmf1
cDIT21MvIaf/Ynm/DzDbsEw2wsQaH076Szymnrk1AVO6PlHTN56v7fchpo387rgP7VzmuUKIaK+n
0In47asQ1ZSf16MsLWzAb8HoR0sA4L/Zu73UOyesBKKo3tPc3eh1bAvVr+tBlr45BCtRSWWAw0CU
/ONQILIj+BBn/Snm7hYFaU8i/zTZ2/Uol7AbfHWcaqgN4EyY2I0fw7DOaZuMwFUeRB/ubBPYG/eo
bsUQ5rrJrN0I4cRodz3m0mn6PuRsZIkGDQ8jqvqTvDOqzVDu/7efn32dAVlrQx1MHI8eOnWfxZ/+
MASvRuxJPAzwgfRpdbxbY81gdKFWiAGndOKX+qk1v5uqWclbLo8ZKLf8RX4CtYjsYraQndSqRZ5W
8pS2Wn1GHW70Zau3cBmy6XCMu0p7zUwzejRY0dyYWr1qdQrtNYxjvpcc0BBxouJ/LgBmuhZF0M3Q
ulPEOM4b1y74NsOLTHmJo4af2BsoL5sm6htpHqHwFysjcDNAFQb0bPxSqSpQtTt+KUE82CcEki2j
QYeXEJ4Tvqhh0ySopvnI3dOn2DHLbRNm5R6G90Dxm05eHVCZt7YkoepWJgoQlY5qm9KxRaAK8jMp
XX7IiWJBSTXX783xpcfZHOiM1AF1ieZ3aQu0mibLfVY0BFgayz2Wbfkc4meDfoDcbBXF1PRN0gpP
ZOHoAWTJdyhnJltWl3i1iLi7sZGvbRO7yE4dLtQnKUR7sge3D+xGfqlAOT0lROc3pdECG3YgdZhv
4zFq4AqXavu6HrUAgN1fWm6iNk4b/mIPWn8oI8CHWkdvAlBJnQN12mMco/TmxQm4i3jOvOGAdx7i
3umw43t1ZztFc8C5N3xN0sklSvTM3koJmHsf1SPcZTj8p/qJ5IEt/kfmVg4nJV0LBmrkW17SDrKH
nD9ViT5ux65PT3nV9g/wYsisLUp76iDbyfCqyg0Y47Hi6Loyqj2jJckXaSprYwqwUMac/aKsYQfF
mmIjUdI7FiFhHbRB7Abn7Gh4Gf6buziXOvJfKjMvQ5ERc5vnB02T6SOvahEMNoH9XlUPllfw8M1h
ebwZ2ntof2+cpPAMPJtkQqGfmBSAoOpDdZalTd4oK8EdHnXUvz3U8RMvVI3pcc7sA8QA5G1EabPN
SzS4a81tfVdzTb/URkjJwaIsunGZ+A1jJePBTe36wG2IzxpES09EVflBgVQaFJ1b7OBE1hJPZtzw
oKKr+QO8qR7crO73Ix1rBqE4KzS30glr8BWtQtzgKFABgY2Y7jUMbmyecOSImqH61aP7ippIQzIv
HrIOSoe0NrdCVTT14hramhZwfl+NgTV+batsJwmz9kbDhMeFmzzjfGx2aYYaKRLT6NR0+hikaZvc
gStUbhqt1wNalMUDsUL120oN3XOAIHiotW+Sv3Z+QqnaOblDdmMbx8+OUZ+1trpNnMzvi7C4S5Ro
Uc7Lg8EKqpcy5sb3FnYjTxE6LTvlRvEBshbDURARn9yhdm5Rla8ACicgb6P1OupeW9nsBmShemNG
VfNaVZ16Lg1fFgp0YuY23LOKjmySSGLphPb4oNvwgIvK8FsLC6uQG/VPrYX2XgpIYOqVqXJOmgNu
jZ5ZhueqiARNg21fGnp+QItmAKM/lkbQilJCDE6oHZ4Hzq5tREg8Clox3B3bgKU9fXX6kQCf7BRQ
FlYErYLWTdCkcDVIfyqUg7eDntG7uJfRMWLa7xqMrV3Ky7eIYlLhReZu8CeEf6xSq7eQeug9mNMI
n8o88VH7+ZPkI5QSBsr2VQ5AbF7XbtBbOJUp1Ri+Mvx5NUi0fHFok/kDG3+wUDS/SRvRY5TZSeCS
0rzTYre90QDv3yjDbG7DCiT8mg/uLdAozAMohHuDBRdKSbUscBJi+4VZw3IS9nTRSkF06TqGE68F
pUq8OQAI+3if1U4FnKsoxKnGcQOyjDDWBJiWUhkQs1ErhLww0svp37+7MVvmAI4Bg45TnD7TiAV5
/73Iv37+1gdyGDfVBDUBiPhjDJXZEljaTJy4h7quD4nHlRt5cRAwZdMnnflLL6FuCHkBcZD+VFD0
AQ+Zu+3Kf5EYQW7nvyFmmYXAg5+kgvSnjh97ue8+PYIJagAEDv6Bmsmck1/3uGzSlomT21XHuoMe
HH+EP+JnvwPE3FGqRSBAMi/esGOpJaTsxvFUd0eAqFDau/77Uz76MSvB7zOgaMAXx8+z2Xcmg8yE
gP/kyezDoGd/BBq3sTqGZr/JzXwFCbIYzEb9GUcAxIPmQGwnNrVEj4rxhD17KOSdC8d3qScevLE8
nf+LmUM5caLbgxQP77+PK7iGUamLp4s8RT9qY+84KxO3kOmD5zW5O4HwgG3izH6fKqPMs1YbT2jS
nw0K5gl3ah9yFI99ZEZe2rrPZpY9aX107Izh+fpnu9w96ERAgAmND7h+YSo/Dm7s28gUhhAnQegL
/G2+wAb8zeDhyiAvz7IPYeZQXZO1Ci7mgzgNhf1Hl+2rQrX8+kimTThbgKj5TmRTlH+Bq5rWzLvD
LIMFW5dajThF6jvsEbZokgW95MGgrVmBLEZCj2/SkwM4kM26ARF3uEacWpwyQ95A8Svye6vxQfI3
gnzkK7fA38LFfFy4ARiAR6gDXFTsQjcEdt4e+amuhmqLSAPI4037MJAIgjcDHTeC6b6Z3cPPNfVa
p4yOKYPFIoVE2JMsWsA1aOJ6dc3UphLM9MD77A7X535hP05wyf/+jdOMvZt7U1UkL8HaObW5voH4
sfLyoTyqOj6bpHyVIC5ej7f0BeBUgI6gMT325gQ/wA1Aa2olP0UNhZhfpO1p02/Ggd11OQuux7rk
oAAKBnEpNFvwHL+ksLbCKvWmqvmJ0Dc1vCXaV9t47uWZtDeiREp51DPtYLVonTS/R2OlXrs0s++D
z96bLZ5ibiwafuIlR+ObDj8ae3geM931Vcn2Rh++rQx3Om7m6w12YQC7owiJK2+2ukdYzeWtwTns
WqCVCQwB2TdGYgVoFsHebhTpTZ0b6T0eiQD/tlbku8igPKslwsfdY6186aXzCdVwvKFgGXVZ1uua
vMj7WHWndoDLNa+1+6zP38Z4DXG8tKLex5nVPsZkAqPrAA+UzR0B6VHLNT/NY78rP+1ONS0n1KeQ
qkzd03nz1Iny2gnDtjuJWIt+StTgvSxL49/XP+PivKE7Chg9KB4X/GHWczUySbpT5zZ4qMm9XY+b
hMcrRPXFMMAhmCi/A9E7vz5wDHMnHCIMhpV7YcunFvZLUJBaE+Fa/DyQaUFLD9hMKLZ8PGA0YEps
V4ru1LhxjTYrHEPDYlvSRnp6a6+A6S8LLIDkUEgr6hQ2bBd2i26auYUa0+5kF1YwWtpdO5TnaCSF
HzpAISAD2uql85tWa6nsUioAjQFQ3ZANIBucT2dGQquT1OUn033StT2AkNhiZRDirQEBzlh7bYcI
J85KgXla2/Mdj+QGVqk6DNMuZORF1uQ2+tf8VKBGAyxfD2B9m+OVDg5KbsHo0QYEZwzjp+tLdCkn
mLAeyHpBbEbT9uM3zdxUDfBz5KceBwt8xp5Qcft5PcSlmjY22yQ9MOWkwJ3Py3W87Yw4pwYmFKLO
G7hTqk1IgN8NOyhAlSiyBhEAhH5k1PmXvoSOiQQtOdD6lsC2vLZQLUGZoC6RMxdC/ySfAscJOj1Q
RsDBhpvzIosFfWnsoHfNT6VNvUnM1YiOGj321uv1WViYaKB/UUiGnyt8cOfAe24BZpX0iNPrr2Px
RtpyJfVaWrcfIkx3yrv7HwxRng55ASD/uJ1ew6B3Q0WlAH3oqSWwpB9e0CrxGF0TcVq4HT/EnT06
igIgsIIhLq9fGjPyHR6wcM+zxzR8uT6HS5FMbA8U/HH+XGYcYYnC5nQPW9mPSg/iETZ8bxwtE/V4
PdDSx3oXaK4sIMAMN3I5+erR2zC5XZMbXPv52e3u6jxO4XnNTyOghqbbA2+31l5cXA3vhzBbDQBx
FYWhTTlLfZJIPe0q9Acr2xbdi6JlgJUCs6t0K+2VqVu4jHARYTvBzw591DmaklqhJoDm5SejLuRG
VGa3aShPbkHDWuOQL4WycB9NVwS0w+ZPgKQec7dCgfnkutktyPv7OLz9f6SdWW/bSNOFfxEB7sut
REm2Y9m0HceJb4is3Pedv/57GODDSBQhwnkHGcxFMCx1d3V3ddWpc0ptJfZbMzKbxzTp5LTwuurB
JQXtJW+V8T2Q1mgflhz7dCSzLaQbFbpSJqG7b956E/pNv1HlV035rK7pfq1Zmlzz5JAoBq2t85jh
jL4dGFsSQRAjeNUxrFeCkiUfPx3S7GJplZE+FHHkPnOHT6KnPRuR8uP6Ll2IR/RTE9Pfn4ylj7XE
VQRmTeep7qU/AkXaygDZh5XX3+JQDEiluZpJBc6RiXJdGH4Rs5WiEHUAD1Co3SPXvLs+mqWVoVqK
kiLdOxMq5nw0yUQqrgfTcypOrOe2pAG0jMQMxK9i2mY9dvdqoMQru3VpCk+Nzrzb70K/d1O2kBTf
gxz0FQBh90L6+uGhQcUIqS2ZItCy83ar0ofV0qSP7iGgQPYkj0V/I8aZeWtq6Nq15lA/hVaz1lr3
tyQ/i6gmzj8InOBRZE5nm6oV2Um0b+PqwpNefS/JyJdBt2sScLN1eyj01tb8o+uHR9ft7VVC34WD
A5Ej0B1QlnJZzb0mayyaacK6fKiUdNN5ZPf7L7Ly8Tc/RvjDrQgt4BxqV7mSWCRFUj74knUXeKCw
8/K+oQDRIvPQroYYkw/OphQJkr+NWfTOXbB6qkFXJ5EXlg9lEj5psStu5LA8tH70XaumdrAogpu5
hZukLTel7m/7pAj3131pYTNOKTL69oAawbw4y5W1CC+WA0yYYPrCd6v4FnTNGu3TQih+amLessf7
2cuQwyweIumGtP8xHPRNWLzIVGJyvX5W1ZVFlKdddjGtoJHBNgGiuiB3jBo66uhaKgBMetKdQaXE
2+Ru3X2KS7hnAJdWCEKq486rgmjTpEJ7dEUxghOopbskrOLfTQshEdBRX6Tm2Wg7q++Dm16tk03R
WtJzbdFUFCtN62/KVstqgoE0kjbXF2bJ3yfNbBzRQFZyfvErsZIpnqoWD0Gaf9eb/rVtqhdqjM2K
nYUjixOE7/OYQBdhDuFuek0ux1ovHqRQJRVyTJrPTf2kB9+uD2fJz0hhEqwDYeUlOrtcWovmZ8Nj
TdwnFPjMeOV5uzQK0vRTEAuC+GLjDmnT4U8FsyXsuuJT236vDBrCVu6UhTUBlQo8mVwH+YH5i11J
rVwcAB4/JLF2VwnVdmzqwxj1K2YWNgxPO3SfAH5x3M6XniaqKC1iTwSB1f/OffWbW1u/6sa8hyrS
pV7n5huJv9peX6FLqxO2EaQRb3W4peYvqsCoraHPB/FBG4fQHpvRtAtZ2Ogeoq9y5G0Ht7M7aVhL
cV86xmSWKheJTwTf5m+DuB+7Qkhj8SGHVuq1XZPi+DtZ54fB+fdncQDPY6KQnO8noLU2ujCiy+O7
td308YOXkdmFlqTp6p8yHMq8y76X5bjPBTKh0phuhbhy7VECuDCYD2MjbCxffqrg7wxd5SY0+6e8
tdgrcnWMx6K1RaV5Fbv8c++BUfHyQ2a2O0kuXqI0p/7d0vXv9TuXZHdNB5/S6F+oa9+R0AoAYNZf
0lK/iTpt64sVcjvJXdS2B+7/lTLTpSI64T3JR1hZWGXSaLN73IJfK9SjjgnP/ehxjMzmrssq+Zj2
UnsDSkV6DuiwaDe0FGaPEGH/BJZTvgyQXOobvTm4+nF87/wmj22UkaKj5eqprefmzxLGMLurm2Fl
N1w6yN+fSbyD4A3VuNkCCmqTGQB39ONg0mP71bOvuz38VRfXBaIj5KWm7iORcHSKJE/iXqOIkB+D
pfmYmnqyLQIYxcLhawWNnyJ1u1GY6KILzy5cgHepsodf4E4rlcCuC3T7mvqHXruEPqX7JBjmba+G
N2la3vIpOxMH6E+zrRkHBJ9whm9rC9yCGTX20JNCKE3vUazr6A4SAW2jxepveTA/eZkMJFIunSb3
7pPYeiqy0vvUZ+Wx8TPKMkGx0zO6RcPgECpD88dTCmBRblgBVwiyTY644QbW4UOfm29pWIfgwvsH
v0cvOJKqnSDFn+QpfAqUQtl0vsoNaI3VbREMULR2qoyifdzteitQ7CCKbPik/5iQ6fc05ZoBgkNj
tvVrVG6NVgRAo8MyHA1BvXcpyIBE8uNvvanft2n9FmiW3aXmrZoXj5pUHbUwhDXVf65r/7Z3xVu1
tj65gbYNwupO0ZU3eGpuJ8Y4uobtIgZ5VY121MV7ZDKOEAvfhFnx2XDL21Hz7kc/3mckf8f6W5ZJ
dldpu9YQjn5gciZ31k7rcif1hptsMD5Luvsc+y1AQ5go7GjU771SJM1fdN/VVHzLlM6mIPGgJ/Ku
6CzaWuOHNOr820Ro6Wky+53s4wWmvPMD7YcrjXeiVzfb1Ao9cGeQvfdD7O8zyYNbTggeRiUkpd+F
z5DF2kqt/hBSzdir0ZDbZF/9Tdel74pnlHdFEB70BvkmMnJ6Ts+vMthRE6sHROluVSOhBXIUmWuo
qm3XdL/Db1vexaUlgQYTgRwbnQ2QTt3QbO5vGy9/7+vE3Ouu9rEGVRJ6E30iEF242chDzOHAgeuL
gEOl/qjr+bbqH6qAghxcgJ6/ss8vL9dzQ7NIlC4jzaiVkQhkBEr3m1qq//Hkw6kJgOLnO73Rulbg
Vdsfg2EL6Vte7Iv6w/mNcxOz0ypPaZ3Pp+mKkt3YHjLhXVyLdcxZtxRLAr0VRRYoIGm7u6DboLMv
d+k61I56aaS0Yo7lQTabl5RuE8lXthadqIrVRPYojt3eAtW4l/MREKAo/JSrYZcrje1GfrIjtN2M
EOZuaMecTvrbVoieBT392vSlTa91dzv2ccyR4fn3YR3R597XBcghmvSjsXjts0651YVwW7rCN7HI
nzpBhMuke05G5QkspANR+H3QddGxl9sETsjhWbfSXduoB5kTrcnVr24Uv1uJj7hwom1orZW2Ullq
8EX039Owfdek+l4W8+OgSnbQ5kcU+W49WPMj31I2ZjDshzp4p4jDvaxp9wHl4P0AvT9EBPJ97cMO
XamfRcSltbLYqq2yFctyr/otuSfQ834rfXJV+SYIxxcpVoCShtY9udKX6/fLZR6CxQI6AgMtXVMX
CXEEiKm0BK1+1OqWZ4hR5BvYxp8bOXjORAEuTn0loF+4zlCHp/BhwOg39X6eO3mSZhKyyq12VAXr
XcqyN39NcPhvyeY8pmJM/5n4myw9uTEDotO66hvtKFqV+MAkevuMxN7bIGQA5qCSIJDQFFsS9y4l
3cF+bEv5VgxCcVcmf6CKO6Sx3QjRBtmyokAINNCOWVOBEwKS+JCIJW3pYG2Vod1lSTHaZdKOX6JQ
qu6jIYkO19fnMuydmoEpgmvUwaHKmR6TJ2OJhihL2miUjtY4ATp933TvhrSvX7rIKjYerCIcRP5Q
H1Nknj/8+DYnAUSQashdTZJk57bFssgjDTqHY0TA71CSjPaKqXcrTy99GsL5cnETIL6kkghbaPUx
Zco8RuN2Rz8zrftCKYtXI6mT26YuFAjywuFAf7v/CjRBcIpO0H/E9APcgdOTn1JPVO4C2KnuNKEy
v8ANot2XQR3tTdKe6kYzfBo1+wKEKd3xwcuQxv0u8rQfWSl7L82QIfIk55Xn9KHYPpMJ0XZa7MFy
RalK/CLnivizchMketqay57DyZG0kUYhVdS/uaJW763MsF5NV+ZWGISUdGTR3RsIAtyrVd5+Kkw/
OApCUIAsjeqbQSoMjhe3hu9ICj41VZ/TwILuatW6w2fX1bvXNs1xMyLt35JcwcXCcbEN4OJwN4Wv
C8nWynQPUcW23GVgjA+Rlq7lpqftN1sMTm3yZ1yo0HDNe3qiUO14h5vtUanqr6Xs7wqt3ZqFYqcc
3YlW7MfOfQY9vBLmLri5zvuKpzGS0KQNZ65mVoZgBnLQHTOweE3wJwte/fo29kED0Pyead+v76rL
9zglQKANvC/QcrvoXIJQpbCEWGmP3fhElnBTG59S9U0Sfl03szQqWHUVhSwoeMj5WTeEAozFhtse
9czYuh76AAlK2kYf/RRhaZxoY76MkE2snLALgyPDwGYirUw+YI524LlntiZJJiKVXdM8tsltqHxS
1yKJy3McuMrECgKTBnf9HMhaGG2Re2Y6HMPiaUgfP97yAyxPA9ioTsI+FwJQXRtEdSESqCRWR14r
UoWN1Hhvol6skZEtTRdBES29AG8u+apRmkuM3lP6o9S/mPKeHdUbn7o1nMGaldk5jstLeTcdFIYS
bIQqOsTKt3qq/Wiv131uIU4FW/zfcGbvZwHdwCETMSRmf3iDpdknUXz730xMrnFyJ/UyrCARGs7H
yNp6/bFSt0K3kjC7DEtY/ikDMDWaXtJD1JHqSnUyTVfF2R0huPR9Ej4HDRWsXLALCwPjhjbhMCwZ
ifNZPJJLfTPWmdQeI81o6YsQx0Pk6sFjECryDv46elyvz96yQco+ZAum2Gsa+snsxVlWqk2ut0cv
9uCRiW5UhpWCrnJ7ayVntjCLAFyB08jUJTRQGeemRG1Uh4Rg4dhWunw7NsF4SPO8+JX4Vv+i1GK4
NfqO/pHrA1w4GYCYTMlOkCCTvOG5VcXto6YQ4vaoqZMs9SCK+9YYhJV1W/BzDXw42J0JtEMi/dyK
ppQNWlp5e5Rg+3SKfohIh3nSbmiUNfjYX2zj7FKk7Ey1biovgXid+UhEpw0N61F79EcahtpEzTYS
nIKPjV5U8IyOys9oqGlNMjTvoRxH4XvoR8GN2uodkNgk/VaPZnDnEpLsctcft2kNTlaIm/DZai0y
GpnkkocTo41Cp9hGTzS52Xp1Eu9iFPI2fexDLtbX1r4psmLft7Fpd+jW3RPNNNvcqsUNUUGHanr1
s87VFkS2wJ5psmI39NmhF3se7G2ebzslLW2FIASZm35X+jFkGmYUEGL1aMJ56jYPNW+v9hoFrNiw
bgNlqiiMvmzLhaDdNmnpb/RQjd8gvfgt9bX22+pH+oDyut7VqtTcyVLn7gK/plknLaJHMW0ApTUU
zH7TeSocY7NGSUeRQgja9LLqnurQ7dIVl19yC1wCqWYdnPpFOm7igR9FOrqPai26xy7LqvcIXrx7
qc7WBBUWQiWqEtP1jq+TBp/5+Vi6ueK3UXeshCbdjzqSNJHbuo+FEA07KC6VnVtnMeI1sfubh4H/
DyOF/JFWKG57jZLj+QaIqkigO6DsjqY0/CwbiEj0sPySePFak+fCKXKWYpmNs5FQmYWksT/67gZu
lUkYoX0awsc23V8/OBZORuh6CJZ0i9NKmtdQ/biDXABlzmPtg17xHkft3ZOi7ZisibtfGAJ7z1PK
YO6oYPDqPZ86ej4sveiK8FG17lXaIOuvKVAZ49sHh4MVSPQBaVOPIfybXPXkoJdQnTAiXQse2/Zr
H3WgJhGXMg0AbsGKKyyNBxgO7dc66s6IWZ5bCqNcpQ7jBo+hptyxXAe1zRBbzO5ifU3e4+JwZ1CI
IXIc8noHsTl3hlYbadPTw8ch+WTs83Hl3r/YvnweFSY6vdEFu8wODHIuuwnw68dSoAvWiD4P5D31
alyBq1wCzCc7qGVRVER67AK31FsieSLkyR8tJbGVfK+mJKpfgujoNs8QGYT1Sw5zIIWfTdg/Q2i4
ckVebKm/5mndmfoZLvHtZp1FSS3WwWPRGVOG/IXu2PeGwkroItcEf8J1T1ycVV5t/29uFrABrM1j
X4ODLUIkPU7RS9G++h/udpqNaebuotp3iTa0wWPaVRtDubOqlf20MAq8TjGomqPxx8qde7nng+9Q
O0ZRBOrWSiTaAL8k2e31qVrwb4wYEmzJtABevAyFyPChRjWheYu/ufqXNUzFwsKDX1OpE8FlQGPJ
bPvgd2LBzR4+5iLJAIFq56fUU9vvkMvpNoJnhARwoNrXx7Q4cahNI15CvHnxVOsS0xs7ieMBep6t
bBbbwbr1/fjjh5AhAqud+mWYtzk+T9cKIe+9kfVHLKlRn9L+S1hNfLQrK3TxqObVjpUJwMu/F1kp
NfHlONCM6LH+i2g0e3Ff565lQ6n4anKu03NPv7Ma5trh+jTOKclA8WIZ3LQpk16cfsK5AwpFAfYV
rqBHlIV2kqAeqJLvhcx87+Xqts3y36WmHSN9tNUivZebP9fNX64ir22VEVCF1jjpZ+4PWWlsNmKQ
PYpPVb+N6433YbAN8KUTC/NadyqLNNai/fJI2Vh7rosi/d5HcrvmKIsD+Zvw44gnbz8bCL3VruJL
XvbY9/v0V9/81s2n61N1uYnpuZxuJ149CIbNQSNtY8UFYhv5oxpa1TbsVDSacsRrrltZ8AfMoDgE
4AvYyMUTROnlMCqlMn8U4/jBFWVIOv1dZn1Rwtc0VO/NUbJ9SaeNgEpjvSb3eDFGgCrgVfiH988C
pKTTzbEIpfGxqlrrtgqFak/tvFopx09rcfbymVmZfsVJDCNM4hiJOY6PqXsIBhAWECgmg7krktss
PqhjveHyvD6tF8EMJknEgJQh70236cw9itGrtEROxUej7d37lDfRY9K7oS2DY7UtpQxXnOXCHmw+
sHDAIkxrm0wd5HyIyK3q0Gk0xZPuVluFOn76WlmvrpqtnI8XC0aHCcqtlHoA1ZHunrbFyVSKcu23
QhmET5m5TfQtCqbX5+1iW82+P43z5PtjbtSU0fm+TNnM3Fv9zko/Co2dTBgTvgiPJ0c884ZeC9NI
sNzgya8Nu6qtjZ+tlHOXBjFhu2noAe4Aid/5IBI9F9EWTYOnwvxEBZpOsCj5aIjJIE5NTPfLyTy1
nhChzpMETy1EBtkWUlBv7ZZfWupTEzMXHgxokRSfUejk8BMUJO3rS73y/b8V2JMhZAHMMJkeB09q
/MdL6Pnwbq8bWFmGeXKlNwa9tDwGMARvev6nLcutuKa/tGZjlhE1i1yTjRgbTbEVB/Khd+qwMk/S
wt5mrdlyf9k7ibXP13oIBz8XCsF/MjLyIlK+RUi90I9hetu4sFSCeFFuZeu98X83OoSIv9Pgxm/2
UblGkrk81v9+x2xvWkpbuank+k+jbDfyHvpzvd1/fMkILUlITqIaF2BdKBS7Ia/D4MmE61Y/tO5L
Ga4EQEujODUxueWJ2xll2xpR5AdPGSvmUZ+7IdF0fRRLC3ZqYrZgrk8yFHrp4CkwvkrIacOCVGz1
tUhuaf+cWpktB7eB5AmJx1y5O9SWCvFf1mJqh/n7UOGdeT5RwQRR9CLFf8rE2yLc5emhknbXJ2px
CCcmZmuhhGbdVrGMZ9cbRO7NDzOHcUqSr6Qqq8O4RiPw+RDoto8KZDz9J0/fCOK2ilZuq8WFPvn+
7PfDVt9krc/3G+vBSzZh+mAGm2Gt9WrRY0+szNwpbVItQCTBB72+l8NPsCbJa7Hm2kBmvtQNtV6W
icFCfDW1rWlurfAu7VZilIswbLYas2uxM+N0rFNmq/NJi5DxjXJULbTvjbprjCdddOLs+R/862Tm
Zrek1vtgdSxmrh/2rrEL147mRf89+f7simwVN630fvq+skUAV49WbvmV789R/QKkaGZg8H1IAqrf
8bhyTq19XjrfHkodGmUZsiCjvCm+6j/+p8mf05/IEWQanLX+U13fUXKH7eL69y99FlZ0EpN0xPN8
oO/5/Nf7Pnh3WgJFR0zQRRmj5PtgGb+UorspFXo6rhu7nCqMqSCTCHlJQM0PQyUGxTCUjeiQEHCT
b4m3JuB3ucnPDUw/4ORaygKIQUbUOhw4hTvafBDqFevIvj6KZSOkJWFLhVHpL4jlxIhsohCi15bo
DGpqF2O9HYVntVoxsjxV/xmZrUukKKUWZr7kQOgHXSN7/PogVr5vzLw2THWhGSEadyq93aQ2kLd/
MYA8AiB9A+qeeQZB01sNZv9AciL1JQh+xqq54rmLy0AChp55EiEXKRgAA4VSAUdw/CDQN6br6wdZ
Mws7axV9/w+TZZq0sfEasS7oxIuuy6VWYDFUvQIENmw15V9m68TC7IyFe1b2xsIUnVLMX/wwe9Ek
ZI2uj+IvKfnZCx4SJZYCKhWYOi8baBQRhKNQG8yYHnobNSzeadS8L4rqVfCVjSGN6tYrq9/ZCPLP
94ObVs9u3FzakFHY6MVazmTp5AHJNvUFTukZa+aBctC0YtO3soOkSPFFkJxKcoo1XqwlN596+6FU
mVrv5yeOOAwGMCtNckLFT24AKyR2kRtrTG6LVkjiguwhB2TN+ZUiCxUrsRIlBx7KjQeVwRpQYM3A
bK7MHNagiVHcMcL7oP/0L3tVO/n98vmxWaqaF5XDKDmjC9Dezt6uO97ar5+dZfAVasgo8XnBuGnz
22wNhLLoSWCNqb1OXbrzfqAm79MoaVTJydUtFefKerSke/njLwVI9E6szCbJLRJLlFEvdZCmtKUm
sP9cn6XLtlW2JwMA4TmxKuFH56vgC1ro+UogOkHypkkvqR4dfM3x5Qcafu7pfNtoNdxucb/Nxsd2
DWWztEYIW4ASg7YGAdxZeAxNZV76hTk6ppnagZfaN9dHN4Wl87OHTDW18b9CL/M0ghdlWQ4x7ehE
feYGG9K1SN0KUfOlp5tn36KgdKsBo10p7i15Bsc10FW0kC8RPWkoNVUjEQ90Kf0PSMGPR62S221W
a80d5YtmBVO/ZG+i4qEkAGjpsjNtgH2r9CpuVUk/JLV5U6W3sb4P3ZXZXFqtUzszXxwGMdGyoZjG
5X4do/KmzIYvH18wJN+5RsH2kZufOUQB8mm0pGF03CE7aPRKayIQDrXtj7GsASSLP/4MZMpODE5z
exJWxb4U+jC6j4hif9Xau0wv7Hz43EIif31gS3OH1Dd1E5gvgbbOTyNkCCm1iqIjQ9rawKwKI/M/
WKADXTXg4TAphJ2PRBmHnEB04Ck28dnmBx8p8esWFmIfFArIUHN1UrSeJ8aDPAg8bZz8usu3ruLk
urQJox//k5H5rTbEdWmEPkayDp0rSNJ3eWI0EPTK+38xxOuDo4FG4jniN9R7N0qmZ4FV31TCL7f+
VHafr5tYWHRu5gmjN/1BCfd8SaIoCQJDiBRERL961m+Yua9/f2Hj65wvZGGmM46b+Pz7mVSPyHPJ
oxNmx7L6CklxhA5TMjxfN7Ow7oRLKAfDqjBddzPfbYtCygZBGJ0A2rL6Uf+aaytsVIsWYGuQNcWU
p8DpfCAor2hDpaujo/T5Lki6Y927u6KMvn58IAqlD5Rh4NfgUjg3k0ulag4md90oHOEK2RojzTn5
SgVhYdFBksO5RBYPvao5+jnr01EBb8cRlj0g+Rv//ocxQHcztZpZE4PX+Rh0wYo83wzZ5rm/F8rW
SXLrdXTFlbN+aUXAo/5tvpi6rGdhwdCBh++bDtdq5cMgtPsor78GfrRS0FkKP4AMUa+HBJe9eKHE
XJpRqace569lge6ShWGrxMGtWtV7iL/rTR36N6kn3er5eJ+W2c8SprRNE3ov12d1IVDgZ+CBzCgv
xzkIt9ehs9YgJ3Pitt93sf8gaMmXBk1sxfXJcA0rjnhZuQVcjINM4nATWmEOw2h7VXRjmjocrQvl
/ZhL4a+mpC0oINyz/aJvd4M1xtteF+KvZWPoduaqXbmBle1fzhDo4Wm94lin0Xx2hnilSd/b9Es8
v9+Uk7QFPUleEm2NcGWTX3JETYOmzQsMzdTRPj9xBy3xiyrWRkfWs+boe9Ebmqu0o41R4x9iPcse
YkGBWrNUq23t6iY9UMY/PHnZ+DypJ/Y1Gk1mZ5nuxrmRNNLo9JW/U8z8qVaMlZL10ql8amJ2Eadd
mMLbqYwOKYGN3h/RwbVLL9qG3hqB5dJRMz0/6J+jAA+j3vlZ4I9W74KOHB1LAQe/QS33+q5Y+j7B
EavFxtAuNmfUjQBBxmFwum3rPRjiSpw8XX+z6JwNQNQ/ERtAmjNbCyvkjdzKAU1NcX6jKe8BRLKF
9JLQc9R7z1L7dH00S+tCK9k0T39PttnJKY80Y6WwuTifZONtvxW8t49/H/gUYPcprQy9yvlqNAVo
hDSqB6e+8Wpb9x9G+SHwV6KWhSVhE8lTr5IJfmuev+AR18M+PGgO7L7u57B8vT6G5c+zN6ernmBv
Pkeq1+hCVGtOmryn2m1grSVjF9ac3/+fgenvT+LtVKmEMk4xwFFwKOWSUbS2ZX6WNbh8vWLbymsE
BotDosEUPihooumGP7cIGVQHTXisOaWPAMIhWbnuFy5KMmh0AtDdQGgvzmas7toyhXLScDJ65tkn
T2lof3xNTi3Mpixq81avtMpw0hHZ80lsylh5nKyNYXbZN4EnQzVcGk5DH4C0E0u7WtkbyxYsyKwh
jyIVPy3SybIrrqJlYAMNx6/uSM1m0b3srhxWC9ubhfjPxPQTTkwIaSEOFZk30vwWalPTaahG72vc
YkvedGpl+hUnVrTYlMdyZCCBeGPEB3mtYDi5y+xMNDnRIYSig27CGJ5/39Iz2mXa2HA0/7ue3Zn9
IQ++q9/K8eMQDpBbfxvkARQCqJkdvlLaWImZZoYzxt8q4beVfzwpcfb92YrnRSPpnLeG45rtthN3
FXgjV/2VrzVBLE8YxzrZ1mkcs2Wnz1oO2pZxdNKhVW9c31ajvfvDanbXd+Gie3F3SBPFinpBkQ37
gjCQ8NEdQfsBT3RFr4W6DV+vG1n0rhMjs7OqcBs5VU1Xd8TafPMT+cZwm+/XTUzzcelg/41jtu7h
IIvoigm6wzPsW9FGey9th03v9jfX7SwNhduQXiWEWWkNmNnpMy82WXPTEbLNUNjehzHFBOnTOtBj
Q+r7gpitGK1A6gd4kSXroNGr/cvwPj4CSpPA46ciJRIQs8hYVqu27hRdc5r4rvoZBCsOtbAQxNzw
VPAvDc/zRme9EK20ajVuwrzdhuEkJnCvtJ8/ugro4lFCmnIEk9LIbAx6xxNP7UPZAbE7IOXT3l7/
/uUgSD8D6NbRYeEVM3890HMEdx2UIU5lhFtJcXeZHCHGrK+E1JebHDM6YhUGhPxkBmfOZAZalZWS
IDs0lG0KYa8bT4l0X0cHWXy9PqDLbX5uaXZs+bUOI1GJJaF/sYq7BCyjBN4oXpN8nS7t8214bmea
2JN7JNdDIcliS3akSVVKeWyKeJPXTk/vYFne12vMbEvDUuCcJsymVYug+9ycaZWqF0eG7BiGhxf4
G807tgZiTR+mMiaePzE0T7FkQx6b4mTIhRGob95LsCLXV2jJFyjncwJPOfaLbdn5eoqqaqE5eVLY
oxrBvhZ2P3I4F+C7/iGP3dfr9i4PMg4ADpm/rxRYsGZbSCg8t22kvneMzvgV6xw1RvhhrMh0xqBi
SYmUBP78YSwpmVqFsdo7ofbsw8DyfH0EC5sUFVtRnx4+0wt85mt1XuWy7/F54y1q7kv/GK/1sy3O
0YmFWdSiGU3SQ47bO24EX1b9MqwFd0sG6Oadznn+w3l27r+ibxqBIqeDE0JNlNf6pvXWuE2XZunU
xGyLJJ6po1CHCYXIEbqNjvxg3G2vL8VC4ofUA1SmcLYR7l4ouXvZoMhtgze11a3ioqiG2sZB9w6e
sGU7alBY67a+VuRYmD3qazDSKASUOrHS+ex5bZlEZV2T6pY7+NLR/fuHycMCiXTK3qR45pvEVYdK
apQMjI33w0QbtS/sdo2JZiF/BBif5C0dFVP+cy6aFMeKGzcttZocyiNt2EdutRFhc0OUzmuOHt2G
UE3k2YcDWaxS7yB9DyycXN355JHoNf0eBT+ngm2A/uufHeqIYorQqC6tZMgWXJDpo4IzsScoZMPP
TcmBlkhik5F0tW7S9ncnPaCjfd0Bl1zh1MRsp9KpCfy8Kci31gL0ccOxqqKVmGDRBDUushS0fJFo
Ox9FISRSEQkBuc0QRqc2qx9ksVuxsXB9EliqkH+AKKEddLZZ/bSDCa1iGEJn7RMrRgiJnu6kfY8L
13aluN0EVbFyjC6Oi+IBaREQ3RdbNxJCnvkpq6PU3kYjQ/nr+tIsrD7OROIIbYypdjw74zJIbwI9
dwcnC44iouN9FiKo8PGrho41Pk5YC2nB/CDt3N6MKo+UXjwKdliO22TtobQwTWcWZkszVCMt1BIW
WBHzW5OsnKDT/z4LnGg3onMWAgveyfrMgXMQ6HKpCbXja8VdlgTqJpSyTVoPD0UoP5heoW8iCfpG
ay3RszQuGnTIhQLm13mcz9wa/aHMb9KGEKrbVlOD+MexSeAgeFDAdkUcwCFwbkFx9UFtBr9xhLrb
aNU9lBV9t1Gs3XU/W7qDsIOYGQ3UpOLnOXBo1QBFCNhR8u62yfZipR8n5Zn6jpauG6n27ShNDx5y
gVb/ft32tDoXq0fcxkU7yR7O3yPUq0bBU6LGSYNXYYy2cXM3NCDb4o+Do5jLE0Ozl/QAtSTv7Lhx
Rl0Jt1G2CeNirXSy5BHKJOFHcMXLZA6doTwUGDQ2d04Sv8HWZkgre3VpsmAjUOCihav7gkoilpve
yyNKfAXMlRM7ntTot4pn2uMaL/9CTD1R0EysypTigOSee57niVqXJGnrdNXz6HW7KP/uCRQvXG8f
5N+uu8DSMccjBCwur98JR3BuS1UTXU1rvE/2jRu9r7NtEma/BFE8XLezcEVQuvjPzswDxqqVukYN
Gyf4o6M4Uf5U3usuOxY/Vw6kJS8gUQdHFKqUBO+zY7vOwiRW8r52otZGIrpY2a1L00XHG0wz3HYK
zPvn09VFQdKmVdU4zRA7PS0jblE+G+bwD6MA1YGbwZ4J3kw5N6MDVJC7RGe/RL79G9YL+/pqLB3b
E8v9RAoGjmCOxFKzIJa6wG0cMXWy8I/avhHAS819TstC+G58mMkDSBmuTJ2ctCAcZLPhmIJSpnHM
OeNW6Bn738r8J1rIm2YtXXDJ4zAzNHnHyTve6iZxymoylDwoVWijhno/ju6NouevhdJsIMN9VKNs
n4RGir76rxDJXRZ5ZfUWyuiMl57+KRs2dZLOro5KzM2xhu/GQR4NJs362MFF7CXittR0wOi1XSfJ
GyT+91WbWhtgozeBqXy+vsRLx5U5aXpRjaQzY76xc9rey6xhw8kNTPnxDSQthvE1c80VV/r7ofkl
Qhu6zOaGBP7isdHqsdYLLieI1hl276WfsqH/nHctTUIlLCeDbiehagfpm1l7P/qm3mRaYpDqSLel
aP6URcOWM5RXTUqaUnTIlfjRSKRdBZvw9QlZ2rrgfvSp8YDH9zxIbVKPknvAhMTIUxf3EY2SJjQs
141MDjabDIT4psSBNgUOc+gMWVxLA7Q5OKp4TKWD9P3jn1dAmdAyTMCNk537d+bLXqPmcu8EWbXJ
37Th4yBjHowcb1yicPXCYn5uYOx82dVSfn8GE1RBPgzI5PUhLBw9E2/+xMk0pVjmmMJEjDzILrre
gXARid2EdPRTPfxUtM+++AO1ILN4uW5waUlODc5CVC/PLNR1eOMXwr1QyRsz+fovBkjqcsKx7vPT
jRonvDie2Duauistu/8/0q5sOVJd2X4REYiZV6AG29V24bZ72C/E7mEzSCAxCdDX38W+N86toogi
3Cf6rR1BlqZUKnPlWn+wcfEKBaoZkS4QTO5iALXV2NPoO/Kcun7w7BnvGdmomq4EHDP1DaDr4CXy
8Ni5XvXU6DwOnm55Rjv9N01Bv1uB5d8HMJLyNguknR3vT9mKc7o0uKTktSzQOeYNkWeX6QEb97LO
Q5F/1ruPP+Gv7Cyim5FTt20Y7FDP/6RP3mOT9W/Ql9//d8NZBDcNgUxYNSisEHTpe+PZad4q+X10
N4KPtZ0MIiwgolzgF+Fwr5fJcOqM9C0iUJkHyj4l7dv9Yax4SPTQOCjLz/BFbwlm42ooRJ3149mC
bkYLliNAJMct2p61QczyoWDkQBwFlvbrQTjW9H/HsVJ5AJ1AzjeqE2sGkNJDPhrxjQVAzrUBqJM2
Ohua4dxnCC/bbCOQ3fr8wgU3ntkXXLUDOAYj5YZ0K8JcO4uXP39xFvUcODs14PuetR8gk1kdCHkU
YjdslZw3DPnLULbhDkR0YMiEFgMLmBf7U8hsZEA3XpnrhtB74+Nxe1siqLzO1ryMD2fHloFv5WHq
TAF1X3XFgrH//vE97II4GI/2mTps+XYauIb/z0esvvou6GdPPwlrw6ms3WAXJpYTh66FdvQ9OZxV
mx8oznn32rphw5+YOM0KE8PWlljzlpcGF16sqSzSUgWDjvy7ZE9DfuL1d7Z1CaydfjybUJVEDfGW
yk2bXAtYWX04a+A4ndC+ZGVa0KLl5P4CrZ6fCzOL84Mad8KABca24xDNAGmStpWNXF0fMLciHwV2
Em/J4FICeD82KRxA3ejDE5Wy/uR3ULxMjKZ6ckcXTGG9Lo9uO/lHsOPaG3fb2jwi+EdqEuhsH+nJ
a/9jTxT5fUiGnHnymeiP5hjJrcbNLROLiKDls0CMDxOEf59oGhH/M5iuoo8v1L9oRgAawRa2zEs5
Y11Be8xAEcH93ka9vhHKrtUPABqY+RAxS2hkWexqiFZPiVA9Qe4b/Pt10EJTqD9N7OdkF6Aw/dvy
qsDNt8BV8/ZaBuio9YIbERXLWzx4bVlj75kjOffku/SanSDDXhhPPmRLGhJ2IEq8P4trSwVSKKgr
IzIEm9DsHC9epNzMJoeBg/Tcpf4Q4vZjz6NjyRclNG1jwW6V5BDCIQ0PITlwpoOlYbHzQNKAqtCI
so8np33bvuR6jPLCHqns0G6ijqiQwdGbQxs0SGZr+t7VHx3tqIZdVSaBRX6I4dRVP/Ue3Ur0AfRm
u/tzQdZOJppuZhlkRP83qU5P+FPVmGiNUtYh6dyQJ+QFwlIhnukhSFmt/IDeWkTCQaL9bVsPtI7h
LEJrRBhixlI+IACKBNtKkRtz+uFmTzhweUhS6jPPxfUatW6VUI+hGwhZA6s8+bkXdPpR14a45FDE
KWKnB+89D0r3NNafcv5DZSWgxDIQ0DJJTP+x70WgNenOK16Gvoi9lkBVddgI0teXF9M3wy7QKrt8
0be0SmRFsLx18cX3smBSz3r3qup6P4t/CQ+puwTif/+UNvgrT6UJ5YBzNmZ4/FeRQZpdw5zQdsew
4EmAqkDsbFFnrez1ucVirgNgD+KdfT2PSeMNYwJ6MFRT2+l14kZ6SisTAlAg4N3YSivHGPkVtBnN
oTCw+4slK1Kp2U2LJRNaK060Laf9WMjpEYyTbegp0b55tBevjeZrD/c38aplAECRz0YPzk2tyzao
TQrUdM6DB/IeR4/I9NxOz1WT7gc91FSzcarnSbvanMjLI9sIcBX6AuC1Foe6ItBgEEXZnXPvyZie
/rk/mpvQAl+HxsK871GBwtG6XrJJadagU4L6Dbf9sOppFgAP3Ie2SvJjZdF0o8PkZoss7C1vLqjn
tYM/dOcBtAygsjaCSgcCAtnAjWm7CTpnQ3NlaqaFhADsfOYv/O4MDKXdMPZnApbGsHVS7wlgEujw
aPm7IbPpgPnewkWtTuZMLYUWGlSMbny9z0C77FjdmYyn1iJQ53xS/B1KMffXbG1HoE33P2bmHXox
NEQwnTRGmDErO9IhiZaN3+9bWFklFA1xuuY00C3BeeuYTEBRsDm7KvvSq5q9VkIRyDQl5Nt9SytT
hhYwA0hkPDmRrl+cY690gK3MK1hKnL9BAfOilf5DMrCdZP0WDdvKqMDtB7wFYkIILCyzHFWuiJvW
do3+v5j3MWMPuvt2fzgbJpZ5DfSvukXJYYJoj22aBjV5Hrb6i1dtGCgQOTi4c77pevlL1FOzvE7E
uc3dAbmZUiKIAeNkmSh34xCtrA5cggvZH2xp4CLn+/xipxlpPYEcWzQoHkNT7sFWx1YeR/bj/qSt
HFWAE9AtPUPRETgv9kCZCCQEQVZ+9mVplwHvyHjstdoICFI3T7zL2NHpVb4BJLnx42CthnaoDrkX
7IcbunZCdaZBa5MDF1GGIoWsGD/rzh6qHBDYe0o/3Pcwm0MFDIApNAoiJ389lTb2hdUNCT+PCuor
7XdWbiUmbqsO/166M20lSvFINC9cHvjF+9xMsVpMPqLvRSRPwn1xCRzQi4WCVfeN5i9J/VB6G95i
xR+hQxxBJzYIDvEybaR6NkyawZuz01H6UGiuCj0XKmf3d8ntewFEIfBJKMjPrZwI065nsHbLcRwc
xc9p370xYnyVBgmlmUYJg/CjD0lkyHxGpLan0M/0jTf/7aGDLiuqisjAoqsE/uraOElAdTfqQ3lO
CxlRPQVJih50/cZ5u53JKytL92GZJa9TXZVnv9LfByQSE+Xt7k/j/EOvw4lrE4t9mNkO+MIGUp6d
8p+Jv/Yo9YMw52D1n/r0L5Gd3Q9DnNCifjFz/+7aCx+SCROK1swoz7PWH3EDjWyBd1dnDf4D2wI9
yxAGv14b5Yu6hZZEeeb/NE9sw01sfdy4/njReVBAnfBxajxNJJLJ6/31uHWxmJ6LH784tEyHPEqb
Yz0077F+m5xjWRwtcbxvZHX3OsjAeeh+B9RxETGkjq+ldmuW58J9TJvTlD059gY6YmWe5sQ0mj5A
i40wdR7nxTK3lV9Rp8jKsw52uEAWG9t2/fMoiAMrBbDUEnLeFBzc3xotzyOJmllxNtvKS93eQvAr
M8Xh/1mYf8HFAEpDSkAmy/LMDGc/MriWMjuKwj1AkfU0TeXGuq8NCKhpgMCBn0eEv/BmWd5DFhf1
u3PHvWAwaUhJeH/Rb4vhcJLIg88P7Zk+eRkC6wn3hmIcMSKaPEEi91uqylNi9+DQ1Z+0Tgs7B5zN
EGrJiLYjagzHmn/KnS6+/ztWLtqrn7GYWNOtWp9TvTwrW9Iwz8cXwG53Le8OrubH6Fn4nTdq40q6
ZXr9d+zolUWQBC6WGy4GEId6WivLsy3d8+izY9bmJ3f09w14HydV7myZfRqzKSC+iMwWIp1jgSJ8
8ZKB3VJv6K5Gw/fGDbZyCsmsw4bbC8j/mzuk7/3WUYbOzmRqgEw5C1VFTGxVcFccPKz4KEbaYN2/
qUB3LteGyXUZMF0n6DMnxktWvGaVE4qGBt3w2tAv99d31SCeWKC+mhu5l3k89C9pCjT45bmpwNHd
BtkEpQ4/yLNPjeUGLbTEtYZ+3KGBPNtEptoCt8NNu5GmcSgvdXAHZn3s2W4iKRrlN/Itq8v1/zaW
vRMpx2uuczCuDPlIL4OF/K9cbanprFgBRBKaMHAF6NxZBm2eQhrbKd3qnFZfx/orLd+p8X5/gVZc
zZWJxQHMleVSMtjVudePvw3/cP/rWwOY/37hNzscpkSHsi9Iqk4OkNKW/bdW9Bu+bOWWvBrC4nbh
0iiIWcNIR752enkwoQE0ZFOYbvGEbhlauOW6aZoRd1x1tiG5a0YpcJj0oTS3tu98qy+isKvxLC5k
K3dMRSuYcVQfUvrLZWUg7AyK5HvUD3Yu++HWSIZWVugN9aFyGGTADtWQhAoi970WMkS/+kkvIQ+m
nWrFooJ/x2stHKQb+D49TnTYeUYdjOA6rR6Mcm/k3Zsi015BbbyuAt/4DeaVoKJfWTtFlVEhRxfV
LonSSY+g3X3w7F+6/EKrNKDF66T/GJGp6bgBSMi7n33Sydbtu7JHcdSQqpkxCICGLHZRLkcjYWUl
ZpCGY/Bdaxcbc75uAbw5gGPgVlhmT7k9VcKxqTgb0LIfPDRZbiF5V04CxvD/FhahYoqG+Ym7uThz
8iahjzB+tbXd/cO2NYhFtNh30vW9hokz8X5ANbrZlLa73ZdXQ1i4Ctk1utApvj/on9gA0PHDpPZp
t3Ga59292P1XVhaLrTt2P1oGlgKiOE/I1AVpckAsBGH5vaYNO7//8QezBqwBSEKhJgYI4rWLmgwT
r7ZUCLyBT4UbdFsQuNVVufj+4gHSTXqHrluOzWt/s9gPTjdixRWnBGZGUGTOnDB4fi68n8l6NdaN
gfkC0SyHIpXxhdUoNmyB+bfsLJyfNSBezBMCO3AIudsf6v4p8Z5VsfGmWl1/aKHhMTJHQsvKola0
FIQ7jjhTJ0D1p1XHigSi+KrxUG21Da8eygtbix1Nytz0U465SyZvL0oV9ZI+yNb7eGw3k2f+Z0iL
LV0pUUKwGEPSkoMn7GCsoq7YYpleGwvma34x/G/n3fU+nqkV9dbyxdmDcqP0OyhHdoem+DDpAVJV
AK2C53Yu+4Im79qMLETiWTSvz1iigPYvXhZb/mMzuaG1lS9d23FzcRmASVRybjD7rpOYNLFZfZ48
Mw0Mkz5UAB0UULDJWPrxdwiqNmRWk8a+s5fZefx/JvIayuUJmohFNJQ7EM2boNNWL9D3+rjHQVsk
Hl82uG1veI0mp6illdL67HXvOu5b29zfNzAfxaULvTSw2NYqKwxNJUUN4iQN+otPpPhu6Xu7/i3M
jfhuy9JiZ9dJwvVEx7TZn+kQoTk+5fukf1Dj2x+MCG23c1f0THC0cKJ1IqcynbL6nJooUneDfsxZ
EjlphWIx6vMq27C3uvVc9F0hwz2rTC7saU7GdC4xrsz8Wek/ic6Rz/tB0p/3h3Xj68CgBz5DxBso
UoJcYDl9HRo97FqwsyLeyYWf05FET9jnIekPGdOeCnOLExsqXcvNAZt4TyAli+ZWVNsXUQJ0wSYl
ML6zUYBXlTQOCXlrWkfuuOWhlqmz01iVhlmfVA/J5LKQTw3/6pWJfBqKoYjACu4/gu4/31tlqiKJ
cDWsKGjATJ8Ve0NNHaDbEn/1ZeiMlRtZLftK06Hb+ZClB7OWJ4Mi18xIh5r2ZyncdNeqtgM/dzPs
pDXUj16NZ7abaEbQjxM5TI50AtVl1QkFSW1n5Hn/3BVQ4GRI0u8Kbr9MXWeEGTa6oPuWMBB+dEHD
PvPxRAb62nD34Wu2U5nz4EEghL1qDxobYkczHnJpsJ2ZuWonlATim+gicNFdE/aGXYa5LligcPIi
muH3+oXeAPjoghO0aV91Mf4uZNMHSdnWYSEmPTAMJIayEuBrEPKZh2Iqp1Cq4d3UtC7SahNYd78V
+1aqHiNLjTDvGjusUV45GEX6Rivl7HNNeSCfbb1I9MkQQkz4t9uxMaoh4LvTeFcFojQ1YJSgr9rl
SbPXZJ4HUPyFG+m1Imoz6IRPZmMG0G6GOrkDcD/X/d88d6qgLidrD9rGJGg9K3sYCsRUTZpYkUlN
SBMkfR+g9WM6iIE1e92asiAzciOE8kIe6lJmB63O7cCrFDsKcMMHpo0RFg4if+owFlX4yd/Aqpo9
9iVAqE3v9/vcNLUXdJnghZx4Cm0NeZEFWu6Mh9bvmp0+OvLJbzOBI+aYQVEo61hMTbtDcQvgcs6K
/NzW5s9ptPXvgAp2kEgphjAbKhGMyHRsPQNu/NnMFg/3j6YanBBABK9vNwXKuUQSifdq25zssQ6M
zI+F/N7azgkQ7KDgWiwc88ktnoV7YKo8dEn3OtUHXVeRgcokIoqgdArsgORTCbx30Q5hjbdblQ3Y
SkDmTjQawK1OHT3wRrRc/hqIHgzWGCq4mepRyHTXewyJ8E8pfU4HG46OBVbylgJwk9QvRmYHVnvI
IY4sLPuVjO3GFNx4vnkGZuwtRJFBn7PkQbUtaqWuHKrz2ODqeOV2BLxy+2EY3MLKIopg1eg0/YR5
7t0EHAEiAE9E1Gobof1NSHRtZVkxEZUanFLDWGgdosVY1l8Sa+Mu35iuf/s3LxIcZmcPjqtgov6H
eAHlJ62PDG/jPt8yYlzvSs+l3GbTWJ1ZAkaxPclfWBM6+n85W4uLQZVVm/lDX501IDyKELrl2ial
wtaKLNa99sseTNHoKysa3dpRS6tC3HciKIRn7jynlQEyACOwVHqJpKsGBEMHl8zRH7ZDY93fNS1/
ksz75o9u8dEY3UTLHhqUcNmDF/AGP9VougJoMhex1n7Txi5y+WuXbLW3zIHXVWC2MLJYyLEBG2wK
TfPY73Y1Dwxt4+289f3FEmYAGA2ejUGgkTay5SttnD+ZprmMBtpEdJ8uSQfzspQl6Dd4jOzS9F2A
ZPiju3CeIsTEKEwA+HmT8nRNwaZSKh73Ei53Eo/QPz7VSfX5g5HXwsw8kxfnlkqwYVEwzce6qQdS
HpSDe27sgyl9tsj3PPt+39zqwqCigzZaFFvQD3dtrsLrkOsEoxryLkS6NzDaPxnQhYXF0ifc1usW
fXExqbyjr/yQOC9tChE792x5RZBv9TXdnOR5AmfeC/RTI9m+5P5uU2gR6I7gEDUqjq6h/pmGug5V
soWou7mRF3YWkXiOspOw657HrsGngBnS2ZF2qsNq7M1Aup32Wqphiz9gfXAzkRBCExP9gNfLhVLU
HAhjdwxDGdSHPnlM+w2c1paJRaSR15wIrYMJP4d2ymP6Vog/Oqtz+QAkGIBDLtOmNmIrs2s0HoOq
CBQlfv2cb9EgrK7OhYn55ro4RkiZlFovMhFzjiqZHeegkHKcXxn9RbaoNddMoWEH3ZnAkQAWPk/o
hakqQbsga5Iq7jMfWpzsU1LyCGmKNmDK+kpK2/oDV4dOESQ78OS85ZQzK01nFuQ5Y4OTXZ7leGpk
6EnaepGtbYRLMwvXMMJlk8zFuDTjV8HBIVH/tI2PNtngEF3aWDiHUkEKogFkPtbA098aIrJZnMsa
QOZ052zRit1EKwtjC9eqoZAMQkEMyMfaWM0XoG4jiaw91Oo/7lTxekbOFtQit0wI0GUFjF9PeWxU
9pNmpiczyzZMrC0O3skg+sA/pFgXE+eiGalIc+wB6vPAnF6U9qX3N6K7tbvh0sZivtAfqCWmtKu4
HCPRBCn5g318+f3FwbEncDhkBN+Hzh1adqCLLNHAZz3cX4y1VZ8pdQFkQz/5TZ+rRG6tdpyxjMlo
HDTrpelQOi9/cmN3387qbAFNBjiuA5qnpRtokzxHZpKWcaK95vZDspVGXR0HntzozUd7PPzmtZsx
y6H189YpY10dOkSmfcaRSzj8uj+K2bsvA0Fn7jMBxfXcsr2wYmVjOrqC81gDOD8Tx179ZdaPMpOR
C8ya1W4Fnv/i324MIspAIhWsRTcUstx0WdM4jMdjYasnV7NVWGgNkjAj0Q6FV1tHR8r3RK/5Thig
NktNp9jJodfRDcL7gNTOBFJKswmMHIn43PD5Y4KG/+j+tKwdN6ASDECkAWq/ocB0pTNAI9OHy62+
UEMEyvlm9B+t3MM9XdpY+FunF7pGdK2KdSPW6pcGrRvaliz56vJejGPhNhQ6WdISlYW49cUjyDpe
XVO9c8N8rAuB5yH6maxiS55ha+4WbqQkhmSDh7lrvpXuc1NGsv4oPH+euRkRC1wScpZLZwiEp3JJ
7SPk42VYy4dM/qjQC/wHW+DCyGIYIzpE3GlKeCwrEVpaHtQ2sm7F2x9YQXSHwhmwTzdVDFcjEgxk
DhaIP2WDOijDDQmeNPetrIUsCL7mujUB2caSLwH90mYPuA1iPIl2xvwt4YfSb8Bp8JaxX/dNzdOy
PN+Xpma3dhEdFYDCEKdHrDeOXwb5bG58fm1zwbUDn6wDGg+BmevPu5XNXJqYPO5Sdko9Y0+G9EHL
vA0g7eooAP/FVP0rwjP/jItRuEmdC0cqnE10tQQgvwLw0ftxf6bWFgVUd1B2QkQEMPTC9QpAAAjo
rHgM71V2ez/b69nBFOGwpbq8Mmc+2pDAoYNswux1rwfT8LRKNNOlMe1+sgJqCXvqbizLnC5ZrDoY
FhEAgaIS77DlO8XnhYZ8q0Zj6K4PybFz/BBgznCoHnKRofHzpZ42fMDK9XhlcfFsoRSPQYpNgH02
BtT8VKdoIVMOslFbkoNr0wfWDLTKzLQsN94my2Wp59SncaeVwVjsm7wOSm8jvlsdDmiB/DnG12+a
Is2yzJTbZCw20m92KQ7UORZtFxG+1ZK2Ohoo9zlgAvHRSD3v/Iud3Td1JXmPzWBpX11HBcT71m21
0q/aAKIR3J7mLJe5uHVSVJhTlWFtKgMtfJGZvejD7/uHZ22+5gc/NCdQi7vJzji8zj2vsRjSJiCD
ol2gkzHSKcKkaeOYOiu+APq/SDEB1W+BRnaRKtSKTqqmb1gMUoD2XDv9X3WZVDy0zaIsUHXRzkmV
vOQs32txkVp7jdloZkUaJ8mEduwUKb+5RKc7vwOZVC0KB+9TVX0rkyk/Dsqg/zAzq/e+MvxP1GnM
RynT6eAprdnZwm4jVzO6I/AWY5y0ogqaYRgPVLOKCBtJxg0rhk9y0PKo0QfjF2ed9uQIAv501Zr+
T130yOgblddHZt8bkVL18E9nFU1oimn4DVGC/D0t7eJnyrl/hNwhebR5iVptz+TBs7z3QlYy4CkA
D7nmqIPOM2sPuusuhMiswusXncgkseiR0bz63ZtVvtNQVQ5Sx6F71LK1w/1lX/GZOIQAQKM5Gt3r
S0pqAPQB06UGjafprZAhODUrcDnft7G6tXDWZ5VpPOiWWMe2sCjLsw7nHdUULXgeNaA+Nsaxuqcw
gBlbbaMPeuH7uWKuWTPYKEW7e9arZvfRMQBNjPlFHwqwtTgi16fccWqtslqcckgi/lY22XUN+zpk
5FQClX7f1O1QwAeJ7jvQauFSBvbn2pTNR5lLQWHqgIK7tpV2u+0XArMZeoXAQQ0RQTyEFkPhnKCz
j/SYqj6HKjoQ0kFdKxNMFnKvhu4x5ePT2Oh/TYl3YlQdDJN/09EYfn+Ut5ti/hVg2EUeDqQNy8Yo
nVaNXrrYeBAEi8e8OOoSSQWbt0fP3oKR3gbt17aMxYxCdtS0c5PGvWr20OuLHPVAVbcXzavXeJ+K
rSthdQWRXUL13/iXdOza3tA3roXHCGZYJnuRkpM0nA/vdwzp395J9KsC6b4IQQht/M5DNjOmOtxR
+rstRXh/gVYHgbZzvCmBkjCWQAmZaVUO5YUiBgGpAxjQh+9ndKSgIDmT+II5bcm2nmqNwW05FnGZ
9S+M+TtSUNTA3OKt8dyN4HNtr4EPGzkMXM+gjZ2v14srekATNPXrpIgTWw1PSuIB3LgtCDpc4LUy
vxbx/am7va4xNiQx8JoiGNryOUUl1Nv8ocDeNg7U22kSqbj9fRNrqwOuyzkdg0fOTc+x06Nzkrsc
JsbU3aeuIXa9kWxxD9zeDhgI4kw0L4B1Gw/364njjAAQ1lc0ZpWx08svdv0DfLRAluA+2oICr9oC
JGxuxVlp52q7xgEKIKPIaZfyzUFeM7Tx2kYtzUySgz757qshrQ9zF8AZIvf8H6sL1+Aj8CBJiaXq
svE4RxChY/Yk1D3zw4wgs6WZngixKJpzlumtlE2UtkVKY5t/r8Y2KIZXw9noxlrZeNhuQP6gsRaz
uNx4w+iZU5P5eZzjHacg6VUZkbVVGVjZeldG5r9fnKbUG1CDLGCkBFdLHRVIfNzf26ujmIkWPAJJ
E+Tqrg3oE9eZ6OsiFkMdgTD/q5jYJzAgbjx41sYB6QqwhTmoBdwyOhCQquXMwDi+GO27ln++P4rV
z4OJwHfhAGYuh+tReIbsEFTj84lGQ+doUH8jTli7yPH6xEqjmWyWHlxc5ONUtugrGvMYaI/pxAzt
MwQuSuB+SmCPaoTv7sh/NJptf3LkIHcVMEaPHmfOSciCfFh8ArBHwOqQ9MTrAQNe/JhKm2rQgFh5
PBpaJEf5KRuS9/szunKNg6QFJck5jXhbJ5qGhtSTho3HzC+Ok0VMtw5Ze6oLPyKZEQlzYwXX9iEe
4P58/83sOoshZcJhsnLLIi6S5rW0m2e/zo/dkH67P6yV2wkQQR1xDiodK9WoZJz6Tph53CTNMZX6
XxlPHnw1xnlvfb9vanVE/vzmggNDuW0xIq/NK5vnXh67deTqQEI8Q1/jvonVbX9hYv77hXeo5zhc
F1gkORAeTZASDZ2Cbe39LSsLF9GA6EtPaxeOjh4N89kejv/dKOY1uxhF2cmGt1A7iZVbRubM8cnT
jaBkbQhYdfQvA5WCrsDFK7i1TZng3Qv3U+3KJtq62Fau07lvHhldODe87RafT03gGfHeRJ6tOxrO
k+F99vOv+vjkbkGS18YBOmm8VBAl3CZckSQturGjWQxS+b30/Z0JKt+PrwZeqah0Yyi3uRy7pp0/
PyHj7I2jw/DHf/f1xVozf8qdNMfXgazn1andyhb+mw68zuWh//ri589LdbGZGtFOzG7nn0/qiJdg
VwVRlFZMO87GFyfTpqDsx9+T7D6l1vguxFZedO2iAPTJhcgZdhs41xZ7AT6fdVNfp3FKjRdbnkX3
o9L6LwYDbWmXs7Aw7UPVkZ1Jir2Tks+U/MF5vfwFS7weMJ5JbVX4Ba1jnXWevMvcf7i/jCu+DQym
qC9hj0DVYKnZmDpWPQyNkca6fxo1QDTjyf94XA8TroUEHBINgJBfL2TmObXLTCeNc3vflo/KfNSS
3f1RrK+VgdfDLNGMctYM8r7YLE5u09609DQGI0713XBlHQEqLY+a16FFzvLTg2UjR8SBog4HH2mp
rLb8wJ1S7YGazVbaY3VScbOj+ju/AJaPwEFwo9GBEo47cmblNzQaQOBnY8TziBbHA/J3SHGDBsJE
XLw4HrzUJSLjKo/hb3+haPkTKlkh7X53db8nTvnUV827SQ00ZnbJVhvuivNCchgxy7+q5zfNIZ2X
FdSk6HSB6ks4flV5tnEdrk7ghYFFFKg1k7KmxM1iKKcTesoFypIbbVWrY4BqAHAgQNXdhMu9PiRE
bwUCTVXvho4EZf12f4nWLaB6AnVB1AiWgSYo1aquBRw9Tgv0olJz1IHfLrdQOVtW5r9f7PyusMxK
DLACsfvAAoalr42NkHklggTHKYjjkChEyXz5nvVBlue7TZkjyV23Y5BPiPoLJZsnpTJ0zwoyvfh6
akQmyLY2TK9EebjkZ50kPGtui1OQpS58gMFzVKb7RwhuPDJPvRmDfE8na2NDrO65C1OLPZeMwLtW
LUwBRJcEss/EswGS59DTi63tvbpmIKUG4TLKbpCrvl4zZXNTKypE/egarD7TbiMMW5s0tAcAsO4i
hLlpDkpykMb74ICKJ/PAoBbgmSfC+rBunf39Hb5lyLgeh6krq+EeDDXsPemtJ6197arxgW3S4K9N
GGgcIXoPxm28OxfuPRmLrqi4lsUJOzTGcdqAQKx+HiBe5Bh8BB3LJ8sEeckSFKMZ4AnPw3tS/8EF
iOIqMBxISyObv9hZKBsJUkwii3ubpJGrUvE+pvZwchplbTjO1YsQ5FKQlcVRRR5g8VYRk2gLMRpZ
PLVaFyYVsIEjpc2zm3SjCMyCBBka1kcnj5CikpFdiDQUVHd+m0Pvb6QK1k4UXrcIKlDtnwEs19uD
VoW0SeKlsTN6T4TlAZNJlLHDH2xCsOKilXzO4CzDtKwUFZTtqizWeffTK/hhUv5vWqPk1bV/MiBI
swBuBT1HcNReD4jjTrQHr8hiQn25G+pJvPQgCHgc6qHfcHxrPnfO8uJ+n7Wulvxdk9bLesqxjpnT
jy8tA0wGRHl260xROhLjU5PWaFNq6mnj0bC6gdDzDzIcFGbnys31GH30ItV6MWYARlVnkfkRa+yg
Y1MwCRF1KAQyV7LQbX0fFNFdNKA2kEzmx6G6cycgms+RMwM2YdlVW2TcE0qwEk9udNWaWZB+r7fe
3Gve68LGstFdJI2bGB5sjP2BDzKw0cDrTA/mUGwcyjX3AoiIPkP0oPe3rBYaXj8QWhkoEtOja4Vu
+fnjJwA0EIC0QG8LbQIL71gU+tSgibaMWSYPbf0NRcOAdF+M7g9uSNCuoEty5nKFCNb11kgNqk0S
xHmxmakgQfEV8GkN+J2PjwbPBPgwCL8iE7jwYLaZVqlPZRk3IOBAT6D30AE2u0X8s7b4l1bmNbsI
m4qRN5VpDmU8NFPQgPCZjX8XGfrStF9/MBxkK2ZBeczc8vUjdauqylRncWFGbhN2fpDwv6du3Ji1
NV+LnMX8kkOO6iZxkQCD0Dh1y+KeoGvRb8pnbnZ/9TbdeHes2YENdM8jhYqH0+LZUeSjiWajHpgK
1eI9ZaY1RP74QZXt+/15W3VEl5YWuw2ABdn4ZGQxuGz21UiDQvdOg+YHlNkPeQ6p2VTfK+V9BilW
IFj+bnGycbDWDu6cYMTRAm0SeJqvN0naFi3RmGKx63V/gcX2zLMtsPMt7xjIrVByAD8tQFFAxi0u
SSLssZryqoz92n6zahVRlUdDPSvpcjCvoG2JWWigHcaTCSAOHf3HkhcPY2tE9+d7dWER3aMoiiaB
22xHoYzSz5sy5kbdofUQ+tS9l6F/9g8qOijvopA+Q+cQoyy8FS0pGpZ7eKthpMVbZefpXooeXbqC
pX+QXoctcOTAEkKD5S1KVZN2TofJJe3Bf+7YH8SNl59fbNEycUEQN+IGkcQJhtQL+q/3F2U+TctH
PgrVSKXPvGw439cbsCl6R1ZGWsapUL9c8eg7oVZWj6ayd0Pb7e4bW90B4MtAlAoUxQ22AOJV3Uh8
gA1d7wWtJYHevjDX3vBTZN0KgjVENuAvWLLktn3us7psq7izdBb4XL3YiXeA1NjeSuUeUkc7EUwB
uEktIzKU9oln5CXh2bHthy1mnTmBt5zdmdJ2BtUhTl3qg42ZI4a+K9FBw9A6A4hMF2amEnsCFsvI
dWUZVimk7fvKf3eJu+Wx19YWZTQDRB4AX94kIMokGdKK1FXsse7oT/9D2nX2yK0j218kQDl8lTpN
tHrStf1FsMc2qUCJyuHXvyPjvbvdbKL5ZhZ792KBwaqaqVisOnWO8a2u0Cc947GwnWrvTw++g08s
8Mp6+xdNCrCPcLNm+gg5ERQzjrN2vwJ+QHJomz+ubyLZvQrqWWPVRQNmQHRn3F1IN0yYU8vfm/nW
oDtwqFnDJ7KWa0Y2QBRuwowQpHok0GhR2+yIAuK+7th+1I3HpUgVPlEWhIPzArEVSN8hj2KeHz+w
+yDQDwJ2ZMa3wKVRQn7raMml3tfeZWFvzIrDIbtvTu0JC2RbQ0ZBbAR3VUBb6I+Jzt/rqyMzsBYE
QCDjrzSagoFqwOmvnXyNEm5ScufEn/g88Bsegnc/wM15Pl+M+QMeM36OqH0E11oT8nqJ/isTYkoc
ufYlJz4QviXt2M081cWjSYmyL3u9hETXgFgNrXUoAMAVCmEOfM3c6A1wVk4KYo05mdKDlmoscuxh
PEx5ku9BeGrc1F2RAIKT2rsSEqcqLJHMVSJtjtItUsnwlMKPIEPdF507INbSlgigm6/5Mh3KYvrE
lCKeA9EmUOYoSAmbAqz1qbGwtQMuSaIZ+YBRlZWQbbtTC+vfT4LtmbQlLTJYQPQLLofO2X18U6CK
jqa3VaQGWgTn33eS1qdg8iyOi/9QbPpJ8e6R3RMoaK99yqjRX2gUFVY1ZC1HbD3Y937WhRCCjAYg
XXAzUe0+yMzIMRQjkrnRU5OCgyMI9NMqANi3A+2SX00Ra25MVPGs4XB96qTx56klYZMtdgeoHevw
OE29Qwnu0dJ2tz3Ldn3q3I5uVYaFR279dg4DrfunLN1N6WsvfZIpEg/SPYIAGGE0rsQLmjOPeAOp
Rjws7Kl9DYrxFkh0xVhlJtBKgfIQws5VIFLYJrXmVpwBwonWL/riJyy5871hers+o7JLA0wAa9CG
nn10Vp1bGSpgZmZ/yY+TO20oebUzZF8fKue+g6Cbpz1dt7Z+TXRUCNeQi4LIgQcm23Nr4D8n7cSA
aLNciJDxITiwAnxgeQG6FOsuKAbV81xWl0Uy4z8WhcMWaC3q5xnQbXPWPgyc0ajUm9t5WNCVwPq7
qSbg4HHDuYHoN0R/69Drxs31QUsX8uQnrI7zxJ+YbF6WdGH5sQWjj7WhTPHIlX8fcbCBuocDlND5
953B8pPAqHGPkSezeF80rriHZZ4dfSr/GjAFA13eaVmDVUvZnAC+W970evFu2SpWB5kbQdchMEZg
2lzJf8/tFBOqQ1QDTo+gxy90lv7JAEORlRc/7NRRLIp0TADigDUOR/giM+CX1OvRRpgfkTp68Gb7
JbXZxrPKX9fXXrrhT8ysx+9k7fPJn5nbYuocNwkpSKMIqFFqom3zvAyZ6nmuGpQQ0Rh6qU2OjUFx
19jQjoac1mHqfr8+putWHF1Yph4elhUV9rM23PlkpzdfKu/jGEfst/9bHdA4nE8baAT+14TXHMxx
3/4yVRk1qd87sSDsad6wpvNWT1RY/f1EjW8MMMeGOegrS754ZHxuTVUbv3x7o38B0AI8kMX8DEjb
uJ8FU35sAizMHlLl1A3bT4DGUUUDmHuVpMNzQ3CxqLOMml8Dlx5oX/PYr/65vvjSQaD7AjlCb21c
E1YmaZ0+qCjPjwM3kbdNhhuiO4epR/NNUyreTSpbwhpNZQcNobmFY7MiczrYYzg623pRlEmkR/Rk
RMKE1dQH9JRhRF4SZGFNp03X2PcDNHFyXLnDvKjeTdJhIbEO7AcgLCgTn29u5negm2vQ6EWH22Jt
ZpmjxtOQ0v3MveBArmFtxoQS2HqOT3wPsarONWtWHP3pxkgPRXR9J0jdADpL1sZFsLV767V08nkv
d9FiQvF8aoIfuvZk8fche7tuQjpTHt5g+I8JETNhaSAe1PZFihF0LFqcm6wIB3ZAy/11K9L7E2Ji
6FU0Vn0LYZ4qYhUDWdejY+Q3q/RtpTnv101IBwK5LSQR0bWKNMr5XGlJGqS5lxXHfI4qJyLg9kZp
U/Velvg0ZH5BfaCvElIXRNvA7ye6hlj3aPT1DUZrhqBWbMJ6dJ7ayX/wSu1tzhYVOYHkvXFmdR37
yT6oADxzPQLMOzBLj2iGu4XziGynf27L5Y85aT803u8qqmpbkGw/G2VNJG4Q9SB/I6xayZ1xKHx0
UPn+XcPzsCV3LqBu19dNamR9RgG8i5KtSPxEgHV2mI+HdW3tl+VRCx7TdH/dhGT34dW+YuCx+1YV
qfPp411flLxxcRGB+TIa5o9v7rPPC6fUL0uemwk+D0XumdzW3sedDPQLMf8rsBmwTcGZdZDbK0ob
+OkOzWVzVCoCAdnsnH5eiJ963motWDCzI2HbInsF64ZihSUn00Z+H89xoIWQSha2EZrhEzPIAG7B
Ox1PVwJ+HXqYU7wOahWfgNQUsPxrKsu1LzIXKZt4bXrAn3g2DeuSbFrzjz6RcAKZ//U9JXMEANLg
XCC0BcBQiAOTHPx8Je1TQDjQKF+4B70Dv9McoDLJQcGapftsbN+u25QdFZxsDA21p8vq01JYA3Lo
QKiZWQFVFvNubJvXcVZdnrIN4YBCCilsF65OvBIMs+K+nWYAbddHsjxaHz8uaI5GuzIyqBAiE5mK
hyU1edmb09Fsdv63VFW0kD1Hz74vXAQMkg9erQH3rzk3uePsuP04mVHb+KHBbofghTRfF5ZGlr25
vjqSIAdtMMiiA+KJNLSYSmVlwNGrZkH1dihCZ3wvrDum3YzlgRNF0CbZe6hgIeOzZiJXop9zf+ax
wSp1QkbQjBy1/m7OckjpfjehMzj/o1e1Yr0kuw7WAHKBh0Y0JdZnLFak86BZw5FBukLL3Lgtnde0
U6kbS3Yd9jRgx3ibroQQwrJNtbM42tANcNJDONO34BN9SmcGhFsgCDpzrocerelV2Fc7e1Gsv2Se
zr6/DvDkkm7RNo1kML7vs59E20z61iO/rm8xycKfmRA8aZb4jIBLdR3Ciz6mEHPu4GoeXb3Y+uUd
L3XFkCRb+syeEHeAuZeODpSa8dDxwtlE5g+ROn7BLu/i5sMyEMDC4RkK9CNqK7imhTdvGvRjAcq/
4Zg1z87eGF4+PnennxcOTd/rdsI8fH4uQpbvs24T9I+tE7V0X3+c+nEdCrpSVj4YyLIK60QCh7V+
XQ1Ha3w0OraplzdiqgofkrvOX3F0CGpAvncBpjMZaLPsxuyPibsZKlAB2U7Y+0k4++PH4ycfjxCA
R3G1XlZoNT/PTJ2T/khpGab2+6K419aTIaQsT78vrjwvtQHtt0V/7OLW2OSVYhfLDubJz7eElR8t
znLS4edbgIlAU3i6bWtFiCZZC7TuABsHSmxUiUTahLad9M4jRXcETwXulsI6VMsjU+HTJBxlPsyg
7OAD1oOrXnBhc14ww2Bmd/RtUMSPU5jUX8vkZ2K+jcVr3oRv9IBEqxfT35ofURdU75GjUgS5HCre
cZAYAosDsr7gTDp3c7wNKDABtDva+A2FfZOBOL77UVUfjkoDC8ly3OQWilAXAF/8hqrQSNDiuHph
XSHHpmqUvtx15xaEbTGZvArq1QIFu3IX8lyx7aTfN9e2MSBO8CgVIkSt9OpKz8z2mL5V2u+p+nHd
n13uavx8zM3fvXAZBJh10QxczzoEgwc7jaoiYsNHzz0enUD+ACaz1kYuujogETcDzlJrsbsPQFfP
BqoIoi+maDUQ4IEJTp61N17wkzwhOhhE8yQu7isCNhjF5y+mSPi8sFXrumTz4ODzpNigSTnMtF/E
UcRiqiGsV+jprY+iWN4lWRInYNt1GuiqmYr4S2YBfQE49Eg6AoouWAisloC6sw/iav6R+FtGPyys
iGk6NSA8AF30cjAz6II4aSp917SkCqGqZ99z1OUUsyVbkRWyb6JXfIUwCWeutLQpq1G2jG3jAZIh
UQ1cw/hh8D7G460YL2A9kJcTtVQB3qc2qbkWQ4OJbntjqO6KUisVh0M2FKRnwbCJFnvsYsEXDyzP
+xG1raPfT0f0k915o7U32mLzwWOOwfjgxNKhJQSHL5pJA6TRx9RMYiQDofA9PgK0Ewalo9hkF159
NQP5VjSfrGXKi5Nock+DbEYSW1ODWHKMnC59BI9PtGTl4fqIZPsZlILoBIegGDDQwnYrmsJOhjwg
x7Is9edCJ/arkwQq0mCVFcH7WlDrY+NA6RFcoe9W+/6JMfz1vug3vxRessd6dmujIcdsnvxtMHju
ZgGZ3fa6FdmiBEAvuCsfOnBhwhYLjHTOO88hx8D84w4/q+4b179P5c8PW0HSdBV2wgsPJHyClWJ2
+qzzC/TueStnVgSpmNB2qv+HANfF82XNJp5YWtfsxFf26QIRcDRPHVua3KN/7DiYcxY6A9ponXSX
md4z4+avT4wOdXe07IJ7Bzjlc5tjmrkmaGTIcTZJlCK9nTt7fX5IvVRxgi7hyevoTiwJ+5r7i9Ga
jUeO3ZSj9S1w14Zgl29bW3OeU80cw3bmWZQaJZhldYffVRxyqEVRW1tk4CHa9ImBr+Jga+v6pXxx
kOUlo3pLjlUAGovyCTy6oWV/s4I/1+1I/OCqPIPmF9BsAXAgTLDRzVCEdDpyhNAziayUGXsz6ElU
8rTbXTe1ntmzd8I6wyemhBnuCpCiDXwmx2UeYm2eywh8ZVloojuvaJZoYUG4LOMGEAcF3ke6cX0E
9nhvgdNfPCIM4kXmaGtanDuMhEvK/yBrvqYzvyTUedPn/ju0mVR9nNKJBdwMxXoTFWCxSWSqs5KN
NkeXtFXv2chBHFRvEo993MkAM4mEHF4UPl6RwvrxymJ27VJyLECEEi1zazzms1Fv+3qeo5ylvuLe
lC3iWthETQG8aQCpnB/IoJ50hH1wap6XtbcMz070ys/V49A/aNM2q7elAWZTY6pUXBSy+cSVs8KM
wauByODccAnWVJMWBjlaZbKnc5qHtbtsbZsoJlRuB6/+v2ZcMd2d+PmIsBkex3R2KNc0/c9OhdGS
XAwYyH9MrH8/caSIy1Bpywk91g3UF8h76z0Ezn0evFw/b5I79MyMsDU6ZB20iWsIcajWhlOR/xhy
FbBSOlsrcmddEcCwhIiw8PXRGny0BHZ+t128hwZIdmh3KZyzdCQnVszzCavrou9n4NmPVtXMMboA
ipvSB6L9+nypxiJs7TYxFg7OMowF/UrQGNO3Q4VHcofqwHVD8uEAfwzvjuK2mJK1wcSJdOm6/lNw
HHVky2ircHmysaClH+g7EBa4F+FtjVLq0qJNPfY5aMaNtmRbOs5fvMnUP7E2AAejhr6OBRnm87Vx
Pe5TCAjgEUjoM7PdeCamwudIBwN2gpXjD7B+MYim/eIQrauSmDVzsGnt+ddozeQO1H8qoJjsZOI5
4K0ULtCyEW/DfKXnMDlN4rYt6sgyG2dfGSRCLMojt/BVuleygSGSABQdAGtc9MKOa6ZisPoGzruZ
dh2roSxyGFANuL7bVEbW3XjibRZb66y5Xm8ItFq5j3nzkA+Km11mAp1OYHSz15qQeAlZU5W7s5HC
ZyZb90eS75zfHx/DqQEhdJjxtkLnJyHHHn2XEUvaemtP7gRJwNLf/nemhHvGm7XcSSqMRYez9Arw
jPzWq5tP2MC5BGDfXGla1/k8WRI2lo5Z1QhIKG7r4s5sj+0nEhtrvPOvCeGO4QO0CxfugkQ40KOs
R4aJKFBBsrNyakG4XlzSGCaZMIgl302jEaUL35ZJGVmTwl3KQo5TQ8LiL/6ymGaNxQdnUJXf8uEx
KG5bK7R9qDnin084NKjk/kXoI0cXCDNXWj7KzRrGxcKqLjfZpMoJyNw/CCvxdl592kXXuZlozVKj
nT9m1S+Dv6vqv7LDCK8P8v8143QREY69M9i4hpEL4NomWczHonutIGt5fQuvky4G8+BPQ9sfUsl4
pghbuMeKd2laIqYuORvCpNDdfa1ZXVh1mnGYRjrvi3QY0TIy+uyj0HJE1UCcrDqvwPLif54fHyfX
i85wCy22czwbjCp0MsWWk84hXu4BIEDofhGDzTzDTTc2uRZzD0opEzSAb4ussg4MYn4K3yk7RqsG
0yqchqjaEfyN26W8HPiixc7kbEb9q+0OmzT/hvOrWDHptgMbBi4aPBUutHjbrlr8OsO2s+jWGzZU
hRdWfV84N1B9pQ0jnRYH5N5Dh2v9en3Hqb4v+BuLO4gBvPXYjFD4ycCV/+26AUO6p09mSHA0TQLJ
1na1kPoQywiNNMzetHfrqL0bf/87aBvNDps/Fjoa0zCxDsnz9V8g3XaBCWza+kq9UFTQUn+20mSA
0+63tIgmiNyViu0mMYF0pw/8ARKGIEcVAnZzMSaQbkHYYgZtu7bMUbJYX6rx1/WBrGsheIczK+b5
CR3Bu6PPtuahwdp6YwHbVROJ0wBVDsLG33Y6Kva21N7ab40EAzyq2KhW66BDadzKh7p5sgv66gBO
aEiuguhnaqwbEzLUCoOSzYgHMFSnPDQiI48sbEbH06yS0saPvWz8MQdso8/1P9fnULZSgIgAuYfA
Ghg+wcvV8OOdv1Re7CUPJn2GONdQK4pQsmnDTbQG1YCiXOCt2mRc5qzMgtjVqiwsC+NRoyCE6m32
j+MlAxJOmSLy+VtfFHfGqcl1Yk9Cn9a0aoigpEE89uNeK9o9caotZf7jCNilQdFrkvl7mnVv/dB+
0ZdpO/LiyZ3pfWYWNw5tbsC7o7jw//YYXvwmC3V4yEaBFEvcPe1EFwtiRrgxR/LMtfQ4snybDey2
S5YNH5NfE4QKgEcbITmhEp6R+Bz06SFuRhsngmfxpplgKgGmIogt9AbubTfpos4s+B7sSEHUjun4
wmn2E9ShKh2iS6AV+DAdfBmtnbDuihdPVuS+7yZaEBtlb98vSGIeppbpD2mtOfdD7WT7asrpfd9M
/ImBCX/bAdt2g9ay39f3ucztQoQeqSSklVYafMFZTK6XdmmDOp+bQnSjyVs7JAsf7/NsNg6plw/f
WV0ASW+M5j3ps3HjWyzZYuagyA3Vv5ekNasNqbIySvhU7w2s5RTSRqsfQLWYf73+a6XrdfJjhVPZ
GxwsI2kSxAB1UCib8TmsEGe/djM44Xjn0v3Y6s4moJVqwWT+4HSahJNj1CPSBn2axN1sbXx6W4A6
SFNVvSXRyNlarD/i5HhOoCt2iwlGWBF65pb6u2qIFk/xdJB5T6AC3BUfgFhOTIDkHqTcR0qCuLHs
XTA0uylV5UXls/WvCRGUMgLvUiIA9uNxyd8YcN0GEL7jqIyDZXZc4OtQ6EHLCkh0ziesHH3NdTsa
xAN5Ar9IWE/2jvS/r2862XzhEgCnNECxa3PMuZHM7O1iMeA0ywxVgBwUYMHTdQuydT+1IGwud2l1
M8lhoVoO3D/U7k/2blmKS1N2diA1iVOO1Jd3AR31grJ0miLwQX3qQWcDuI3gu9H/AlHJFucl8tLt
9UFJpw1E82hfR3sHnirn05YYZaFXqRHEtXU7ljsgbq9/X7r2yEc5qyQKaAWEWCoL7CTJRj2IC6ix
bEGTzRFRNejWRB+D6o5al1i8owCz/9eW4CQZUmAcSppBPNn+b4cG92D/e7CD+aFiHCAe5zi26Q83
McOx0g+tE2zmwYwnz1SEj9J9AqogwDwhk4Ok1fmUDrTV5naesRMhytOEdmE57xXeR6HhlsuPBdLf
ioBBZVAItLKssZfAWbAxXxerCCv7R6qH9eH6Qv6NpS5mF+zjqGm4K+WWAF4sSdrlGcS44rb3xhs0
h7wt3DQi8AQUD0NeVFu9zedNU7vOq5sU1k0BXWAQ/4EhYEADRJzSoYT+nT8c6ML6vc3rZtda/RA5
ZTBGAYCluzGnyaYaavO+pUCwoshBFYOQBXMrlhBKsSvbmxiSZp02d83iJXFuZXvLPTjOAZLZ2wYt
H8WwuT5hslU5tbWe9JNrwhjTGo0HAaA5lceffKNIDv1M6C+fVl3EhzpReA7ZSfaQyUYzOWpdF/pM
WjWAlMFkSTyNO+M7zxUHWfr5lZABXQcgVBGDMEfjRVm1QAH5+Z0bG3l8fbZktWUTSDgIXyJEAhxA
cBR+OxlorLaTWEvJ/OxWXX4/exAtHxGfRVZDfwxL4j5os+PFvlf6P2dN10nIdGM4gnhfxcEqHS0U
psGviPoAHkzni9eRpFzqtTZg0Y3uRLmm2BwyN48XBRrfQMULhKtwWy1+lXVOTZHd1KrvdTK+lbzc
dhWEmSF0FDaM/0kTFXpfahMFbBftgmuQJGRRvMEsO95hQ47aPW02vf0Pr1mkDXh8/qj1D6smI3QG
f62O0i6SQ5A+PJ9BjlIK8UAWFVtLvJjvGbIRaIFSTKN0mU6MCB5fr1wtbR0/iXXQ/1WUharCgMyA
D/wTZIaRLQR85HwUZTZ2Vp8i1pu3hnXjqxitVZ9f/37iI3qjhxRljkNFJ+uPn3pfULbbXD9Ysgv4
dATr309MgOk8SxiBidn4Eji3ZNzbveLsqkYhXHhekNOFG5ik9lEfnhuq+LxqBML1RnorzTyPwLHp
+i1pk+9LqT96uq/ImKrMCP6aJmXrzARm0nKfWJukjyaVvJ3UBDwKykBQ/LpIOwdtaZVk8IJ49je+
dhh8FOoUsYB0LU5MCKMo0arZtS1MULyyLEBxFLeM7FZD/QoXTGCBVEmM51juZtM0DHAi+j4hKDHs
muV7XSig0VIr4LhCU+YqPieybkLdMSg9vcZl0Ef0C/jD22emYkKTPu4B0fzXiOAPe/hCaAvwJG7K
8pHaPKyhZTpM0zNi8y6sfbwh+oX97pdpQ/o2KrjxdP1oyqKRkx8gXjLTmq3tGvwAViKzROq7qXTu
x9J6Lsi0QQvwJ4r34ENwESCAiBDjFlxBlrdTDt7dIO5SaHXuQbBkaYrtId1+4NCFPDBobQAPOfc2
eYCukIrg6d9Qb1eA/GV2W4UJ2TWGlkRkoVYxLqQzz00sEB+fOF6AcVE27ndC2+IFxWNzp3udcUt6
MIsjJZlthhpdvdfXa90QYgSMmcOdtpKaInl7btkqvIxRH36uHLKvKO0dbfCb8glNaXm1DWZmRpq3
hGWrogmSngZ31fADcyR09oRgpO2sxfL6BfCBfB4OhWYhTEBcDUZrTY+QkW9218cptYf+vpWgE3J7
In2r0SEWy1Lk+lLrhaR/aPBYkJeGv163Itv9gbXW9BEhoN1cOH4ewtWiGE0/BrRuayD0GasvY/Wa
1agqGIrgVWFLzHQMyPFnWmYh993/LMjraIYcmShQ3471t+ujkh2Ak1GJu9Mk+ggJLVgazI3hR43i
jav6vHm+BfOxcbUOaYM483+M9dcPN64iaAP3Gh53uKEQIQq3h5YXSIUmLjJCeUjycPiw3KXwfWHN
h06zFlPD943yawLupjRTVdhkV+x/RoB00/kEEcMn48h9P3arR8vdO8lWT26uL7H04ji1IfiBZvIs
vCPXHI1Obqrc2Jhpd4tn02tbaU9+MN4ZNnsy8sHdVJ35VS9VDA3rLIl+6NS+sAma1kJtFzdnPHQ8
LPxXtuyDxguH4ZHXNKTjcZx/XR/y32v9wiTS/mj1Qw4aGbbzaU3gDdKuLPxY0+t02PMGHXmkWtKn
vknsXwGenV+MbEAGmqcJfei8edm3TZKhKJP3IeH06zCP+QF9BvUXF8ny7cCz5QujCdjCCvpPBR26
vVa5DTI14/TxWAKFXAe08tCRxo0h7Gnm97Y7JzaejSMSauxxW+FfngrkJzmYqE6vjR9rX/RF3k6f
M8sYqOHFY6STr37xUbYkTDm+i7w8hoLTKcTAS+PO4HtBSZIT/uyk6Y/Z0duw1dnh+kJLhmGCAf/f
dV7/fvJaaNoKjX5L5sdOfztC0TtRXC1SR4yO+LWnE10FInhsqIOmJh5Zv1/vUADdj4kVLtXeBhkt
uLMUoYJ0NCfWhKXHExo4kiH345zdQpYYZFmfmC2QboC0Ha2nFySJtLJqYyhKP64D6yZp2leQqL1f
NyG7i/Hw/NfE+veTBWnNuWmgXufHdsJD8KUhsRXZyV03vVy3I/WbyLusKWBQIoj1PdSMKgpZB9jR
vCwqXEfbN1k5bXmgFQr/Kd0D6FaAPAY2ALpkzoeUWbgGmgzu0+TtA+/ZDsmQ26GgT8tc3AzTh6ms
1jsHRNKI2SB9CTXDc3NE06yCggMcmd6bJjsonxHr///CNSI9APYV5NDhY86/72iN7qRdg5C3n/Pf
M2rCUeWxoAgnfdT2RheYtwvKLAtQzNiA6D/DVskG1w3rDGS6tOVaCO4gXRHxSNcTkGN0rzr4aY5w
kAutal2oFwfIvdg76KDsXL5pVESM0vMVeGtnHVwshAvOh655JANdfBHEnt+Hjx3vP36+cIOvSByk
rdCLK4QLzO6GWm8QTOnfMwCLVHQGsosc7Fmg/4ZfBS21iC3lVWm2xhLgajCmL05Gf1mg73OLbOOn
2gstgJ72WLs1veGpLq37alHxNciq6sCHQcIFZSvTQ5v7+QSaQz7VvHKBAXH90LMerCKL2u4ZfPHA
Vg+72gE7d+lFune8ftolXuXMrhBBLOZEuFZAPbvy5p9BNX/lhn+YbDBKdVamaoGVGkPdAGJGq5CG
+MxFg8VUzR6ALp3duTc0m5twoUuysb3xLZgyV+Fe/j4chAMJyKAOCshVHuRCJY7UZu/1HoMrQxP3
i+NQ8qUwe+PJY5bxJ12CbqNzc36cioRvVtbS3VKZZhNCazB9QPkdcz+0RnPD+9R/8FNr3GSpR25q
qvcR19ox5I3dR6TWp7Brci+ibTPeU2cxjpPdEHCLdW3kBUnwtS7x/kWCusA9naqkIiVO9C9dGvjk
gZBExv9854x4V2ldavtxP+InDHf2MoaTfdTtP5wqriCJK7GwdkhVe0iIX1A9BNZCmNvhFk2HTd/W
mKht7n38+oENNMIDjy+Ro64QkyQ1KOhjv/ciEkw7Vn9xWl/hT6SThggQzhpoEqg+nE9aoyf9WNeI
bqylCUdqHxJiP6IvdUfzVAsNT1NEU1IHs7YdookB6ZaLxubFT+0WctRrNVf7PqTWs5vyuylnx3kx
27BgFPdfEuqNtk0z+6kIPkx8hbDx1L4QAOVlkusp5Jviqetvh5zcdY6Kukt2utFTidAaACnvQq5h
JN3SGDhVcdKW5q0WmM3zVPVgqHdz/8aik62YU+luXDW4wTjgIA8pXLczCyDWYdYoQ1oPWfuY2ceM
/bjuHSXXGtpE/2NCiLlQE08qECwBr6CDayR416ki1Sw1APkDC52vIPMXo/nUHAbboEjEGfqjA3xu
RlQwApUFYeELPthajbgotqad6W5V0YX084BDIUcEoXroFp0fJDpNU1DSCjMEXLM29+Gf6yvwF60h
+nCUxVCqAsNlcIH+nzWtqUZ/AgSu3Lvktv/jlXhVb1M/bObt+DOZt7yKCm+jfbtueI0oRLsQAllp
J+DpLiDbpr+YXVXjaV3ojyx5MyFPAwnVuqrCufo6Lj971fFZF+LCIKQeV8oTmXK4FlT6xBCnlRnb
oUxzb2rstmL+FFrNjMaqPHG2GgBv14cpWz8gM/+1Kqxf0JSUteAeiSdmvLC5/9pzFNyv25A4BqhZ
gUAOZV0Xgb6wBRmxrZQDdhKjHThsjCfff2Dl9zx/+e/MCDFiMtfLZM0wMxhN6JhPlvc49UDCEVUY
I7k8AgA61vI0uAov6utI5ZQeTbkZZ+gZmGu2r3oDOCCEAtVSI5/o7K8PTLJGkLmFHh5q+uBfMISB
5aRiRsAnIFTMCD3eoZ1/AqB7asEUcmWs0bx+nnUzdobnqXt1VOUu+QhwhHE5YCuILyPQxqS1U1om
6hvdZnLSxzbLFMmdS2kdVBlWvD5YCkHfduEo8LJpu75ujRjS3M5LMgVk61WV/lpMzbipuJu/QRzG
RcRn85dBm8lNidgvAlos2TCGqKyhafNa1nrwgLgxfb2+hLItg0AMrJCADiMxJNxVzTJYZMwWI6ZW
vk8D5m90s38wk2YKM87uusZX0ajKphx0wEhGIDBEd7awaTRm5nPt1tg0zm2963rF5Sv9/FoHRyQI
oJ3IoeEzYLC1hlqxW3qAKvykuYoKRjZleJPh94No6rLGwrygs1NoFMbaFGfVd4P4EW+7cLFv+/ET
OTuQZv3HlvAKmpnXclcnGA1kbsr2ULBcMV+yB96ZCSH50IzlNJeeZoJLDloB2gwSKa02E8ydY4JU
Y9Z3TleWhyqbOUi8WQ2UAdQnru9C2aI5UJZEi6sNNKl4WWu5SXLipU7MjS2UNPn2+udlfh6x0sp7
CoIE1IXPY4EG4HOKTJET1+29To9Vddc2h5SpYnfpKKy1UgQY+OWrLuc1ym/EcuLCitDVyHXFUq1n
UbiI1+ZsE1qCUE27RO3VbZbXY+vEjD963euCp/CHSXrhq3B9gFIM14gOEM75TNUdzwY0zcKE/Wze
D9nHcRI4mihMok0BWh9ibnUmnJlTwpy4oz/B1hwBc7sxFsWtJF1tCIiDlsvEO8oWbnWI9WW1S7Da
FRJcTzXZlNl284kNterxgWVubfBZf8JpyjNpKEKHxIndZOuh4zdFIxHL3geuCPPXjXmx4id2Vld0
YsfjDaF88ZyYZq+Ub2m7RXdmno1RCtVgg3cbv1e5Z+kmOzEpzB7ErayqgluNg3GX2qG77KD/9pnZ
A8soOrNX7l7hOOLCTRGcD9gF4DMM09rbltQ6LGP2TbNVMA3pmURu9X9tibKGbl9ns0ZnJ851A7DO
dDuWL9dHI5sw3O0AbILrCg8NYY1MAxFEBem/OEB3iV09aW6co+dMYUSSwkWHOQ4+qK5QuxHLnu3k
1QXzFzs2xtL90pUecil00p3Q1Jaeg+m2fycDLw9Loi8hm13Q7IzZbe48jJaN+sUIuqfIrZnzCI02
vOvNIbEjaGg2dVjNRobwillf2taxtngZuxFP53abD1bThYlB7BhhiPs+6x69WegA9tF5ztPdPLnu
V64jH0hYMEODa662g1WbT3zIhpCYvBlDr0oeA0SFvOcRIXut2xee3v+m4OA5mkv6y3Qa8kZLo9w6
wwQmGQ79Jr+YizsEUmBxW6pxZ07LEAa4cA96khU/r8+rbHv4KIkhseoARiCCHK2i97qKg9Qr6279
4LZX0RvKNgeUDMFDsKpGX3AeZIMxTqUNX5QAT9W02hbs/DeZpeKklA7jxMz69xM/URhQlU1B3Rvr
ddTbm4ErTqxqGOvfT76/mE1OShPfd3ApDI+Oeew/kTQBS9yaqQcDLSiIhcTXrKGvoOGeFTd59l1L
s6+1Zffh1FmK22H1X+cuFTnetWcbgfhK0CLYMbSpG4uC2bikiXcT9JoV0rnfzQsDf1HnT3fpNPab
hkOB4+NbDW1pq9AjiMORaz6fQ1OfO3Phnh279o7Xz4n7UfZTXN2n3xdCRa+CcKvtJXZM53v8o5FD
ae4ClfaibKedWhGiRWovttWto2Bu9D+kfVuXnDiy9V85q9+Zj/vlrDPzAOSt7unKstt+YdnlakCA
kJC4iF9/NjUzpytJVvK552nGy20iJYWkUMSOvemndg3UvORokC9GoSaYWFXm0o6ATw6j7mAQowwH
9yTpC4R9rq/DoglIi8KMiaLl/MVTkTbouTnYT2pMnbA0B5APEBXrVrbiaUtxCN4ggKtBf34S5jpf
cI3h1e1AWeEpSJj9ySrBrtb1Cfk+pml64s1I4+sDW1waqMODbgzk3YCEn9tDNW2QlWqwSZOTc2/1
X/+zz8/813Kk3vkDPm8YoXFrBivLsvjrcbnhEYC1AR77/Nfbowpqx64doDYPdrNf5U9Z/j7UsdEa
AkHuOduA6VKGzD5OYnVTa2nYpG9/YXqQBvz39yf7H45IVMGprkl83wm98j6oV3rtFr32w+dnziR1
afbNdJF0X3wVOvquHFbcdckCIMk4nCZSBrBXnQ8AN75IxhFbj/kHZuwsVuxaxlaMLK3CRyOzVSaJ
clLHghGX3vKoGH69pAxSVGQNpw47tBHMPs+ol2S+y5wny3806zthRsre/Po6Ty88B8nXKeCbbQNd
MHTF976D5/IBgVL9V0YwFbEmlj1kSGaxMcir0KLkMvdJp7HKX/L6YfxlYVFcFFCTnuBGjg+hhNkI
UD50lGEj5gEcCtLO0m82fd/U++vztHT64R5H7Q93HpKEs4sCKSewyiEmetJSVLI0O7sfumynp+1d
Bv3yv2ALncfI5UIHFP0c565rDQowV4isPWmd30RQcapuciNpdmPZyT400e59vG7wcq9MhWI8/AAM
RQPdHLBROoNvoGjsPI16mDgg4nDJBimg60Yu98q5kdmJMpYVqjMljJBmV1VRukZbtfb92ZHi56yy
kun7+h9d81yI5+s/f6GyOP1+ADvgySCYnT/zHLfkmECCCwNwvFq3o55rYQIFsJALeVeBqBe3sB4C
dwKCjI7+0MZfb3OEZXiZD8IxFMvmRSyUhjQ0mrv2k96wg2VrJQg/qm1Dq+eErymeLM0mPgiPgKOB
vGJ2fPZ5AWTEKK0nKQ65v1+Lu5Y8biKXQRYLEeQFlQ1KcZldZbX9NFh9NAmhk9TYBuOatvFlwgGo
2j/NBLMYIq/0QvgjQxCpldLbcSepnqzeoJ+HjJpPaW4WaahKmR/GmilUvIbs5brXLE4jYPNImcNj
LqDzotKyhlSa9ZQgE02HiAoV/2cWZnFyp3UZct54aGQnBbE48/CffX527iXy3wMgIwkHFpV0TV5p
8qT5CwaqM/83RdMUfog0amYQTx9dC1WXLCr51hB4tO/t7+iei/7CWBAnQ+/AgV/PUf1M1UVGO7yV
nOCHf8iMFcToQmVk6jJCZhbgENSs5tTKXYVEHQ+QbUzMUys/c+RQ7F2HNApUMaMKzKeAvoT54IUE
6a7O2LZuFj6QX68x4VcEU5sj6OeweWc7t1KO4k2GdNT4Sm28Nz79+iQinYpc5CSEDdTP+XKlAc+r
pKUOesOeNPLFWBP2WtoxKF+hJAwpJ5RVZpdf0QtQuCKeeOpROQrFGsndFDLNvA2oGihsTvoPqJDN
ZqfmDppKPHR25MggldaPca99Q3s7RCcAF1zVIlg45kAIhu4VnNbIx8xjE62hTmkWwDWkPIlZsqM+
2/aJ9ut+jalChXQKsRDtzqZMV8zW/NEByCbsOAqj/a/XM8Dahxw9jmsk7XD5nK85zwyLtbVWHSv+
+VXx03WPWpgkG7iGSc1i4k6bl61lniZWQRU9WgkSeTG1vgXdiokFpzozMQtD66oiqdPDhLPVcAM0
K+iShSMMmE+kK6bCKx6sswXwJa0Y6tLV0c+7Q5Z4kW085eURlYNIH1dyV2u2Zuf9RIOS13pXHbVs
k5sYTqR999AAYP2FeOdsULOT3+hBTm1IWR3bGprRKD7meWjx+xxqhK5f7dPSysJOMfRsAhbfBWtg
hoUlg6o5Ns2UzASUa7ZRq0EprUpFdfScRxZ67cqSLYVzZ9+fva0Gm1Q1k+CL1/nWSV5M/87h9069
n3DEMjswe+Pk9/YaPeXiqCatG7AGoJoTzBwR71V/cJ2qOmb9Ddt4fOVZvegcALVObLFT3mHaah/u
UpD7W60Jiu8j0e47d0SN9QSWzb0OKPKQriTolobiIi8DqkWU1qDCeG6rqQ3O0jLFoTBEequHTtau
nGsLBwNuUaQYEX6iyvkOO/0wmqZB52Q++NhIkFw1JGicJV5eX3/59Jk0qKYyxAR7smfDKPWm64ET
nFR9I2JERR6Pa1fa0jg+mphm8sM4WO40ilROeWy7Mib9iy9ugWBfeV5dPlAn2rc/xzFb+oLrtOIV
xpGUseOHLYkdsUVwfX22lhzso5XpV3wYCveroUiUXaLhqQXt6U8xBCiNvOZk564SH06n5uyqPhvR
7ATQVcBBewZb/sj3KYivNcOI0csSqo69Za3aSr/9bqY8TgP1pJXpWuP12lhnJ4THqiywiVselcij
Ahm8Rt6xZpfyvU1WDvXFxbMRsYGuHAfePE1S5lBkNnss3mCL0LceGi/qja3jrphZ2rLgtvq3mXns
VqGwYqBCAEfMzDAgPJTmCjpo0dWh9wIeR4SgQHqc+0dualmVcRNzNnyTFjD1/g9TXznkFifrg43p
7z/4oFUFEupIRnmkWZx7EUHpro2MtQtiYSTgfTNRvEFsMg1mZkXwOu2qsjx2lEWQFYjoeAqyX06P
TbqUfxqZnQzAe+o6lD1KYDgeivznYN7U3QpGYQEQc25jtiQUSW5AsRCOMLlzvTs9CBFnCWOb5QDN
3/re19Xu6aW7FcNycQth+lAymMVDTQkWpoIz+Bkqrk77e53cyPRWjUU0Nneu91Xqe02P9Wxz/XCa
Ls/ZgXFmdhYakVIjXpLCrJBlOMLDUXIdIlOFfbuR5jaBfO91gwueiKcEItfp+YobZOYjhRMUBpI+
xdEsY5wRSb8jY+SuNR4sPFnOrMycRPosF4kCURxKOqY6ePZB9N+bgMU50dCW/uP6mBb9HuXjSe7K
gpTSbO2gOtTwmmjFkZp/GPqLUT/0axwsayZm60T72iidGibqZtvmr6Ta6MPr9VEsusKHUcxWBmhD
UZUeNhaeHHuDfrPJ50BjIet+OvRLSW5osnIorY1ptkiD8jvCaijFg0Vuw9h3IQ4UolrXR7VoBOTP
wAFO1b55gkEzOihB+ANOV+cWeiMd0o10jQVxzcZsIFUpRCHbEadrCbmdUNYxXRNnWDKBpypeFyaa
zC7iOmoUuQ+wR3Ecsk8lhUjic//rmBzk6JGcmKD+iOzmzTqyVyY3qraAyGzU5geT7+vuMRnW0EXT
ZMxPHGAmkQxBmhS09tNIP1xFWpF2wNJ0xdHpIt7tK/3Try/4x+/PrroiYI5TtNP3hy9d9lWr33y5
cj8sLsaHIcyiLPCX9U5PVIHXakzahyqPTWv/n41iFki5QsoSbebQshebNDDAFXmQ+dpZvDAOVH8A
tvCQIb8sF1uQeqiAWuFH6outofSY+bfcXCtiLFlBJc5Hd5aHLsL5zVa5rZsmjuBHQ95wY2/zA0iA
r8/WwqWCAO29GmMBtTivNHVawgyDiQau28WWvS9kuWnyn6Cu/wt2AhTXQWwwwb1mC59pPR9qqhro
DDahVEHo521MUxUK7ffrlpYmDe3AKJ6g49KHlPn5LkGpvSJJqzdHTouYke+544aSmiuH41Kggw6z
P83Mznw+UNPPZI8BGSzOCAEcsw4HrYtSa1Oodg8mGbCPWOFf4MSGztAHw7MjUzUaGKvBsXksEeH0
7kNlmyFdS8QvTiKaqc2JNRSv+1nmwONO6tYjlqvphpsu73fj8JI0vx6P4p2Nci1yLiAMmBuxpWQg
ApLNsf6s68i6HBOgQa87w8KRCeU45HWntAHCi5nbAUpkBYMH9+4LdQicMlbWmnDymonZeYNoCQxy
AUxA1vjVToefJjB+10exsBooBAdAR+AKA2x+5mtjbraVzzJ+VKTcN6J6gAz81vbX0kXv6ejZBXNm
Z+ZaZWkC1YgXFQTsC3WDVpmfTed5sVVX1l3h5cYB+CUzAlrO2yinT8Ii8fx7aXtvVqc7Rw5NtD14
AbuXMS1qSNXSNPS5TTa9671pjLShFSgnbnQ2tbNW5aGx0zfSIqkHfZ6Ty7kdCQsM1mLwP+ddhzPV
s59HnVg7jXvBHkwFyWmsdfPeT7Pys23QPHJFALZXR8k4UWYeWS2nkceTJDQaPUeCpQ0iGoz1PnNp
s+UZREFF6tt7VfFxSztniBAYpHvTZVaMIkMddkGenWoQaR3GCipRWW/YnwMbEvVaxb0T8I4Cjxq9
/dJx2kaJ67abNGsC/G2gP2Ya47e+AeIh4Rvpl0BP3di2QYsS2q3VoT1k+r8psctNnW+y+sb3ZXED
/isnbLKgfWxqm94UJW/DSpYsHDyCJNdgartWd8TGasCUpqiZh2nJg9ho7TXNn4WLADsQUszTbkFi
fBaJG1wONehl6qNXf+2KRzEOIceraS1UXjMzO50HlrusqNJ6up2rKsyK+wztOvX2+oZ5z6PNPRnP
GMRKQCpiw8z2vcrSVIOX1MfKHr19YkPHiAPJEFEOKjbHGrTd6ORabKKHG1UAnoO7cqjCIXeNG+k2
8khkle8t2eZ3FdfHqM308XZAk/Rm7Lj1SVYWiUBSZke50oF3hIBVbKayjGrQnL4M0gl2NO/H0OQc
K8nZdybzt66lZNcPQbvRdL+KU+6nURM4HPyjox4xhWowqkQ+uoZNGhl4MoWG2R/tRKqQ0sYPBcSr
V9LS0yxczBLCGBwqNkQF50j8ulW+D/Jmeqz6b6Q92O+aiXd2Vm/RBRRdX5KFlk+Y+GBstiR+UKFf
tbHo0VbfhHabOAy0q5/pMDn8Sx086k69FfYfHdq18/p3kq64xJLjfTQ/O6YHs7ZLPYH5Hhgza49X
WVnEY7+Spl60AiYfcJKg3HcBpunLOuFl79PjCOlUMzLYDvxIjre5PpdL9wE6WAGaR9oD4eFsKqFY
kJpD69CjqDYmkAx8W4uVu3nhVgOA4E8Ts+kax9q3W9+lx8x7Kbqvgbfy/aWJgvgK0u1gBUAPyCzA
yAomUOgT9dHJH+1hZ0XjAEKaFQXAJf9G4RVorakV+wKuHGRliiZgDIL5j914m0A/l9SfQXY3dNWK
e0/zMd9KeACC3ADXIro5Z0tit6ZF7SLA8TnlqOs0HvRT2t8I9VrLfeWsFP/fgdYX5sDig1oIErgX
krV8zIsRDbj0WCayC92emagngFl+j98GzrABfQyZ0yIDRmm2HSxfxAgqe2iwDm6YaFq5DzTfCDOi
5Vu/r7IbF9Ib28LxywjY6zLSMob0Ve+57BPnUr0Y7phuCAm8BwESoU+64CeH8GJjC/nDUWV7qsrc
O1EXvIwIi4fDYCBVmjuCcvRW+3XcpkH/2uRERhSsnzvlJhDjlF0dNmykp8rsxdpb+dK/prc4Ij5k
NSc689l6yF74nrJUdkT7vQPx2fwhb0Nqfbm+ES93ybmV2S6BxJfXm40FK37kVPskiK9//3Kjn39/
tksE9BLr1EPXnRgP3ROpDsMaY9/KPPkzgEVbm4kteoyg12/8EUUWkAK+seT3Xx7HFFI4nqdPreLz
hywHuwjcAvJ1Es32QwRk7CBX7rKFpQAnKRoTbOz2qQ3i/NmnOrClsKwF4zbCv8D7yfVhe30QC1OF
gjuabvF5sFrNc/S6negFSOcnAnYrVsVtQJ69fl+1a2+Wy6MEcjQf7Ewj/ZDmMSzN7+jElF5q3/CA
ibTgaAZ17AY5YolvZr0ycZeH5Lm5yQc/mDP9dDCDFOZ06/eKPCXZTlVfC/uOWGrljLz0ZrRe4sEH
zl+kyi66VBLOq1EVif7kuHv0WHn0QbYrG+bSCyYTuBinbvHLa8VNM6vuLWo8QSLTS+2NzMjuuhes
WJjDuka/JKJ6t5B/DdyoX7t4lyYJz+FJ7Qok+RdN9YZsco3SAQ3vqbttC+cTq9Qe5P8rw7hcdR/N
vFCveO9WxYV1vuqMOPo4FtIAMxXdJ5XcaQ37aSR80yv3kYt2Ze8sjsqf9JGn1vKLvpGRQZlbgXb2
qdK6GydPQp/qoa6/Xl+by50zYdeBV514Y9CtPHNlsE9CWSlzdbATD7eE95+E15S4A8fXPkEOexyf
/WwtkLmcyKnt+s+3+cymm1IygiuFHzl5o7gkzTLUDR6x/pAFa1nHy/HBFohGQYyMjMYFKDj1hKFz
krCjCXC+q45c+2IBKFla1oEEdwZZidEuXd0AwAtMOXBHdGbPH1EssKHnYdv1kTTI1hr5A5F8c33F
lk0A6f5OF3nhF9VYum7qFezY87FDyyzRtpISP/4LVtyJjhBUcAgDpzX8cMSRJq/ByZPUx+ZA0jtM
1X/2+fnVI7KUDbmGzzvf7wL64/rXL68drMJ7II4OyCnxf/7js9zQWr0V7JgK6aAEXUMvXUJ3pk60
O9TxV6ZqyZ2hgocD2oAi8wWmx0aaJocuFaxBDW809wUoz6SOzByJID25ktdaNuahaQahAcQXrPOh
2Tm1RNmU7Ej5oSxfHCTQ0wA0CrwJhb9GFrqUscU2/dPa5IsfvEBDAAKhKljreR5lyRimWiz9rz4/
pu4zr76mYFzt1rimlrYs0FdTDn9avHmB08h60coe7wKbPrWkOzRtFSa2Fslhnw+7yl17Zl8etKAi
+TONM39XqcT0RkMleBoiYtfU3YBwBfXi6y65YmR+B8q0ka02wEgm9Fs7JYdeM+55Mq41br8z1Myf
OQgZETFAixyPndnhyoq0So3So8cEsoixX+XZjqkcBJy5q7RwSFT/YBS1v+Gt/pV0RQXqVPeoZ6SM
e6vzQ4NS7QDymCyuqP+M6mARW21KYq0a5W2Xti9eWa/heBaEbpDn+PCbp/38wc0MsxKOUeFxDhzE
jrbal0Bmtwk3vgR4bDVWF9FGhYE97MG2ckeSGiIEa9n7yZOvTdvsvFNBUghoatCjPn7VtBsrSVci
uTUDsxPP6ZA3zaYxtp8dD7oKK59f8q+PuZrZuYAGskoyJHiPk/i0M96z6lMLO9edeHEMH/JR099/
WKeG+GjF0GGEVJFyo2ytVWJtEDPfzWtWi3IahO1HZIxVFZnkn/P0/16H/07f6qd/Lqn4x//gz69o
CWnyNJOzP/7j2xttcvo/07/5v//m/F/84z5/bWpR/yHn/9XZP8KH/2U4/i6/n/1hQ2Uu1bF9a9Sn
NwERzncD+InTf/n/+5f/9fb+lZNib3//7bVuqZy+luY1/e1ff3X4+fffoPP5YRmn7//rLx++V/h3
n7/T9rtsL/7F23chp3+s/w1a1UC0ARo9VeTxrf7t/W9c92/owgDcG83LCGimXUvrRmZ//00zrL/p
8DZgUBBvo//Xwr8Sdfv+dyY+iHS4jZsX+I4JPvDbv8d+tjx/Ltd/0bZ6qnMqBX7PDCiCZjecznic
4nxADQ8g7nOfI72JWKfym2fUHtwvfmKriGu6vdNURvfSB917llvWHUAR5iFvWnLb0ML87lWuGQ15
XW80TQA2TLzxMbUBybFSa0Te1PB2wrfrzYgWql8LPt5/8BQDTnAjAKPtWXogHfWcORna2xIFHdhy
GMdNVzM9rk0RbA0QA8UfVvNfM/ZxhuYqdP80iKl5f8Phf7AWH3clEU7rj6UuniHdon+2efDo4tEY
DpXWb9rB/1KUdn0DpnqyDzxUkIu2H0Jqd+WGSM8PmdbdFzIVESkhRep6QXvX9anYNLLkka58EdYB
8ba2sr0dwRMfBJam2l8fwuzGxwhMeBJoTiG3OPXNzfb9aLSuXahKPhOnysKgavtQkTSPAsQ6G1V6
zzppxEET7fN1u3Mc3GQYz16oPyPSmArts7XSBsj1jnSQz3Wi2hulmfnOTFl+W7UgBwXtFihRPa09
QL6l3zMwMMbViLyg7zfByvG99Etg3/R0BDwewu7ZIpagYmYJSlnPDnXEnpS1dednY3eXt1zulWOL
p9bnxlYKvTl4DpFbWxQJ6F9WMd1zXd1pThDE6g5IBJD5RBB27k7MHgpDp2x8LlSNAlpSqiiA6vIL
hwftPFUOp2YQHtqkdMidK8oesJuKDZpT7TCBhN+h1TsfteO+/AKYlHlfirb77Gtl+aCnwRq5xlwX
Gj8WzfVoQEAfPA6biwW0Ks8oS1mYzz7v83sv4+w1Y1UKBcVc3GdWDz2foXF3baLoM2Fuc+MiT5SF
aqTGVq+LYWvVYBzCX+do/fGdRy2Hfsx1J5tdatNPhMor1hVUOhPoH8fox+2ptSm38eK1nu1cWDvC
lMIjIbciEhSrCIvZw+fdFvYRTmSclUi6zTZSGZAs0AfbfO64HdAQ0R+6Ad066/NYIt9sRkTTqlNH
5VQqS3X9k+n0A4pHLarkm4CBVz/MjNwUG2Bu22Hrpdxxb7U8ML6AaGdNw/ryZJ9+Idi/UJ9HO950
h3ycGOE0zijRufQMWcx813TJuM3sju10qTjAWsS85eWoDrnm0xi5PWNlXd7blj6EfMgFwDyKTsh3
W2ganjfvQxyXtSW4NJ4to3O+lsodkpsOHS1mWFNbf5ZJqqxQ0KEoQlw7BYq7JRoUYqi0WjQkunC+
oRVF0VgyIzgYCYM41YAQ/8WyS+810DNQpQ/CuS0qwxORC50iCJG4PliHfD3zXvPGBd9Mm6V+uhFQ
5LiHeasFt25PxKFJXWgbBC2vOUiJCgOqjkPXj7FszXGMRE3Rn20mg33qAu6wME0dLsOmbIufvDaC
n54JTbgwUVVaRL5fiJPnZNgKQWCMb4XlDnWY9q7JY2YrH+VxWxb6ThGwH4UOY2W3DSQLzI3sK7ZL
O9+Qkd+NjEalCX7IaCwtb9hA5AFt9mhkzItYtUYmtmi7J7e61wPFqScNRFfB820U9wTYgCYCDMAq
YnRGVU5MBTsRF6UNDDAtYttoLGOrGqjs7DrZkCHmxUi0AwPq7dDrsqm33KyyRyaoL6Pe7B0dXbp9
aazco/PH7oQjhyoCDj3kqadDZXbwpRRZfUJa79mtBgAUxlQPq9YFiYrG7G+1Y1Zo68aYx9pxnoHP
yX4O4MNfccqLDQyVZoiAgFYAhzBOjtmeMGooNkIM1XsGeqLYgb8HHcmah7bBlKLzyTP7lUFfHE6w
h6APAjYAE4HDcnY4edCcAU1Q5j9rWt7vywwFXgflk60/kYtdPwcXhjZlmHFQQ8QZnIszUzhjieb0
Y/Dc1JkXWpmTbgsNcg8D6MC3lRmU2+v2FoaGawyBI+IihI3W9Hs+PFYoG9o0GfzguQArTjRy28Wm
Ld6oXq61LS+NDGSPyPghawEExexpx+3MsJNKT557ZtQHvQ9SUEpqyb7DhRD3TbLGOrLkqahiTnpr
oO24TM5VrNC9PKDas12a9b4QjbXp8rJ4NnzsUpQUx20uQZUEwN244SW390FB2IrnzB/t03YBlTGA
nOAdtyECMIudksDoRFNrzrPKNRx9XAO45FBwqFPEZZ74SewMlY2jLLFHESZWCUljCScEgoN61sso
nRz4NVYma3JXl6EU8nDAqKGIjYsQLB0zR7Osyi8ITwKIAoFabgiSA0sCejC4azxbtPBu6y73wsBK
uljXPHDI1ciJdG621sxzGZgjngNnK5LqUIYE3HnmFzj9uFvnfnEqZaW9JqnIf3dA6//IM0v+bDEZ
KjYUHtSQPSmH72aNYw6NenlqxGhD0ozfAxEUnzNZypBYTvoZlWcOKjxPS4z7QjD9xTIxwDjPpuYX
PNUSL9TBBd9HrLQt8PExptb6jC89HT4OugaklUB3iarR+Z5qGyYHJtrkWcvQXMrc2grb0TW2IqMt
aubN2h5esod5g5+DQQ256Fk801qlq1ejmzyDQ39f1iKJ86L4NObVY4PeshWPXlgva2qogESGA4Jp
fy6JZxq9MDPha8/Ut8vnieLu0UzSLOoTl0UUStWHjAsthB5YE2eN7GNrwLsADZ2vAifzfQoqBjBz
Jt2uNB3ABYgLreYsEEVUJakjQPsm/IPXiHFTMj7eKjeHWt2IjXL93FuaM7gb/B5EYB5CzvM1qhA6
6C0UoxHmpTTM3eRbR8afojN/lLa+uW7r8ozFjFlg0EIJEYmAuQYasajJQRCrPVsQPYhoZX3LepZF
aFz5et3QwqaGJVTC4ArIsaMEdz6qvhXgGnOC9FRnXH7jqh6/W47q07C2h16LFHeIFlGSiBwP7a5D
ptqQ7rcekHPQUxqaZCs4mYUzGD8IQcIUKOARecH6SqWRV4ymp9JtvL2n1f2TVKMT9Y1H9joRciO5
Xt61NmUbP0j8RzxL2K9VUXAEQyYH9S2E/Ihd8FqbTQow1L4os+wUpGV/YKXXoyda/StldpYx+5hg
sPGV8zh54qqcaN6QIXKBqD23QkUj3IIP+QnFzyxGGyRKKm3xF9x2KkHiIYeX3EQ7c26lamqwZZg5
OUkB7niqiWdHWQcoD3SAbqq36+40z5Jj5vD2xBWKrNcEsXOmMX8IDhR1Tc1vGDnhxgamXqfpXT+0
Lo3cXDXGrsmk82CXnenFSYlCznE0TY1EDTPUU8/7Rt9AM0e9lCaD3oOv1T9MyuyDm0TQyNhZlSss
BMtUyyNHes1KsmRWAZp+Omo/2ODAmYP3eU4m4RqdFoxGT05CFzfEzXH1euKlLu1b3SlfTUOsVYEu
N/lkMIByLaq2iDpm1xhEoIoxA8z4BPWJHEGFlm6TstU3LOl+EbzzPjbkHAFFAb5yetafL0tJnbSy
WqM49Qz9Dtngu3FvNE6ojHKNeWhpVC5AdBNfGPqC5jwjjUlAGC1wOSP+JfGIZtKd2xTaITONLrzu
be9A4PMdZINuBi23CBDRljJvdhoygxSWLetTYfP26LuN+Xs6+t4Pl+rG19ZQ1k+ra7X7FGO1o0Kn
4iVrNPDRVsXE7OugvPjSgURwW6CqDIxZk9avRTHaRZRqBM39zCONGbfK4YgDx17eJaxoxhguaY2b
XuTiiRZObU8QaMJCWsrmq6sx90cDyUr0XlpDR6OukWN6Q8AyTkJNN/pHTXLvQDJVlXep2w13ukih
ZTmmbo+XnWpcK/bK0UrDgWR9VI2j6UZ5MJjqVk/RAhTh8vSPTQ9UXdSZCZXbhuhkDG2X8a9aZTMv
NJMs+6azwYLqD6mbcsM9s4a8x0D6P4w+tXBt8XZLNGRMw64OIJqstaxMJ56e+qHRmChiw20ChPZp
1zVh5RYaR8dlIO4sLrUxVHIYHgqDv0gtScim9JS6LSXTV3CF7xXX2eKCRBZNYMhUI26YywSaVmnz
wmjYqUqrLA8N+Gof1aQjQzhArSeJDX0EMB2EvG4XNoNf/EjcRhkRLxu0cXRNjxMDKIwvI2J2CUy9
1LemzyE51iWDOPiIig4URObAYHZOpNs0fyiarGaR21ryoeN9W26kb3XHHNJ2r6IfkMpFy1jfhYPt
FW/c0UELUlel6Ud9Jo1hk3WuequImaztqPd3zmwm8JzEXEyU+hPXzfnuJUFAJACWzckuzODVoRLX
cCNaAvXijrEOvyLP4EJZm4IYTWdM37laL2VoIckfgJKlqrdBbZU3LOCNgAdp1o8+9TIWal5h+XHd
cNMNc0v/KocSaHI0StB7jIt1kc0QyIdkzJ00LLQCiWwJugErtFFwe5BYBVDA5WBCXtnXGM/5eAEp
wSMICBkw2NvzFyYYd9DO3AbspKPpYGsENLnJjO4VvxvU6b7ybj3A9lfOkstjC/lxINlNxKewPn91
gRC8gUa7qE8gU6xiDtXZrVnZ3kZvevV8fXiX9z6edlMqEdAGQJ7mnAdNB/q52iD8lBpFtnEN0W6C
YRhXMh7T7TGbRFxkuPknZsMJWnXuNMgiO9LJOD+hTTuLhe4/ApHIN2nSkSiT6hNFE0LoQBVwc310
C+9XFKdACI+Fm5Ld80MZlJQsrzxPnARij++6N+r3Xq1n98qz4aqjZjyxqbPPxQkYF1DuekDCNHgj
Webt86ZKVm71xZ8zUZLh0fo+57N5kFAArfvSlaeBGcPOzquT2TQAPjht/0MxcJ+g9Uwd/dqg28bx
rN0wqu5YQczsxmQ5XYluF5beASIQbE9oPUSSYRbyucRuwCKui1PPQfJW8T4DOV63RsH7TvE6W3uE
k2gBhiP7SAzNUgg89Y22z7v+lOfEuNfTTr3KokbkHJS23JDahS4i7j2+0Wtb3FT4rQpqIAGIEbje
tllY6iVuI1cvaiRVtRYMqTxNJVpkknx8bdEo3caOq4FjxU155sajMsXtoGuqiv0Ef4jNrGPFvqka
5xVazkZkSrQlRejhI3W84m1zN5943hCiIzEBnSSgOWfhbWv4nZ3majgFKLPtzE7g6iyExSGiOG4l
kjk7AHvEHVbkZaQdeamoyXY1pDnCDKWxbZUShbwFr2+AIem2dSaMmz5N6rjo9WHlVfFea/q4LNNv
RTYLfacuqDShRn++JQNluLlkznBKdU99LvnQRQCsl+Cthhj6phFEiwtf34+kLCIDvvJJGwftIHxW
33AvDR7NLJBfidPK7fVJnJ990++a9ga2rInOW30WiLKuzYTjUnXiNEtDBtXt29bsytBvVfYXTMEf
odEE9mYEo7PlSrXecqk01anNeRAx3eFRbyXVrrWyNfjRPJ6fRoXix6TjgiMQPnw+27rUtcSpXHWa
rseo8zJxUn3iRynh3T0tC//ecBHZXJ/KaQPPlxiSbujwRN0D/aozo2jDbnPX62CUQ9IVrTFW2NiD
9r/UfdeS5baW5Rehhw40r3THn/T2hVEuQRIkDAnQfX2vo9v3QaU7XTGPowhFSKpQVeZJEth72WJC
VE/u6PpPOPM/jjd8l3jqI6zuHrheaCP//l0i17YzkHU5z/2YrKWPCWXJKGvqs5qGIPd4pXfOjVHY
FgpQZHJfpkHaF4Usmcss2PCHR/w/fOb40QLmB7aEj/33vDwLYyTercB5BmbJs6mxyyNckqitmHu3
1IO3FHSZ/6Ru+QezevsMbn1AN1UA/vr9vYqHwOeeirdnCj/JaUuoSDn6wHK5MAP6UScFlxVW0kF0
pbNx53kE/5YDUFInO5sLAedxokPgPFhFzIE4ajtj3Je5Dsmfwqr+w6t2swSArwTrCdDlN9XFxkGG
8EhuzygD619bab3bdJWUwzT+qevhP5yMmDIwQPt4NIAp//ZkSHfBARx07nMQ2e0AqmI9dCvzStoN
fspWmFohOVuKpeLmD/Pb77ccpnXwLI6LwEQI5f4xuUNP4gCATrbnEK1TRzN4633Vkm//+5v2z28v
9JFjh588ItJwqf52x60LzIlgBJ1nARNnPuFf34SDWvckkLz0R7UcB91P156Z6Q8Tjn/7If39Jb+1
DsBDgmkRWQi/p0avE0It+8b3ntUWrNBtkuCxp1UoAEpaWJ76oOFDvm2b802MDJOzkXaZcwPXI5y6
Th8VIDId+CzjyU/wYtbqxRtrul/A/w+ZZBt+p6BNrn4kByffxLp9LR7tp0wh7PIpDhv7NEvyQenW
3ccD5AslHgPmZoi/8r+CjUrYQQK6HeGNZguUDW38PiFNbifCvmozv2+Dt1C1oFHZKMm1SyJJUh+6
lT+ZR/5CTP72OUFLjRh6TJ+whmGe/230irvpRseF/KUdHX3iwoNBtaVyOUdr07GiTjrt3RFQFz3S
XALk6UWidTJZIa4r85sR4VbL1kuaBtpnSJw2RJhsCvQ30tv2xtx6cbptHep0FyFE3ooJfjdw8r08
EWOgnVgX1npp3+vpcUMjNisTz9AjJInMpC5FpzEii6ZxDzolnq6B0O3H//6I/mNxw8MJBQzgYlRY
AUqkv417CA6dYQEx+iXy6/qkVG/3Lm0l7OAsFAwnkJTom6qtvmKtafds7hBzrm0o1yzQhOhUIqa6
zoYVpX6pjxT0PVt4UnSThp4fgZwuzQOwHZdYx+Cbo4RLlceQTH8PQE6ZIkYFSzltAFCQhxgNd3x2
ATT24RaYElG6wR829n+8FngV4Ra6CTJw8f1DXwwSQ6H3N5Yv06SHkuF28VP85Opj1SAOGE+JLHoa
j3uH1QFq9nqu/3Du/APMht0KMXIRvnHEh8BU8tvtG1huR4so0peE8nnPJUruZGT43jiQq6MlxB7I
zMedjD1cxp0vs1mGLWyl/Z8iRn53GOOzR1DFXywVdBg3Ddbfr+XJWRpfCLm8rP1sPiJ3jiGbMzXl
Gedx22VMUZBIi6e8983ZsBjBecDuBPIpphK1Seah9yeUsfO1+9cP6f9Jp/l/FWH+Tbh5p36JJzP8
+mUu39T/D3LN25rzf/4tifyHXPO0DmzdRvPt7xrP2//0L8VmDH0l9nKMLTeJIaRFuNb+pdgMk//C
sA54OIEqCsPWTUv5P4rNwMcv3SY9/D///qX/EWz6yX+5N+Uw1hN4pzwHx+O/v7j7f52S/9LP/me9
5t8HS5B0SPjB0IRaKSBTOFB/u81Z42IpixHBOGl3yIBU0bzvVVJswVJlddTaP11yQFD/ds3d/kiw
+y4kqtGt9x385N+f4ZUIrlQY1PtxGMSSRg0Ul03VkV1lkS3mqxFzVtgF5LqYze65P8yHCN2P2C81
2SNzWJ3mYep+dsojdx1I2nu34k9h7W5DhtxmXZhWuwfTeTNkGKE1lxaCli+9bGix54MLnlt0wa9p
6gC8o9aMlNb2wTPykiNE7471BMRy0WhUWPxXHa/KSaWqmvsId0GXjhQG3zSpRPDOgqT64eqEHFuU
Sqi0GQOu8RuS6k70rosqTLoBE3SAdEq2d9wxLrGSXSNZr3MqDfXeFArTf7lNw3bjXIvS8Xp58JZk
Oejl5ukKa6cttjEKH/o68tOk8bZiQN/nW91M44E2Tvweh/PXBBmYTZupU/ubps3k3Ac9klvr1M80
Et3Rkb4jUzPrH2Pfh/kQdVXqL/XdWm9RlgQIFcnZJvaIqvneAGVH+obacjzwNUIfEAUZgTMOxrAt
bdSeHR9qONy/BabMKcVt82bIj1H3d3G8oLaBdvaTdAlB7hUL01j1JrMzQxQCp9dmu7jBng3hL0CI
TqZb93Gt1Cew8HdlkPBMoBlKw35Mw9oDG2gbN0VbMTIo4rDYhGapoMuSbtHwfU5UVtsw1UmEbO5W
dh9NA4HjNsRkF9fNhSp/KOgmMy760xBK8xRxvb4Gxh54QguB/MKKbfuw9/EpzkXgrPsu5EiWjptj
HbLgKAT7Oc8mn9oEOaW2okBUPt22LeqV78YuJmfdGpaRdYaYWW4QWsW/5NoD6hwerDdKyJzpN+ws
mauDOEWAC02dvg8y36+S1MLryOf6HQaL15r+RQcRPIZp3cf7yvGLsIZyrm37+RCEIwc+7Xp279So
hpvDNUqXIdrWDIIr74fCxl2npEpWgOkOHoEHYkKScRRntN5oDwnKvUDbjAhnMWBZu8Hm/eoON/8e
HoigX+sdFtn4eXS6BqEfXpRC1fu4eXWPyoAJH5ie2x9d7YQpnZXJYMsjp2TwbEloFTE0dTT+aab2
sQmBjTirHxeoV53AABjlpbyvp0L46Bccgqdw9tZ3aPqW3TIvB4AnKV3lWFY01AcKJOcae3jFthF1
5Zb5/Zuhj7Req100mHbHujB5gnrNpgj3ita8j5vhXuFXCsVnjdoOUDUpgYYEP5FpeNnQrNpOts8D
RyBkpHe70oTKHofWdb+iamKH1qky60R2jygTdufUzpJLU6vMNc04oq68fVCOVkcvkFsWz4n/jUSt
yIlaTovnnj2EUkDC0z/OsO2AP0zWQzXq8JI4FUPutdp3AkdItAzIvu4SlrbGeRGDJWnb6/EbZW3a
djTruNEpmE5kw9lss8l1QP3bnk7RHuRHrhN25StheEuELGKuknTp7jrRf42klqnPNLL18VTRKYad
zJlf2nXB3K9hJKnXA77S5QI/1ltjunxp4vaua/UH8/Ht9MN0HOfmybX4INnk5S3A+E4sx3qND8KK
ouvOW1Q9LHN77dblONqowKT1unYYl3U/V9fVXbKmrT+bhSUgKGKZ9p16bVokq4Xd0YTiF6nB7UPk
H/JLAjH9vlv1rgFUkCUTx1ftfIShZid48NpHv8mCaXbxukeGZO7Q5gBXLuBv3fOUCO9E4PnIDXKA
Oi531Wb9vHe2McPbiiceWTYT6y8GjaeSNPnqEcTKhnW/I4GbzzGPcmfr0O4Ti33fUZEZ5G852Ir2
jvNMzNjsXetsOA2aoz9s78oBZiMMtzvdD6hJWOm709i3UPDdGnUqDwO49VxEmcedU+cg+5oTESG0
Cnb84Hr8WMG/ZSPOlryj7NrG3pz667Rg3wjG/TyzRx882N4Gg77bInaSnBd1PYiMJXH8jDzSt77l
6hzR4WFx3om8HYiV3Y0GNAxw5OPiRLtKTgUssxdwiBnCknDNJOFdOymK2c/Dakcx+eMPKVVo22sw
WXPsNV6hhH963dzgndPFoKY155Uyn6vXdykYsi+/W/3Phbhh6kh6CDVGSWec3hO3ElnL6Wfc10VM
Kic1VjjvKjwNwUjulrBf8QDX6pG6uzkRx9B8jckyvuLtwEEI79p1AT2YD+0sdhwK2WikbEfHecec
BLaFWl8BvNxvK9I0elUhHMd/wZ7RHkbgmLlH+Zi3kx+9Vc58ujVepW7D3uqZnMJFFFXgz0jKh9Kg
0nY6cqvmclTag9C2oS/9sAT3vgn6+w3KgBgFQ4gDqSCRNmuJFEueDdy8a6eCmht3XrBDvcBhCsOi
RgjW7Yd3YVXEM5nMa+Y12xxkEMqCkePjHk207r7hNUpKxxjB5iLJ66biaFtrkZfMeo52jWgXK/XW
Jd58Fm336N9q74fVP4XeaHbjKr+jBfoTDYO5nlaWTrXi6GnlUFKz4SqiLvU9/24lfpsz3iGQG1EF
bTQGmaTuFxImDr5coUpW661SasLyo1D0E1oE7Fe9m1fcfdBa9plwyQSRmn5BFczeZQaxIKOOLlJF
3hPIbK8EggV/KATIIOkm5+zitM1ChLUTRP49MkeLczVDO8CMafMRCMR+Wxz1qn297eraFqFaU8Nm
lL+CXPF6gP6btxbAewG9jm3pz0HBZNwUoW2CXIVbcsdDliOxshQqmY5h0BeJM8o0IXzbS7ffeYSE
RTfTcqvDlAxWpt1cYxzQ7pzyKVh3I6t2yyBKziSKbfk25oFx3hRFKrvr6Z0n45SvkCUvIW4mUIzX
IGieK7sFKUa4C0kmfITM6gxsTpw5E2G5I40qpjDBEb4M2bhVZi82mFYh4chCxzw0deemRgmJW7zL
A454qhg4Xx1USDdz76qY8cK2mB8iCBY73lSZP+I0RnRZCh8Rz4LReRrIcg4pj1IErV89RObArqmT
s2IVxizuvAFL61KxREs6uE63n/1VFAzzyIWFmJpsdG0a7ONNso+RtHqIZmhHZgRapSqaniuBK6uf
+88J28VhJBNNkZ71CLt0EW02ODHaoBqTRKBXvJo5B1VXw42TSnLRje4bY3rIFjm84p3ZA+vLEc3t
5e4wt79ah5qyqZtoT4O2ysMVzE3deN9tJOXjhhiAETKNDHljUTFiwnITyOZIf8v0jlKI8TCQztlQ
2THd/CZFj9xOsPpLEus+EMiGcWqLC7xKB+T2pHNQNWmlxr/GHgTzGLKWTt8NpbvEU4nm+QPiz3+F
mzWFrZO9t9nP3ngxkrWqAQij9UpkH9bfkOITlHaCsFF0ckDpiQqnfehJB6yDs32OXhOgTWGpdg3z
zakxDupPNwxsBpTMbouF+5Lo8IdfeeNOU+OkG7J9MEEifa8dnAWPCGHmyRkqMJt+ItY7PQ0fVPcA
3xTv3M+AyihF4gOyAAOu7hs3XvZtuO0wgB2Mq5+iaD03zUqKABKJp74JpgKqHfrTtrXMBknFmfAE
ugvmtjlfmCxGxZAq1I3bHk18m0iN9n6ZtofFYE2G8UhDeVwn92uM/R/uJm2O3ojTCCl4VelP2sjq
XqpOFVSO0a5PfLnv6Jc/49aoA/8+jtc3w+AF2nQf7KmUr/1tNwlFWIPgEgBQrAFWEHjf67HfJ2zZ
LhgSdxFm6qjlNmMrUoYqHp4EZCfFSJP+JlluU1ilJiDz13AWOG56/1c9hBjaDXCwoBkODtDMe2JB
j3X3U+LXF6J6VZioax9aboLMq/H80/Uxbvxni4/7AkwGf6vP2PmWNCYF2IzsDuXedxYhhpqvr1s7
fh/i9nFk/tXVkE6SyF3uq0iLFDpAXF5qaPIwEhg6gllk1QrkKJ25t5xWl85HH1PM/RZb+AzFtBWu
YfWJwvG0byPM9iqSOh/i3rla9AboWX9VUK50rrjA+6LSGGXrjA+Y1HCfM7vNeTDA2YU/wy9YV8vL
bKv53a9iknU1mZ6xNwa4X5skwyJrv5rIVs+VZO4jncT8029UB7NHPF895XgWh0HYfWdD5Z1rWExU
IUJbFatuLCavSb2jjljv2srzfzR0Gk5j6HkYxr0lnxR5UJ3xDojOKqHQSUpm29T66itUCDYPUIWg
29BP+zh+rR3S7DjCIHFqqI/ARQAggf2RVhAwyWERqKtXVT4llhLIfbYDDWgetl7e3T7VDvNhpsPN
zWYEKG6jk+xiMHtnqNYPdkJQLN48e50cpspgRlUK00tetThBRWXdfdSMP0yAUA/h2hzCwi21oUUi
QvuyNS5E576vdGrH2bmAV7p2sjmsfB53NYyFJ89+98VHiIiL2hfYHdQAwABjGB3q8aISe/G6DXFf
HqyI81potn2IbRyRh0hCfQfPeHIMwrlQsx+8xXP7RIOkPwDe87H8ze5h7tfvfY2XERC2+Mmr4Ylq
uKq0jxu7jVJoqYqEIaCSEB5cm/YB28GhtXvirUiVOoSkuzRCHVZIUL/NqBIraO2+1UO89+vpij11
gxdn+DX0SbmMOC4N4jz5NmBzCzpbuL2znphHzJkb32Q8HLNtcrBkuz6iaUlIU9JEwxklf0s2ovkO
He1OXFLbZ92q7qQRZYeP8UmFQE96L9zbOEBf+tYfAM9DaYgRZt7ocqxqQrOBONXbso01gHA1Olmk
e7eQPkUylkFDIbLX/cydWHz0DeImMDUnl9ZizeTS1ztTrQ8QyavvnPlLCcNZkJlg5s+JgDgNOeFY
EEJm16acPTkUDOqI1J17SMITheDzqoug0XDd6bxoDxosaKjOzjqApfXZ3JS8j+pHr9JhAQ3jXGKV
lLs54eIQd8G8T8KF5jTmJMK36PolKAK9Y1Vy0clqzx1BHWE+sgBvrhtBUIXcuCc1bPGJQXh2oI7B
iOJ3pVfXsmCWdifU1L/5dLo3Sq9ZZ1f30rvT8KQjdZ78GiMv3uA0GVysG0hXjwsSzcmJTvo4WTZn
KFVfDujEvXmbJQIbrGlLZ4k1zFpu81qt2Lc9KZFuGjrTzwB23bpQXQyTmf/JfNypusMHjhEAe6tb
e29h12HY1CFXOUguB0md4nOp2C6pghQ1ZwtGUHtEmQDDOt64WNitk4UjkaV1LYSsAWHHflmSnMFk
siNbH7+uen2rF4xpXRfK/Yw5LKc+Xm2Umn8uaJ8ueuU9y9WcjMfFDtUSTrYOQRqCP7h4G95JRM8d
wcWRXCxtizOG4EWaIlKuKmxeRhxpMSReuFRFd7Hs54SEPdTJTKKQNhYHp9UsVxEwEpd7L45VQS4Z
ooNYTJcUgOl6cFyQxSOugdpfvIwoD6GwtzTI1LTJzq1G+PjWQJylK9+RPzOVaw1dnltbJ41c7e+2
VZ09XDZem0wwSPcezpHkKuFAyMam/750Tl8KOP0LB7x12kb8SMbETxtrRYpo1IuayQ+GhI+KjL9s
x0uHs2cYrOpXRJZCq6iJm9Gwn1OEfngPzsLuO5i5X+MpxGU/d/MNA+tTeJApCOGa/JQuaXdgZ1+i
aHGhnYv8QiLok7XxCQrjclvdJMc8v+ZrwE99l/RZ0rSYdBh7cifvrpfLpYE2vLCj+4gpFXYNlzon
FcavGq2X5dJgKfbZuWqbvGdBkzcqvo+i8F2Py2O7wHcpq6s16Hocw5JqmSsv2I/QI2feKlPIebJg
4/sonJ+rboBaMQoXVEN6zmOEIGx8Q8C/QoHmsQnXBN7xGtssbJMzW9g50az+VgULgEOjlrZsuoZ9
sNqu+TzWK04ol5WjP2IiMz3mipA2abc9uiMj36qurS8bTJc1/uGoZyfK64q8ukBHfymJW8fY/ghB
WYOYxFpk2vfrsuI/+0UcsAS6ORtX7F9TGbYzLQbbvSJgZg84RvwKaoMvr2I6k6gqKjsRlAJM3nMz
sAkVanF0Gz2boknQVrB6kF4udIky3fjuro+WZ6j7Q2xFw/SGb1EepB+8A+HFVycYUIaIIiBylmJX
wTBUekNc/xLr/CgAQaCUGldXNBHUnyxdjsA3JPl4gBPMNkEGDZjKGbAMcBtN+Y2fBS4HYFM1+Izq
Vdz5+HkDn1ofoZgBLFiP0w7Cnh0Xw0/gMHXhdivSqCnIZTgINHzRLkDgmU+fGudhyhf5DEXBIRzF
Yxuphw59cfttjfSDB/d3mqzBW78u96QCUgOVBMlrqGB2w+LMuZ0DRIz0jffYzPEtnKzZBXP1IRW7
WDy/SNgij7aqvVM0bvVDtJmjASGWknY9zFA4wVRDsmSVAzjGJUWBEwHi1YsCAsrjMJmC4rV+QR5x
9F3NdARE1QHl8wG1BjY5h8483M0CM/smhr0i6rvdqkxIu3OljcqtwsXpJce527ZU9c0n0OMX4S9f
7Ww56MdKX6WY8jhC/YwKhjO4liinrlpQqdIlKeoONXKsI43rSxGdNUBRiqFNlj2qHsyeAAluoMLE
frnO9xos7jS2BvVtc489YjaHpFfyMM/HnjdHWtMJLn2ypjZxutSNNsxEOOxTVgFq4hXKqeGLjSgM
XGTc8snVn0QLDQJyOWCgJUjnEcER3+F0rbA70xFY9eBVt0VoRlh+tzHsKfKxM2heW2ZBMJ/r+QUN
BfaUyO3IpoqfZNyzK8ZEOJAkf6lhT0TQKXocE8S8P4/DbRLg5My5Gcpxi/fNlHxuc8fuPZ/uKk2v
OgmmjNwcSwjWqCNz763rV4IZt2psnEOncgy7BpjbutAs1IR+icp9GAf3ZABoJg78QNRUpe6Zn/rj
V2CjJIf+RWfY1sfcH51HE3h3Wm/mubEuznJirMrdDgHRzgIrHCXo7tG++NnH4UNMzTPFrBKGkOfg
g8A2GtN4SqOI8FwScwnnytkZT2BSQEwa3lkRF1IP5yFSwY5yg3NtJjgYRkkzXXl7xjCuVHK74wKf
Nu7SppSzkxl0IEVSnYWGlriVc1YtSwkJOTBtDJ5PYUzUPauJX+gKW0sPbvyuG5qTgzxNoFtYX5As
C6jLq1LW26fOi65VMqE2F8g45icL4qXbWy7lTlXjUUQI0o4WwHUcB5JjH6LwrnZDVrijw0oRaZ0m
EnLygPn3CPrqT4lNtjJsAHtoERUNBmGPjEvhzd52DFw5ZqAywpLg98/NMJaBby9jQg5YTAGt0PWX
8Ntf/hAiONvjD7gmu0Ov2E7JIW+6SO/jCT5r/zWuPecLYBoECjrmBTa+5ldsyUeF6ScdtBscBgQH
ZmMFucgIKwjjzW7uyAOhTO38Vh8Mh71XbVO3m1R0WNq7Nor2vpXnOBxDKDOX1BjHTQmLsDW4jdip
umU5fFUoEuzEHQ5vCMW5U+89OlVnCsQPTUGscXbJOoxAmt5F67GjBXLjwCvivyis7Wntt6cQoQ5Z
h8D6NtYgH4zRZ+wTP8LOf2INWDR8rE9TGOeYzVx0lHEGWwRyhMxj7ZopA4PWFMOq8ioehqyu6zGf
Mc/UcsYkZdvqW2/WsFjVtBQ68XQBf5jZu0mDw21ehle7dB3AsDnQT85q7TN42jMi4u486Fx+Yad8
RKSne7FmbvorbPsjJjhao3PDoweJiWm5UZirZGcBI9/jqmRYYMAcAQLRDWfTIvx0g0dpV934Ad13
5BEyn/todH4EIOSLpe17IPzTHvQAwvl18KRQQgFMcsOpaXc0MThHZUS/kcC5RpWXOe4ZwZJ50Mfk
sOgO28ggwPpM3ElSRAx8V/WKN33Z3j0ofHbo43wEIosjwAK4RayYH6DAGGbEsVR9f590cu9zAKSz
H2WxiZ2CKx/u45cG/mPAYY84Ckk26nVCqwB7Fh7enaVduoyjOanwYvOziSuD5c7nr1gEsKVOUIZY
njvGY7gW+wfseVk1uAvWNAYKgbT3HErTHCk2TxPcNSnCymBM6stlknui3CRzkuluNTrHvutlskOq
/dZWoDrY9iPGtHZk3Q/XDPDWmAHx6thEwZg46rqOnOwQlkGuq6EQpzQXLZZkH8xgEAIimUyBkNm0
tVN84APx87Daro0zDTu5BPjvtanSpkqStMPslPazU/ZUX6t4fINRt4VLhNKMjPGzlSAd1yBEWETb
YBGC1W6H/uY5HZOBHuttyQY3SF4dX0OIhHss4z7kv9G9ssNxkt6DAc0Ln1DjFSMwvdTdpjhbbeRi
6e8vvEquKvbuuAWYXU83m1OInYXlATy8yHtD/xpS+vcutD95rFyRTkOFNRHZBnBpbIAPiE9S8CX+
UwWZcL6Y5FizFS971GfAFZucB+4FK306VBL5tGhDwHljbRqz1T37wv/qRw84xYLBpBMgQsKkrKys
gjyJt/rgwyWLycfqsZxmW+8kZsMgbRAPXQ4xh2l9WNyDqDDfgHOq4HzGLM9yt+/4vWkVyWGS8V7A
up4Y98pwcTMUU9/jptyPUJvjIemXs7Rs5cBIIgnxcjLi9V+Js8MKgm83EEUvHPXhUes9wXf2Pqlt
vqdQxCjEjcQjxJhDyzLDXIomigmCp0nFbRGvbpW2SRA/kLa5q2GaxK7gmbxdAu++gm/tc0AGzLdR
Vc4pJv0rYFqVYzIlWU2i5uQ3NUrUQwjqp61+5MHS5ktYffNIcHUxk8ziHT/ZLEGZ5UxFXbQzYtcB
JWFZty8trrbZawuosgHD9HSPAfO86RsPYI/Y6EH+9DKtRgFQdF7ukCf0iABZ5JFbBwBGjy3JLDvJ
ATp0FCqDDXkI7UeIe8nppvtuW+6SlXOeWbPoDNbaH9b/ZkMNLrnhEwNS2YLS/EGD64IpaqJRqdft
4ZY4INvWP/ZDsu0Td2zSGrplqP8wox4bHpW1PyJ/S50W2xf9GhmkgKzssZHez9jV8wUZTDz/60vm
689k6/IpGHNYoxiCNgacSHa+r6quxlEOYeGGWnZS/1CzfGPhXqzTzmXIRVdYWHvX+6gSXecqmQ/b
KhHLDTlTUnb4GMA5CKx3LmC/ZAIr4RAAIgE5QIimobvHMcZQcJ1DavCB0KzHQauC6ODaLctnH0CE
1kCuMyh+bIwokJLy2EKffQxg/UmDzT9Shc9jXiv/hKqG/Sb1ndrAL/6Fr/YqBkSZ0PtAU3BM8EIV
wqEkj2AkyxNH42hNGiBoTWxfVzEneThDQZz2lXidncZkFSV1hvicU0PNZbFiH4fdj5n6DwSlRmBp
4uHi+86BkQnyhCV0s65TZehr4BmQ7A1RfxPaNa8mcrGzeRO/6NE/RnrAjgEL4BcVESjLKSEQoUQ1
ir8keTeeEmnEK2SmwmmXwpDF8kg0wO3QdPNT8HrIx4ENpQ+9wvM21z3UNYNMDujj9BHpsswxcti0
/xagbyFM13BiO+Z6qDv+i5joaBfCSBut+FHauO0/WiiC3xaLuBFWy/AKJXBCdo2r8Xj15DVASP7D
WkXi0o5AF0v4XS+wDPp4lqVnroKa+sxsSO6TyRs/uhZd1INckp9wDymoLpeZn/+bvfPocRxL1/Rf
uZh1sUFvlpdOlJfCR2yIMBn03vPXz6PqAroyb3cXeoBZDDBAopCVVSkpRPKc870W5EH0w9WEvVia
IbvV2VV8riYutvCQoacZsbLvSKxQoE5C9aEbtWojjbMBDWxknrHUKHi0fIUvWfTNImrZl6qvk6OE
BpBOI3flpkoVdI25FU+bATvLidyCeSNyM/qSkujnvC6Vl0i+UbjiVJ8MTeW8Y2A6mefkMCtYxsBv
M6K2Yj+HKSrEOmhm6aRVTXrg26oPfVkpbyKdaZd17Ae/l5SKRpyRww5+yDSiYjwcKWogG2HdLAuO
Oq1ZtDvFHKSvAlWlJ5Uk09ZLuHAE7DamXgD8M+kewlx/trT+CfGADKMa+moyNX6jjupHrVZbQzyK
1nxcCDexuYPSt1RbOFsYF5I97kuBxrsCqHjWYmMz14aIpLm+ca36XZhLC90HCKXsfszF7zKaEA2S
yYHWfg4PVjtmp0U0PSOn1tWBETGam6WY47b42NVmNLndLGBbbBJ0wHXXOZMwds6CIQLChLjyoJFS
BCc6Y0leEFst4TollN2BJLIuVdSRYcOGptwK2Kvp9rB10L/IuL5UuckdgACkMjKaA7YHN4W2fKMt
SnBHIpYY6nDuy1mqXM0F8CFp18JJ+jQglmMEqiPcCP5Q34Lcmx6qB4mBgFjFh7jKR3tpaz40qzTE
gJx0KcScmfwgM6I/L50k9cFUVyuUXZuC4vz9sK25XR6rr6M2jwhEamgETf0cC8MxCsoRzBvuQgoc
he6GULrwbAzHopnvph5OzGiN6FD0FJWjUhO2Y7aYz007Dl6pNTDWxiLsssygP10x195RC2E5tbPV
exAD5Q05JocMaz9iLX2hlIfJxx76tlxsfZDLzyirCw8j3rg3pm71aznJN3mpqHupHhPP7BbxeV21
LzarN0Oxtk0yaQegCDb/RhH09yWJzH2bI3ceQWuOIH06VGeeHIQ50o7D2Mz3VWbcZN60fl7J/HwU
JrkJXaDa8TAOdfWVLksX0FdRKEwJes9e3e6jdWC1KYW0OtaKUeCQDYevtI+ze00fhpdZbrTYVeth
WR2QTlB7eVpJeYnq0HiYZX0KkqFNArCr1DWi/q7M6aK7hV/vGx58GjiWatuzWO9LY2oPVqKiO9K0
8CbTL+YjvmzhK+6QbbXZEH2ICRaoRK4n6D1xVtiU+4Q65Smc78qYbK0pXYvRy7s5PMdqKfuFkMFQ
ZCZZ533H5oZyhPErP0sJV76vjzJHao9J23gapeh2NjSS7ZSB1hREgV3bukHMoiN9UY1GuqdKMd5q
fdHDVjH12LO+1ucSFCUY8oXEt26cFFtWove8Jlg9kRCkD9lUbzW6tJ6R4jWO2lPCJRraVyckraPV
TX0krqvdS4ISP8IfTIZrRgJi7SE+o9ESbyfCpYL2NKJxW0b99GEMZf0gobg8VgToOFF1RL/G9ZZE
wQlXJb+sVjK+tv2S/+grywjt1lQg3hQ0PCAOYjy+JJ1ZUscrWNjIpBhsuRy+Y20ZTmG+ih5o7uyl
Lbo53FHpHTbO0VbyAq3IPKbXMdcYLvusSIN0kOoOkDwLr/LEMtSJPNZiWkoHnq3OXU3RsLMV8Gsh
aHSrDL1SO0mUc7W62eTTW9Gr0BvLsbQM1GGAJXZLOtlWjNtbjpLSOutMug0ZEsPenFqBI2JMDMYY
8jPnXeoSfDRf6yQcn4QmKa68UrZn1tM/NJ2gCJgiItrtvC0kguG0FPixULVzbOqX2Oie1ZQKrBiR
r5vrmMepELKCeJDMOxHYrN0Iopyd49Uaj0W6rG99McD8Zmvxqpnh90wS/JUKTNmN41I4axGqSCkU
0q2StcWpriodSKyNnFHUwQGNvjoUDBps6EXkJWkVopfL4oti5hpCpDoOVoKwQRWG4hqGwryZoiL1
U6mESVgr4yTlXbLPtd7ypibEnEnExczO4AyY7w6dZHJLzRjUdZgz1q0sIaNNlV+sTI3OTVJPb5E2
gxAuTYMJvuutD9zt4X0Rye3jFI25WzWN9Rklmvad5fl4nZUlPHfa3Ewe9FcewC5Ytc3NbpGt0txO
SKaZX+lYjhPXLOv8q1jH5EmApfNi4aYrtNrsJMTdU4oU3xGy3HhPh7lyblOOF7YUibmhhMNDkZoC
+HsFLdXy+rwoVebgB+bPxFr3J4Gl3pIE+WHVRnKa0jYhEnTgnCVzfkJzxaBbm8dkrdSgkpXJjZSx
/y5VSfUXsWIxqcDrWAH5CAaB90FRJsl5GGfdLZOic0M5ByyVkPDlyG/PTLRxEghAU62NSNO4iyQW
r66Qez/FlGN5dIFqdkJI8naMq7LejXrPcq12SKK5c/qv3hwbxdbxWu2Jgp6cEUR8C9U3uFaEUG+1
COKzxkZkSB6MXW1otd/PbbRdrHU4qGOYooEdtBHmrlc9YarFl7C2Fg8KDR6uuyot5h2RuVbgDnKj
ZL425j3hFdFZy9L1YdG17tDFUx47vabeFHllcV1yFQXnWEp0S9C81dfo8lQBnB6duOBXEV0g0jjF
lzJRFNcKOdeNeNEB2comyHLipmxp1qJ9oQHTQywLLrK4yC2HanpOZIqZ6skSb0wf2qdELL8UMpeu
y2IUn3ONJtwx8ttKq4KudIX4lWqTDP2qrtNGQ0PsQ9VxasshfzgcYcfAAhkWPEJSuOljVZgdQ9D0
LTkGX4toXMdQtV5ABGCc2vLZVDj2KciiljlLv1OiuzZD23G3NnpDZK5uNVegj4yCLjX3S0Ian6R8
1E9rrQigskp9b0UhskPIYfExhVOm+a5Ml3cCJMEqu1sSrx4S0skemfwoFLlr7VzS1vsEwaZDVO78
VSu3zjsqDz8Af+M7uB+Q4bUqEVlVwnMysMjm4RKjLclHhKakUMHC6icSCQx3sIThx6KF5I11ySyr
Tt3kYiB2VGQIVYt2R4TI4W6PSa9o0OmioTLEdaeTFfghYe66iwSTphVlFm+aLr5Eq2XQkIVIcyNT
Gbx8oclPKsLZm5Cm6XBsPfflOKtsGkLL3JNe51lxBUVs7rBY6Td5Z8oPh4bOXZNG4ZRIXfB+ilMm
q2Zao8qNqgUAlOse26B+w72cAH/aFeFTV1OAGuvaZXgU5F5/VJM+25BXCQOrESDABapz0kDKOUCp
3u1U7JWfg8p5Ul/6gvGwGzalvGas94312JL4+CWEHG3DZtkIVSx5OS/oRsPc7Tm0Id8XOuI4dQEE
iKN/fCdmmuBFBdhLbCQyU/LC/VmY2gvapOjAhFHdSTSEgnKmt1PkXKw2tQrWNYJ2vlZtkniTgfwu
yqv8TuybN7NDSrusnNWMSMg9HmkLq1k1Q5b0ySFdJeO+Um/kZSveuPqOUFtHRePOgJRqvpJP6UvU
6TtpqhgNyQQ5aLWgv5K/kbpjRqciAq5ZRfEV9dtlNpb7tCUdK9B6SQYyB+y8pCWaJrQAVGXkYQ4m
rnRpkCR9dbL6ZH1vCDl51PpaOrMOki5b6br0QbIxgR+52X0g51i2KyX1mwGu6JPnrH3JemakbCjD
e71fV5L92/i1q3LNhxyQjwZ5JJwz+n64FGzlz0Wm9Xdz2WUoPqlUhKzXcJQjdqjrWNqqQiqy0Ekf
szIUD51MMrFr9CXr4Mw359TUImhoamPtbFnDuJ8MFU10wp9Zrak/rGqr3xGaMLe2YmB78ugeXcBW
JB46jE74ASwrP6dh3sGRt7AlJlD1g06cYOcOoJaMJPJN6DXPLVxDmbWd6GdhH+0lOkYchCNCeJQL
kqImZoA4WHBKCieabiJ3XFTRr9LKOIpxNgy+2kbZi6CG2SFEKXwtmsG4zEmO7M0SmBxtoSqkB91a
u4l8AxWlcU37hsjE7CmDEd2L4WB6vdyqu3HUu0eSmJI9vpcBD2LevwAfZ4i4BoQsClJMt7xZ+Dts
KfdKkkm2aaLFnYeWBa4xkk0zFfem3J9lTQj35DEo3kw8wp5sueK5XjVsO3118+4ADXYpiVhTxEjJ
IEpVNKTJ+5A2Q+X0C3l8TSSnQStSvirNSepXJSKsDKTnIdfU2BlwgrqhHtfujOP9LPVCsi3RBu+X
hJde4kX2hxXRddwZobPigweKRKtaACQJZBFwSN7XkiDYRafIj2S5q/gkhOISmU14GGqruicErviq
RkxOZM+OyZHMETjdDpGQp5qlfuOaVMOOCXZ9U1AinYs2RCIjmcuGOGztmkrqAH6SiG9pN40HVS3Y
4ZZBPJuYY52uFYqzYvXlpWnn9FlJo97vqiGmvaZIzhMHhx08PTiz3Ob4VJnGHPZR+tRNMfEY/k2P
ECbjbE3G7KaLHD00nJye6xrMelH08DBG9eKnjW5+5YmWvqpIi39MJdRWhNbG0VelZDhSC9/KsRbZ
eVToJ2XpjDe9zbn31SzDA7MkVmqbacUJLDXoRo2KVQCbBQkWJoS4C+2CDjyDsgUDDl9FK82vkWLO
m7pNk5dVx59cVsb6ETVKhXpB7fepMBlBV970VOoaLYDJo2gPAtChmPDBBU1IPwtUqQ/UIJIbX0vt
bqmUekfsNFu8koYXYUZcsxqS6mLXmFHEl7XDaNf/mOI53U/qkH5OIybbOWuR+6iaZjmcRhKW9s6K
6Y6l3TiyB1aVj6JVNP4PWUL+b4ER1lExvUu5lXyRQXzH6W4OuknrbUKZq0+0590+G9JsGyaG3qHg
4/ljNzXFxiY/J343G/rBYov+FaszKx9Qrt+ZQEUOqypUNA/lscPd4pQ96sVMn5XthBnljaN6/MNC
vPhIqIkSb8gL0XaiGRn0kzRwCzfrkYVur4geopSWSLuXBCtQjFl1F4N3VDCJQwVO84YBvDpSI5e4
c7tODKSDjn9GNyrGHW0rLFkrs2mtvcegYdxLt6osBUdZpEzSe0fm6FMt6X0wD5LiRHoSP0gJwSko
5jWAyQzgpaliNGV1NPKFDup8MSpD/5rVZmndkluWWt1lYioIdyzyMiy5HJ4ThI3fAiZdEA8J37Us
TJiImibhhpbmtV+cwhzjr0Qr1UCpRtOXkTlDu1hlIKVR7Wg8NxyfUVXtiHaBPo+HItu2t8EJpGTZ
aW0zfoaWHD5GMTH3gLEQc7NhNl8tlcO+FiNAk+eWb0BcpLs1nwE/5Bvs287t+TeliKUlUmVro0YR
5QWavhwqFVEjTJX8IeqN+DoW2hKM1Tyd10FOn+toml+qPsMn0oroMw6zPNTbaVno1+6T2dOtQsEp
oFqu0SA+xkNDb3AzVUSj95WnsU8mhNXWyofCIepQYnPYpgBKkf1bmjVWS1hQFAyh1QZFrfTf6YrQ
BgEzS2VBMbVd1AKqEmkaPCzIaLKGcPUGInkdMBNhQ4JJt+3QY7t1J1cgV+uPFib/pFslusypmKBw
hlLn3EcAGFSqWuQPA9xn7mUwENgBS1jholdryF6oHhSbHIsOojbkwZIJ6qGdbpNylk27PFrKIO2V
hGE6gnAxjTl5Xo0avpL7EJaK89GVI8XR7JPhQ49F7V7rFzSmXVZjjVCjFtVVnLmzgmQxVZqBfmdU
9SZ6MXcseUS6Pkrui1l40XMOkH2byzuD+PNdlbTd47zGM9aMQr1GeIJ2ZatWriH2s5+mNI3+pvQj
U7dqJEG3SpmjNILl15ph+ooOHpXUiHlT6ZEdCga+v/kZekQHok1yPMOE0PSfURSiH5UybBFKXVB7
QYz3wN4lt2+sD6XHZLL6Vb3QVr4Ucm3/lqCcmStx0jcpB5sNeU4oOTqm2d/6LtbNWMnjYEZPd0lD
pMOCvmSepKbTJmHy2AyYgv4e6PX/jc7/S9IIUvjXRufj++d79V/3/333UzPN7e/80UxDyYyOk1i0
dAZYQtawGv/d58zK+jeNvG39Fm9L09st0OEPn7Ms/02WSKMm0AGZE6Fs+I/ZhW/FNPwnibAbVZQU
3MkUfv1nvTQ3V/E/QiME3oWjowUc+7PbOMpms26sGy46qpA3JzSsj7NynCKwLagqzZOn8HnAbLDv
y0Nm/VUQ7u9BOf/sfX9xOYsxxcF4Qcf9uPjrsMule3GqTmX0KMVmIMLvnrW+RR+HtSzS3c5g3Kl2
gugN6h0NIiRYOGKOE2X9IYqQh3npWUvtVPp5QiQ5qWZgWNXGzF4pQM7KaD+ojEzzx5+u7x9e8T8H
yWL//hdfGlflz3GrlMqMRRrF4z5LtrP4I9U+8uRNUjx1ofO7fNXQ/dafJX7K+TR+SnpAcxlcrJiy
q84ni8xVq2WWPwmvyQf/VixIGNZglQ+SfDj2wq4psOQ+Zsg228KXld0YIjQEgOJYsavemu+M+JMU
YnJbBV1QHsu3Dv2mrfqi2/jtZgkggdza7bzBm93VFWztsNpMtl7kmW7iCA42Cq88C/YHOmG787Bo
xYf0gEobnKQKn6nkcQzZl/MHeTphCEybbSi96vWJgj68kIXoEXie4bGcRG/Kny2cUFkHS44BfNHc
/KaeOYu1b0b+SEtuvnvrQOl2N/d3cq7R9d4JimN0wU0OjfG68jWmjjA89YuFvQPPF5D7NcNFAooW
OoYe5O0Dbzji82glV+p0pw79tN2pzWEqTmr/1JS7bAkULZDqQI8DbNTzeGkGzrk7DlfiuFXGL7I9
GOjtAdil8jN+LbWNnSKeaApGj4+CORBVr/6I3eGRWhMtu4sxdhwZ6lSCZbwcafBdd0OF7dqba6d/
EtQjsLTdL1gbzlbr80vaVTG62FumbGMnr5Ou23Bk47v6KcI9o9p1SgNy0ZxtIsdQ8gIC2Nww0h3C
yzDs7bpx9M8qPJsfapy/lpuOL7bTt8IcTPcJbEDvNzSXTMjAxOjU0aF9y/prnBWhA05fN2QmQRzd
CUdakaRqX2ShsyTvusz+77SbnKaKHcGHs+ESrwQGoqDmzDnL7WE1lKeVf1ienPqFu2jbZHlCom4r
2UnXd7311I1+48v+6HVbxct3+SNmox0Dr6/5ogfLG5Lkuck+CPP894/YL4U4/1iWfsmwAZIs4t60
hr1wn1/CXbOTgvisnLSjsitP86nclUfpUvxF2+kviVb/eLfbc/6n+OR0bhVVzHi38jA8Naf2Ap3z
Ft/jyPTSU3sqXpf70muP5qn6P3xH9Rbq8qd3lDHNwjWbw146i7twpz+t22YTn7OjfjDP2i4/iQc9
kJ/Nk/LwF98olrV/vmr9GvE95tMgzZI27BXkiU7P5eX+6mzp2Tolu3mr7/IHqlTi0S6elp20bQKS
Bfws4BHYtf6w48/81sVLtysP1qfij4f20p9rP9mXl4Ro6NzPuyAOjz1yDVRwiQslHrmNhLTTx1Ya
yViCHLSKAM8Mk0bvNIVHeWkc2qhZ5CN4+PAhlc50TWaXI7wF9ba4Q+qknuTpzFwA/87hVPlXo9vM
mT8sMEaO9oLIHdMsz9yhH69iiw/fr/sN/dJSt4tO1rQPu0MOIKPYJC0t32itoYG6Jzyzy/dcYC63
08rWv/UKaZxdbOAXjyKeVdqG3pu75mTtHzoisO0YgzCJisgSjn2AN5OcvuEFVcdyoYYyhA6zE80Z
eMstb3CmekayLS9tHNOttY1K4SRBUSwlOehOMES+KaMf2g3ND0w3JGh8Wy9Z95nXr73yJJff+BEJ
YTfTYP6Uj9NeeM0EphGXqTPdFPqu5pzOofGH+JEelW3y3TF75G77GX2sr5NhI4wibQKF/0W8PiUN
i9Z+zt5GvGmF2yqOoAf8BlMsTsAwD8gv4Dc1KZV8Ld/GYK+fyWnxkiAKmieluVrqbR9R0JrZVtDt
FwKl7OlZvxPvxGu+jR+Ul8HL7MSPeSTzYxUMTstD1LtfrSO7up+50dm68O1LE8sjVTwOkvSRe0V2
a9bexO63ipv72aYMtCMCaFt1Vl++TgQ5OyQm2I2XnSqa2xw8J/7sW2fxO77s4bnt1kGwZWv2xNun
jrHNXxrPOg9PaM+4wpKbEszhTUc2va3hhX5im0Rz2fWWIG5nQYJN+gPxp3b9vJylU/TWZZseGFNh
TX7qbpVCD7dUxiqvbFF3lvJD/GHtm7v6tX3lJmj4lXlquiGXuu0CE7+nx+2JBp/QFCf6Fv2y9JLH
fK8Lgm+O6BQ2CH0hr+Kz1Cx29UiEL3+VFyCjfZhs6U5c7s3cV67ixZzYSu80ZoY7cStc2/f0pF2b
F+m6nM2D4LFCe8pB9hoHCNylS8Nd7QfdiYLqTnhh6jzcvkzUWU64e0O8zf+d+o1TuqUf+9kRSNF+
lRzQ7gfd7zextwSN/zo7n7Nn+ssh+8LikLz278klP4X3w8uIC5YfCYT4kjEF27dXU21pt+7Ys1y6
JIjPeM+UDQkaaenEjStjv2IQ/0CcVLroJXUysvcjyrx6gYRBHQGxtnK8wEZzx303swejIVY5zdkM
cH7pj9hBbPUrRdr7gmbTKPfEuGBdHx0JdrUmH9Xv7uujjvtu2WQ8sq6wqQ43fdWmOGDGr+PZzg6a
J5yiayI8VW+G3x9AOufBKQp3+p5o5ra2Cze+fBTGTadgSgLb8WfLB9TSOid7w54dqDvFTzkt6Vvp
WXpWAtXrtypQ7CbvtpI/nNbtcGpO+q54IvrwMl3HT1kjfSTANNY2Lk9ktwDN+dC0kCrpJ3rR4krc
M+o/obLLeNOYbpRvE9H5PZ3GTayDme0H6rEGxCLQoEHb7Ve06VBhIGGklPSabeSuvF5CsgMWb93M
kjfNu/q5vM/20b4/dNmuqp9k6bU2Pgg10IVng1j27LUTjaDBi56IsUOwSfcQLd84lcrUSx/zaz73
D12ZfwAfexg7MYpDlbBSTkF6nFObA2oMHW96CyDdiELfjr+El/FhvFjPZOoUDkTnWyV3B8Py9Vp2
hUwu+GG48EA2P4of5qtxJ1/Ey3Iu1tnGuN7ndvjZv0ev/d14jV6a6ZJP/UbUkcsi05trF9lWX8lA
C02QIxhL3qJ8g83Dnjjm13Yf0/z7qLbbONvmpZtwhGrvSqJA+nvzR4+SyebUjAIgGw/DqT+rr/o9
h5xheVEFfWv0aKVneSvh9ltYI2bDXt6hMMeRXjCiGgOMMuodWo1wP5YBNE59bz6J40fWfS3SVngp
nvoX9Spyx41odStEzPkOO7z1IQ+uYtikvZNl79yQ89ipx6d18MPSxw4rNXyHnD5xjBpEz9cchXGw
H63uS7EcvFQqQuzJK4A+lG38WJMfRIyp3T9TznbUJnJ+bfr1BBZZNP7JRrfuSPUsw73SX6hQrJXz
gLRX9No9p2dMYfpBDbJzcw8hjjH9SQOppsKocYrBKRenXrCy23j7EV6StFSTIMRBNPLUcS9mfll4
hBPM4yN4xLpJHJHgDg6KdnhA5HoNPyMUI7bW8rJ1eVmKVx0LeTwQnUbaz3ZUfW3hjOtyypyijaiQ
gY5Fwr7R2z9If4i7jQYOZl21HhcN2TG3a5p+jxgnL/Khv+Lcl+sgbt8VZZ+Hh0L9sOhgZADUCOPd
MdtJ7WNCJgi5SUA9QdYjbwaWQqrqkBysSXuk8nP+IRGwr2OkG3TyDWn1zZ6Km8Ni/krCB7ZNgwNM
7wvn5Ym18Wr0dsdTL+yV4aQNp+yqesld9q6d6xelessR0doExdxXZ+UxRNMn9U/Ev1fbzp3vpLcL
a5LXO/Uj8UGNVzdMWjHyh5nHLCgz8ndYOB1SJRc01oQUTD0QOsDW5C7S85CWYPWSLY6jI24Xdr3N
6mWXlvaAJVg+ouqKitfyijFzsLnYU/kw3Me8Wm+bz9JRfGguSNtrLLOLx9Qxx6DQ9nydPpWFZQKk
CbGZN+ZYnR3a6nxuyOwTDPBAEof6bDyYfnchZifdVCGueGfp7ey+f8P3lIi+IG+sem+oD229T1TH
am0D6ZRLwEcaENH+AYORPxrszvvhvrzmP4TKmY/c4ZFpV5zDYrv6SL7Tw/xKOH6JXfIxPmTPIRYl
iHbUdSSB0CVkr1/NM25DBH84EzjYEG3WGLis6BGw6R1qffGOy2yKjiw6vyUL4ugqzMZ9EqaTLbAY
iYMSUEh0BaZz1MfYtNkBsh966lpkjYintDsKOPbD3c1l33VP2L81TjlIIEaU4yV6WFcUJ5gCwVaF
V6l5J3wMdrc45uriMU5b0svU4tirvn8/fv9fgMdO72NSflf/TyQAAhr9a2Ds/oZX/de+an+8/wSN
KfytP6AxRfybJYv/JAKQaGxAM3rZVFE0bygYoNkf0Jhi/g1diqKDlxmkwWq30fEPaEwhHZBQZuIf
NYXGZ4uS5f8gAvCXqdCg4w8FPZ+OPFFLl4mY/nlWw2epR6sgRJdU6JZLrOHvGDVsjdowCSeQ7gqA
daSv0kQVkERTTdxH3ecBAsX+oKPZYjLPCToLs3Y61jctnUoQv2WHSJQ3giwCgvzp6/0nuJT0Myz1
+we+pdyrhqiJuoG44ecPjFWU3uO+jS5k4glX8u56Z5YzlukWVa0+FC/NrCoPamlZsSNEerVpIl34
i8n250jq22e4FRHxjfGLyyf/8qX18DW9auT5Bamkeg5XQ34vsANuCem1OISIeOXUpo+f/+JH/zno
+fa2XCBil/nJb7+5hUn+ea6Ok7mDte2qS9yVSJX7yQCOozz7tCAgR2y44jCo6+ghyUgnZ/GtkD5Z
9WqayB3CLPFx1ppXuZ9ComSyqPRko5X+AtP4OUH5949oiRJB3aJONu2tT/ynj1iECv6GuswvvbWU
h0kdKam1OpgRXSa0CezTIGmhn7WTMsbk3/zFF3R79X/grX9/dxO+ABkoTxSNWz+/eye2qWJYXXmJ
k/aU4mZ8gGtNTwNqSZKzmmSn69QW2SsSUvJQpBYdvGK5Vp6kgGzxX5aU3q7HTx9HEQ1V1Mm6NHRZ
EdXb9fwTDrKmhlVrfZVc1DrnkRprZfpc1UE6odTuCj9Gg/O+mkIHrwXkm5GDRWSZVi+HSKjK6Ei4
cQFkNy79o/jXV+p/PkjkcOqKpeAGouQHsP3nTwcdrCXz0JvnpharLYag9WROCPPJZ7gVLLcWWf0c
G5UVbjlPU2GHFz9z//0V+x+3i2KJv+e6myjdyHP+5YJFU8XqoebVJZohB1Vo7FtFfCHR+kwXTk5p
hGWy55eqSb5BpvzFY8wi+sv1oTJAvKUL/95sof1ys+okEa0598WlnXTwkTzW+0czN/HadYMMiAO9
9Bc/r/wzE8EdSvQplIaJbwCZDcGrP3/pcSbLOQXC6VVLcs4uccT5sUsrxTeriqFagpRj5ajhGKX+
mBt9izVS6y9tOQiegcn4dS0J3ZFbAy1LZ+GRmaEEYmOtQKYM40o+2byfOFaGeCeffn++s2oQH/7i
qv26EFH9ZkB+q7pGGYgs678AmIYcGrU2LMOZBNYai4Dc7DWVfGa1U++XnvKJmhqaQ1WM/Uq1/Zp9
Dlnz2Epr/bpETcTM0PXEzaG1dfGSA9RV4YzHatIv02IVxyotX4httUx7lLL1TZyHivwvHiD0D80D
rN/0I7Ok5SJI1vRZpXq1tfRkvZslZINWHjZ+AcE8A7drWIIog3u++fG3xPUjFk+SORDNlk9oNkog
L40QSFmG43kadZcmptIvRsM6h0iyHK2adLdfNNMb8d9I3JhWsammpvRNC+zZMGcEprdgZdUxY/y0
yZzyDqk4XUzSktAy1k9CrxiHtBdaDwPicF+oLMgrEimckT4d2hYullJ4L7TVuJJdUnh6sWp7s++l
YZO1IjUoRpycarnPvmNLKB8NVam2UV/L2THCNPkol7W4T8MiOvRDikcyZkDGkGhsTVVrfCuMWzhy
jZDXf3/9f31uSKBQCSymVhQ/LJWGv2x/mjWVSyq14rkpNekkzINxnZliT6mqEe5Gmdbnf/Z+BAWL
iG4Uiu0oY1F+PaMUqLTIZAy7M9YUbiErF7h+t0WLOA/yi0qKu//9G0q3G/jnlZvuY5OfUkFho3I2
+/kxxUBTDDkNyGeOPGylWWy1u5xSAKSwPKEV6Y/u/+bszHrjVrIt/Vca/c4ChyAZbKDvQ45KpZSp
0bb8QtiyTAbnOUj++v6Yrtt9LBt23wsUCnV8XBKTyQju2Hutb7lKIZsx/WHVC1lvMCTsjITj0V+u
RPx6Jbz2hQA+TrQDZcfPVxLWI9L+So7nGAXDTSdbZu59ba4Hwk7JAWGXvM2SNtzqNE/xHmk1rpQK
vM1QIpJIaM/MczJ8kio6//nCft25qT49pmVLMcrX824jy1HxVtRB5tn3tNpb48DMCi8qdpzSe7HK
KkAxMlmrqJzV1Z9/s/V+9+FxYOch9pvfunCrl1v2j9cqTf5IlqITZ9lW/nMFzRmmcsERDO6Dfh3s
2joJbK93mFppyIaZWM0G7HbEoNpfp7FZbXDv6asRj8QVaqBu/EsZ8vMIgj2e6/PRPFiMrk2kRe++
stpEDaVrW5xNR3fPPVvAukBA9hmdTnMTu6o7+3PKJKLggUc9mnlf/3KDfimDHGe5N1DCWaEMd96t
T9PLUm+yFJVpGRgf24k5mpLYqiyb7Iay6dQeX4q6jRoDG0OdTNEHJGZ0lAs21OegJCDizxf0m2f4
p+t597ogTYKTvo7FGQb1J3Tz11aQfP/zr/jdQ7FkNnLnTYsK8P1DIa0BxliEf9pvJhqPuKhoUIXQ
XYomVDek2EU3SQq+qDDL6mVMK/cKtEx98IciPcSxwWCXWITuW1koBJEwG/7y0P7mmSU0TZqUXBSD
SBt+fmbbxMEY4iXOmUXSPTe6qfcTmaXYwZsRRfRfbsZvnkDS2wNezPwHYcVyNf9YIYbbjTZyRHGe
3IG9UlXt8KEHvHeUeTu+5oAFoEdJTDWOEaVXVJjDVvjtcEMl+CwVkzt6O7xAItkC7/EQFzFlbbLD
ZEbtfs7BYZgTfYa/LJt349DLuvEs7rJDVfabgnQm1la7dmuda6CugHKQn6/pcNQ35ThySQVaNbqW
DYpn7Pf9ky/Et6DiiNOjq/veaU9f29Q6myBniOO1RvY0UGc8/+XW/lLAUb3ZvP84KSNL4Wp/vrWz
RNQdplxkW5uk3mknsWC3psVOQEGBV72034MgfMqGzDrNVq+fihRoU5m1axwMb66Jmv2/c+MoyXgx
orbiFi7v63983fzOGVehZZ/b2XWPbWt1z6PlUwSq0n9M2IGPUL3GQ2YnDCeMrPw84APApj7IvTQT
5xGIi3OTlF337GqpXwUyq//Obbv0OhxhU6W8jwNzR9Ox6yKzOLRq61RXxMy4Sfgx0JC1+7Yd1yAH
syu/hdBjBuZD1VTs5LMnD1Y1d2fYQrd//h5/OcHzNbJHc5IWDu/X9+fUyIODlAbaOgMsdY8EdVYv
Q1hRY8I8xxmIJO3RibiZf/6tvzlz8WulsFyOhR6xxu9eXQG4tqwxChvuZBDRWWeC5PYD8FPbareG
Pev7ZC7cI14p/96x55JJwHKU/29cBdJ6khg8FkngvdsegpTgUaz81jmVNjOn1pEtBEiMZ4mHXSLr
y6+Y3cMvTjGKdbL8eQFbbP9fvgi6V6jDxNIBC6z3OTZ+3/S+M9rz2QbcfSxLjjDWLMVrqoQF7ESX
N9WYnYAbqY12XQ7KrZB/uYZ3WTrLjsM1kHLmiUW1Jmil/bRwfG1VHYdL8zxSUiCl98zqJV8WLlhQ
9k0CmXh/Z2nq7QhMik/gU6zHsajLt7JX8bzxhFu9hBGObMaCTfecOn17MAZh3/t15R7dpTCN1FAe
Ggvdf17oktzvSWjEOVgad4TnmTali+KkQ04HHKqlKePPmj3tLzeb0oOP8nNFS0gzHREPxZ3HFvau
JgBMX6dRr/+9R2TlRJGErnQfzy6mfd+3jk1hQLOLasx3fvbAwUTeC5qQx97gMFxGrtgr055umsIG
zOMxSLmECYGq2GaLWSBqhX5rWu2cCLj41DiDe4zHWR/6NvfvlEGbmhfjsPbS0l//6IdgK0KsMWvJ
1CbQCZu2qof9HAtmqTaz04ktY9PFy7QjmbFHIPm3TmPq0r4yAFYeOYSlp8EettBIjeOAZ/y6b0Ew
BmnnblMTPAccK+grMi62k4XFr8RoeO+KMeLBt3i2Ui//1lmB9cB7rzwYfFUHz1fWdVBN9dMUVP33
GbP9tppp/eeDHd3GvHf2QWbPOzzv5QdAcMZXBjYYbuPlXODwz9Si9nJWrUp32PiqII8h9uvbMEO6
TzXGo0K9Je8HXZQHSRPxvg7a+JjjJ2jmNLwWkf/RVMY9VEyB8iNiOmJUvXolU0jeXM7+w9xx0rIq
AJ11mVw3fqv2Lu2jMU+Ygfudfz3Z8bhtMNHu7XAYj7O2s0NBXXIPAAdLVlADlUIkDMSURk9ehByV
80wfa6duD6MSxkdZ6LdiToMTvoaERF9gB4cmhCIYO/mXPO2Da6otslNQa+NgsOIzWibjJg9nHBxF
r6YrUbp3VkYugEfsnUqNoGX0a5UHd3mz5LUzPORJx75G6/mDb2X1ETcS6FA8bPzh5S8JIDQ3Vdy4
jxA4r8MCHknjJ0uImVbREWt89uNd5VULPZJ2wpFMbM6iCyQmTmr3kNMXuEsRYe9Bm7LkahfnbwwU
jjS3pSxUsV0e8l64x7pn7phfvjSn5kaGtOO/Jmkqbjln+fuiHQHCLZEEK765+mqCljhjheywuX52
wuE2G0B+8J2i13ELwoy19miEuMTBJhl0FNBPe1dMHcFu44iIwHVvlMvIr0mzcd1VTblK7brFCijy
9Hh5G0W1h6eiqgHiFUbhPNEhq26tKe0Ps5DGdYX7bOtrgWPAVuV6wsr7VZd1eVcQlHiIXGPYQJ5S
6L2teTcpXTGXJbPQ9ksY3fgpjK2TtwGIpOBhGOR8UwT1eNVokW6w7iBW5ElemXYEpKQSsfUSDJKJ
sjktrqocqMum69EtCWHGz77jc2qYlIEyEEzx2q4a8bGt1fjd1wZRFCI8IDyTx9hD1ChqYLEEqcF/
9G22UtBchJQ/dKPvf9F9/ClsI2srQXnuQYr6d1mdoYVsCn112RVjltkzr6EdPVMuTBX9RhPPt2Yx
flnS7E61yV7atsNnp4mRIoxFObw2soXMu/RMks5kTRrxgGGyG5wv2tXtM2Vvx7TdZGEgwM9WELV4
CE0h5kM+lfGXtGH3MxL0XHxOOrODL/dMu9P1HNIDmsiGugG6LfYenZznOgOIiJ9w2o35EGLgMtu7
RMfTbhJddDbyLjoMflGdBohcR8NiroEQBnYs2PCZly5G1yUuFxd31Mj6oySn5BRWXsxxzGd7UYk7
bv1uegjtoL7Wple9VHHNRtgRR4nmg+caUqRHt91xecu0TVK/xLXDZ76cgS53L5s8724GRRVDO3gN
a4V1OYdmts8zxGzEyaS3hjVkr0LY7ieHuIZvOeL7W+Ae8uzlpfFo9/V03Wrb3WGVcw643vXBEiDK
/RDv1KzyagfRERnIxDifWMBqPXQNss8k6559yTy+yGZK5jnmBHbZyiZkn89VhYtiJVRmX8V5y3wi
KXxOAKN7zSvH/uDl7OpwzJ9sBRN65C07w5IEDGOgGQF0gfOiTG8cbMrXpFKUe9J+0ptWpjzN5FEm
62myqg/C6OnQ4NzVfM7S3rTAM268Mfi0mDLe8AHRePcr4FxFMZgvpaceCm1jKdX5LkxQQsvIia68
NBO7JpvlbedA3RckCF8Bb9NreyA/I5MEyauqe5xsDEIYGBGXW7m8zeP8DgBiciSTA/vrUm0Gvc83
d+ldtUlkYQU2Cn9vs93qfHgk9It+6BxsKUrnNxX48+1ABMuPZkKyFEeJMsAOx4m/VnxV+2xwOLqT
Zqjx/REaFBCag+c1Nm843GabPg3a/WCWxtquk4h3mxF/krK6IYc02eko0kdTRz3Us9J8IkRg3Muu
nl4L6r4NzWUMyMncRERKyq59BubBnKkPaoW+zfomzLH9KMrKgMKQQLB2Qgt2lVFz6G6T6RrjU0/Q
hJ/vh2kxSIV1etsoY4v9n9CDQKQna0Q6HBaE9vUgOff1YBob7CNvpTeOt0sk7HXqOe7WqWkzZr5Q
j3Zqetfl1LOx2UOI0NAOHzJjxAMLMoGQnInDu4CDyapi1eds/8+0mbMzti2o+vFkDZ/hq7dPlybI
pdyrvVLd106av80h8ri2KBrE6ClzdcPzNqUrwKViazmBp3KQcKCmXQFG8M9A/GiuClIlu0ATvDwZ
xvVcFS1AF7s5lWzNe441C5cH/Zdj1pL/Lr3+AES39DYw+Ohas8A/htCEVkQ+BrfD5Q1Zw1tvsX4d
Kscp4BfgoYKl0Ces8hks6Z4kHxtFV6VJf1nWsk3RFkFzeuiX/n8RmPThXIhDCSynTZpxp3opaX4l
HAHRDCoZPE6O9o59VRl7yiDr2UQ8VKTaxR4cunAWS4WgUQ2JvC8I8qAqXqpSHXneZzMbDT5+Gsv7
0bZYM0Fm2i/wEunAkefGu7suNWuu4xzXMH+c+ROta06USx1ZzEP1EjTLIWsMyaNeKU/2D0nLn86h
SaXsTy126IgnMJBlhQ1wFtc0oeNrlVjea2CP3akJUlzmspXzIeuM9qjaEma+MbcoN0TNr8tCWlqZ
Oeunjnn6U1RJ4yxL5e1qZ8ZXK0lUOJThxO5rGz7o0oF0YwgOA5bDO5HS5wcKMBr9KQkRtCiVjg+6
UOc0JP1kPQz8OnRK/vBI67j9ZmKu/NTZrroB7p/LjVdTTUhznP3DpcsDSdT+VrSh8cmk6kVqWTvt
vdNX9VvZ2Bqzaxxnh0RUnMdtX/eIk9slPjSysdp29k4V7nzTcDkv7DxNtxo8l1aVI8vbepZYzZrK
/KzIW3bWRR7r4zjbzy2kPLx41d2UuM8+2VnPkzPKA/vogOQYs5wC+ELVVbDKEMOVYWyubAqN7eSR
E86zjueUeiUy1l5ukahX2sYmD1HT4mZ8cEMzPdCRBa3fwrbIgNi9xH6lb6xUCshxg945fugd5zK+
JninoIhQ6pP04y8Ma6nc4pAuNsZKoNT2IhAcmdzj4oOSE6OSytQ0+NtEOM0rph3c3SLyZiSghdF8
JVem7tZx1oVAxDTm2m50xDeevTA4jFxfclvGqWzW+CBw0uRO9KnwKveEQ776XgSVB0t+UvHHOg9E
8jGD9sEbgOFNjFHSaT5hk2xB6mrQTRA57by+AfFqfCZpz99UVguBdxwnlJE4ckJgkuRVRedcOteT
zvtrW+rxpD0r2dlJVt/Ck3qrVctxKEkU+sNC8vLmPZCS2pugXkrVCPub4DdfbL3etW8mmVvBSleB
/6UdqOXBDbZxe50WhfiQRRgB0Rv243lo26C/I8AM7sGKHkKd7oVrmx+siWCwNa4LBpf4ZUEgOTNg
V59ZYlZzuBgmfBI1NAzmABkngNl0CnftAtY7/agfMggYksQDLzxXylls1vyry5ipNkKUUUNfHmqP
c6w9jVTReWiwvu18YOkQWcjSufy1xLTUhEysKw9mlFBKObGF6uBSe5DWpuDrcUq5/NU2pN7Kpp71
zsBPbgKRDxjs7aXRiOYvnXk0GjO38GYscwWPplSeq/pFQReCOWNq0JIc5XgN8xvD5dQc5RVFgSyD
j8T6hOZGeyCR1oWD4Lwn67TBlqS8773SLrvRspdlxXIgKMjHODpe6R49D2hpVo9oW7CHlx+65cCL
IZG+bB67+jVUkr1OwHCXaLp9JsX9KPno/dL760gFRwBZeV3FoqpAdlGjkD/GdPCeuKD2bAi/e3bc
UOy8IGIZxqH94zLKquUHGlF12SUFdw2GRrGdq4mQkyhI5fUMfBZvd6VO9VyXANj9gr6oZcRLB41P
HkcarJys610bzOPVlMff+wE0Xl+DhOd1cKfB8q0HuE+HPA7CK3YH/znSDYUCcK0TmUz+inI3ujLS
MLs2hgCEHblkMC+y6LEtc/uWNYsYLggIM0tEZz2URDY887Vz/6g2020zxtG2S+cIdjLA11yEeMmd
2TGvq9jY6d6tb/OuzU51YfA/ouzLpRNiaZfDeEvAhW2m4SaYOUVIK42+BfBKbpHDAUAMIjPGcmNy
c9oQ4B/WKW6OL5dHrGiHO3rBznE0iHTIpoXLcflitds+4wKhdein3lXOG53TSTZs6EG5D0DSri5f
7Zxgq1uL1CTNqRCc7cHI5V99Cu/HoYDWp3T+0SDI5eAOUZSvdWLlW2El3lNuptaB85+NvB0QBET2
aFuigTolMVLRmQrh0QBoAjrQD3k+cLvauxEf+z7XjHEvT3CS0tSLUtrZ5FUn7HLLOODHG9UJl2AV
ZmqHeulYxKM/wjPyputRl8+xob76MKnOCextcqFaXHKSwOS1Huz+Rrehv7Jod933U9O8BiKUD21c
E23iLTdMkFT61vp0WNeZnh2ximgP32vyik7RBB/K8OCFreZEwQBRtnklx7ZbGcEiwKjyevxq+X1K
X4tcl9XUh9mulolah9EwX+HlMiEzEuuh5Zie5wbb8op0mc+XBk2UGSyWkMSIejvX/vSBlzPfp+95
CwQxc54tx/0ICTnHY1e76WejTeWm7RwoGCDG3GMWyeJbNobh3eVxr6MgvC+pLYgWWlZ3mqXBmm6I
c9+N2VO69K9NrwyjDdgBjGGhQUPAi+iW1NpgNwKw0j7XnqEWrWZg3P7YjixSqVx/rmhxVW3nrzCb
42/J5u7ZW/rGezOxcQmEpbkj/RveBUXZvRITBbxr6AY5d5YxpiAH2sg3DvC7FTRUcOVjWFPsmClt
vi42lic9tHMiPVpUtQxizpfdDfx3BS/bfVSNkqehpeTbXbqElyMSnQ7sdsrPrLvQqdznZiknL8c7
3kc0CzvNKrSZiN/LMnWqFW/J8KYkquReM2N8ni8bcWPyoYswPiZdaUK6HmHf9Mz5wBCOiKLR25xg
CkHEH1P+aK6v67IevrqNF24dVZt3ptnEuzIz0hcXkPVBjWILhN490RwzHoqeKJtLp69yZv3aWQWu
c561/Fa7VfOSAXBZWxWq8azpyalYOttBiD6aYA0ONWO+07UrDuRGtudiee/0S2vr0pBEFFV+zEQ8
XnttVHIQm4x1U4XR1iiXFlE7lO1D2ibFKWNifj8EcEuRiQynnjnwXvrLxlrBzXZsPzuay4svJrLi
FAdJjeMg0d8Z3Zi0RQZrZZIYuHMdk7IR/n64yTQV9Jib+Z1ZA8gGHx4zg3CCV6JX6dkgJBsKv/86
5WZ/IMj0ZDkz3Pu+y4FXmyFVkSV3Rmv4937i8tC5NVX5QA4dSnHhxidXIYIR40K076KS1EKRsvF3
Hax5l01qAg/XkaiaBhmRVyKJxHU/JXyafkz0a++iDkkvvYrLex68H+8of14aAX5NkuvO8zO+h2UA
VAYEUVQJ3R9ewPduGOkT8Xvjng6STwPDxKCyPE/IBa0dWAUaB+VQXDt90OwL+rAHgIHyStZudajD
PDmQVLCtipC4QHOIn4a0ghoJT4WihsLMTdIbs5uvUjHYX9tKdM+EzFYvsvLFwYQhgX80j28tTggr
Kxunp9QOxqcQU+IpAFOES8iRezfpxHU+DOQTQt3wOVjfBKVhf+OZUi/EyrnHy1P/5774r01xtK+S
hoYfQP+U7/WCqgn00IeGPANNcKluKhri5nIWMX3aTSlMyb/JOexf2vB+IC3PxvIeBKbtv9MGUMcB
u80jFPqEUm0zmlVkQCoz+GbZk3mGIC8ejHIc9mx9wW2srJEqmotb6bprrj3lBR/+fAcuff+f5wJc
EOOoZW6I4th+N5GyleBl0824+gTNFz+Mg9dmpnFoNqHedW37PRuGYB85cjr48zjDXI3up05i6gOv
vsgVzX49ecTPEgmXbMe2CY8m6YSYa5R8FjxFV73u1V8GN0s4+rtphjTRePoWAeZ8ee8VSOYQ2Fkn
icvsih7wTFt1sPhiGhIpeHxiID4jeu7uomJBkQsPtmdYFMaNDyxq3ZcME4tgJnoMaRzKfmVZd43Z
NVc68tPjZSOSeSbv/3yjrV9FEFwyMh4zYHpMoNu7WVMp0iKOqSfPfupnN76JN2uIBQB5hLEw1Cmx
OzAvB3Ds7ss4kgSRRvrFksB566WCplkhMXbDb/zLdS1P3M8PANfFVmT56Km5uuWJ/cfwGKlz5XHI
EmcNL/VDWfrhPhEAzFsCLoiYiOx7qP+bpCGAuwy9AFxITfprhqjt1upn71oub1gHkRFBAF772qMA
3gwhzIK/XOevkixJhjljU9d0XNd/P+Re9FgayKl9Ti+jg0tzRU1p9aKoH1dc2UCHi5OB02RfCgWn
nIANWnjLoOjPV/LrpiG5Ucta4RF0oFr8fMN4mbOTmUzSLpNC2Kjzt2DJDaBHmJ/CZRTx59/3u2ed
dGs3QNeC4Fy+UxxoG4yZMWT22SlDMrDa4pU+P0DDKhEIV6V71FnQHDTxvnT3edv8+bf/RlgjcVkv
T4dtBoHw3n1cBUmNgA+W2hha3Ul3Hq3SyZOnPsjojnbDNa3r9Ebm8HfGEeVq6tb1vRsHOImK3Hgd
y+pJ6jy6R+bytzvzm2tDSuCTqwVXx8W+8O7a6i6R5VR2KEb8DqCDJ77JWZXXrSb4cbDc4ropTbnX
OUEYKh4+DgN0Ics2yMUihzx8+6G4rhHR7aH8h3d/vnOLpOfnhcV8H14t2BGEzf77KXs/Nj2tmHQ+
m5Qc6xTpU3oRuwoRw3IcyjQ5kkYWYySt6jD427L+9UUjMYkIzqSeRCp3QZP8Y1mHpF572q/FeYgI
u4SVN1Yvl6KaQQOQcZXWwO3MD7rIEhpBXeXcOVUZv6VmVqI7ztXuzzfjN4vGQp7CfVi0e1Dwfl40
TRmXrqlb76xwRD5fVJQXuSxD4+qldcL2L4KT3ywaXg8+wo7l1Y7E4+ffN1H8goRLIQty869ch1Pe
AHXrMc9KRjm5YzBb6kFfSBlcuwLD8p8/7kW4/vOXT+uUjDaeTTNwnAtc5R+33yDTN/DIEzinhtsf
PDKXrwqZFa91iDvbStyNNS0CQca8HwZCaG/tST61Qd0Tu62xsDfD8Bdjxm/WClfk0mj1LC+wIWX/
fEccyzIrp/K8M30777lJyONbBZDxdhWiIpoZnv9dCGYKccNeFk7GVV+n3d6KYzK94XFXW6uL1Vdt
Rvp1nBfJw5/v2G++MO4StxrJJPv7+zqkAjtlRI4vz8IiD23Vw546QEHUr8kyqE2tdHy9FMyXV8s4
Qsrd/PkCfqPNoQ5C6+vCQvJpib57QXdjKQIV9+5ZDskEq3sStPsJAyco8li6XXfMQfTtLGcMr9Q4
ZvvUo3X7l+fmN+UY/hWLzV7YIpC/6KTQMxOHxPv3LnD7awSjBTO5sdsPc8hI1JjnT5LMhlXd0Pph
ICnGna3uUy8Fe1HGUUIWR1pvSaT70kdWsSGDQn0D09mfPYOWSh3OJNKlPm3CP9+635QQFM+LvoTl
go7m3aOVuZrTZNUld+3yOqJr5d/3WJmOovKWk8ky+iNx828V1eXHvltjDEY8Ws6L4wel489PdJxw
Ap5bO74bOWPuPbevnglu5GRscPxqC4uDIkpHeR/hisAhzPAfMuRAy5vasLyb4tiC9JpkfrtKo+zD
JMRjyEJdVW7cgmvraeZfhAVF2dID1HRMGMtUa8E7cjel41M99jTxndInwDiw+qswqY/aRK+26XEi
ELkaFfmHgs4aoy+L5rxp0lSo52k+0pnoYPHWPRyeoHz50RX5MYOukskipk3ZV02ppnMQFfr1z1/W
bxZaQPXr+S5aelO834nzwUsbMfJlkR/h3biFmV7FSAg+xdAa1+T1DKcYku6OgE1IBW1b/EUI+7tf
T/mGqAvZFQt9eVH8Y2OMgowGlNbqDjiycW3WFmmbS68HhxPpgLocDLJFsnqHNv+1Sh37Ly/lC3vm
54cmWJSbeCsd5LiOfCfEnQay3cACZnfsvTwVl65iHVDurQKXHoYlRfVy6TaNk2nB9Y2L7xYRkEgx
6oxzeLnoaCpEqZiLJfb1LkOkQqZNa50Gb6bpN9kTB3oRxjRaRFvWB0MRD9LVptpHveJfkXoIrcRB
g0JysRs0j/Dbp48zrRQoU30mrY10Azpgyh25KCNffBUlKMsV0n4WPZTJJl1f2vR9E0J3KPoC3ebS
0b/4YdKltQ7ENv8Um0P93AUzAB76J8cfSkJvkTuANEDnphbt7H/92ZI298hbZO+/nKcHl9hQ3bjp
nYE9lHBWire7ynKiA0My68oK5+lrYUoCVRwoygaAyB8P13/JgPxU5vznvbP4dfxfr5ADG0U03H/c
qtembMvv3R//1v6tPH3J39r3f2m5mv/7s9r/uPzr6K3cfOm+/PQP26JT3XTfvzXTw1vbZ91/2nSX
v/n/+y//x9vlpzxN1dv//p+vJd/l8tMiVRb/tBvbi8fgDybl6ov69e//sCeLf3HCs5ioshh8ihKH
BfGD3Een6l+Wj8GO46EjSBy12GD/7U8Wzr98KjlKLKorFHKLDPrf/mTbx9SMxhCLm2dxVOOg9p8f
/O7HQuSecQu5Zf/+539i6N6d9F0PcKDAzSBNjLb4KM1Fj/2P/ULLvmHoRc/WRS3PxB2Zw3zlY8Bx
1n2Ve/s5SgmxZgRPXCJ6vLEnomuYewIOJyJHO9rVzSrBg0Yec8hq24osj4DHEeLUbBVpOIIXfINh
jrheaAsBnXr58I97/buP8EPd//82HT6Eg8AUqa1v2fYyhnv3IarJbFWaDd97/HTDPb90qNZtoDtz
iWlrOVAx6EENN5HeZ1jgClM0BSAVbPFG9yyLXkKwyM7ea3KnB2IyT+nHyK/pO7Y2o99NOs2EcqAC
6b/0AFLJkK8tL6UxO5Eq4VY+7GgSOHpvZ6kZXXNlhMEK0r1T3hl+ZDn7MVcQSvpRuKj7qa8A18yI
21e2R09xXcw57Xo8Vz68MFopG5XPBEgoq6rvDJuNaY0GgZcW6PlmIKIuGTtGCWEvNnVYGc8xOSgF
0zQVNvtOusV3p2hjp8MPnNQnZTHZk3bqkT86TsEew9oI613jcQQyjs4Nm1MCVa/v1dxvFcKxbFOV
BG1s+SE3YQNhlmmenh60WeXhyhmr6cWwCaDfjO3QG49zjYByl7hD4F1PoyYVPksT9aQsytmIIFS9
J/J3Qm8jaVBuGoMWDfOHsR4/8/+GodJXxAw9xUHpGfeo5Kp+1wD6hxwSl+ZDkteWezsAbp52wKN1
SnhEgBSmbsP6pUPg1UPHAWiN7GRovoFiD/3HuCgAANHoreYr2ZvLWE2P+sUtVJbtYmCx0boao3i+
6wm7SHeyNpgmufWSGzwrYiuJgrHia1cP7K594funyHRq54EW8KA2pEPzKbrErl7Kvo6DQ6pDYFOW
RDFH06u7riC6LzAUVD67iVxOEsejYaxPXexUFfEYl6FSFIAuc9zBrA+Z5yFbcMwcIJJNejKk7kx+
6skKCTbDwHRz47h9TBSMz/gpE1Uqtm6oCzTQUTsCB0yKvH4hOjP5XlYx6Q5lISLrW+k24x20GsIh
gegao1rZhfhi1dR6UJ1dDdqFeZxcd3JS4CrQvpDpzpqKt4CiIxAyeLm+2mXSo50GMMBKIoFm3qgU
5u/aJWXIZg5l8cOYcvHDhCpbjGjNVLDua2WQGrCq+WDcXQwG4bEcazYQaMoS7gwxu8goa9Pa1L4e
wPOJTgoGXBaLrbPkPKzKPOeHEhePN9iiKXY3MsOEcPJjKXZdszgrkmTgR1QIwMfPI6oacRUb00yM
eknaeQnPh2o9/yZSB04eTZt+kdUYwNeX5C9aJ8GHMUYCJTbKG/nFl7M7UsbOPmcp4sLdj8cVgW/o
fqK650snsIit4cdDh8RMRfu+gdK/AfpcFDdxShL0ysEW1q2TVn7xySRwN0LRMt00Q+R+shtZIgIS
OrFR7/kOgsKkveeeLFzfeBJk7gC/d/Ejnz1LM/kk0Ft8HQ0tAGGFMIVSIilomCXHOGLXHVrbRfdd
spQLYBHkTNgDWDbQbzRFNnNhe9HOM/L05CORuUxiFZmBZdNPzGA6p2VG4+otzVvz4zhYmJGy1N4m
czK9jJX0Tygii2dkqenyOkCEq3GJH5cpsLOejCLW6z5lgE+EAUS4ssw+mCSjHGp0kbd4ljmL5FGV
3Dm6q+hcJ9K5ihaYALAuKOzZ6D7KeGSuVzKqjNbCHLruXtq6J5eFn8B4L/ITm/vT+hO/olfgxlwU
t3aZBRHRhTam0DSICJeY6IOhH/GnB7IpjXhjT4N7B/mxvLFkxXfgGP1TPwZYB0I44JM/JmvZSCBS
VaeRdAGSJ1A2TkfuoZzOc9HXN9jl0y3n14ntmPGE3yWQH6bvDLSajxJVhLslAYBAA7qJBRljObhT
Ak8eewR8B04bzQ2fnsxG2fcvYwDtSg0qPOCCSSGP4bGuUh7dgVZQi3A9Ka5nwYJWQ9xhnRylxYA0
qBzGl5KVm1gDEyFsjERkuRm6g3LKH9mxmc1WYYDaJ6la8KRBhJKu8vP4rIM6SLe6xiXuRm0esF94
M9HdvBPsdVLnyc0ciCjGSd32GJlBMkBFVITIgO8Nv5Rz4FxZeWF/7nN6SWBt/PqrUoZnbkNmWY+1
rr29qSIoRZlrB6R0T10HvEok9rZEunaas4zUkDaXe3YSqNg6xZTZioggNwmLi2jFz8NE8lbU232+
q+PKc1aRmUD78TAWMp7u1FVSJh2E1aohhi22mNqhVravFeWLf5XlCegzZDHLPAdd/DemOOLNi4fv
oTk3tySGEJZMNfU8iSB8kWbqfyZZRCvSXauv2HaLCoUeE7vGDGWOxGiwiN5sXX5VGvjHJKmSgEHm
UD8IZs8bkAqj2jC9qt4ms2u/y6StibjuwIxL1t7Jdbzu1bI6/7GPh37TaIuDB6JS/6YvBBJusN8Z
RxBb3lfAOr/kqMzuEXyqBzbMfNuqaP6YItI4dpKTYCmr8FZm6fzamjNsJyqund22DBV9EYDcAolZ
mFO5yT0A9i8wvwv2D///MHceS3Yj2xX9F83xAkACmcBAk4try3s3QZCsImzC+6/XAvuFRJY6yOiJ
QqNmR7Pr1oXJPHnO3mv7TXul7Xh5WHQl0qDKvLUca+lSHzOOhf5rSVEZbWz4C/iOMouOrZU0NKLM
dJgvY0YNryQk8rLby4D6VLjFuDPQ3BIyEvX5d4+zv7NhvNk+eY1k72c58HIUewspAXbICD9O0NAV
MVKlwCa0nM7ayEMENAs0/35EezHt2Q2y50x2A7TAbBnOHbdYNV+mnx/arvXioFbItaHAkfV8O5de
e+w67X5ARy7PlpjFHbmVmGSQoyldDjF2p5hA3jnBBE8x5vSgQq3OexyAFbSovXsNzTlXJctcxHD4
xa75pYPJdGkHkiEvnWNoO1G+NWhStDuKIFLSHV6urWUVlQ8vuDA+bNXH5n70oiQEsTf7Q+AauGQG
f+r2AOKjJYirAVp8M1es3ZahIMaZva1hV6Egu6hcnEvbLGxaSHy1LY27EcML+dyQ3WFJsm+2Gy2t
3HorURq/9ULN003vz2ZAHJlTHdyEUog9wCRaohiHOsZnMlT9jaRSSi6scLJgIYaz3SHe7v2JO9GJ
7MJP/fYlmZ3qlh3ZG87oPICTC6k6oAnlyM4C0hir95705vxglsq3DxnBzOWeiHe2j9y3xFHQH4kO
6dCZGyf2CVegbeowFx1daWxaYVK1OoRiWbfo3hCFEwI83Lij0qh0Yqs69CLzcdn0vrezKfDwMhSj
eZzXcweLSSJxSFauGSD4TI8ijNI7u5/YV53Kcb9THF1JnVo119Cu1ZklCApExbIUyLkqH/MiC76h
90QRkZIBY/wcHTsJ9mYfQujOozZzzks98fwbpscEwkc4AuCaOuNVVRHSJmcZ66uMPdQlTKlENhbr
dGv2pk+CZmVSdEyDmLptSAYTEnXDmUXgZTMve87Rbcd5hmKdtMX4S0PY332eLmzLS9ugtrZ6+RFZ
qt3PRjyvAbVTgsZRGlcZ6TVvvhUBQEvR8HA36l5CdXWqkQjhboBfkc3oOzYtp2q0NEsiQT625HwT
ZEwHYzMOCXpoF2x/Bm9jqTEbqchGe7a4xoVZpF69XXrXsIgVzjucHKJPnkBDtGvwceG9MJOJaHE4
c4PqLfGeahQYml+atSfopF+d0iEWZzYRQYTsaMXr28iCX5NAUfvJq1IovTjUSPQSnUtodJ+qCzms
57vI7J1H0WXlq5NXw4GTVPrmJGKFpubl9G53Vn1LngiE3LCOCZLE9yhOjLfwMpi5WWSB2/fmG2aU
fPUsrYeAGFcIQs0se0oZg4c7spNJqx+WsfSOnTdWqKoNJ0ZnF4YjwFYr/I5IJzk3E3M6sf9jYRVe
dwGVqETehdEcWGaMRG7bEx4E9tvv2yAmxnt5jq1meeqtmbmEJfvlXq2C0B2TNIiBhPS92yIsO1jA
k3czIoGu8FM4hLyti4VrNQIFE97iIxis5p7ye9gYvP4bmq/JEbE+B8K4JL2OC59d+rZHdz0GS1Ip
FZ/iKn53Jegdc0mmEy8dFqfcQ6wIg0RzkzuoujGBX3vDq+Jbh8ibj8bRDmJD17jTftK8+VPsk9eN
QIfustjaijD2wC0WL0VgU6gbyev7EY4T8LuKI8tL10dky5TxEottkYx5faibWb1aTSkwjbUmOU/r
pfdGS/LvpVfP14MN0MuOy25Pqi3oPZJjcOtOg0ESRSGG42A7xRmxW9OBzRKVKGdKL1eQmEOsEdVG
mhCDqTwOqd88J0pFj0QFynO7AeOYYE4+Lno6Ur3N11ip7Re3Gqtlo+sxPrfKdhE7ipPmIGe7uLEN
0TQbnvYsOkzO1J+mOW/3q7fgccotdVARBXxtin2p3eGaIABEBmEr/IslV+/lZBkIDxBe84r6iz73
mFUfO0x9EkVdn6WBn9jeWVJC8mT3+YhxaLxLol2P8KnEDiLTVGwRxsgLM1WYmXwl8YB1bupjRMi7
+I5VMr+EMATrktQQloiKp5O93ieaR6BJ2Y9zKl8QrEdB3zIxEJVFaUujNNAc/II6HZobnSToD8U4
XI5L/uF2/F9AqIxTI0V+7qSGfRxCGeDBAh5fWwYg1LQSu0S19bWft3KhwisbF4y9HtxDnBXdlVO2
7W0RhtlBEQt11hhrKkzrh1SWvYrBBQ+RSTJ9V1f4j9Fm7HNDU1+HiCsDZrzpmdmFw63dFl+WqIIL
Swf/mM2yuch7QkQZgDrXtm7zp0HHQ00kVgMGxWWjfx5TtNsx7Jh18Nt1QeP5CTr1POFZ4vk8haQV
ieNEmvdXp0jKu6I1O24+vj5IAyjOz60xDw16r7Xp7zo7Hb7nTc3BxaKqYZ30YfQSJJwdRsJHvqoR
q0lbVVV/5kp3uGmVwUsU2wvLvbGkzbs5EWC8MTO0UpbuxHPTcSZ0mt4ick2p6WuYFZ61Sak6eHvn
qAR0zbD6yGO8UJM3DijwcUr6e8fTBKJTqKcBETAhuctRSYQkx6ZdJYrY2bW9A9Q+tF+durZgEpVJ
QCO527v1SLgvzl2oSngbsbSRS5im03kcGtFp4vyxyTqj2lGjsLc2aYfBM7PCUz3HnA1I6JqPjRLW
49SpJA9YF9xsJ0l420zIi54rrwi7oJv8iXaUnwH1Kus3NyokQpKsLR/mKXxo2qi7ziepVsmCwYuj
MnKlHpqCPCAGMz2mgF6m403iDEa48iu8YGgG/6kw82bnSXMkGSDKlj29cHi4lAPztp7S/G6dBe2t
Ecvwhvla8zVzi+ZLn0UNHTOSjKaxy5ptL7A60IQ/DDrHQpXGBs5rf3TOpoEY+VYPxhUbYP21t4wM
FiIw7yYkoogkjtG+tDn6I0WkW3ga83w8oURMb1Gs7ZXKvYWQ4jn/uiQdWYZsvf7JivV5hmxqYzXh
mtugWSj6JSbpgx7KSLGORl323kczmjNsCMWhbdspuvcBLpSmO0ymXG7VMvQvtTvPx7K32+5mbrJ5
D3zwje1Y36deAdka8+6NRqXY820PmLV50T0mgh8ORAz3bEm7xTyLlAe4uib4521p3PrF091Vhddh
V9K/DSahkpckKsy7pkl14C5EO06tmbz6WVsdjainX6iM+zJ0pk1Kq2w+UjP7JGoIg2qbc3K5MUap
yYImmpHjZHEQTSjfDJ1Y2ywS8SXmsG1Xwj/ZdhJLMuxotzjR6+m2Y2vPpz52jLuWFLQTNY/LqyDu
kBz3ZzT9gIqzTe0bg0iK0OlIkUoUUeE2VmOM3q1QcLbQSFECuH1yZTa+9Rr2VHYjwazhrs+M8twv
h4neXFW8ER5PDZfP3y09jfvazpMnOxc9hRW5RJ3vpmeTHzeXWbTIK5Sjj2CDiqAYindVeuaDu4I1
9q1ui+vcxw8wTu1T5xQxOdle0T21jku4SeF1r15hhglHg6y0b1LqiOmtcL2IJqzqzXzb4Vfpt5yH
CJ/wMDNbCyJrh+9Iq6+ob5KFJLOtytl5trFZtw9KSypA0XB82cyriiN0EpM4BTHQuKzRHMVbxpnY
ekj+Mh/n2iHab4jBOhDh4pxjiOYvcLCXN7Mz6gd23GbYS4T1tLJGXP1A4CPaAwOHEb1FrFtX5x0R
gvG2jCmqcBdkI9LUyZqqCyoTnwjlrmGZmRzFoYt76tF8ijVG8N83zdcx3OeOOWIA5oOOyXRDriPn
n9r+NWFhoy38D0+q+czTveke58XBe0tcIvnoZQ8U2Q6b+UplRvXy+8/+dUS5duultw4IUVxJ1EWf
lWaeHFocCMsXr2yLy8QXYF1mCxI9TddtYtX9sRR5f2eEmaODtDfMP0hl/vfIA6uO4DdwsJEySnM+
ffdYubExEVpKGwz5xU6bhaKB6CfJ/C0kj3p4qDzHMln5fW7BZJgkJaSp0+4bRXdzNyI7SgmbbQkh
nyE8kqrXG3N+ju4xtA8u2iNj62RtPd2Ui+WR9zqnwviT+mid+P9y+6g7HAWuzfNd/uF8GngYMVii
2XKIvrDCTB7iJqYPbhQFvGM0WL2NZ8SyckqljJlOXHgMY6LcWkc1xjQ+OW2m9WEhq3DYWj+mNkZt
yPwPo+BPikzus8/N9U33hxLX4vf89RkTgsVWhSCZZdWkwyEUhiRYZgDJrti4b7t4TD5gSTCrwbXB
Rf4xRfJLn4OcDYdV7uI0gqE0qQb3xDS7i/+Hl+AHKezny7jK2uBErvo2GzqJ90lYQWM7rnDNkiPR
5/5w99dLh7wjnQ5WRY/qinXDbckBp1+/VWUzy1M0tUt+5Rco/fNNPRNpuGmnjPIhr4m748+CJwWq
nDWfY6sS+Ik6NH3eH/A6Yr12v/7muHuFy1tkg9iBEffrta1Sd8l9HCgb28HrdhQYsby3PKqrgbkv
L/YXjdk+344GEtjLyLYjCzWuHacYUmQZn7sK+s4xz6uQOZYdJzmwec5kWww+DmPzhnl8la7TIDoB
sRuM3Ww/uW4oMXs1uazogqWZs6+pm6et1hw1qKVr72B4pS75gdr4zokpvROmoNeaoCOEnwGJ9UsV
A0C6HQmXe/An4WJk67qq/MPbYf8qhnOlZzngoD3HJAicP7mfXvCFwYRWDHU2A7cpvsJgz9Gmx3gS
knU/lSUe4tIRl23TcaBqksSezxdfRtmZaxb82eHQdk33H0udXzCiDQrLdaojiyiSQlPOuDG1NF1j
w2TXbrd11jO68Yhvn8/tCTMsFVJh+uPWa/rU+1JJnS0nui7pCw1+c374J4spyEL0OSwjzvowIEf8
LDeJR2uenSxMCYEfi7WCjgJMkPkJh0WFoL2hH2CWck3n6uzdbPj6T3SsH8qx/3kU+Q24yNLlMQRw
7Ur/M3qNTEPSgtOWfnKMf3cvI8uhiFw8egp/jXS4zMrBje3EL4lRggPEBLeurFZkf3NjtyqCvHIT
KO40Z4Fc5PQq91qM/Rt2FxIkBeca3FFjWO9cBLQHt88Idqs57CYbLLyGJnPIDo2dix1GH35/dX+I
0n7+ckzYBVZKlH0ScRyall/fMzeWkRnK7p2TSX1Jp6XIA7vP+e3pEPiXnCJ7sPeWEmehyuIvlVnQ
TlSqycId0sVQ7Ea/6CzQ9tK/numMboc5Te9thLwzMyXLvfexn5zLvmBNMUO3gN5Q2EWz4uWty2Ty
VEBLmLa5NwsU11VR9BW9PDKFtV81d/iJqyr4/TdeRQc/rSzK5hsjVZC2cvgzuvVPK0uOAyh3y/y9
E+tcTTD14AyBmZC6GVVCEXi0nkiBTUBX5EM0Accp6btSk3Os6WoBGuf3v9CP5+fXW+DZCISwTiBK
txH6/noLtOMk7DOE2ncj2/mp7CvjPk39Qm2i3grhTgg5Pw71YDHJ7fIQr6I7e+GFD/aCYCnIWv1m
ZFCdwthz/e9F7KXdLgVhe6VEJkhjqTL9vUlcRpVuVevLfkCJRJ6gN3G+WgecPyRLdtW6D25Pv34z
427ktLsKmYjyqGjWmwOenzkakmFLGHyW7/Gk84iUXY1Zb2g5vrktFrKNW2mKxVlb2LpGxthREC4i
AY5TTi1PNAGidFwoymN+5OiQMMsq0r34RckPwyJGH9fWDqQMDFL1UUjH2nuM/TlIulAOdqXHiZYx
Jyi6ncAsXW4LhSP7BEuWN6U37OxizivrsfVnfpJbcvbZZGlD4MOg/cvcrCQJvzYhwjvRERnNVDCX
TMu4ugYCu55x048b+38mJvp/qBNCfv3Tw73qkP6tL1qFTv/5H+dfli9Z3HZffhEL/fif/hILeepf
MElZ0VFyK5enmuXmL7GQI/8FXIxK3ZEeSkzowP+tFXLdf+GwgkdKM1quulp+h39rhRzzX+yGSIUo
dX3Uo0g8P2mDfqcV4uf8vDIgbubICN6M8hkVKuaqX19E+h6672il7cuoiQm9ncLsw6pcASzGMezz
jqzmK0YPSfKHMu3XWoduwvq56y+vJCofyPe/fm4C7DUcGfPtcdEzbQF7tG+Ysh3tMZdnP92Pm79W
lZ/lUL9WDn99lI9Hh6mkh7fgx+L407FIL7B7enoe+6Ea1Rln1ye/W7q9vfCuFLbxhwr510PYvz+N
MxB7pkCr99kaNNZY2FKEOXtDESCdKSvaDrgptzWuvX01jkRGJjWiUVne/+Ovic8HwwB7NtpZ91Nl
noyWKNPS4E56ikleK83vBN6Q25Yu1q7N2/L4zz/PX4XnqyLUJtzh1zvYgEaKwwxWio5zPTGdM1K1
jRht3crGG/w9gc6d/sNT8+sRia0CO4TJHgaAEsG58xkkiuOKiV+jxj1x7HLnVV18rNNU/mG7/Pxs
8inKpuwABSyR5X0G7MdOy6lLjhO0cU3CmMjJk06rSiFPdhbz9PvL+HcfRibGWuVBB/9fz0vHoE2E
EsYwigtsnfH0GNlkhYvEfv39B/3NtSNYwcHfLiCQez+8Dj+9BgyUiyJRetobvrqG5dsckDtNf3go
/vZDaEGworg8/p89hjxrOI9Qg+1D4XwTTjadR0vo/eGF/rtLhkuIq8V6BZjxUzUj4jCXkcc3oYYe
DtWy3CW2X17kEBb3v79m6zP8c5myvko8dFAuSU1Bo/9pdZT2PHoGe+a5uQPN8oeH+dMPR6C5rvkm
51QMFNz7Tz98xAQ3W1pne6IIWnjbiRk2d0KmVndb6rxNjlOHjRUtYZi6m6Eqh+oJU3k43f3+O37a
AdZfA1/BDzo439AyPzkCDKMV3sIMet+ZY4ZXogxrsk8SIlMCGiEeZ6QiFm/TQIbMP3v0f3wyCzIn
Vy4ESDn71xXEXWaRN0vPOTXx8sMMu2ePtmgOGh6uP5yo/u5LrqcaV1Hw29bndFVoOYWA85ShUjHU
I1K75htLeX+C8kLMlq37u6z2+j/Yh/7uQ9dXWrJCIpz/HK8apraZMI/M92Vikf7YIy57psVfnQrZ
oemaIpv8unooxcc/vKO2ZUv8CvThuJ9s779e19A2yyJD3LmPfEbbhlQ40xFRvrb5WB/Gtod6aOfO
8+8/9NObz0nVErgd0S9zuEISvf73n5YXB+GtKnwLHdBsebcjQ16UjmMi/tTk/PTy//U51D9wWXnz
KYJ+/RxGqv7YtigHzD4KL91scG4qW7nACubyD2//5/tHkBRnYHNtOqyAdPmpRoHTIeF49dYpZkDz
lvwhDIBi4FNlIgBx2awsiHbw4hBLtX7Xn64Zchcr4XjqHIYudtXOnJfibIgzE3ovcQ16k2ZDRbJd
w5SRTlVqQ9wpPKBXLLBEPI9WRKBZ3hoUa1BOjEdVzahYpjTyX5zOdZiuxy2zhr5UqL9qOnsNkhn0
v5ulrNUrKTKkrGflHAXCm6YPaxGtxbRnSJ4qQgDIBTUKfUzHQuEAyhpxhiSuJQAbYy32IJBPQYVG
AE6LIcdnFSmXqUZlx3dF5uPabF3jNZxm58pKO/ebml31jv6FdDgj7cVWQQ15TTI36pBjiNoPGB8Q
IsjfYr8d28SEXB535UhQVt8e1dRbC7OQSfqBGTGRXL+0fxUT0qMgw2bjNQ16R+xRNNC1audogeI2
JeVRROBZdsLqErKlaKpOR5lUKVHE6MOAjRNYw9izRozkcoxUO8r3CakGbyhBNr4xfwWqYr/EuSCb
ay4sTSCpzpI5cCK7PktZ2+cd9l4yh2Xfl9XeQEhCrDAWpheURq3ehYaZ39ZKIrGl5BPnEZNERrW0
+cJj2MmIUYQ3LsxX6xYle4RfuT/iBGYWRaFTNtthVO1DmJH0UyR0Pbf+DBx4kzcmjBo3k+l0DPkP
uJv9zj/kYqk1BYrOTyoyiFGuZWdk+zH3qveQsJRrKBqmvRdzI7qTkVX5ZZUYobjJmmi8gYg1DsEY
wYO5QDZekH86ASLajHNTFEfH6613xCxluxNFkb9ONCPfbCsZieOL8SkHzGsMBSO0iNsgIriFc28Y
WfBqpjzXl5mrEw76ahhJufTEQDsJXsfdkGVNsneWqfiOxqXywNB5BYmxQ9a9hiop7ZMqV9EplMTp
HH2SbxxAk1Ds2e6kX6n6UOGXVpK2ezibRnvMI6ceg3mMNcBb2fIboslodpyL6TRrAzPgQYsOCF7U
o3gU3RK7uzKTOULpsiYt00hcomoRqPffhBEyKxhxcRfM+Qb7vJJ2rPZM/TOO02hdbvl1CExvzJbe
DepprLEj8w8VIHDyCWKuQYQE0VjhdZyU5PksMGgGeLvmNz+yK0ySkZranRMWXXuRhXNXHYykTsmo
ZTSB2nJW7VZbNBh2EeQLzew96sKTYrbeMR1Y2ujW6JksbmcMhmdciTndoYuezsOp8UuyL3uLnOnY
zR+t0Cfu02BCX5yF9FsIjwWI6AYLskzCkQSDx20uYjUfYJsuhFojXmCM3vuoeeOurQG5QcsLKe/p
VUJ0asGnQM+toipYzC762jQDzWD60q6zx3xl26Q1ijE+6El2xYPPzAk4YpV13s7BJWFuTebe4zZu
GsR1ca7GF1Jx1BK4Iu6frZox6+OI+eKJ8agZ7TM64O+G37n2ZnHMzjm1GAFbUogmklZpsrRnU61c
QivbUr6GiMW6U8TEm8BVJZvnnAWOESYBJuR8omtgsJMje9OZgGlo4NY2AlX3dMbHysqv47wqoUPl
y/LsUP9fFLXZzDu3sGNvB2yVJgylf+TsR1OXHUPoOj80MwKxnTuUM2A/aTjR3q/i/vs4TER7W3AQ
r0Lbhe/qMpL4qOqCv4ak0n2qLG31gVcWPAdVK4yO5mIXfxn8uLwbFMPNwMpDNGZ5iaXxPJNrSkup
VTKDzpQN2veKbIcDnNvBPUWhbwzQJhMapsXC+GAjrbAhsrsi+OqszYmP095khTtssAAnccbgTsls
WZy68cfz1uoaeMwC8CrK+sHe2mno2IE1lcCC81iH9s6OnfBGOm3+bcim+LKbFX+tRnFqBPWSEdEA
WbUT7FWd+9Gb0lAXEVaNiK48onxiNWkvo1teGGJwQwgsTeYCIYnXDAIR6NjLZAdDfHI3FrsBGe0o
nt0DaEWLByTyjQfT4ulCU9hb9zJP7bd5qF+1Mqz7KmqHM9mtKPUUJO/aFTRQx/m4f4cu+UpT7Z2T
whgkKjSvNfT+DaKp6iCWHP1JSX2xw5F4B8GHJOYyN+OeEFYPv//a/AgKBCzIFVNv5IpmdIVbCgVi
mucJ7vacDNWBpnu/BnUNZyFIu4ueYoxVodz1rv+lMEDGu9rfFVq/g6NGEFICQeRWv7t9u9yPdvbd
9tSeHewoEu8+r9FtZrP5Ah6ZAXb20un0CEjnDk1QGTDQJljYS4l2VwtA1sV9dJAWb1DNknZr1Bd1
3MzncyaMY5nwXs1scYz2DbJ9xu7MWUnrMlMHUBBlsPrBLppBNU8MaZBqZvoGxjcq1jQJN1nbgIke
EqSlLpilRmmkplHRnqUz9weNxN6olvlk4fu5jrUaLsa5WlrCUVn1gjZt1h437dRt4ZX1h6it6l22
up92yB/KhwZn5ZlWs7dpNWc7OJn5fGilBbyWDJNv7YJome/OM7apo9q+X5Kwu3O0oIpN/Bn7EZE0
PNY0olK+yAEqu3mw/CK9dupoYfppvflZqC7gfQzXE29OFND3SF6iKgLYZ8ERuK69MDKopkadMPzq
nPdaahoXpFaF5kMDUZ5oNSeT/uM4zF9CV5zC2b2TPXFs2QAazHDbTRzb951nlkHWTvYd2VYuyVHh
XJ/kINSdSkbxvR9a4pNFNO/MNqb2SMztMrElkWhSYmG1rMTaNY3ZfA0pZGmx2204o0xdwZ7L0Jg7
N2M2EhT8w9hCt7PfBELdC6CiKcm5vq2PtWptbEFjewOeyF5F+/UVMDrxNcUiPT51eh7RlWmMXruw
L3Nk5Cbw+sVuJ+xcy0fpqn5XjkZ3iZYTSxKCu2eEZMk7MFH3ox28bovSk6qij8unCSTC7eTRDFlf
ER631CQxZoj6qsBPL+DYmkOPesUxv6Oufpv8QtzaiygItJuP1Eb5zkJQ+d3IdH/BDLgO5sx6ib26
eSYrZgjIiT2zaugImwycMstTtDRXSGFOaY1FDrRtfVt3Y7Lg8XUKyhNfH5n+f0fvizR7DqHFwx7d
ZZ1adpD62i18taXaENgALgtV7jaD8LzDZjge1nFlgDJg/iBvzbvxqsXYWGZt88FWcSeT8eiby7Vn
LHm6AfCrzmq3bOCthlJ+tPFcsIcSYIZpGS3qF7JA8yEQTTnuIoKkNngMu/0sB383johVElvsxxA8
hmMnWHBGne+wVbrJ1iPC6kS0o4iDyZ2qs3DRvLJWhai+F7QJe+lvsz50gci2pv3VcRAM+vH0FPYy
u6/KFlJ5VPnzWc0gASC/CXp1DItXkfXWQwdB68JLZyrVbJI3aQ8DH4tZcgeLb2jZITyyv5POIj2a
0vY6WdoUdnHHQ8WMMbtw2Ms2qkGEVwEHODTYzbdy6VHjz4Ilxe145ebUco+GEZ5nBkpJbxjmgO8c
76eFtLAkb1uKlS4L/FbpAHzmzMlD98UZ+UftNRVgE7iaRHMk48Rwh5p8WSprow3mPndvUoimT07F
pH0jsqSug1Dm8SGsAPmCFkRwNg9ztdM5u/l+Wezomi7r4geDmLXa+Ogv4ZqXM6sGBd7ZyF3ax76F
vpgKEDuMmNW+QwuLo63I8RKOi00sNyL4cNkp3KscKMbIvk1dqvEjcRXuN22VQ3KudQi0HA/YTBhF
yYrJ9LkexguhPQmtloxFyhWrEEiJWaR3SKQpPryMrS4pDesBgXNx0B5VLaevOGKI6yQLMdmWuej9
ktRA7oHJ23PFwkY6Lt+hT2XaXfes+hSuGvH2CQtQv8JkMx4Fr4kfJKzL/rY2nYokN+Ojqkzi0Oba
2onWN4O2d429EDiKAhBTjz4Fzkdd+r0+1LjG7hDQtbsyac3r0Ulfe0HKdgOBMoH0Dl83xkgJZHcM
VOQ1KhgTyVGz8arpsFI2e+i8bMjM56i2NnPkT69L1kNBNPGvH6ZxzvYTm2zOKBMa6uBVxH/UnF6L
xDCIVVgXWgwP7OmWOhWxdVks6XNkwOrD/RbUhUh3kqLnLI8rdanMOroYjKK/B8nuFQdnWXowCzo+
RiG4xyFrELIlskoCGIBJe0NATHWR9E624+Wxb4gS8eROVrCl940ZoSQGK3OROK28cier2hpucxwM
Sroljcwl6JMouuE4VRG817SYXbr6aEzclo055ul1qo3npmrLA74O61tt6fkJmVrMkcTmaOQCL91o
XQFyZ31SW7pA1Z4r8MQMwKy3IiIMdFMweSj3i59phxkz2dWbKCfpb8e7UJwoCRXav9rB6eiWMDnS
+KJJvW/2EvmnzvYvnWLW9mZiMEt8epkMRyRLz8UMwDexjOHKCz3zhhSAYvdjHpkv01c51fq6slx9
DZdmeufJeqLPBnd4tuJyo2DjXQwjZk9SRQ7Aloc7phYnNSZGskrFuLZ9NJonC5svguXyFW7Kum+a
CGhyD957bFnLbahoLkErWAjTjDyfs3ZP7jqLYlAU2n6meEgeurwvjE0j6aVvYqOLql3ahPl4wP4R
PXhaYrvmxY6u8igEM7KW9W/sjDEfChjYYy2lktIUGGqoNrkVXU9mEZ6wLtUvY1WbqJynrngkm8vk
strdal/swvsodAbCDGQIXFJpJXeVlUwXsXD7HfRd49EqZnPaALL1kmDQutmOvfmygm3v81Ji+x7z
4cvcWo/0l5x9lIUoCEM8pu4qF0oKklUQNo/V3gNIlwxhTWlOrCQ3Rk31mmjA/iO1+UBozfiBVzDB
w1k9t24/GoFnYDRk1jWwkaLX5H+i5vio/GaNoIizub1s9FRNj2bT5O9oKMI9XeDiNULE/NxFPlxr
AdwatF3sfVXTHO6KRjb8mAUPa4f02p33ERZk7nChzetQsCZvvaT8kEiuNpUVGZdSGZ4+g3Jv3Nb5
emYAhDu/4ibUVOEUEVeh9sPhQFet0Ds9zu5jEhvM2tktmjfTi5xtquf8w25JJahDb34a8TzfC6tS
Gyb4uM1KhO9ow0oYeKB2y+FgGhbJCktaeNfNnBZYGTpxjoupD/dxvJCXrApbFZveQ/BfpYuBHsIg
FcVfYkXxyeXAR9N2zNCNqbX9nY65+4FOTO8ciqY97R13EfY2GwYiqudedk89qlHo42Ulz9pWyWf0
jwqGa19jikiJxGt2xIy43M9oKgrc5+QMKejT0Z4HJB/Jtdb60pYZ2lAiZLG2NJi/vvSCijJIqqa8
CWdPTsyEbMukeLLQOOplnoftaC3mt6RlUd8iOJVYZ2CPjIz+e/2Q+mZOEVqZNqSFwhxJwQLOiqvc
NchvUbXX3o3osZsAubIuAlUNwM4g+FjfDc/Uqy+pQ/jktqqWWFnCGLEyxifI2xPmIOo76q9tXTvl
gX5CVrEVpHg8EcBX30Pmt3TRkG5XQUSz6RJQqHeRzrPE25cqVnWPRJcbXyyZtQWzZd0YEK3xAfiY
IDdj3XCUoJab8OJM0dQcCw5HS0Cnl9OgnXI4icPBeRjyjCMK+N5FBA2U2Ho7O/3yQrdm6Lbt2HYg
skVf4MZzJ6TfGVQh/p4bXdds4MuhnExusDam+L+oO7PlxpEs2/7K/QGUYXIMrwA4k6JEzXqBSSEJ
8+CYga/vxay+1hmR2Rm3Hq/lQ2VWSEESBNyPn7P32lTujWtjBR+XmMEH0F16S3aOqQUHZ++b5KQT
wYcihVXFnKNyB06eEDjQCWFP9aiJY4VXx6UJZfd3EVuVQhdm4oBnstROHub/HDVsltvKAUmzna7s
psPF38RV85Djwpg8C4M2Wq8pdz8Gjcat15sJBw/6fgP9bDwQAieJVZ/VVGXThCfIimQZblV4GCPd
LsgAWcaUWEPxlhi9ZAGdhmLwp6G/euKwjUtMMSQ/1G6qrLRcDLZnKRUCdsNQ55PpNmQmm60hzwTT
L4WfaX30wd9ofVcxgkEvHNroVeid890a00KESlFOa0MpJKFzZOfNmxl3BQe/ubVMokkZBwLz1tHp
V9ZIxxY+eGdgns7cZE2iivFCGhhZCLWloBW2ZInuJAGyShaLatJvyNR+PopOat21A0ZXI6yXaFjR
1hrO0TxPjq847lSA21cUJ5DwY+hWi2JygoaqiMe+JNdkA+fHlTu82JGg3Zebd3GG+HIHci1fvGiI
y42A0YhKapJ1D+pHyexbW6RG4yt0tvIVFGYmUuSn8CTQh7NUL0e/8mbbiXjkM7v3iTOTXil1I0KW
n7hNsy/7gY8FFhQb3mTDWDjIschIc8w680WVMad6AI76uyoQMAa5bQ0wtBdVudcmgj+8SnExhQ59
jHe/EURr+xqr/H2ryaqEH2Kq0Q/ywiLShixEPSc5ZBzxaUb3kZeUyxxfW9iNRVN+csWR4HLN8FM1
BlCEuTQvKfI1I6k3cVUnp14U6g15Ham5W2pcJOY3ZarSOr5KfFG7+FY42Ro+5cwi/e7goqYHxQD0
xR2rFTKkENz4IJgidtsk47paPtF0lRJtkXjlYF0Hgq9mH39lXN067MYA0Oi6c5yuM87suoosKsiZ
6Vir2V0ysOS9gxwDa9gwB6VqwOWqG9UgbKBqi+KZIAQyNSqNA/omyuRg+1ir8jBgYtji6aerV3uA
BZwhyDLZU3KzWvu67GAFEHaTJ/a+BSio+Vwv4Bx4LoHLHgoArXKFpDiaXoZaastO7zI8cGPJWTOA
6E5/WldGHM80cQeiyCDPNG5gmgMaaWM0qufOTEcKEJi0Cfd/WuokfqhV/NqIMV7gdZP9sJK1Vlfv
bCS9cSBuufoctEimtFUSDmrzqDBzoSEsmrXRoq30p5qyFlpd6xAw32RG9EzzoAlvst4pqHYrTAWr
0lAlASAcfBRvyhjj0ycYIvmVmS0xMXbjlDiLpsJwX8k0Y46aSa2lwBLYH4KMTxTvrTLtn9GhE8NB
4oEJJ419MQkUJe3Iu4JsY+yHIjRJgrOvxy3GHNcwdAf7a0fzSpgPhqgh9eOCnb66QaiXGrkkjvpk
JloOJs30rAPsMg/j0IPSCrWpdI9mSueGVS2294owJhtYwWAPMN6gxt32WRVd6PqCLffiqVWUtVqH
esVm6UQu9xTwtlUUV67uDRpalhfc1Wp0NMVg9rcmTYVsY9mhQvaXYgpMzaU1vxOKBbyKW0m16Jkh
EFiZUWp/pyMzncKjueESn+awX3iwyC0zGLhP1D2YLmnfSdS5kv0/o8Ye4c+gnOxS8vIqo3QInYmM
BJlpGE3Ftu5Ks1uHU1GXWwie0zd1d2KyyYS9e5eMkzG9JWVUh6uo1lTkzeVSVquMECSDyRi4OdJE
C9vIP3Wir2cqndlwVzQxlZYV9pq0QoLHWBLgpsX3znJNCUK8SNIKaedN4+OQqeMvhD+4x2HntveE
yANCNGdbu4cHUdmeXREFtuCIqDZVaUGw6URktxt9KfBaShuyXKBB4EFuK2Sa7CyMV0FYElt2aLVl
MT0gAsZtgbH6PsdCALhILfpPOBEkUC4MzhJvTqVyWxvDyAZMYPS9yWn4XeD8TE9zvETfhko4pwfM
r1YuoeNYF6XMNH6ta133dTYgq92WzIDuZ1eX1r52LLkckGHX0XaYOUQe+6vmfJ13auVuDMPuK/YV
OCzpqgGFKs7I7fP76UpgWLcGdAXqSiCd7rUnxGma0DEXuNEnTTKO4AtCdGczAQWyyc3DxncTxn3E
WZ47DWd+vpjFOi4XAR6Gu/u8tGFzQyEGJAOHeFNuZF06EKDV2RqPfZ2yxSMVEq+JkSg1R1fOsisU
pBw/cbKOPJMyDX9Qu/SHomJ3xfmUR7hjmiYe8MOZ8X0kXbZmt8RLOStdQXtcKmbFdkB5uipllD3K
Nk3iDbGrWFhx1eBFnco4p52DJWqVITr7rHEQzH4U42Hyccjg+A9MK1TKA2tqpt9wLGYmotKr7XjQ
NWMtuqn4ViNXjQMHD1XObbmUxrrRVQxFpDAX2i6bU/BGoq+L2rdIUcDkyY8Xw5YYYN4q3Ah7EUej
TKn6sRzaE9RUbM0+9kEyLe0kkdV92Wv5uGrImGT6MYcoRCt3bBZf6mX0UpQO/Ai3YEbtudyqwwH2
MOdsmxaESb6iyHLO5X0LIKIVKW7lpdaCRpbuW1H0FC84MvN41TUMSqjPSLnMeejCZLyJyN+gCCax
QT10GWGgnjAX60vgtMS+zH+nQag2fXfKun6yPWMxpLpSY7vYdzMT08BQjenDLJb0wBgvY4LWZuqh
IPOJR36c5Ct5FTYn6IHGNXXhGD9qwFzKGzdmbB1kbCcbvhLGNlh4Ymul0Tq0A1dpl23S5RaT/LAS
sx9LuFMgzQo7OjZ8EMprTB6pRzXcALIU2Lv3chIGlhoYEimgEWJ1NhNhQrpHY5m2/6jWHKFb9kRI
nWQcveljwfyXoQd9dto9NFIYcCowdPt8eazgM6p7NzWdcW+GnEB3i2NTHkZghPHxCKV3VtAz6nQf
t9FVjZnSHzWtinYfplNSQ+Cw5Msq7tSamZM5thpGiATPXj6WX2qrIzOM0Vku1ElxekUs1BOye5lW
21FElMhNPU/HkAM0Jcrc840NhFJVW7xOJr1UQZW9rpjctjypkgo8LM05W+W56yo+i5z6Esrwyl7M
yiXaFwy6P2Y3mrJV5QpMtCi+rgUYbZhiBSHRQubO5livkZaSdNiw9150AGUOgXmUboEC3cwiccKI
XZgTLObs/rUx3ub4DTOPmAmpvbaUbg8N/quLoYaKu7UWAfejBXOpsGMtooLZlRXdpaHCYWAWFsrX
ghjf3MKnFru8lPoTRUkmAuxAogimVISPZqXPGZQg5XoiXeA7IYFOiNtDFW/OeEL1Odz200BKTA5/
stjRpq/oFjpAUdttxv32bDN7n720pYu0QtOBK7NTITV4Ra7F2T0OeaJFPKvUYdQkllia9TJaIn/H
LBR2dwKe5TFMOIoce8Oh2Ubkj+BAp+jJBGZjFm9lNmld0GWGxD1cm8wQ5Ki6w1o3K2Hdi7Rxz70u
hnGV62Z7IWJvJhKnxmhBH6wme4xBI7ChUVrjQ6apM6Q2tRNi3yimE24VxIHutpcjb5HyBq8y1dMy
rAnIMMgp0JaxPmeSwJ31EnGUvxnyYp4CNxvRwTMhgUeThISZrnpl0ui5zsKpiHAp7WOahw0Ofozn
8q2WGaoMfNO0JAgmo6PzgiCgfZviwe59riPj+tSurtk2vbRPeFzMHxE6/oeFbw/zVTbrinkUFs/s
isxT+2bOI7g0rjVXV9Zbn6KVEWHRb5KBVuCuyjji90EvaAGtjHkcMSoVqv0hHTNLGZQSxehNU0FQ
lsjT6j1SoItuSwQ/ro9svk83Azup3APUoS++SFSR+yWKTVgWWtxqRyUWvZhp2YXGNX+ZONcne4G2
thwR+0wTU8mwiJ7suKAS8dwxmrocr+/Qmv6IA9X0ND0pxkO8zKCbBpJX+zVRnwQG11OlD/sp45y3
svE3j1t4VdlQoLMx9S9oeYJcrNjIak8QrJ3u2o5+nA/TN/1h5COTUdi9Ag3xZDXWYaRY+8zEmDeY
sois9nLZCPuuX5JF3NvtCLMK0z9OdOYC2deAQMJgHsFBbE9cr/7VNYrxyYSTJkxD7KDcolHp6w3d
rKYnhnSxgRYIMe6bqdH7y6gP0yuzvzhfkRYZkv04DJIevhqb322WKcoNj1T+2E6D+hgLa3yzu0Tc
dhy+KGuHvv5Ay0SK4WjYBGqNQhR3A3Ee11RwOTIgIFMIqw08X0gjIbMzL9G16dtq0mseMLTJdpdG
QgdzNjEQP6Uc2PnBKiehgtGG+UYZRsOhIi22ONLrpHBCbEMeEA9z8QJjln9VmF6iiW4cg2FUkkwA
VMJG9qqf5XqarDQuuHWcbSV11iDTtOaEOhJYLVIx0jjJzaE5akwJiSuu67aRL4u+Zf2T2SLXyPnS
nvAEYearmrb/i5wMrGQtYGPMPiNiJN9SdKOkprZZhmEpR/ZWjaKMA60g7BBqnJzcI3JqSwNhVeba
lqI5fKHT0FIVZAD1VhZ6wk9LkBHQsrRUnI3h2a6MjKi4tYWq670tNDnfxvC3JTiQUm3IZh6FnLe5
2+vLoY2rrFuRCEY5oVgNWL10HoroOOt6gZbMtEf9sOShSct+rKtDRI+9CFRzMC+AV5jaFqZbHvj2
U9dX4oh9OyPz8RNQAQmglUZNSyBwudR+nrgkh9m0qxW/BHtp+8lAFe4vuSx411Rz9LAWvqdDCtGK
TpaehGjke357FxN4KzZKyTTTz/W+Pluduli+jfzQ4a/Pci3QUiIzcZNn0vaVxmGgT2SNPI4xQaqB
6uTxD8duJ9g4+Mqe7Xamym/yFs5CmzLW9NMm1U8QUpUfERftEVEEQZ6hmeXfmolWZt1JjG7BOAm+
shaQwA1Ad1c/o8ClEc3bSjYkluGiRxLQQs4SinU7DVSAAZif8a2nH6H7DpXTpavHHLe47ciIzrqh
11h0iqtDkgPP7QDk4aZjePnEbYwqZkzHioNgNOEwksxmibwrGqZ45hhdjct657K0dyNHbKsqbw23
m+hc5c61pMnRDHrSUoeXkNM/hiEXdcR1YNqeYZl1E+qwjBtM74BEJ5Y5/1Dx/t1dvVKvUuTMa1Il
pPhxabKes2WqzVUUle+0NG14mP00Pw+xI95Hy4y+bJqggGWrzjyGvdqrQZ3n+kWd7Dw+l7VU6B32
PFxBSsftB3kCmRE0BExw5IwK64cgJFq5bVwDA12moYXammlofTskjxe+YhTtmvCUGgnUMlSUYbOe
nKwpoVPfsjS4HCAVLdz3SZ/JN6vF3++pIcBMxqIZjMIU73noF1kIHVaTpGTeyUVR7fNEFCk/0/Ie
vVCEcFILol71I5MTewm0rIVFWAPQ51k1B5lRx9fi5GTCVJGmEB/oISqmyGiWLvnWeYTBk3BYbAPk
MV29RtXlgHmpADT6c5vQnikik34SGW3qNuX4Pfh1QWvrJMikw1JQJq6v48M9xhjeRpiisX5bFZr6
7WoZWLgWNyHfVNRCXiRVm5WABKFvUWTZo4KGefDIyGw/2c565BQKDgavAw2+rDqBqRC9QZc2Dz1+
AySfrYiMz8bMU3lcri3o7yRJ1eSHdGSSrXCtZQ0O0moCtwWP6IP5aFEwPO+raVdFVMCenQ9Ir2J3
mk/XHk0XFP2YniSqpxSVqVolj3pvxVQHbSyWDaZivJ/ICwaoszTolmf+xtlal+rEMSesbNqeTEaG
3F/GEl1OVTkFghVSwNaENjsiUPK8mwu/K9rZ3PI5aAZixQO6VLj2ROu/Jfp3X0Az5cvUk0YCb0Lg
jEKtBWJGylkT80DQ4GMAx9gmxg6n0rxHpxBaz0D1C/GKt0Q6R6XMmcWqMqOSJCfP9XS9EYtfaHNB
VmuEiPHBYY54muKuqWB6VPB08paFcNvK3KGCGhp93UWRWwWOYaNJyOj0VDeizLuG+8im3QumkaZH
WocxhmK9RIqlD3Min+NGDxE/jTP96ZqWL500XIAR9d6bzO1l2Q5upDZPg0qK7JkCB39UykZW/ABP
Jqp90UBpOSn5BP7rNOcJDURfy6qpDjmYwTgORDREzDfx0uorhyO7cyxklUZbVHpVeVQiB/o2c4S5
CokbUrrqpPUdmkEqJQcrTW2pClGgwK0jkv+o+yCCwnKP2CMzMbDsrZnTpaY/dOOcCIoIpawQWaDB
an/EpkyB5RpL2xK9PI0geKNmKn9QigygSCaRvoKcwWXQ1wtzhIn746EYkIoEHSMoOvbK1LyrSwlk
XuM7sVcjYp3i4CpxUqCEG0e6/5Y5kaNVjc34khDK25/mUq/6LWI/kuDKcQmRmSL7VfXNnKniJY0i
47vlJobQRJboFEQV9BKGkkNXIfJAE6l4Ktthw1qlyPxS8ySS04qkdgwm4IniqLJnP3P3Ts0mZMjy
lVsgmQ9a2w0IM+e2nE9pznlvB0OPxD8+owWB10RS46eQFjNvNjlkvhdT5JgB2Vk22Gfkz7HKHqIy
9FeKmu0jGWYR3ZiGjd87AuX6jJCtQaCaZozDyRdIIhCHhUNXFjASIjInLfoP0RcE1GjFUltoKWLY
ofQ5ymFfMvV2Ih/Hmd1uF70W0MymISntO1QpBV2JxTR+hLR905WamqZKe6fkAtPJiJJVX7OvSmYO
pXQmn6441EsoNPWyNu3BfokTA4lCWiAGWMusmUz60FY97CHItfUqjOO+C+K6tfJDnSaKs2Wa0E5I
uqQqPwqj1vN148yi23V87/q5iLIhPetQwJcPhpuyeSK0g9qEk83cbElAVsczBbx01mabQGBWhw6s
UVYMTusbM11Mr4g5fJ+BH4E1z2n4qEFnWHa3L0KclM8t9wCqanuIZuVFW+aW0YaMuXmYaqFmBHEm
euovi+lxZmKvySgYgsUEMHezkIAQUx1XVnaqOErSbZHAgu9qPZwTjl0wDlaVXivFcws3oi/9Wkbt
u5Iy07vN6rBqn8ihiLSjq6czFkC3nggR1SpyxD8TcuKYEkACHiyN4qmgp6yP5sR0bizL8q4dK61/
7iPD1kusGiYZzB7K5Q4EUxTVzWtXAUMsqDMIU/bxluZp6S1UJOKImT4pXhS9i6E/sn6EbaDrYd0/
cLeqA9Gjau5CpsrcSS9uTJwGAJ1mcBNrJe5nGFmCXuEQuNBQml1K7Gu0n3Mb7cVcX0EfJGdbzmeV
QEJ4trVcVXa9xaHpjmCFGbGJDAFGnpdR60f0HO3Sv1ZdpumnWk0cJwCEaBMFjrIbQTsFZ8TEFqb4
0s0HOLNRlh3MKmpL/Ty4OYRKROxK2AQloNxsU5uFkt/QEmuqIwNGkTxbNqKXQ1LF7XyGWIS+riwA
jFz3Kf1YLCrkj5bk512CNV/Ch3d1VmI3Tcmvcmp7y2mVMR+Q6BndRoO0EAcC2j5P5QjzI++AFHsk
NQLhcGnUHtze5MTaDfzBoVc5DSk2JBvU2+iNBIP8cNOR5mtOm3CktKzv3TShT7RLcSKIcsvUQi+a
d0dNKp6fLEdjOB+cWkPFv4ih6e8GFc4ojR9RgIl+GmiMGFfndpbW84+irTiqrVmILLXbkzYS8yyM
U0dPa1LQW0eBoS2Jma+JObs62MNkbvPVUMxgN70aoDA1ZywF0/u2dSLJWqczvWPrjBoS24FRFzMM
02mJmRrG3RC5yWpUjda6hGEYg+9lIOkY7Q45l5huc0NXWdgH3pt7b1hJOG4bpiBLENkyoolJojYP
1tg6m64y0ifwGQxtEzVS70ZjKb4THCwgqdNRfLEJDSb1o3Se7aUM31wktb1XI/59SHvHBeGlLc22
0JXsTWukeC4V4b7EbRkPmFeKNq3WDfx8+ledmPIVrh8Nx0lSSSALzKL/7QT9j+zs/2/BF+f6q7zv
mq+v7vRe/3+QfqG52BH/9/SL03vTxu95/n92LSKbz/bPwRl//Oq/ve14XP51NXIT04DB3VUtLHz/
9rbjmvyXa2KfZQCLEU01MKH9dw6GZv7Lshidu5jYAfTo1/SM/+tt/xcpNw5OJJIzBDgk8R/lYPxs
r8I6r2n6tZfjCAI5sEb/4oMbcewUo5oUl2ZSG1+TzB5U4qpHMNXxJJ3Nny7Q39jMfzZ+//vVDBwT
1hWCZeHp/9nMhchmnHKlLpABt7BO0MFG59FA1GV0p8qIcQaZdvIbu+3fvKZJP+3qTrUFWKbrn//J
QFakYQx6e8ouTGnOjL4rPKNYA9qE7bKyicnMDgmQy3/+oH9zWU0MjSCgVB3M0q+XdUD02Vdanl/0
RVCxds4OeuFzpziHPGFT++cXI/6Nz/A/Hlyuq+5ALrF4wet11X91iUIeK500V62LexbDmnMCOign
+0TDpSH0adNPOq1eWb700b2GWq+/cbqzUW6ZPzZIwAi2RlitvbuLl4ZBH3860adTPU7U4v2tOuy6
4dsgrCBdUbx08TpPH8z2bMWH3PGloNNMAUxLceO0rwtqTUaI3oRM56Fvdi3y+WN6V8VYjD7n6sEc
SKq44RS82K+WsllqxhCbUFwM6Nj6nWpeHFRHLToeqXOyr+86VdlkcdDb24TZEsTAOFBgwxgXJ9wZ
G3uPWoRzJs2Ds/u0vFsxy1/nT/k+eTWfsw9aCZlyu4gfQD9PSCF96klZ3SI88E3Yourr7NwL553h
lzcPuOnqO11+SHgz7TUvQf8awrdOhF55FXQys9sNHOo5WXqGfAkR9yFziNfqiEwKbPEEcEiZX2wa
d5rxrCSHZtpbFk40xNaudlDrfZ15LSY1Xw89SyE3A/OTu+Ze4DDSsLuHgT2+9opvmZsIj0a1g6D5
m9vk7+4SV+i2MMBpaPpfUi1TgHwFmsYLVRBiVitk/tpCfZ9VgNdNGJprp02MYznSA6QR+ED/4r83
i/81ducvzwUPg8qiA7UTWpXt/vIwznbXZfBVzUvnIDToYr8brwKOGrEJ3C89+OdP/HevprFA8tgT
Valpxs+PvqDS66ulsS557z6GjKuAa3OmLIf0ODVx95tX+8tC47Aso13lFXnuHdblnxaacCQmqDem
/GGi800HVAZmZz/adYiPqDhYbvKIUzD9jUH+F5Qbjz6vCi+FxDUC8kDP/eKPBY1cqiaNtoeGfN/O
3jL+dB7dLlS9xCGzT0vbBe2WNa3abNzSpOFeruMHdI13f0ybWhpRuwKs9YqObWBN6e+c89dr/NPS
5DIzsUydOw4Tryt++cYTOn9FpkfufVmf7H7Dt20bRLBshR64hD4kHgesOdtq62mnEgXOoRs4ZL1S
vqhRUeqr1waHZ96jOVf8dF2cmoO2lzuxtzfL7PVNEEvfPVmIsGOfH2T6zO/RKJSDh9qGkJncU/bW
WiWYyJMcKj+VY7tnpge4+ab9iO7jvX5o3vJ9tEZKv5IrHZiAAoSZLM0gvIjXf74h/1iI/3o1bJAG
GuFXxq8bYFSrjpgl9aHzOCIBYa7jp8TN8AggJjH98Ns+VI85muHb/MCFoD2LIbBu1tLFouw1TxLa
ofTlfX0aD+lX9cHnsCk5f3dXuX9ZKv741v7nfV5t33/aNJtIpV82wN5OdzXGB8Y7frxr1tWh2irb
kmX0m9xH4yW7Wdbh3fCincvjvO9XDEXR/+jkLfnhKd65aNF9/YI9oGKQsE6qrYuvhiACiW8uYIxB
wC+9Emd6xGdVGpw6venae/HZwQbHy1YxfcWtfQCMe6vdTRf8F50N1ZQfDHBbJTHdcBJ2GY+fzemw
iHUbnlwSGMN3tXrtukspcaB45kt+A5RqbW7rTXpXn6qzTvrmfXNKN8r6n79f91ou/fr9CpOyH5oR
DcRrRffn68Z5DnZmPDj3yZO6187abjmnRwIrblxPbJVn84kYhLtecrd6WeZFNIKvylUfFAzKwbTz
x7erVw/YWOW3064Zb5tmkzMeoLPa+vxe3mwYgtvJegGALVflVQLuJ9jy0o0jkB7iQPMlmPfYb4/p
QWRB+ca+YzsrhVF9zUO3zt/kvbLvd85z+mY9a6fhhoCBWzYeDoLpXTr5gNlHFo/7nvOuee8Ou1gE
PA8Sq7gZKNVaSTeIc92ByKsVKhZGIunvII8/cxJY07j7BIuZYXMthf3H3fmnu29OqXFQcTn34Sk8
JU/93tjFj6FfBzk+Pl+dyDvwqmqNkxou27VVfbJ2/To/lIdkIwP3rtpNK31trsHg68+cYfPT78A+
f7CqfvqmQbdAUoVL4iIk1BkF/PxN1zSF5RLK+S53NkmBy3qfIphs1hy9cS7orP8H+hxeS1M22kXR
vk52uX1nDXdpuVPdvTUeyEo03UenQ4O9sqMTggsVCUqIucaXP2oHnToc3H33PZ/jMCDIybgrO69R
MTd75iejK/c9uq1ptq+w2ETzi9OctWnFnyMKzRnAx/i8mbCsBDaVEUHimkZtgvsH2Q7a43FfpTdG
gTYpCJNNHq9poXXMNw0usMZj5xrnvNozobQL1M3pzZKdauDA6XWRpfpLUhvl6k1HOHdvu4FePlrG
jesGPJhD/8Wbl93GVlfpxWm9/gMhhmHdEyab6usquxsUgPcfM7WiVW5LEKI9vTlpG6sM5XIjrlZY
PiJvBoM/l5RKMPUxsjGL8wyczERTEoZDo4GUBCQpgdViwOZ039jHYrrY8e3Qn9DTrQfnKbEf9BID
aMrVGn9TTv1aXIgrXIM1XNUM8DRQRH6+AcJCh0i/xOoFVR3n+indhdZsrICjt4zJ7d/sHH95NaHr
V1wWjwW9ZfPX4kJF24NjIGsukeN8tg2lG9MqRjuYptgu9d+QRH9B2IJhExxVBcyq6/HQpuf/84fr
EtVqhaFG98ycsLpgO8fXUf6AvXet8/dIcck0waQ0DMYxIo8KbyJ906jZurVNOLoR/uZi/80bIkRA
5aBKaYWE0OBk/ueFlS4RdOp4Ui+aEz43YyzWFI5ebFvHyMAVidB40xlsqkpx52bKTSLtO2GhOC9p
r9izmf+HB1kqPMoaAcLFAExku79UlqxNU1So+nIJmxHrVe/HJqQHS8q1u2DXXYjI8rjE4jfV3nVR
+fP2IgRgStIqNYKJgQG5tBL+fBWmxOhsp+rVS5/ULeoyAubQ6LZIcbnz/nkr+7WaFSiaVdT7ggk+
F97+5fZWcF/FUQX0p5OdQsbTqpuYXIslppOVvRlGaiHRNn+zf1Iq/+UTXqE1/MPn5GV/ReQgoKiN
pq71S5btK7Ij0l1sfrq54WcVWVu+mW5798aO3kuMOQYBTunCoqDeOOpJuKhpq1chH8zuEtaA/W+n
6VBO93P9NLcfEt1JPN3H+XHsPsjlMbsj1XJWHjISE+dtKU/zsq1xvJqrlFG4RlpcAof7pQDawbQq
3dlymyHzxeTvaQ5JgKtk2TJcneo7G79ReFv2J2FtC/VVlSzgpnIjl63JVFD5htxJfJPAx5x4obK2
2XrNFyu69O7Frp4QJGAEtnkjzlmJ1rrxI6+exLyqppsrmNhC9+IP9l2u7lxxaGCpwwKxU+qBI2xV
hwl7XTAWJKQMp1K+Z+VflJWrPDvpo77cwJrhhG1bQchnIscuU/bX8M9+I4Z3rbrBipzIh5zjrdVB
a9nEYw2pdZdyrRQ22iawlWMCnRypxqpxwsAQJwhC/Y+4wqlVvoPa9mLx1saJz4ixtjZMgOPWq4jk
mDnsbJvEr8SudhhY7Dg/W/bD0JN6ibwOq2Zj3KMHnZyn3l2TQKIbW3oUjI6a6bpWMy0xCD0Sv8Gi
/Ywruq5rNNOQiV8jqgUQj192bfJeR/rSoXmJE2yYCn1gv2auhzXNqEHrKM01f9T+zVP7l2pawADn
mTV1FlJe9tdaAXExAgGsApfF+mQ6XSAvrZYVBk6YB4dMfrfKjZp55sRmGt0ZZFwZ+7DcaOHJlHjV
1ywo7fSqOOvcPhXTidlEoquMG8kbogFzN2tvEFVJLavpJ1A0NvsRsSytHbJJ09sWx74BHC3BE81o
3Q2GvW4fS68wHqnqllvIw5Z75zKQhoEwGoxH14Ox1sNAVfzW2S8DlEt1X6r7qf2KSrxkKxzr1Wdo
odXFVrV374bsxDgIZdQ5Tl+uoA/UEjh9Ck/rj4t5V0NatJsnUMFgUZLmnAMhwmaUHP55vdKvzdlf
FkebjdgABkXXnY7fL2cWpyXkZS4N/ZIYe5xoVAvDMd+J23CV++P3QC7BCZpl82LaAWyRkLA0hkwz
WR/hnbrs0QR764Ij6WSf6viYmx/X/wCO5CXFEyZzAmpz5kh1QBYVyR1E1yj380217FP7FJenc0Wv
LfPVHt2Hae6u0jpj/pqGbpUZL73DJaj4nyO6gUKr1xC/3PzNTd7n9IR6FGZTiHc8uY+TlT5tlY/6
VmtPthJo0SEagtJ6CufHoR9w60hPn98j886oAdW2J8hsinXGVmFQB4AB8QkgRPl2nud3pz+6MAA6
+6IkPefo4xAwAQAYoV7VoZWv9PvS0fHKofb0hiVorlYRdBkPrajQBX/ALgpSJQOK/qC68/WSzZwH
+wyVLf8f/r/KSznDJx6aDgmRwrKD+QnIh37CMauPBCMBRb0072MQabdj7tcLphzlhDjfi+RZYAxK
xyDBSNl8Gqxt8UnvJ+THw1WLdSyb21Y8aVG4zeBR6PVZdqt3kV0JJh/VJI5AzTGw8BdiKK2nj1QL
CvtLBfUlsdcgS1/jIkCsgmd8bZNYmPgAtVnX14ZdXY9CZAbPi76yCBYeEKsq5gPQ8HDekedR48Fr
+/42MiAiWR91/l/sndlu3Fi2bX/l4LyzwL4B7rkPwSb6UChC/Qth2RL7vufXn0GjLmBJCQv1flFG
ZpZtOOgguffaa8055i9NuZNXde8II6bPdRdRM2/iifBR9gLKfFiiq3tu5jp/eZBfhdIL53Xme4xa
44twj/hH+hXEnsnhpfKUwYU9RF5lPR6TcM1+0N+2p3HmCOz1vOUOG026DrdT7IFiKhAsFZlbJYwZ
nfK+Tfa0Vb00Xc0ug2WEHASgi86hTNeDrQXwWNygOUadC4ZJ31jOYra3w2eCMouXYG95xSn5IZyr
cJWhi76MbrcdNsxZm5uOXqq+Nei7XMKXICf6YSVuqitJmf0tCbT45qJtuY8fVZRE9nRbq476mH9z
5pO+FriGwUtLb1I0ZE7Qn/pEBbU8c7NcviA8M90+wpwwVngdVDYuXVEjp5MsN4ZTzwtKXytIO0yG
xLPqNHaiSj+FqnQPYevQiMk3e8bn0+jSPzQNWSGqnMQJ4zcq/Y/TKGN3OEh+N14ItOtstJUF0Iw+
+k8rSv7qYLzRn+uqoUvmp51JaSMcYvEkXuKIqqLUugcxFM+q2HPIn3+g7jsPRHX+fc2UzKVg/FBQ
0qukaYkFcPnmmSF8LCjRAghyjG7/AriNhFnRcDJxQyMKnkgWeBWaYHj1iqtLm1w+xcKagOd+fkDM
FtGFL7fmmxQ5ryw/4NtoWXTp3pAuQYw3THg2IFSM/SnSWDP2U/jW6ed5eJOyJ6MhcfS1785VfC7i
h7x/n03PVOhigcSwkeczh2XSkMRolm1qToku/MqoCFx2cG3ksC/JqR3dgkoq3kX1FuvCODhyh6AS
RyDOc1beFZOHMN2ZtJU9zVY38p6GxoZC5LZxOUza9AsdWldryZvsyu09uBwn89Z/Kd79++S9fCpc
zSn2zFH4fUyNvMrV3f45ecxepedqL21hLN0K/Fs7D2Qr4KMRGaOshsLhRx5sZslL5ksvbKZ8qxiH
cbjN1+Rtldlrn/ycsuMo78XeE/qjGN+0w1Zo8pXE9CsqN712RYomFk8IGKoDL/gse1G1k5I9CZNE
aaXRBhOMlazHccWGjUYWDwT/7C/iXfWMGjp7RrVu4K6g3wnFD5AhXaNxZTxHr39/eDjofn14CJQR
IcrRAfl6GplakxNk2s2XUHKUCr3SJo4PqupJoG0tl6KSn1d1R462jOBWYmnzYKsvcBpr1e1L0Cuv
XXGiF2/OR9RGdBlVad3jwg/dkKi3aMUgnn45GLXmkj4LT2VmFydQWjbNUBZB/dr67iDhtnflG/86
PenYkgixwol3qz71D9I7nMWHjKfhNjiUGy5oVx1DL+EPsF5wsSPpKg7+TecZLte4zR/KH9pDvwYy
la8EzU6uLPfvABfJY6arLOlE9DhdSSrVqtyENyTzwr74kROfttG3Zb2qpTv9RvfKXfiSw5BCVu02
2/adTiAbp7RqnrUj6lLtqBw1F2Gwm60xAjqNFxwghTho7bza5QQj/Ihp0PBCxbbyQq9FvPoH/04c
6HfQ9RF/yVvCSunxEOocr6pjsRtOyqbf6L8WX45bePKr/BjvUcRot6B41LuKWOon3qkcrsSMC9Id
ph1uzlJy53wD5E7of5XG7dRvJ+UalvNaGw/oXXDM82uRiqqTFJ2VcRGf88fkqD93+Hi4JcfsviLx
ChN46fKj9h1d2OiFN2IzaVeNbhOoVBV4aqH9bKxm3wt7sz8Wg0i37qmZdgM9TNb3VzgdaxM5I/go
lBXhOiIo4pYwcel++KW99Ue5ZYqxgpcx4IthRpm4dJCEfoNlNiVEoPfKZN1oa7kld/Qomp4BrIVM
+sQmxzF8C7F3o26J7TF2zIngU8/Xdr7l1PGe/ANNAsC8lcgSKHbhcAu1sA42eveuRtRTV4URcb+J
qnWjHguyOJqbgaNJ7JJ9zk92xsos1wUGm4GlDqGKnfg2jW2GiCREWozvmER+c4r42gLRUclKMt0m
WaXEXXD3fx7+Va3OTMPP5kvWGXhaBt5wn8STVdIz74DgsGuTi1QfdLk7Y9w0tUzGJSsIpClotHiV
5Jsd+8uGzeWwbSg6k0Tma59HebWCuGXoQukikdQAqAVDBhPWgrHGaH6zTzHq+7LUQJmlMrAsei4L
1eHj350UXqXHPjxf8KVuql13Gg/DA+Aoz3KHM68G2TMzZo9w14135RLt40q0iO/ls3o3xStgVoMd
9+c4seEcmAvFiZOwF6EkhjgZrc1wZf6c7ydxZWs/ssxWULO1iPsQVTr0Mhue7bNsuBkBgyjGe3hI
ywbVxe5YINzG8rkSz/H78qLfTM9dT6bwXaCept4FPCKep3O5l5/rTbDNDq0774J1tLYuyVpw2/10
Vp1kTW/1kd93w/L+gKT8UJ5kb2BdUpA8rqr4ZPBI+k4Tu4sEv95N0bpNjnN7HpNjpnIdjnom5Z2O
r4qmHKaqwvjLFYxb4o1LCRIF98YezsL9sjYexTOXH7wUlOH34pn5mvikvAuskemePrERrPzneXaY
w3AgYo3Rz8pFd3SnsEnz8OYD9a0HSsYBg+jN70vqpLUS7vNXC4hagzl7ldwPvHfmqnrji16Wms28
05/CS4N546644ygk7ErSlHlBQYeya1q/rDPkFyJnBVgg1ap57Vm0GCUlHDBW3TuxRcfqJnqibbIz
T90Oo9slfgvYn3HcHNI77ee0k4/Jq6XQOF4ZZ5rC/FsYd/G9ojBWdtSOI/SqlfYaaE+4nvoh7W8b
f282p8FyBC8pdik5qONh7G+7loTII1SbqPY6bHiKU0peZLLosDw4qQCXZ20pjtBtZhwOoTcYNl0M
bOn6Cw1rHfImsBNiF2OellXyaIF5YlEQVsAD2nPZHWV5M3WePF1k9ZgQ0KvbUAEEdMfdMW1vhNa3
E+1oRQ9lsPOxtH/T1/2Hd5ZJBSIkRZYNEP6fqPAmuduWP7bzZSY9/UbAG77vM2kEmTGSuNpq03+8
RhAyJmH5ofcBsPDzcDomgCkeBiG5+DSU7RZppIMZdoec9NdkCt9lEvyOU/hYzfJxDGZES1rw2uan
VcKKSwUghZlcYnTwDpayV03OuzNhjjWElp+ixIIJLAPEV+FaCB+McMQcn+dsqTrbVZvJ9J4aRvWT
sG57ROil1bWeFTQ//146fb4NfPN0g5buuqhjHZY/dderEZlkG2fRpZwRyAvwFlb0e1uHww7Cf7nb
/v3jpM+93OXzTJTyZDkhgzB+nwL+OMEkpYUIuknR5cJW26fVdBhjH9VtEzYOyfY/K50TFXF9kTuZ
M4OWEO4mrWES6tW03mP2pR9qqPCFYtXf6JaAR1orjQP5tN/scdaXb0Za9BOoKNhV+G60T99Mg/3b
T2plvsovsLgEaQVpN70Tbki/uvprc0ew6C3zUhzpu+JNeWSpZygavUCsEYgXV1fQkvUYzIIHRYx2
TYoAojvBl1UiT4i8JHEoSTTfkWn9SBH7/7VTT2q/sS5ZvA8ItPVtrdpT5VUpBihQpgycPDCL/exq
qMvDdEtSZ1dTRHiMPgnrFFSH6KRcpnl7K/iXgXI/dqOKTKKlapn2/Cccnui1cKdb0NOVgYp6WSXo
ZPQKLRI8ecizIL3ayWPL6ofGChsY6buxU1MEanY5fPMV/xa9/PmSICvENsyzxxzBwCX6aQ1IyBmg
/ZqK17msD0QtJ45ijJqdhmyUJUw3LEL6jx4uzqpMqK6gZIEFf4+tpNgyFDn//dH83LPTJU3R2NdN
Hm2dzK1PNQ1H4VDnlc2vshxBUw7SG1UdiEyMfkoy6Nj8fuoL+Oqj9c08aflzP34JfK665B8ywBWt
30ebP96IXCkzS2+i/Npbgtdix6SLBOwx0n0y1SKZZpbefDNQ+fpoM7qSEOeJdBL03wLRP8s3mAZt
IykV6bqIyN3a2E+K7nPIo5qPCbj4+/f6Dx+2vEgqb5BFs/tzkAksBy0qNY3vNa6eIlARKyKD39DN
32OJ+a4y/Vyc8cfTREDaQDm4bCufWjdKBTkDG8hw9eeElluOyU8k//abW/Z7s/h0z6DcGmhi4Q6h
Hvv04MaqMjZSpfdX80jTjdbrarzDZTVAeJp5/Sn6bJNDb7Qx07PWOAGcWOodBK35fRdti3wfhxfB
uinHfam5sb/GBA9Kw0s1V86csnW70Rmqk1LflYRaBo7UrEfBsdRNkzjEEmn+voVDxkHR2geqO6lu
PW8s37U0RtSO9M5xkqn1SKkE6z5worvsTnowRlvUXSWyyxO1F7+ePiQkORWrKnQlUFNUn73dtXbB
yDA9FYrbkmiSnWLDG34f4meIf0tEwbauvEpxA2Md79tsI/rrZFj3x3zdffMlf9kp2CP4n4L4GC0Y
Sr2PdbYqChmhmGJ3FZPZtvT+hhnfaraAvvdt/YSH/Caknf/3Z/X3jft4Y3VLY87MY7Q8rL+L/z9f
RiMccty94pXpTcwxcCQqzoALrGlou/pGdUQFG1LXj5scQKJbFeV34+Wvf22DY5WCRBvyiGr83pb+
uAKRNIRw0Mb8mgrqA9C/iHyV0LfjKq9cMjxlJy7eOwK2v/mbf31LWYLRY8oUZIivReXjt910E/SL
vqyvmM+bXUuOKFo8kiHx2QXCN/3Ff/iWTWoAUnR0GWkNOrOPHya0YucPdcGHDea1EqVNk6cxI4H3
cDjD7cW0CwPKJg8UBFhZfFMI/sOnozzFkUP5QWlGkNrHTy/Y78McF/4Vv7XFzGKGdxoclU6rHC3C
qHcAtR4zBAwemMw9/f0B+/o1/86pUmQS5kTOq58+W1ajMujNvL42WbOvGplzDRHHdt3pq5Go729e
oa9bGp9GW0xFUY/k/HMj2xpEIJN4Sq5IK9oNjayh3Y7CHKw6WX9Q5DDEPldCOVMS85vH6YsWFAk4
CUHcYhq5qFIU+eOXHPK3MYSSCViWTYjcavEuRA8NIhbs+z6vFd5imZH02BqwStkQ4PBWpA4AU4KT
tJHKVPTaWfSMQdWvDXP2v9+GL+U5lwfZT2G3Z7Cv8Lp9vLy4TAXEuIF4wSdr2sE4vYd9RcpwUTYg
15juUwwYSNcZZVrJyMrccoiuwsc2wk6sqZnqtWZXuJlOuVcqF1lLO7cGn2yX8TeX+uWJQa5qUZxL
bNZLiOCnK+1zwAEjPsGrVaLfngEGQIshkc6Xk58h4cff3LgvG+iiySYSnAdUkijNPq0DVtM1gGSN
4joZo4KkHN1K6nfpN++gtmyQH9ZZmZQeSmudZFeSRT+nPg9arRQN9s5rhVgNXqMlPyvSeGnCeRtW
UXHQVdRqAUQ1DiLEtev48LG7p8px7PQbUNrWufCtxCO702cIo+16PRlOJNgq+0Sip6DPTyqJY6u8
jvUbKxTQDc2d5M3yTxMhrxD6r1YQClsug24pTWE5HU9WpdHtzi3VTusJtYFIodKqwm5J87xYWe5A
MOUGwPdal4bY3HZ0R/3WxFRnuKkvWxdkBfgli7NRtdOpjb4pT//hkTVVZIj4Y9ie2Jw+3ZkmAgUK
pCC+zsQNQAdlJLzQYx0jlQgdmGn5JXGv2uLCTVAzE9UuYGmGrqL1JrbiMZF9VxnV/lGVLXuuaQXU
slV7Kurgb1YdeXm3P99cTnYoaijFiFX89O4vuKrOMvPoqg1CtFaGXrmR2kJwg76FQ0bKYEq0PYIC
qPQpSAtfYcAo1rz+YVdBlFWkxBGaHkGgD3c7maPtbEUHMHjtNlFByUDwO6hCsG99Sd78fV34svny
LGIJsJb9F3eA/unUDvS0BiIz9Iu0C3IaTwfpGPKK/GHmKjAcV6k5ds5//pmslBKFh4HaSP70mQPk
Lkk2+/oix+3POW3eIIo8pn6yzUyf3ZABmCCG3t8/U/rt+vl4jyj8+bBFVGctS8vHBTBRlFrW03a8
5GCK86OuXg3wztL4AP08IJEkkJ40yLrJvoVboCPeQaQJNwz7PQ5nwBaVS+jLKsDYAwMA4ghuzcZR
OLLhVl8ZUJgDcKil/Gq06IAhXBcYq/Y1nT9MQHJ/08sJnbENdtgpu8jjqUfmUyYbfzpjhzUmN084
dHIiemjSCtTcfSa9DpXbMMfrtK1qeVb4jv534YCh/vBprWfqvV5szMdcd4b8SVH2A44baYVcqjlr
potnFp/qtmFeCmq8szGYrrrxXSgvCW3yrHLycZsYR1W/Mep7n0ae/qimKpCpmwVPXF8mmmeFR0wK
xGlFO02lQzKG8Mzyy+Qr0ra+4RmL3pQ/yiUQgfOzKaKIXEvlN+vz1+3A4iRq4pih/06x9qkqJtVh
gJsss1QqIHH8kS6nH50C9LXF0CffPJosxl9eZT6ON8FiW7CW//z4mERalomQ74dLR5aOfAtK3p9v
moabJ1Y2GdiALVDIPxnmD6s8+tzEwr+G7VPY7RrlWVHfJPVtHOh1leegfEuFY+ivKpCSyePcrRG/
dcXeFxnG3Evm/QQdSwUy38t221kEJuhexLxMiEHAMdpAXUHUyWpItj5co/BYyOvAfOostFLlL7mp
wXPRyOAONR2UBR2cVFXyPD9a/m4K65WGrQe4lz3BtDZpqYxNu+1DwVXgREJcRUmnDh09FCKpWjrM
SetMPToJhmpWgbEBxgdYZRwQpHowCOzAGwrKm6T9gmK4yqWz9USmPVJ6OlYo+nPaBsFTVWTrnkuf
aGzX/KqMl4kMXRqtD8hjViLEXrFhW0mYdPfP2gsegoGmfL2KH3pUS6Scm7d1eYmTXypT5ES2aAxs
zZBYs+DOCm6j+rnQLyLSmfCpQMSj7yvIoxCZ6BXdZ/HF52JUa2tB9C2f0VGhZx4Jj0JGwRML+Ehz
TATqtKSrrUli00PB5meTOmFZ8CqXgVp3L79L1zF0GIVLYOeS5CBjWVBtgwsO3a68FW4ZD/avyn7M
bBr1EbRMW61dIsZoSanoORb0lR3JToGkj91SdBLzdZAfBMstApehEFHc/eB0iRsodhU6erc24k2a
ry0Oyf4uQs84vFgNvcmtbGwryIm1Nyy2PHino3CIf//0ON20NWp0jHLN+CiGE4O55654HhnoIscd
IFQ9DL9mw2Gu15lrXIZMamv5zkp2gKhyeRe0T4G5TecXo/8x82SauFhM6o5laN2FbsI6xnPCeNRa
F52rmI457hHGsxTyI+8PtXBNkEgBI5GdUd6RPW4qh6xz4/KkoxjJm9dkGSwDkW+2uXSrcvFC+auX
bvv06o/XmKljo7m4Rsx6ixmcmeF9Hh5z/6RIazlYh9lODdZ+fEi6XZzuqm455yvzBplkPt9I+R78
VK56mXaZhkccfUp/T0Zntu2Kmwlwp+qV0V2d4BG8SN25QwHgP8q8HvO41SzXMg8o2jNtQziCxawU
PdROZzJZfNNxUr/WBPiD2eYWORyUm8+KuD4v2iJqp/4yMwmMEJmmcQtMvp28SRLJkk+H7VwRvaa2
FfxUEFf5KEeOD5oVKh7tlKqDzRUlo8WLgHSuSqiDjV5p4V9C+DUzn1nKqrP6OzPO71p/GeTKBVB1
ACnFogjLUW21WTiuq5EkCa0vRa9v2KZSUkZtLXy0WkValUZGABcqBoViRIf+GaU6ws+5WCcwML75
Sr6eQ6mMsB4uB0JLFLXfMqQ/TvoC7IKY0JP0KkMrOZMP5lTwVWQVovPcS2zGPa4WM3gduwaurRh0
3x3Dv9wTLmAxCi4myOUY/qmLpXVSD5RUS6+c4tRDUJ5pC0xe2arvUYOGsG0JlElrusT1NA52nsy/
cI8zfCp50P9ejyyHmA/VyHIlS7g6cyDLQP3zcZshxS600rjPrsBSnwMNIlkycfQqqHnXunzS4GN9
V6QuZdWXj9QJ+UTLr3EO/HQSzzMlbWZZpQfaDK1DvNtgAwn7qZSWec7UAAdFJ2/1GlqVWTS+66v1
TT3Kdwqb4a4ySRtp9IzsZ7h4rTnVlEB5b7c1HAr5zRjZtLBBj998S7/lXR+vGbuBSXVK9Y847XNh
HYHMSeASga6MeT56KQ/X/SjK9uB3vUOAQevCl55BRnBu0pHtxlYWnFu0FgFzxy5PAYMHlrSewFis
5Q6sQ0VqcNIFEqSgRve0HFywaSxmmCxGldG0zbqRSn0zFcivwjD6OeVGcwBwtB4mWfzmb6d+uSGq
hDeTW6Kp+DmMT6VGM5WjT7RdcpVxV6wGs7mbxHjz9+dM/lLPKB8/5NNd9wMtkeXER1HTiEw8ZiPz
IokAzN//UE2sf0Yge7qe0pNNybrTG+up6m7yMS0BYYq1l3L0lgb5ZjQxCg092i/GT7aIpsGZyTal
iGVnGDExAZTE5QdXBzAo/oRSMDzL4e4q35XyX9/ipasu084iTAsZ+ae3uIxMPdTCWbjoLQqnwghn
txJ7ugRmMGzDkkOLTl3QBQfCdOjzBkGNv9bUUWoN5je38Hcv/9MDyghDRzW5zDI4rn58j1sLVi7H
JOHSEbiotUq/rlq+RWFWt4Um41aQy8mbkeepiWbL0qTcWFFLkYBhAqguRZiWMXKJje8Ujf94YdLC
eoD4ICrQKj5eWF4OOYEdtXCprGm24XNeyF/dUh+kDmsbLuC8fe473xl97mEWCnuRhgKRZsileih7
tiKE1yIbn755HL8uQhznWfW4exoOl98ezj+2gLrrI/g6ZXBdwlRPM+dZXenWfmoOe2Ar2yViCUQZ
hKhRHUVb5XfZelPqe00D1yrsx+KgMC5VxVzYBE2bUSvo7znBBV415aI9/r+I5f8PWPlv3rw/7p3z
o/3xX285eLXp9CN7+5//Pvwomg9QleW3/xuqIhr/AneB1F9nXgD3gjXl31AVUfwXTS5cUjRRIKws
O/y/oSqy/C/gA6zlogU7hTY0q+G/oSqS8i80AyqiAZqT9Kixqf/f//OBatB8+v//xWj0XJCy1PzP
fy8t9Q8Lq0C5Bd2EKmM5Sv7xcCVhkA91J6Tbaiaol1I0gIBHGsRLrqILj2ayfFcw2oRtNCD5UGRB
TZ04n6t+O8M7H21tJAFpNQRT/K41KpNI0peqYz9Zi5ovnbPQzqD03Y4g7R0BRNYWT5yKjDyo26dy
SqV7PYoKDi45oZ1YBCsZm0M24iiugyI9jXJtPIplPezEBAOXAkvqVMWVvin8mc0tA5nGSQfVQw0y
Vkc+LmFneygLAeakNpPQyCsR//QrYi6JPSnTTcCy/C6CXk8IuB3IFZhBehN+0B5hbpiXecSPY1dW
PBwJnidIIcyH/FbIBBkPQVdiL06SPNtnfaoJiH1ag5oryZuDFIf1ljAUQr+QReM4w2+40TPIr6Iy
mo+TyUR4FZq6oOMN9YUzUajdNVWa6IHon+oF6CkyB6tCeDhVBvjUuXsczQrLeq9kYQGLtkP4LuhB
uwV31pd2LxS6y5fBaGDM5vBIDGXxqiQ67btBr9u1CmIaRUC27NcVo78i6aeb3pQA2fgzyE0NkHc6
kwq4IqRFxyjWhN0pwsx2ycmKYpQXlJyUoiymryGSJnMhPrsFoDdy/Ua0LyO0z7oUcrJRKnEP1rWr
vb7vyyvAbcvEWKIkL1U3Z8cuQIIU+pGOyLRE/Ra28R0VwyIYyJFQpekLLLbBFn1r0TwE+QHWppQ7
qVUDUdQjVFWj5cs2eWalo/VJdOkgmCW22Uo6To9wpL3UMjP3OrEf183QmbnXqXdY9Y7L+MYhUC0h
J3GyzllEtENg4Q2H0NqtdEoH0Q4o3++UYiasMx2sA9mB5oZwFvUhqqbgbOrN+CMmQR2PPqciGfFg
swoUEd1ixVmtqbcgFs29Ts175KgRPDR1HP+sQHeRZlFKuM+aKjtAMhZ+GfNYuQJSgWmFyRPstaKM
+jkQBWs3tUSHxFVkvqYhsFMQETnquTCL1gQejWzV84zJAuykLY1UY4MR4B7vwIZNc0i4SJpxu2RL
sGJsWgRwzZUWbttoFFBA6NYvrRmLbcfEYAZLsYD3h7FrH1ttVVmPYXNQOHbgl+ri+Ta2eomnmQyT
dE2wECWfpSGezZi5TXM0vEwA+57ErvQPhNmKN4CDhSvoVnZFTYnOQaqhHOnK5NGXlOpuTgyocGHU
meImD2TFGQsrv9Sh2tIIz82rMJXiD5MnuSW+SGR8XVckUZSptfOJqThkWRash2yxBxWifsPyp3X7
UejaTWaNw26GBGLPkPXvi6GkbJpKmLuaPC7ojaEhSozSioEV0eomPvIc1047GEd5aobjJMqKnbdk
MfVlqN9OZoryJRqs8oeUGUtAV6EWEOjofpttk6Cyhzi85dPVU5uq8g+pL/SHLgYRZzUqZtpEElyt
sgASiUSIrMRizl3TCoMNxzIch4FUnyvf6N0F3b/E52nPoN8Hvl8TIWJMWMrOIoTKG1TSR3qDaV8U
QLNCfFJ5BA9Yrh5V5kNTNioh4hrRJJFm6mRl9cl+luPhbUIWlV0JFTG2SqbMd2aXmfecBu8rw3Ct
uN3PMLP7OTjOYm2UTjiMAkg1PqUdQWp3RAes0pBTD31IYzy3LVTkqTcJn9OFX6HRnv1sCq9ESuPR
auQifBsa8t0cYiexIfoysS+JMUgXo22Ij8sXEeqg7ss+kE9y16qOIU6V1wdxcxNLAhZLmWznpjTw
CRGh9xYOVX8mvbs8wo2WN6MkT09xSyxXpPdyeVeLirUiNgSHWayQUCC61VjjfpDnFtyGEpL2QLpR
sSqHSiLHIswSu63yEL9BnW+jmv2WqJqqfCNq5XkeDeOuyzmzrk0yU7YxjXsXIjb5VOi3xLvZGutt
byCVagKhcENfjDZdmgiHWkwRvBKzjVV6Ris+6UFzIHBpvEPgG+3zOOh+NGlZepT++SkJosCVq4aX
fOiD+ZAj+rsoVV+tSNlFsakqWAuKU0Tg2BVauIRZIK5vFLmz1kG0HKiMYpjf81LuD7E5sfK2vlK6
ldyCV1GF6sjoCUssjErb6gARzmIs/SBM0NpiuCnWctmrzyH0x3t50JtdkPKgkWcgmndhkgznsAqb
bUOAKCFpnbBm5UXA3ybiqdSTYC0VHXGOFVBzhci3JthLiE3WfZK2m67Upo1KHvOqIizOs2ozeuSI
Zrl9VVdXeMjaTxVVNfgaK5LvMjWRHakSYHsv+MeDMvfqUayy+a1XG8NaRYZVnODXokbGyuOIg98/
F6MirLtBll+MtJ3tuhoQxrUANZ74LRlBAfkCseoSbbopxJE0iCRE+iQUacOZE/sGEvN016oaHlWC
QMWaKWs8Mx8exjI8S62QvrWFZZA5VBuAZ8hYN9DWKkwJGBuzWXH+TS6iiTcLdj1XHHfzdpjm+iyF
krgzh1reKkKdXodyVBiBFOoOIadhQ72md6wqMX0fq+UIQOyQtC7FcMbKCaPxIhad+dr09XRRBoMn
dYo78BBVL0i3RNRo2opDWfgQk2qxk5QCUG7vL8Bl8sAp5GlVSagPSocoxWCBm9dKjCHPl3cCg8pT
XBnavotpHgSZH7nSmCp8L41en414AiVkaIV/o+VtuIubun0tlGjepjTHSA3I0rdcFQHAt7HwGDSD
iulJ9U9Vl+Aw0qwIpzFJ5sR4xjSkRz+ZbLnGekmfA+0HeLBfKe6EYD/DFy5iu5oMFXemhdp7xnQq
harwEGSxwdQZiDH0Dyv7UZP16RrCJLmNX5DAQYLNzWSIwg62ln47EjVPqkrGQEQNzPJQkZC8IRGE
WJ+O0a6ENFEX91JXWduU6o2k4LYkGzvs10TaKm6PLGAr1HL42pSTAEpJzAjINDNxX2ZT/Byyvy2d
ikx5CAlhWZO/U9BWnoJjmho+DUaCQTi6MTKWLOwvYb/0+APs6hYA7sRm+oWq3NdL3l9NExy5oQXE
0S+e7joGSrvJojeq1Ayly5RKo2QzJpiR5HatDuUbpZnGW7a2fDux49yGzGYZRcEumMCMz80qTjpp
12gz6Ta5CpehrE3jKmlD/JBZaeIlbcFDPZRCsxtkU4jcMR3ZuXMthoFS0gN1JBLkV2HNXqIkzUuY
+r3TzkmwGzvqtZWc92wjTWFuVUJl76ayM15wHRp3c9G21wYs6UbR8/YnPm7KRDUdt+UUC7ziqfJj
1io61JoxrCpzcGeg13T2WdOFSkHuE491dlXbZkDZJY270AgMkOUG3tLWEjgRg2vejvC7jiNw4Mom
PbzfSHz/SDfIlyExt9XsMRTjX+kk4Z8RfP95yjLLKRBlHwnFobubzIl/KNgNbwShxZaV+Oo50uvF
OhHjBl6FRcng1ZBN/5rIIWvOTHK7TYmorAOGF0hXZ0NjHidEDPHkqjPWZGw1jGF6JLeAfEVCbXpK
67bq/G0Yh8MJqH5xLns4ThwrRGfUK+loBeRpsg2NI+1W2hacH+g09kv7pxIpxwj0XCT7EgnfDuYS
HptcyDcEqGgHSVyCo/JcsewySAK3IZniSUiG0FO6ST/7EnruUUbHP08dSEKGn4kLoglyUqYo00Ov
JcZesFgi4KqmA+mH2HT0OA0IiI2LvRIHKb5emdU+7afJLuGcP8ylXHlhgh2avGP2k5YaVXDDRJJu
M2vQbghKVe28yORNTBfzVqzVAKVfRHyYZAb5DssKjMTU1F6IOab7Mkexy7gvPhKfanmNhO6my+TY
Q4pd3EB/TdEoivwJ0Qwoqzc03vSqG9whKgQ+WxLGX1qi42JOugafRj8jl+o662Cmjbg2Ecbt9HpG
SFGo+hHa9WALsza+anWJWFCX27vSFzdFOPTnvtWMkwAJfxktqzOoAE336g57jRPBatuJQ6O/KqB1
MRnJhbDReLnu2jb+X+bOYzluJW3TV4QTcAmz+RdVKMcii6RoRGmDoEgR3gMJc/X/A6kNq6hhjWY1
ER3ntFpsJpBI85nX9K+DA1x5tm2/NXycr9LYdH/aXdRsKFpbj0NhEAEnQ+m1eJC9OCqamz4eVde4
BPO9VTO9tGqIm5j+AM22ufLXma8FD6kStD9lUAS33AMAAPqpuRokHRysX80LdoV4Swc9IY22p9tK
c6qXFLsnbHVjzfZU2/LhAlIWe3QbhcJwgOEFrUPE6mcnBwjaMVOc9iI/yMmHjxNQF9srTZNf4yZD
dtPD9YuxpsqXzeQG647oDIOnvtZm/XzrRYoo/yYM6ndMvljJBueeMYPHPmqtPMSBEj3atMsXSh/o
2kIzadbSKVZJwTo2oDohCynVOVQgV72pnIJfnlPSpm0oERaxFWVTlcLJoI0U04PCBZqsohylPrMo
0eEULPAFHw0SYx67iAGXKJAYStGu06LNHjCk6Hed6yNuWOg2LipxOyKiHdN2LZ0RaglmZ6R9reje
SFuh9FSp0V2bSZS/8rNoK6UYpS2wjPH3vq3RatWCQr3UJzFnjBjOY3OKe6nWWAssxIkAnSFrH42M
3CrolLjeD0OI9ZkYh31YTAmHTBkDWq8N6KxKRbkPNx9UiGtVKVdublNaCAY8JI021A/YXWogHcit
C1Wx30azs67wcxku4Jo64B+U5KIMp8wjG+pvUkxXnquA1qmBw15QOvWebpq5Uqux4ty07KU9cMp6
YmqKi6I05XWLwuUWwF31rIvOXmNV3wl0vTntk9xdTVMhvjO20cFuHFH8i3T/wS2C6sqaTPsKpzLi
OESW1w31jGsUDNsWnzLXvB6NDgOLWrG9qVC1hwlQ4WbAl2M1gBK6s2JFvaR5NnzFMiKulko0uFe9
XucobmC/aOJ/mhL6p0qcrgtWSxrvBIktagoD+wgft+9jghI0eLMpWNe6NO59t2l2KsT4O6eH6VUJ
F1Nfocn1hCj/o6GU01vpDuy/wA4PYw9V1gIIRR1fZN97E4M2bMs4PJSmRIBSy6BBojO+xJ46vUTc
P77O+nltuRPKMqrMpmWCPfvzoE4OqORyRPcbT+Vkr/MoG2qh3dqNXANKLe1yACnKdlCHewTdpzsn
r8yt33bNOpco6eTJTNoXfbeu6xjDjDlb2kl3GrFM8ZFp5/5aBpoeHbrah1Gq1iMGvnH9zRaVsFYm
JkrfQiSuYfUp6pOeNvRu81a0i2EGAlHRQci28e+Kbo6DKm28yiKkgsKo0bm9Ma3cstkglCn0TZKl
1Y7ImQWaMv2w7eQBeQAUIIxBC9et1Sm3WpcoV0XRlF+loTU/YyU3X8NkfuhKgm/QCxUph7wfVyPe
3UsV39ZFWU7teixHKPK5ezFoTYj/XQZYJf713mYmy31mjTlIbjfdYiOtXAkcUuDbUQziItYhhuiF
9R2Zex/fFTAWfQi4I5No6BZYPKyDQSkObWWlmzju0DKjPHaQiIMPntGrmNP75MUUJirkJ/DOwuLD
UavypkGFE7+mzGk4sS3tQgoD/IOVhtldayTBtzABEDBUrfTYEfmXVNruK0IE0GN1lFGhjYY4J9Rl
GP2AHwJUtJYpXD2r0gkLfGlfY42gb5KMBJOrtFqppfY1mB3SfDNPfzh6v8X82GcSCozr18MofRTZ
QtW4RJqqgWqcE/fHSYBf0TAfc2siVESROxvzRX0wqtcuzFrb64K+R34dWAi3SA8uYRoQQVI0LYjw
mqrBfZBNulsaFgGeT8rwJapQ+0CV1+BT+wruvLFBpa1OUInzrQJejRkTO67sTsPogAoJN20d1E82
86JRzurwAfC7EFQfxjoWpN6INr6RD1Z2MQ2Z9gbFKf3aq769LGJTc1ZRkCjAHiK/+WnZAxIgpKvV
FaLWzo3RNTDEE8RW9m6ZGPoTpUFcpizHX9djrPe8RWKho0j5lgccQuMQa1UjoRNHeEDq2AiNUR0h
McP5SvxS+fIGh2oWQi21e4OEdt3k0noI/BhlHTT290JLsouSAHLdByGBa8mdcigrvKLdyFQQD5wi
xKBzzDx1lPQKcAqUm6cFJJUxxWOSfk9e+fAjNBS479Mh97EYo+ImV53V5BsST/1SD7QUMWLcdFcZ
ZoC3iYQJ0Fl980orl0JW7EzwhdJSe8N3DYWEXLPue3SXllUddtdSuFz00g+d7cyIubSoQGH40SIC
1RuNtdFlHR4QJE6fMdaNmJrEDZfumE23pWbK2yGsJF+aNujS0bt8HcsGim0lh/a2DSaLxhb2bR5i
kjhdulE90HmNVa9Quma6EM7UL6KW2mWjYE6NmAWulAvhcANjbFvgZO+zNgLNnmC9Ny3mK1GIt1eu
KG9NXbjXatupb6rPD6a62r5mCfVn31BGnNE7djqPQ2VGLZ0DBuzGrodQuO7sRk2XI430784QljcZ
hoYLPeuU15767qpROxQeWgM4kSj69AuOd9a3KVLwQi788Buw0RDXhCR6RX3MvzL4Rt8qSpcjqk6D
tkCABGsrrR+dfVCWVA+rVLvpsAWDktJlxgW9/O4xtltjwzeQHjCkEi2MAXFq1yDljKlizwz6nIJo
O4zzVViKrRGCOeSSGH+Q9FGOCcs0u8GuO3lJjRwkUY0BzffJsElu/R5BqUlG5trsZIPHaDI8WCYF
lCDS+utA2LAqTaoyiRG94ee8nqz2vruEu9IVNGBHa2NI7SJQSHCy+LveRtGr62Pi22HTfBVbfkBd
QCUXSboqMxadb+M3Q4I7G9vHs0tJLgAuRtwIQYdrGwslEY9VbQlqPG2ZPzS6HC7cyBaoOihVtsmM
DCCDYzfVbgxQBEJXZLC+1ZI5JuRN1WuuSqjFPlJ0l4RpOKHhC9FDWm4Mbwrifje4dX3Zac6sxAO2
bEMFsxv5tlW+mmJ+Az47HVRB26iRclAz8IBUpNNylaGJsUc6jygPvHS7Lk09fYpDEX2v7WC6s4M8
uOtGnwqW72iXY2UpO70tyvXYqcZFF89alao7tAT6Olom1Wgh+xsOoM8my+7ucaOxV5gSZnsEICkQ
dTX6a3YyQX926vaxnrBlz0XbrvwSCBOsXBSOMCm5SfwS3R8RgDaKEvc11tLyYET4YRHOFbs+MI01
rknGKvJld0HhAG4VDn+PmpOgix+brbsVDerpdi7TxzLS84cQ+8XroZy4EfN2Vh3DD4tKe6dozw5e
m1vTcP21HHL1aRSkKa0ez2KFv/zMcw09CS20dEzX4juLW8ETttncZSWq9KQEWLwFHTAYOCwH0YOR
knaMDvCkj1c52clzKlQQZRPlrIVexyZaZVkGEL0qbomIsXoNEwQ1nIgMtrELuF9+NX0pVdxdl6Fe
FGgHgAzwRlGmrCJLF4fAEIDVJmyBe89xm/yZeAFpwbZXOPhSTTr3qZpPYutYJfXTWlGgycSFtsXh
G/amk4oIjeHWbR5H2+4v6S/SrFAaE81eU+DR9dTkPUandW8W6SYhCY83ocaBuys5X4n0SgOhsGyA
r42LfSOhIoZ1s6hjQ3uORqV7HCgNgPC1jX3Y5cULjm+Qx/ESBWnZZRXROXaWGOaZkvACKkpDTTWM
bQeihJKCOMTZnCy3yfpZf5AwKMQwqvPUYUju3LYOMOzUWp/3LHIQ+lGj+M9isJCiq6CBkKgBu3E9
JNJqopiasxfLxwCWGrniEqAsP5EnJuwWWTeFsVREmdwXZu2jOKC47kvrjxIkPIaa4b6WTSG2GGQB
4TFyDrCliRMk7AK3oPQ9WHPnzB8N56uMjXJapU2VD1v6qDMgJHGDPYbDvnhy25BDuZwc7FViFdHE
Zi4CoHSrTEWELglQTCDR2EmD/zPrOl9pLD9llQP2+5nUYRh/oedRAFzM0v7FxEpVbC01QCqkT+Ph
pzoUiOF2bov0YJrUmCDFs5UPfdmapw4LzX4ZVKXHeHug1A4l0MnATxY4bSZKkafeFPZIrSmdugFD
Tt7e2lpRbUrTNnENdYJa2xQ0Geis4Y2xRFDR3DK9tC5VGmm525TBbggVH9soMFCXUxWFL307Qn7L
ewnp0Krqi7oascxIamroFmZXS8L04mtuO/G0p7tRfqnLNH6dMATepMhi3jgTXrRAwrfECIgqjjXZ
4cL0jXbXW221pibBdebQzUPRZhy6g1Ga6ZOpTnG7bRyjzzxYQ/R9MI9vQAc6WYkzIH20aa1k2DWB
uarIIBNLUkQ3SCNpZlJTa5omvuwNq5ELHw/CfR7miABr4LRBFFq7vE5AbZu+jqe1YRrPFCoMr0uH
cWXAij9gUCD2thp3X6d2xBKttiiEV4MiL8wycd/yLiZpDoboqi0r8HlAtuNNRpXva0B5ghMhcdK3
Ts2yb22ooWTRxx3/a2qiYNUlblNxrFT6lVo45M9pgVUDRjwyodiXclFSqtD3si+ML7SK7bu5/3XT
U+4EhpKigKoV4/DVySLzMFgOfFOaq7eU3+KLvihnwXO9u4jSUN8KRwHCTAnzYaQci03qWF/oiU3X
1s7VtQnICUt1QPJgIxLymkBPr90gHz23mYxhQXCDWHclRhdOoEzo4aL+Ro9l5h8R3ePmWJLmG2h6
BMq1qyTGNgJL/0i6i4hlJKt4Z7WNvlQq0T441myPoSRVu6NGpK1dqgXWEhdyNVlXuttfYIaOinqq
pt2aTle/wtBtpEpqWA/+JEZQ+2qbHVKcfR+6zKTcwwPRSFCGWGILmYLKjjRf91ocfrEE7M0rvUSp
MsfNkiUBou0mbAcDUs/QiRdXdZprXNEIF9GrdS60KgzYYFmXqiAchry87pwBbUldyzX0yoNUKr+R
n3+ForkvMv5z6jwEzOOlKDnA0H34n83PYgafNKc/NI/zn58CC/KvcWfMytEfVr/wK7fdT/oQP5su
bf8NG5l/8v/2L/+FgqGEDArmpehyjpgvP4OoyI/gMLN47mf2ROlrJH8eI2jm/8tvBI1t/GMJpItn
wo0KB1+AVPmNoLH1f0CuoBkBSQWdYTGLwv0LQWP/ww0GfZ1/AHnRYcH/B0GjqP/YAGqB1lgCMg+s
GpCU/375m994tc8wNMegQXx+7BnXQ8NoZos6rnkCHovGYYysplW9SH7BsqRIqNCpbUXUn0Itt+s6
2mvuGXmUY9AOY4K5hfZj6BpELl7wBNXn0/cEjRlgklfBhdGwA4a6oLe/V+IRWug9Osj+4zBQ8xEB
gQwEyfAYI6T5JQFqH6re3H3W0T03/C01jqGBMbMwo29F8jVJqRfhVX4BcaNylxHRPPwsdTEGu+oB
qwDFvrDSQ6ngGbqkONXSLtMWKmxxpHf0JSql1QAnAxg2Hf8lqryptsqw2bzUDgPFsmLVyz0cVBgP
FtLs4TLAjfE5eTWeIS5QOVWUlUoAhbFm5o0v4wsiYi1ioMHaDOXC0r1o2tvuJbHsRHFp6FdmCWBu
ZcttMnl/R83+/U1mUQHLsTGMEvoJoKqvI7jKknVQ6aR00NIxhSAiIE/9ksxEGDEFw3KcrNt3e+Vf
y/H9R/rTNzJtwIGQcGap7ZNh05w2bREwLAWXYa1CZFzMl/QZnukv2fL/Yjd/v52twzYVM+UeYPjx
UqCcjLWbSeYd2oRRXmV7Zr4Jm6vehbslCVIWJUUtq37OclhZB01cZ5AyQf44LP9xOaFttqjNnXaP
fI0z3NTuVyAEy1y9tumC2vuovo7ksMD2czf030bjYVZzt+W3AAGt5IfMz+yfP77OLM5gMnXg7E/x
3fUY2kNmk4UHDnSg6wK9TDgH6zC47Ed1WUSgYOJ2I1Dqs+Uwg1igCN3Egj+ykmlPOBusrDN1HVb7
dHoW0ZsS7mRleilCCnXzYCFSVTerst8BwAw7z44Prumh9LFIoNn0ya3VIeqFvNc5BZ1jqPzvz+SA
1ucsZBFqp6B93Bp97FohreP2SwG+mtYRtUiINT5xQyfZLYikfr4AT8iCv8d00QGFqItCACWx46Vh
gLcLc11gH2jqKEI9p1HiH0JhXoZIzy8SqSE8mXTbgsI3xVoj3DjQbT5/hnmRn6xOwlOs0xBewM3k
9KBCxr+069waPAqGJinEpdHUK27rl35s1TPEiD+NBSsCGvQvDZFf6s7vgJOmYndq3nCAOJE/emCP
6Ovaa8fHO6zsEcv8/M3myTt9M9fl6gOQpavaKaNvLEGp6YKB9Na4pFaPFmSMAGWmU9IY0/oRvNUy
Bq/kxM6ZLf+Hg4X7c6aXW1i1fVAgH+DUEZEBPhpiMuHebOPNKK3gzB3zh1G42GfWIqAYTZwuWLNT
9dzkHb2wJc7q8iqATEEw9vksnrBpfq1RaBzoegnw3YgdzI/x7qMlkVHkRqfOdjDpyhlRf0khbxlI
9XLKtA4djutcAXVOVZtItO3PHNIfYgRHm8WDTJODE4+/X0TKd8NPbo9EgIV2dZRNfCr1uWrdwVNH
GAJOM44XgYg8VvCZUf9wGMAbAm0Pm55RTyMTN21MW6TB5BX5kGxCXZuWjYtXcPRs+RLTKVzdF5/P
8x9H5FS1wazDGFJnRPu790y0KglA30zIkABZNLWeQzz0UcibMGcpFRyv8C4PznzcP2xIFInxl4Su
A7TxlDxW+lmBLe4wepl2LWoAN4E1YsvkFm8jOJHPX/CPY826KzMyG7uw+e/fvaBv9qGSJIzlA/7C
OFvB/QBJWCtGfWFUtDNb8E+jMZIKLFfVOW1OptNvozRIWSBe0j3IUe8XJvWDpT7S/5g088w0zlvg
5KSZBXWI9KxZ/2IOs9+/mqEGgz7SXAWr1vdLfQDPIdLQPLNCPr4SyiY2mh+c1xSLTv1IOvoqAap4
TGAiTQjC36VMfsxYEZREozM304ezc/a9MU3UEDCjMbmdjt+IjpFfsivRN1ejh7pGSQk0NYbtiYrP
BoRfH0p0oyHLlAp55stpczx0NJszncR0VB2Z7PngPskKwpGWjdFDgwqc6GWqKf3GGbxis08xbQT2
pFZeNuqrLpzrNGaIPyNoZ4nX9pkF+2FH8hxQ2FDsoB1NZHryVf0hsPKmryE6Tu2rzu5Ylaq5GX20
PHV8kSNlOqfM9MdXJxwlEIDxgK7XSdYQV0jzDRIkjQE6ZuGAkOkr9zaOcwRlOnFFVepC1wOxdGmj
QMo033LprtqKGs/ne/XXrX/yDRCoECR/NG0okZ9kSSqIAMSj8JSOkqlbRRl4ykBXLtS4Uh4rR1yP
IZ4RwDKaDT4XmRLLHYWkrXDDg2LK8EzI+eEKIN0kRYTKY6h4sf/inr07OdQYtM+kIW08znTFBHUd
zuJlRUGl6muUldFQyMrw7fMpMD9sapR9zNn+y55deDgjj7eAHlhAjaJZUxhOQZe9SdKDIHgqyp/s
GNAjcIX9tZ9jNbCCMuBOj6g5mMlBbb6n8rHrdrryPXQxKQLwWC5uo2txkfbbgGIrsFsbVS88yMVP
3fQGNrCzs6Eshx54v1LfFcFjPH6T4Vvm3PbJ1dBcf/5qyDF92GLEuXPYBz2U0FmcrLNJsbR4KJnR
uN6a6oVC7mmL1xGCZg8qoflW5fZSogcz3hfp3p9VHu6dBOWHdRaSwIhD3ePbQMe9ujU7ALbtEwTz
1n5yym1OUltsYJGM7rqqNmKH1Ry+Chi/o94GDBdpL0D8/apud0WzFv3aj3epcRnpt3l3qwSvenol
9b1RPhf5ldmvvw3J1lBXtgX29dbQPEjzxtPwLdXXQPJleJemBwSYBDYYZFBigVli+DRETxKzReUt
CO/gxxkxqvLAf4GocW6txi9zz2laqP02h0w/ipsWpAmdluqhoAlSsK7u+5cYmHP0JfdpBm9AQfmx
pz/Y0QK/oXA6EIynIe+xbiZQ6p7trkmyhbEvg1sHB6B8jdooHdcH27+ruqVjX9pyQ/Ci0AsnEAUR
WtlQ0gGQb+W3plpBEElQB2g9aETyRbsUuLV016q+zpLdiOOLWGQKxnOHeHyxtJvQT9ZRu5vkjyz8
MeSr0Ub3+0rFh6he2xhjFJQ5kURZOMazal1VOxSodIdUbOUP+6rdasLzzR0uNLnz18clawpRLMTd
YF2T8B7vF4e7KYPkSThaGNBZtHhPQBivAiWj4p8CYOBUP3Mj/mmLWkS/qGXP1N1T0a/E14oavC33
Lv8F9xZJQzDFsubMdvlVEzo+DYl7VcIyXeVe0tSTo6CKBqBVChDUXl7PkvCQBXXgcXQgFtMLyClH
/V7W92P3ZTBf0eZoKnTam61TgqJUd+ivwhdBHcNC5Eh6WDsq5baNVsLd9NrG1vHiazzLeYo7fZ13
KymfwlsjWfhflH2G1DCulqvwlpTFRCeZIHDfXgYXeATpi9Bah/v2qhVem0CewQRg6W7EVX2o7ii9
1+nSGkE9eUAeilsKCgUkLW0THGR6WXbbDIOBbAEFAsvoRfoi23snusuRVx7fpjWyinmF2wJWkB6b
viSHH1E27aN0qYqv5fTS4q7q7xuxpA/tjIeowd4ADd2nuj6U4VbXVsgnD/KOegCIMkC+mHF3qMH1
VwAKJlB4+SLE68G5aJDMRxfk1p++FulDZg4LvMEXUvvuoO3aZv1FSz9YIu9hKc8mCIMSfDDFMCv3
6upGZhdFt7WN22R8/fyLf4i0yBjRRaTCwRE5//t4KbdFm+JsAcy5t+JZu06+iJo+tCLM/eSDQf37
0eAloq5OhZyM42R16VZuysbs6RDBl41Nanh9BaUXxB76E058ZrSP+RwFXypRjgsbjx37gRqbNIph
BOPoTUCrwRLJ3AsMu8bMIrkyO1aeldjD2qnA2jTanVub4sz1M8/eyW4iSCaShVjN/P4qiry7zmO7
LMIu4X0HwJjLJI1iL9fd5syu/cM31EGF6BaO8POknlxxOlwOw2wCUhtbwNur7WUHbI0Sqg+gAEjL
mWn9GKPMY1HFMQXcUkKH4yUTV4WbdbIa8SaAGxgrF65KfYs0ZNGCtPRzwQ3r4Hn8d0uHDiyKBYiy
WpTjZ0Ww41Gd0oe7NkiJ0lT/DV1+5BKcK336UTWRcuYFTzMChmIYhJGIF/BC/CDzTas/gOJGvVlz
watNK+jTqBtX7oMRUuH2L2SEjYoRjevPX/E0Cp/L9Q6vRtHeIPT7FTK/Wy1g+gx9KH00sLQcE92y
87SWqoOj21A2ZH/IpSP/+lXnpgnEYyQMqUaf3mRyGu0sy3FzonuOYVMvryrFXZBtcajNwGTUDMhI
cM2wszM2RKeLlloHOuoWulA4Yc6CycffMwImXSgJeuFuWlH5BMTTFcQy9Uj6307ul8+n9k+joaCO
coNGA8Y6fU9cKCxII3QbgUZjDUcPG/7sTG+1s1XfYmz/+XAfviS/kN0BRGEWVfjFzH6fJZeWbCcC
y9xTnaFeVjrWeLYvCq9S8Iivy+4tyYrozKf8Vah5f9ggtEgoQgmAoNymHHeyQyLRKBqsvcwrnJsp
wlTHXan+pVM/2JVx3dW4YJVEcD1AqHztuJACyp2aXfIHqdxM/fckWU/KNqwXk/o9lA8xvm7Io0U4
Gojysiuu+OdYoGfrPlR4M9pgrfhZt7zptAd+B24B/AKBbDmxLuyU2VkZ1KnmX07Fw+eT++Fb8p7Q
2g0CIepkNOaOVw4oAVOMTpKDd6zv0IBVlqBgumU5FMhqWuXfCaCi4UdFhUUzNzVQhAZ+dzzc0Jej
BYEw8rigvXFW7Qpx7FGyUl+lafqGZBjm1mp0I/O/UxP/18gawxNszta8JyNPWmSheVjBU46Tn+Gg
9SsbDhqQwRDfBpWoBvd5R13pk3vztzPMK1Oeo37NZW2eygl2epQ0RhVH9AxVlF6Cjiq2TfIzAtoD
gXXmZP/QGmCG53nVzLkSQgX05ChIRZ+Wop1gM6fNjL7xAEpgPYpjuOgtTAmbYZ27Mj/Qtgo8K0WA
zwnOlQd/WWUe7x7qv3Qnqf3yLLRGjj+zUdpiyOoBULIWLDIED9BoDuSDJokOdeSazWil9g+IVWvB
vcRLMqXfGe3MsNnk6Y4FPwFl8lW0DpXVmDxnxaXi6gsRSJRCUfwjUboL6RMB1VCtG7fakWiTFyKU
3tH4KIvKa/HIq55LUB8AQYBkNgs2IYTiJRwdJOl2U/rYRxCoMAlCuNkoGezS51eHLbHhX3dr+CRi
/vqcI7QMqewfz4aEAwt1UOCxmB8iDbIpEHz4wjHMyhr0cGAh4pfhLWu4BW5II75itMnOhDWnccac
6RA90dJHYh4Lufnv312Hqi+itpoIzTWZYkoUqdASlEUpH+3BDrDeHFdTcM7x/uPZwvUrHKFr6IzR
KD3ZcqmTVnELT8mbkDzquq6gFI1WZWBSpjDVv70lDOpOCHfgDEzAQWPj+AVpysJ0rad2jjOsRWx0
zjLXyHbganv1KJeym8T68539YU4JLEgiBftMnaf25P1AEtqt3RitF5vYQzUjjvTA28tR0Dcf0+eg
NVpMRKGIfj7sh4jq17CgEFAyodF1aq7UQ5Hxe5O8vwuA48XRKNahm9lXTjHrwQ8R4WPgbLJGjb2h
GepzB8x8gBzt7Xl4jGI4WsgHPvRxg2EaUwuUmNdkkb1Jhlh4MU1qzrPdBFnByzv9ZzblzgWXGiz/
SUjoFJFCMSTCwSYV+TkVro+fYVZnoa5N5GOq4EGOv/xEY0Qq7uwur1T7WnSQlodl1HOhos4LdKIv
vvbxmVzkw9LGLIVyKy7b2G0TRZ+MKUFck32BpSBnai9S5UcK/cDpO+XQj9X959/74/vNRWTwJ/Mq
Q5nuZJlFRSEbO6oxg2HbbCqVRB5BswvVVVax3WEp6LoX3OD5mdU9/9rj78zaQidnhh5gonmaXqID
5aL9UCCAp0Orb7QGezhV3aCsPK5STX1KYhCEn7/px8sL/y6SWYr38OCQ2zlJvnLRaKKCjOJpAxYo
VI+TRU+FHkUAmKO5rkTk8BA0E8i/gFxhYOZOj8iolpy5sz9uMRfYE2HKrLQKwf7kEkVbw8D2xgDc
nugLiMAcI246gb9Bi6HqYSOwoAYr9AYx3X4+BR8X1vHI4ngxx/3U2a0zj2yDjkM7QcKrQmNK2Ksg
PjPd595yfpZ3dwKi2brNaZV5TaV8x90HlH9ngJ8KFkZ7mNpLE4OQtSaQJ/38HT+eILwjpyYbk44U
ULHjcbMoRz8QYxcvCLRy2Y1NB8syPyco+KeZJAIhGkKNDTjVyRYNJgEDM9SxKc0Aakaq5Y1Gv2hq
WLSOCM91Kf+wdF0TeAIL17Bp6p3mm/HYCDQyUuRjh/QlspI3hJGWI0iMq56LofDx/eH6D1Pb3tG0
QLVEWLvPp1WfawXHO3Z+BCFmPcJZu/rkoAhq+hx10OZeIb+X4VyJy7HKAAiVX/pwSOHSyWhfIDqz
aE3t2RwVZeFTQ0zDCepZq/WXNTnYMjXQ6dQy+XMiAls7M1skVJDYbcL8zFXy8WDjeZGmY50RJDJr
x+ugMwRYduB0Xhgr16VEUSowy7VVJ15qjWsjVPuFiGrN+3yaPqwLlL/MWdSSjwUo8VRSHAmtjO51
jHGLhRwMSknflR7PbtP+akA7+38ZDDVvoVP/IAA7OUgK3zFb2YQJXtj1TLtIqIYm2reuLDcNHZ+/
fTNwVS6VOYsSmf4BogjeQe3rkFLpENQ/6gpmXem4my6zvRxvnDMf7+M0zruXQIuizlwTPHkzv+lC
5D4oafiiggFhbYRvQmIdzWyBxsHb52/24S4yGYz6I9EW1615urlGZQAMAykdQy142XZsQcF0necc
PSa0hOQuC2kpfz7kiWEGCePJmCd3kQJNyEYNMIIXWzkL/Aw2RWnh25d3KhRTbUWORQOsws1XswbU
ODBxDHX3IiE+xW776zQNuWfBZ9zbvpMi3mWfqfl82D0832yty/kJKkI9BbgMI1QoCieR55aOAk7e
SK/19kdV+Bur6MCMJ+ENSlvlmUPmD6NyuFASYViOfvWkXplFlqk3Nv7LxMS7MEInBqUZqkxlUxrQ
q92frXLWumS+8/57rjlksbNMJNQHYiCW9SkmQ01Lt3UrB/Vh9BehuOzbZoq3VSwRXrKNBzcJtO2o
jHhCu9prk3RPozntwxBdSaWfyh22Ks+NiPwzMzHfH6dP5bCjdfYAYNzTc6SDztL7CmZsSGJdGW4G
KxeKa9cE8a6cZm7dN9xqLiNrNM98eG3eWkcj61T4KPhRnMaB5EO1L8xRj6VOzW6I2m08WMECQPS2
rtJ0PRa1vsFAcNMIMIgoKGDbN4SraNxnxS4Xdf096KfHMzvl+N7h+xAguuR4830O2mrWW3wfRwyx
0tsqtFovMgXCgRUUBMdTAhvT4oaKYFAUm6l1n+jWA+hPqIF9Pv7x4fCv4UlsUe5UCY9PMVeR36lS
xgwvGzqh4zjcozID/Fi9qRo3XDTohZ4Z8XgT/HtE0i9BowdbzPnv3wdOeJ6MlD1jsOB6sCxzd7iO
cGcsnMwT4WhsK4lImG+L30fuX9EUrqKXumiKt/aUhPCeg/A/1+XP/K6tf/5sr57L05/8/5GuMNtb
/Z/pCtvnqI2O6A3zz//mKii29g8l6BlwwTFII+XfVAXFNv8xCYL4PkDEbQpvrMt/q33OOqAQB7i3
OM007pX/cBU05x906TBXoKVGa2QmF/wFU+H4kBDEYgaHpYrrCkcE/zo5LienNpTeCe1VLmUP6xiY
8yZKHHdXjJHpg41xi6vB1wNEz3p13Eincs95Rhyfnv9+BJPDmqdhmua/f7dYieGToq5q8oe8SNZ1
RYRvhrm2QnX5TFJ8fC79HolUeA4HwNyAoDseSVQ1sZXaW6tM0yoPMp7wwjzNvHef/ub3Ofceff9x
SplUyg8zL8WYsSjHo4R06gu0spHpk2gj1sWoNlDtUECjAdGq5lrPUFKrqlw5WEMnvsqh0KP1549w
fOLML8rpy8HP4Q8vHsH440dAOaiy41jH6Y8oa1VajXWVjpiHD2mTbQZLwAtTfWX7+aC/gXr/Pffn
YX8Rb2YTL5XveVoIcPXMr1K1Fis1L+MA7ZcoVHeIxCK6P4V6iXnAoNXBrq21flqGLj0TmMYCCh+a
A8V10CrmQzmpSOYhNicu89JK8ZCX6KAk5PoYIxdBAGOydo19pU3ATQD6JONimECac51NA9i10J/Q
uBmpOSzm2li7qZ3QvEfRLRs2kRhm/IAdR+ZrHDZKBXRDyUHqaL3/EBpR/MTHir/Y6Kf9wFwskeuR
8xydyViDQUZH0PoSjG70fbJRhr1tRZhmDyZeXzD4MU2Lt06nWGjRj755MFI37B4Sc0w3qKlMcu3k
ePZAK0BBdAEzTX61+zCC5DmYbnnALku/CyybPuAY2fHDRDlB27j4yWAe0iN0vyhq05pWue53z1YV
ay9GIGB3WAho7BFQHPAZGVwLUqWpttZyFvNGDVSTlNy6qRlXwmba0RUKfROmaUvHP3ZSqLcZi8JY
57FSYhVeJgoVqnboMnDlrV4usqJHvRaGd/C/7J3Hctzalm1/5UX1cQLeNF4HaZCG3oiiOgiKorDh
Nrz9+hrQuXWPlFcUo7L3Il6vSnEPEgSw3VpzjonzcXarzUJOw7PikMiORY5zjwmUjdzXsLOuXBGP
D3Cpofdo+Tx7/pjN7oUz5HG9qrXYfc2z0UpZd606J7UcpersaUmg4gvQANHN04iqQ23IeMnKN4Uj
xP2c6uQH9SNAoJXe5Pn3CjIEcRPTOMJ+kml/I+v+KxlDU4VUuzAh1HFsjnzTpZcZLoEOs9Jou1oZ
2IaFZhvfZq0jLrzG9j7XUQ/Aso7RoRiK6pEr4c7G58zo8bw2WRs4puIe83Ry+mOieOZzVSrZjV4Z
iFEAtZgAuDxn9sk70y/H0XNDQr4077anSFav7Xi0C3JkwIJFaRHToNOdZhO2GOZXg1TNedW75nAF
xKVDIIchQSMwpsMKbOmK+FSmvbjF4J0pm9iEZbwDMmDHq6wB9oWef0w+5T0Pjcil2EntQ9eJuvLL
uTLlYTQpc154FDxJBNVz7w6+IjItoXhLRAjuhIBiK1Hg+uQSXAiyzsD32wG0XDf4wYsdOtToq9lP
iAAl2Qolve8S6nvbtwSbeEXyWjoF0SYG9up8U1p9W6z03FaM68QYKJxOEivgJh2b4ioxZUuFMw/n
O4gTxbNLtMZrRJyH5Y+VEt7SWXSvAdU4tq9ZZfRYdQ7feDLAsHEKV954Mdp1+AlNcjvFGqmZSahm
NSLkPGkA0SnWJxNwwZdaH+V3Ty4beq/K+i/N7IZftUhFeCg8gI34c7Ae+42Z5iqONNsKr3uS2lQf
MQDbIdWJOgo7WQGigrk8cyHkjEvDtIAvB6Uk8W7s3hLtWgdL8RTmoZGuNIlaGCg16XIrEnj1K8iJ
i7IEBnGHIhvXLMoBnKlrLLW8GFKtNZ2uKlintT5wXF31sTc/V4qtCL/PWvliRcVI/wcGR7KVeYdk
zjMU3dgWvU7BFqojjIEYxCnH2K4GLAmxdcEoKXMWXRtlkwCaT3PCZ2y3HHK0lwZpPsqgympVCpr7
K9hXUOb43ovQnzCugtDQo5D/O6wRJdm9O76MdIvJuimcUt2oY8lfBr3vB2vFjFA1JrUBmaIH3nMw
SZNYUp0TUkcGGEwvbmTmN/TCYhzwldAN36iL+dqeFMh1mduHr15Xwjng57vnLFLUh0qxMuh4OmYa
f7ScBpiMqpMn0ySlBjjXVGuXhMnJcNZALFJvPTTSesiLpHV2sjCSei1tOsKHoWv5Mse0th87Cg7g
Y1RJKE4Ihkr7YFVbVuuf1zQOrjRldX1JH0dctGzfft6dzGBYC7tJrE2cFcrNoOfzmlB4F3ZDZl6K
pH378yL625/DYoNJA3kW54Vffw7Iz5iQu2FtlKqzbrPmttBC65DMWXlnOryaP//aDyXEr38dbRrH
4m+DN7/sQn/9OTgDWO5FbW4AA3e3wo2R8wmrw7Gm1t4MYCWRRr0aRJIMG6AmqnzUoTOE67bnw99w
6G2ydWXa5cRJowHu2skGsWpkROTPFqZ8qwFTTYHhRQUpa6U1wiFxrdb22ZKm6cMkOlF9cPQ5kYHh
UVBVe/FhaZjQl03lydmH/JwubpXI3WTdoESrhTSrfcX7ibp/nFNCr9g2jfq+SnJY06OmNrU/zbpi
bVFD2t3fe8H/fyL6L5qUS0Xn/TPRVVG34v9cvry+fStk/PLL6ejv//bv85Fu/MUZh8OxhycO3/Xi
Ffzby62rfy3W0iXrCCmYRYzNv89Hpv6XQa2XcYK7kIKVwVYfpmMr/u9/mepfdHSxQ9McgMLAgP1f
HI/+Pir/M0Io/tKsRYGrUaZHbIOU8dcRok5AxGABIPN2it7dAQ3TLpJJf4vLKxFBqabpIZIGN6vl
ftGa8rMgJdSm/fgyKwooV1F/syLUy73b3WhVy8LtTMQWGsDsJ6sO8To8G5GySKK1wA21W21CEGZV
N4jcP5dWaV6HsUUWWUKvsq4RPdM0jK1yq47NVZF9hxzvg7YgbShTvfi+bZ3iehbkI+zhDuX3qbBS
9nGJ5SdkKyKG8j1zSu+Kqt6IRscBCrPNTggsbNeeBmFR4yiynVxlvhRT7F3GIOIg4Pb1SuBu9Fv5
mBX1J/jNl22aXmqDiAI4UH4slW1iS3TlzoSsSxpIt4kdJ97OvrYsoV860RSoknhKoqDyNtx3dfbY
RoYXNKa+imPz1Wh5gGFd40PIo+S6Kao3z4scP0fy0of1StHa8gI4K5GexTcRa98qV9mVFg2vRM2f
nF7d5G6MjbiajW0HN9gfpHlvaArVrk4hL7JWttk4PHG0BIM0P1Rp+WYIpb9QMvnAuvc8587BymmN
w9v8JommSzSD3tmk3Mo4PKpe2dz0YN/h3rSEWMYFkBzLvFfcxDvUOurlbA4Urf7a2HI3ueFbrik4
vkEpAkOsLucI/HyWiwe8QbaPdBPVf0fDDuHBmgOJ/ObkhEDZQ+LcCT17EPVdpvMPYRaSIBhX4z1u
XWeVec2DoxsvbdbDBEm2I20SjkLcZq6189ZL6PxhmSzBhAF8UeL6qqn19toxZ3PdQy0L4rzXNqFm
g+AoIxvXTYT6K7M3AkKRAVCNXAmFnaSTY9hXMy0YB4WjFVVWwoAg5uk4ZwAZFtJXK+Tu4yAIAbBy
ts89OZyDcwOqcTOSVH1UXMXFusMOlT94o+mz7iOAbBkBQCBZyqNVUeZfYwG8SZubXVrWuzB2r5xp
BqOhsPHS+2CqLGoPXbgbEk58Nrb/BJ7Cqib/wqf3ydGu+FqQHbCmeUHYGM38VZ/XMKf1PrSfdbd5
doQCVseczHVI+usIOA7LoSic26RpnoYMeXiomb7RdEeOQAHf+LpWKx00SfKAa2ZicGTV12SIbUDs
s72OoLk+Q9tO+H/NDZvYey0x+paE4W7UCXwGTFiyPQU+kN9YxXUmwmfkTcT9lQdSKJL5qQOF7gmx
8cJ8r6GIXzcK1EtSmG4bsNM7iFrh9Q/PCgPJAzo+SRRIXp37dV68KbXJSZgXsnGacoXC8kvkqCuV
YastGrw4frZ6JOxoLCeft1KvwCCZhP4Z6xRoDNJrqq82887OspzhxsgtsPtjGa3zhtAlo9fuM2lv
Oo8tmRA7+IHsA2vnuzkbl55eRFdpgp19Cp0rUVreKiyuXOLBUE1xaTuq1ybWmpGhEPYXMfEOOzVR
5QYIpXbXzZXiU32FtFyY6QUQ6BACKOPLGz0ixox9YeJs6IfuldIwoisl3Za1FdgeQACp836KXEMl
o5evWKGMNZjSFuLLG9TmQyfEDbgsQOdTwTlkfIGvJPFzZatI79VrtEZrU1OOoSBtLV5YTexlCs6C
cCxbPlotULzxi1bBIHP1eRS+4VKTKfE3sBPsoAKy1zeb4Qk80UUyYBHoZhXrz+wciGj5bIwiUMFH
gDCY7vp04rWmyo6YT/bnSkQWALBJ1x4H3NhYCZbwADdr/caq4ChycPyipvDODecLnOvjCDX5qs5l
suFcPWzidnrWYmdtteMFcSn9ajLHV6gefmoW5ElqvmvOl4oQFHIzYsRqyFRR29zE3QBmt2GWL7v+
QQWwNlTzqrS/RCUeDVFW1qVjB86sfB6FY6zEOO8qqs5CbV7ACgZt1T+MsGtIGnhSCg8mQDU+T11/
mcQVPgjqD3FUAYlSvMvIGbqrzJTEXLvtGiz06MM7luz/BqwfUsrXotfo2wK5ZLwOLySFiJXrzbcO
wKu1jbKytq5JB/qmkcV4JI2HrE9Hf23GEdF19GkgPOgSyM/4Je56bxGdBzVrXSxwIsVNuEJChuMG
DcsKclJlknLo3hJM81J53ZE96S62W8oshbZ3hkoJAEEPn5OMUw8Yam8jTZZD266uTZbTYvyaWW0H
GSR/djxApo7zLGXZB2bc2Vt33rSt2i+lBwd2SYwurrzRFOIyCvt7VFbTSrUBGxH+fYgTPmuP6sTf
cdpO2b+WaJ78mK4QgD3xGDmtFlS2/To1LUR1azLvOWlWkP9ZVTttYnugtW60T1toEWALlMesjeGp
SAJFirJEvmQ58aZePjjPFOUn1EbtZROmHfGLoDJncMFXdpjWdyN96qsoJ10YRY56G1HY/R5Ckr5o
IbreVFkoxVEoUcOGvHU+S20EjW53s3mhNfBScjGJpxLT6N6rynlVzbPx1WvC8CJjOWFbQYgJDHs+
Wvi4Wk2T3nFk9xS5UQHrG9h1xRy7qTSbJF9ynTaeOmd3kTo3hOyolANUKq07KLfZXTqH+rVLqCc5
GO4acOCEq7i2duzbSyi9KrR/ZLbNd8/F2qN2CRGxbpi+2GYyriu9sQ5mnjfXbV7rx9mYXhQvbL+l
NNmYavLqwetgxzBfMPuO9SGxp2FdyWS4VaNZbAY1D1+7cSDHs+H0QEIs3NakrRbds97IS3UQ5dFI
4XSYVkWwDWjKQ8TgZnqv6/bGyuMKJj3tVEkvy+peaGLBB+gpVKkwmjZVIa5zXXTXicw0iiQxuZBr
mlr17TB6yqEp29kfO90KNIBrvZ/YFIK8pITAnYbNypvj6KBEJC4imvNqJnwYbsxPoth0WWx/nrIR
uluvelvAPhQWSWX4OlA1AguuF2CUJ4tL6kr6iUg/datl1OYw3gJX7cguAWvVsbtrh9R6JlmLKA3m
SAIOcPsG8ADjI/8NEX/FVeikOCMbIKOUspiqm5deG9Wga/NXAj5WysRJLrWPoMEA3OvZXlIgeoyz
8SrjSVvu8AULwRGRKOs2Ea16jRKp63JrTaiJye6sZIqyfjzfFlGpGoR6BoarVi8K8Cs4ko2DWbSw
JeqUVKUEiVFb3DpF0R3LDLZeL5Kj1uRAQdOMKSzDOGYzilbd6GSPU9h/IqG1oyQCK72dRb7pAJMa
uBa3BZEeRaTJbQWF/Fqhq1HkLrIA87El6weWYF/djgM4vN6+9cRx0BmAcwgjEjOz30ipXpkNdhDg
cdscVk1F1KtaX2pFyj50CGl0MojRECIOh3D+aCmUrwpYgvq0ByRHecLZllkZB6ES3w0Lkm6wo3Eb
Deohj8NPxFjgkISfoxbjWqvUT4RMXOWzwwpQMytSVtOtYQeMMPfJJfBux6jLN+R7wblVNxQ9Pxl2
XVFsZQothZbxwuX02bPyzyzfx8QuYaC01k53v1dgPaDrpNF+LBpGA//bF0W6tj9K1o94QIwNx6C2
29eICvuh8x5GkJTFoGxzqHiU70l5aCE5WaHYKqUgKTLHbDcbwE+bp9HDzR2zTcwaMqI970anMr9W
OenkRXUdusMBNSqKmSqM3zz0oeyOksuqXZad9pNGteoCqtyltOJ50w1gKJLo0moejYYx4MX9pdqm
F/TND8bcEfhUZDFAckiQlgJ2tz0A1p7Ym0mUJN4h0yZWTpUglv6NKoCvDeMIMr2KAwiBR6jAPvu0
cjW4fFIdQslNXQsiNpb0rNGSB7NnW86qpkS2X8mcjFQbWHUDpYfdaGAqY+aPta2R52BfNRk/b5Jw
PsPBBzJ6STV5G6F6eErjxLio6Qv8C6jxv6op/D/XP120Xu/XCi5fspepOSkSLP/J3yUCTfP+whhB
M43mOWWAxbf4d4nA8/5CKwXcCHMRGowfsvF/495+OPGgZJC7QT7iggL4V4lgqRAgxV44cTrFPZRd
+v+mSKDz8z/VCP8nL/E/bLqyd0RGNImxV6ht7yZo/OTD8GndOVM3HFtvsnBWm7ryZI99uc5r9jbY
a6p0P0euRgyiUhwMp60vlITcmmyoLMzZRj6GvqABcwmown0pycvYCzWHRBu6OcnzWm2i8yS5N94P
jvhIqnwSd/vPn3JSNfPyxgObsZxxM4SC5BO55VvjaGwkQ44+4wY3GSwOO7ZBsKZGY11Edcl5iXML
2rFRdOVbQcrCpzm3q87vqjEhS4kEr4gdEs53sOH6M1VT98obJ/cL7zoLRGxIe2UAXH5x5zmmFtfn
1fM0tO62IxDoqaNNcsGu4yNZ0q/t2X/+wpNS5zC0jYrk0qKG4uFxM925fdVNmasE6unKV9Dr2ZM1
zw5WjchzwSnBjxo+KE7+2ur+57dPWsJMKmyP3WLeAxtVbhAdas/wXsPP/VhxQvpp5Pym/fxrBfmf
3zgpVIdKSVeSzAc+LmN8dYxJfo1rRb13JkscvSKmhPXnH/phDPqnNPbPLy3D4aeGvUxwQya9aexj
nt53xxDuXR3W6mNbc/JGUupMO4DISIRtdVBus9FzrlOPqGbfqiP10fUqFatL534detHv8OPSsnBb
E/JFXepIthWVlqVZuNo3TYmHC7KRCY/6862/N2CZEn6+80IVgpibvg2gywfSmw+mph7Pu7T+66U7
mLt6OM1tMCG/joTcaWn5ga7qvbs+6QmkbS3NgZYHe6XqWlPFHZk0Zz6QE0WEJyojEUbFXVOxI8Rs
bRRUcv89kf/mc3znptWTuqljThEbJq6MD3or5tmf5EdOj/cufTpX2fTFzbxoA13BD2fYq0z9V93+
Xczle5c+mSRSfSTLwB3A/KXqNp0Seq7TB8PmvUufzAG5zIlJMqwm8CrjVujJWx2am/Oe9cnQb0oa
rLIQxNG43teCkM7Iri7/fOl3Zq5TFa0cB9dMjOWzVqBs23J2qPyQavIwkqP7/c+/8d6TORmVHIhU
jdy+NiByjTwMy6y8F8OD4Xze5U9GZpb0mj14fIn5hPGqHuulOKIVZ77Wk8EpPTczNeLQAhQvQK1B
Z9dVcN6NnwxOCoN505clWskRZlS0hBiY1f0514aC9+t01dhDrRHeh9RBb+DXU2P4EFP4+9f5H+JD
lyLx0Mu4DUC/rwu4rkRbffCwl2H4nysPurlf73pW4t5o2pxJBcwCLXm6vSFt4k9Z388HJ7KSu8gr
+g8oTe/9HScDtk6mIhUzo2rI69VMezqePnJevnfpkwFrdhqJW1HEI6LwQLpOoIkPDeLvPKLlJ39a
nHsGKEqrugkEvSbXBtBfrs/7ZE6GaV6GJqliTRNgjPpEbewzzLgPBHq/37vQBfz1pidhho7blk3g
iMTawi5IoZuHZLd6JBSQfPSRVO29534yWBO9j3u3AO7lTcTI2CENjM5Rxg++zveufjJeiQe3c9Pj
reqVeLDDt0EqN2c9+tMmZOhF7jyBEgkINJr8MByf8n7qztoDwKv+9eGXMs7yquWhEOW7KpMyILBs
e959n4xX4aEn0KDdB7WlUr8tTQ8i9vyRkeqd5+2eDFCN6KMJaW0T2LN7TMsxyKBZnHfjJwN0LAw+
wmz5UCynXdl2caiL9qPTwHv3vfz7T0NUDF1G06JlINEQddEcTFF31i70P/yJTSSioe+7JrC0/JNX
mV/L8COE3nt3fTJGq8bS5TyOTaBDEU5dd1UTC3Xe0z4ZllVXFGYoeZEp8O5Sfyb+78wP8GRIFrh5
iRplznKlsbdVd9NMdx/c8zI8frMWndr3lNw1RlnwbfcoFaBwoBnL2eeuhkFkt+pkeBcN0b90Uyns
RYDQEvNaA6C1ow6qln4z9WnnSy2yPnfu6D6L3CZ/OydQgtwa56Zw8lCs0rh0XkQ4KXdE39g7ZbST
R7Up2pUXA6u10gr9itfvZ6NV6FAaFuLpNEMEVokdUWiD6seqln+rdTPfNuk07VCgASdSFi0AxhzX
N4bC3mtN0r3FmeVSdHWbLvGTUnceRlsWm9DL1DsKvkULGkxp7/QW9ajfkAh/1g4HzsevI0Gld1Z7
MCAoXlurEG9iU9vnTcbOydTTENdVGyEjofTcu7BQ7xaY5gev/p03fzLvGPOgYDzmcw3jfapna7vI
zhsIp2IzO4vCtlS58lwurfy4+yqcj1jV74xfZ/n3n2YdDWEfAKysCRJSJH2NQHvfC7v78x6J8evF
nVaOc6NyuDGK8FiY8aHQw915lz6Zd+ayC5tcSr4RYslXjQk4LNXI0D3v6idTD4mLrkSExs5j1jc0
i44zTcbzLn0y9zSsSh51P15mZ0Bt1FY6Jf+zLn2KVxcE1aZFpjcBapfNONKRyT5anE50dP9T3YHZ
9OurVHqvrwxVbYLRm8RLOGfdohoy15hwvYeMuQCAHeE9V/QOmkOecJrCS1Cd98yWEvDPH+nY1Mnc
9QnztdCGo2rMQAUnIztvdTwF3yZNKU2H+ibbbg/tzcVQnjlwT5mqrLliKlqNF9JkuwISoBcZZ77r
k3FLZz+1ZM5nRObygypRLCDpPfOBnAxb+m9plyHZ5trKdRyT/gRu57xP9GTYpgRvjUlYAMzR65us
6DdKzdpy3rVPBi2soFqzltseAT9U0UGr3s678MmQdR2NVhwZyhihx/US0zZ/WAJ+Z/o99SCWaCSw
JHPphqZXVK8MjDl/vull2fnNRsQ6GbCapigDH3a7OPr6TWtjtrWmBoS0Y4zXpZFF552HT2kyCKVn
S1S8UVc0hp+G/S3qmI9e6Qkp+t/TzqnXXlckeabVok2YZ3sDqRG7C84K6nvId9SyxTVSTuqhljUa
nJ6g2Y6UejSUtvrd9Cr7vMXmBzfqp0WyHA0zn1CNLAPiEtUjqWHxh3/je5/A6Ug2ynIoUFIGc2bf
EF94U2rigwP0iaD7n8d3MpKjtKuxpbOO0eAnKJIiYHZVjII0LTsNtzHdM5UcxrKil7l0joY+3VRj
qezduPHuK7uvn0kskoeq9Jo10RPejaNMFntZHkUVYahQjazYzATfXRSKNRxzB+3qnz/fd57Kj+ba
T498lsqQyK6vA63M1YNFrvDa8hDdnHf1k+dST1gC0rqrApuodODuK2tQP5iYl7Pgb8bdj1fx041r
Q6d7U+lWgaoU7r05Nu1BSNsg67v/iFH5zrOhTfnLcji5iV45OW8VbuqarT4ytI8G3HuXPplDlwS5
jkYY4611N5P3hTbAeS/01GU5xSJtbYsFK2+RJ/dTInwMZR/Uo9+57VOukRYpPAYn5aiIp1Gd5b3p
dmce+k+dAwjAMyDQjM96QkPhtjLAOPntrO/QPNnYZFGlk9HCaGIJOPTh0K5yslHPe+KnjlOy0i1o
qWW/r/GZPrRjj6ya3tsHc+IPYMNvPvRTg241YSCjH9ftEdmZGzfDc9l3yvME2n7b6F180EZqaGGS
qscu1xus5tDG1YIk5Q5t15H+UrdvyaPcoSPSjj0RCGsZ2sluSgztvH3jKdiYc/LgEjzY7aFEGrgK
BVnHLFgfPN/lJf3uAZxMIiEcBdsuZz1AADoe+trK94nSltetBfOBFMRi9j2t1T9Yz9/7tZNBn+tl
2kyJqge113RXg6fbF94Ym5eT5jaXRE4uLdLBGT9Ip3hvQJ3MA5OIS6VO6F9gL3IP+iK67ELe0J8/
+3fmyP8IpaPhiodOM/aZl5ULGkzdR71ar6deDF///BPv/AE/Yr1+moZJ5lTIFnc1AhuAibd5SrCg
PG+2MU62VgApu0wRHGuhJnyP4vJzWKRnNXWBAPw6tStl75UYCJtAybau+qZPZz6OZZf40+OwvKmg
N+ryrcr8CzvA9MqNS/fM57G85p8u3s7tKKFhGYFk5LatHIjymT46eb73Ipd//+nicT5YNOg4neVF
eaTk7TeJG5z3jZwM4GSWdYmVE6GObEnrVSn63/exdV6jDl72r3fu6WNot9PMZxLpVwOHqnVVIpP8
872fUFX+vbUzTkZonbVIgtXECDCVJ3uySfCtu120Qc6pHdLMrKg7tvFrwq74vqrsOJC1qxw9WSpb
FI3Kphmc8MBSSdzbn+/ovRd1ckoyGlXi886MAJWyhYcUFyfppPs/X/ydGYMczl++gijXWTnI3N6L
uqgxI2IdvXVQ339yzTh7/PNvvDPDnuauGFGOzVLx6r3U1SyorCq7W/a3dxg/yINcAs3MQq/v//xj
7zwt/WSgW9okkVtHRjDV0WMyD0HYph9c+p2T3ymnTo5WRSPX1gNGuBeUdmL6uppcaeiIN9JlJj/v
LzgZ9YY+WzW5YXoAGOG7auU7WosfzIK//wvs00JWNiwxZErYBtnshLs5y6zL2CqwO6ijpezSnCCl
Dz7ad+pa9mldq9EisqA7tD81ed46wcgdEn8Zj0dT7csNfmhnTUr5rhX1wS2fBPz5sx4fDIBfv+gQ
mEHoOXXOtmRU9/Ekmx0cyXlzzsuxT2tapI81FbsSGeDSupqr7CVRp5fzLn3y3qVixbYtexmgWDaC
bBjVQ5dg0jvv6st4+Wm6j6oS6ICnyCC1oFXUWWxSxRRPf774cov/uWOz7ZMJv0jUcIjFIIM4goIx
mzF67Ma07qvU0L78+Sf+/kh/9yMn076jDG0e2poMEg3s2CKD7gQ5odq0LRM73cMgiD6FWZqCkjbl
VamVyTGNiBXqdDoya21ohyckop0fPxqHxPHn2lCuixRJexGK4ovqpu3WST0QwTKFK2Agrd5mg9q+
JTNZPeRRa/vR6eIXtVwiiWwVDkGjefMbXRW0dnGy2PaMasKyZ6KjU30j65R1ZSn9t2RKxq1pWP1T
KozxVo8UZQsGMwEEkTS7tg6nBPl6VflCEUYQdXp63zUOvsoG0X1jXEZN9URcCH6xfhDXQO87P5Ry
moA0WvGuMiucMQMb5is5w3FM1AeSB1TCj3OdNUh1vfop9hZZvBZO6RH6AIaPwUpUdWETAKX3wuyq
LxC7hp2d4jktwit4B+O9VKVCTrgJz79TJ3MjqNBFvjr06r3ejPnapXjxyNokgj6fEuxP9dBdeq6o
0crr9rAphJlc5yJKLi3krruwaUIDK6cnVwDSExc5POJWNLwNvpIajwKOMcXYeT8CaDsXJIFM412U
CFzsMmqmtywV+gHLmVmsPKF0sGqSeMCJOOWeTbANyvhhbHMW4FlWN9k0ma9hR3pQrnokheY0Ni6h
BhYkhcB4f7SMnLBZZjxwECLS7aDCj2wBQFcwHSoC48HK1ZAGJ03lfVaczD52iSlWcuyUFbCjofRT
0Ge63+ROi/WPSIduEMVOam26ditjeEgIYpTb0SpD4Jl0Q0l/QRVFU15WR7POjDIgkXLsA90rS4mp
N5wNPJItHEqr6+J8m4iiGB66VjMHX3FN5oFGG6mQgjwuVoZopgeINvadnrLfOA4NvqZbhz/kLSx7
9yWP2hgXoKNY+3q0+6vMUQW/ipI4UERPwLPFbpJwIcfU8HIoUbWKhFVrq8pJNW3tulr8JUsjTIKO
k5WPChiJS1ebzZ2c7PJhHht11et4E6HyFqvS7VXhlwXhZRTOKYbZdteawVDPw4umh03l98nUIvCt
B3tdzItVNaudJdZ3lqq1smIXx0fdlMBnGBj5lsRrawdUpllls6Id29mAauDrZWTBOGnr/GKgK4qp
dUyMbV2is13HMGGc7zBY5OITLDscrOkodmKe0nXYmN2ubI1wWCWRxA6maBGRcxbcB/KzOoifU6aS
JJQs+US2O14leH92WCIFMdWdt83xFR7azpjcPXxn111nlaKR1NQvNksgJvF1DJjp0jMrzCAexgXD
UxricIp46SgSdbobLS87dlgAocqnWhOvIG3Er7HahvWVLNFPXWPZ7L/GgLRl4CQN9pPBTV8zpDmH
rLL1+LKYekm2mL1YVZrW+67mCYZEyVKBCr4PyTIjIsG+HqEp7ZQBs3yFrP0ahFFybel6shosOye0
Fi82hhZdAWuSdDE53Ra6sU9Jm9bXDZbFW26//tZHLu5lhZrs/aB42YM1ZUh3bZd08JZRviGnAaKn
p03avkjsbF8NfXWwuhH6ij4YuPpMkyvPMR4DPq9RXEQYg3d6NWkPpMy410XZN5son8a73rQ61e+N
1LmloFKvItysyjrzUrHGyu5dW53Q6O9UOKirscZkAtrIibvqxmyc6hJhVLaWI+FQEGEJlDRn9ZZe
pbPBjytIylNk5yu9Yq+ViXdgU37b0Wmorj1lFG9qlSlb163tt8y0HOhFac7KJfKvWuEwB6ixmfio
c+SqF0YE3DrvrysstdvQjop8TSIoC4CTYpRJo7nfSKWsD7VWyA0vfTx6Q5nequYgN7Zbl9saYGpC
4dzURj/N6ysDf7pjVUsNw0nLi4FNpJ1hiUmTPcAh8AZywNIvZzDmfpf24UVtuv03rycwrysIDRsq
K1oPUYjlPTGd3G+NhBi80S0A0TSWvYLH0183at3t9KKU90Vi6JVvMf23vhhNSDcJbK5VSQMtUO02
M5gK5vTJBfbwAD4SuJPnFCredldYPhY++SjKVmJzZUb04ygUN21GM9Sn8komm6yJNWymejM3c3y1
5BWDIYsj59EanPp7T1DLmt4mhSFlJi2utUvL162YlY7yuXJvQhEC4mllzoveNQaG30ZJ90Uq59Vs
430F6UrOXVvGn1o3H1m5ALqvOsKDHtU6xOkN26Rcq/rcMC12hH6tikKvMDZ3nDOYLTP4R+CDxI2l
p3ax7mK4lCtLKOONKYZxPc0WziKEGvnWiVJzJQe9uarnyLlUa+6YSJBcB4pkyss5LVnVE6vJb4rZ
oFsSat7NqCn9XmAJIcfNchO2AbGxUQAuXzbk4fgmjVXi1vtSypWs1DRQ7MT9gowSt59j1a+Ta6aX
qBLHz3GUdAelS6MXLwyNwPMS0Arz1G8GC0cpooGEzoVTtQTOJoP+hlU8OuC31N+EOUKRYnNx1w52
vDYz7Kxephd+5vQG2DmnbLeZW8hHq03qwA5bYxf+N2fntRw3tqXpV5noe5yA2XAR03OBRHomSdFJ
4g2CIil4t2E3nr6/rHOmpypbFOdURd2UiiKZMGsv86/vBzq2EbXhbasq847Sh1PmuR15ygyhqSeD
Y6Ot0IECFPV0XbdV633xfZD9oagFz4aT5H7BGp+ds5ySe5P25lAuh7MP02Kbnau8QNjSC1MSMtbm
/PzR8qLmZaazc4yTsb9v9UU9ElJNthENA/R/4/vYzBMXCb+4lt8m9XtuW+2uHDl9Rp0NdL83s6sM
74TQ0uKsCl0/dq7yeZ4s5lTRfO8A6QBh2BHcCynaQ9oW0xdlzsXGzJI4Wlfx7L0PRm6tB92JvMOU
TSUr4yRmAUGqZW06rYeEM0lYzcpHn/ulTxVbcm3u6Dd5ptc/tKbTvvVd6971nVtvjNl09hKeXThX
mnkcIlRxeNopPV/R6JBPgm0ebw1N5bxYa8zqmb0LhdeFP7v5StrV+JyZPvQGN8nhAOdZi/WoazW4
7tU8sWkl2tu4UH20rsfB3srGhwNpyfaoT5HapTLPb2YYy9UmFkLbgtKRUzA1UwyWu47wx3Od/ODI
8WmoPSuMrCUdce9x66vKdjMLj83K/qEbVN7oCGrx1sdtjFtc1GFSYdvYrGDBgpDJmLyTRkqPlx4D
1LND+GMrtHLYSBFrzSZvWR+JI5clxkGhAmwTBEzBHDWQqbqGjZig8RrEVew50xqeRVqbYTJEmXeA
hmhlbwMp94b8CmRqDefpODkarpqoFjMV1Mi4oJOJZWuy2wm1hLcL5ICVZeW21yzg90Kw7Avbl5yz
yNLk5Ppy3maJ6HlAMUofYXqN9oFyvXrVbNnAqWq0H6k1a0kYY6dcsY4YjSeWPLRQS9x8XJF4AoQD
U9CuSgTOYWl7RbcGB7CwiBgVVDOMv9uJ083uwMZDN1qj7KEP0yeF8Rgvwn6LG1aw/N7rz82ZdrrF
Ddd/zFpllmE/g8bAHFsFSw0wEHB6y061IpYvvaABMlPiu4UbF+t+dKorUzOsr7piVd4l1tF77vUT
FOfZC/Q+8dnzyi1YgrmYkIJUlVnjR5fn7iaGMweo3yvjnV9Oxk1VJDlmid4m9rr8vZBTu53UHF2T
f/ImyWxY27l6Z8dv9u9otzpiB99MWrsm7pwXFQ3NsFLNbJjbPhNYYcpGa73VsmTwDdjPz6+ztGnQ
okx6PvFK4nezSSo0dDX1986fGRgDiT/bjqRNNwYUg4tJtpYY2vXManN8HRcsdNrsrKwV+dO09v3W
TvD5EWm/6Yb+aJZuK7dM2JdXGFRL+8kQETrouSb9VRl50d/zZhgdvCTJTkGOK1eK3dZjZaTldSrT
YZMarmJJ1RwOtpl4z8OUdRY40WHcO5bqgdBDGPQ6XnvXXWZ91bZds9W6s47PsIds6xQJq94gI8kT
lDsDZchVnPG0AjeUG2PRihMXZNJ3phY5IGQiGI5n1v6Il2bRa4FbFCUGRBbSSTNCtLqhHZ7dpnnd
/Mg1Kzr5zSRYpwVvCgepg+BB8WrmGQYNy/Bg1lX+lOA5AzBf8ySgh6Z/brr5DOPolmlf5W25EaUn
vkWl0L/w4g1XVUdtEKReX5PazZgRy9H0rgDj5QvLj/SKVjZRlI0x5ajskEyLRnA3cg5Gx2c1MbOK
LwMTq8dCOtODRoR5mJwo2bmau0zr1hMFeT5i6iyEq8bD5TrtvjRlcop67ZyBNuUZ07gkXOP8/LW1
3ebfWqexqlU9l/NPWdj+T/Y6QT4wxXeuzBSvzVPEBOVYwy98ZhxmqlXq12KvbFPdDYlJ8IlbElog
JPYcra2lHl+sbDF3RZ3q32VqFOxq0z+VE56pmwa44+MsO+PZHE1q1tRNN5Ydwawg0KXhmDPwPEeG
KQ/Y3krhBGFk03owPVug4zLInX56qiAnfOltSz1RJz9FE6qkMHbz/NVvR3vfer31WHqDuAZcBQMy
tRS3sDgDa2olgFcmsokeJuXY8cojHp/mItMH3gtAqexYs/cuu0ns29i3Cmh9+pkPsjT6tVbq/dGr
jfledywZzkyuTwU1CuZWtpHZKwhOUgtrYZ1bHKMOxrPMY0ffTNh9Hb1JX0KbpOC73SfZV+VBXQ30
yHGfI/ixgJtoh7zRGaiphlM6dnsRs7K5xvZEe3K13i4CbppbbVSjn0s+6PnZ0RRjvrUsiep1GPTo
UetNciTW9Ibr0alt+CwtHnCrCoUw5XKtG4pYmJXDymFy/Q00bfGlTXPjWBelPMw5XxbMvt2CDzAp
vz2D2h1OAKaCbjmI5xZ7rTwwecjNwI21+Br/gZx7n83R0cYgcB/hs3priRmGoszHKQvIb9MbU7Xy
vi80UKWGCfTFsNwbtnNSsPGg7DhQal6wRjPUfso0d9NhJPtFpuSG4Uh1i6N1XFy7Dpu7ObkfjYvO
++FOWX2vgyWBh6SKZ7eyBgkqa6weGLA0a3ap5dlcwoIpxjY/KyIOZSAziy6LgnKqYVYYWtx88Yw4
e2V4Fx0Z+2BmKqOquwLWZhxGXHNJTZtiJztXrcxcea9+5EcPdtuABbWaxV8PgMb3eeoZxgo7HONh
HsRw0xvp8kRIlYHLyu83JIbuN07n7gnC29KGNS6Rt36lRV0g4sm81nwc4skA9QZqrol31uj6YqdR
zZnrgWPXR+hSJT9KfWg3CmeeDZHcmEKjZOk6KOPK/GnF3fg0sgFuhW1reE+zaMto1TXIi0A3jz/s
rLDhaS5LuS67TGFo6Lbq6+xqwFbKhBaNlgj/q7+08zsekhT4mNg7q0XFxnVv9ubbrI9doPoEnVgB
mrLaAB0wLA5sSn13jvzHVKQ2GMy+OCLQhuTKRkv1UJu5eKytoSBnmuW12wz+vWjGid9kSv0fdod7
pJReesAvzN0wyicFzjxBt0tWRfRu63l7NrSa+k2t50axHzPOVJisFUzPgjWUO1QXpAosvs0/50Rz
do3RDdQKUKFa+uAnLQfBls0puFpT9emToN2erQmDCiM7pSJyTYvmSJQVCOx6K8XrXdeGTgva2pw5
BfUGWhxYJB0dWD5NcpO5yjtliZ6m24bSq1uPdAoepT+buyw55yC5BOvtmRWllh2d4SAkc9mVGRvL
O9Qb+ynvWptGT+UDg86z7l50JREuWQzo0JoRzY9JqcWnru2X0ywiJCXuXKj9aJUsD4uOVMbsyT1C
LlFzQ8MmvTInx84CFPNuEzqjA+kMxbP1AIaYAw4sMbDo2u5LI8wmTEJpINQF3ykvnZPpjMsmrZPo
wDCy+uEOubMy9EqXR4KhSshYHQzbI9oXW5VX0KfyLrZ2XqX19xUoc5gYdubtJsefF5AutXWbC7Fs
tCgVN1Xllvui6ehP1TW8lTM1xvhWmxPEEzTO9LNyH4QXQ+cVfgbRzkUSt7cSy7wbmzy/qtK6Y5tO
L/d5qaqNA3T5alGTs1NJhC9NlRdwY4H/qVHoRznozY0cdWOX9MCdaWYK96Vom2nLO1CAEvMztU2X
vjKC3msp7uelgPqDgoRw45mYgQ7kDHHqu4dF4LQ+aQJI2lTRDWmr5d5wyuZxNhYOzdyGgKycNHnO
HNwkKe55kIfBjOubtK5oLyRDqSMhc4x001n4ZOyRRVfXHGpIGSAvKhpwcdZmazuZ8UOIZGG+OD5O
h63ugRUC03twB6aes1jiYkUf3fqGiW11XUfaQhlDJhvarWuLFTdtLjfoIcmjS6i18biU11VJ5uDi
kvaYIlSmQdqYRhPyKPowQBPvW2n7ZBl14XXXWg7HKBjrFhjIPNHgjaRzd0aPr/XFgNSWmO6eoizl
cTbUzD2yF7XPcKwklOcjytx8ElDmPIb5lG3ttQS+BctkiTctKOq3EUTWbaYBQlFOQb+66ePx5mzO
8l3SMl4tMYJqdyrtzWIN1V6UxaCIVCgbZjhE20F61O/oiPBxBTnO8pO+68EpUOzq/bpve1z2tJGx
vGVPm0EBO0Eg6QOem8S9rL3u3jerKHBN3fxWMXzZIfEG6T0TN7xcvnhZ7j0WrQ4mOCmaNuxAccBw
1RP9rpOtfl37Z/etxpMHTmxOtc43ST7aQgx1KBpzellsQ7uVaaPSNeTfel37cRQyHklTaGOp/33E
Qi5aLXosPFJcEa0dmoBl6I5Ta96lTtYPD2qUA+VHpC/uWil8qCI7w85ba4BIgiqDH4SvrjeSMtai
zbaePRsuzJVhhiiJ0XZglLVhHcTUy5faFVpzj3Vkuk0GWb6Wf9z6csLqGQg+JCxet2QegwSH7RiN
2qjdY1bYdytmj7V49HESH9bz0I7pGs4v5Zbep7sOXNgaUJ+4rxO6XzCc2iXQhZ9e5Z6Psa7HUAOQ
Y2545B9nG8HFA8FEL77+btXGuImwATyRCRj3c+VhD0+Lbd157bwmPcN0lV7AqYTCdKWaVKwoDv1v
gxu7gcGvtwNVTrUns3knaEbSIkjLVyRV7iqpqvKuGFrvpvD6FrBUmX9V1Ikd+ZpsHtWQd7d5WvVf
XZN+j4b6c1uajvzq+fa9Rh6/MbvE3jdGikepwVlyEHM7vrQtebTbZtdJ4pvPZk/IoVulAcYck+dh
rhnttJPaaMuovknHBZrW0GUMYqLmjZt6MB/7zmPEMozmXkgzfmRA4z+C8aw2naMYJnaiXdaYu4kT
UwO7Cx32veE1Mrj5kttSvMW9aL/ZniOBbfbJwukNBmFdgoR/XCbm9TDf6nca75xVGA3Z9doaGBSk
crBvnOr8XOA15mqBo9K2DnuExDc4lUenzpCpva57v/miZO95dP+09uAmpk4Hp8yYaC2xMR8WzTQP
lNXDNTqAMzNet8aA9L+ixeNrEgX0lN8aqe7dMSaIjuUwIVfB5ce7q+fJ3wsb3Eth5MnXajbn78sS
devOWiTtOWPYjJlplSs2xOZH1BpdQNcheao12R4GzRjXHEH9amo6cShp8bzxZ11IH6S8LZzSPzkg
vEMhkzYEPZO9xTGgzNRwAGXFHrK6IY73Cc/ttgdiRv/FqUGLpo19sMYhObZ66ZPmRW4RFHO6nJqS
ALJKcGW7dmlILwHHXE5vlVuybpirlesZBSSivsXCqmikMdHpTfmSRol+aGQ/7yrpO1eVakDiyrQI
a+mNew8Ixn1qp2inXQyGZs5LmX9vmhifW5FHzX7oHBeEZx9NDCdIKL4wa2MPt3KxXu3kJIIGzDuF
DIOEDa0E98WW2rBeptq9nQf2xcKKAhO33aaVE6uTWfWWAtNkHkRYT5Ko+j4xKd3BdsXdg87ZEixG
i6hYuUXKils2alAaY9N/pv/igDPEI7MfZ2by0cykBthjrQdOh9cJrZH8a+37Cb+318pwcp2MXfDS
3Wp5bn1jb46HYimydp3xCBsbnsV0g1CdNoiYKxwjSJ/npzY+zxCTeNEOfqKTPIlJdV88rt5N02gg
4zSltpMYkheK7uxxsJL8mzcP6athR4QmGuVTWCWMGGlyz9VJoAjm4SmWMfRVZJ8cE3LkUqUmK/F9
dK/GGRFQQ9odxHQgt71qxFoooMIOgoeQAyndgbNzfvIIVntcUJftNPjp1uR5OMa0RdeTBQh2NeUV
MNRIqYfWN/urLjG6moOZmcEqXXy5JQ19puocz9J8sHqmdPXDYqYuFRvtrNirFcmeBtedZuSpzHpe
zd6I6l1ilHlOjWp417KfjBbC52CcKLkKHJhKf2NR9R3QpKtn1Qn/2TXnnjcJaiTsiTZpDNhDav5u
+YvvrDU+3E3qsi1A4VStrdSaruVkJmB8O7h0OeeFty7jsv+CgbQKdGMY1kls+3dZlJj7SVicFVCP
TgIh9JE9WXmasKM9MKkrH5HTUlvkFr6DielsTON8YrCTEMgkMSCvJsBq8rQmhrdM+81FbU01xVsT
75enmGOXoT6OAq8CCb4f9Abt/IDRwvTs0315y5HGsmXZZIwA3SreecqYgSOf5YsVFqrbwcuMDa14
43ZMqjQgeapCg+PpgJAo2c18mFsfO2ESxTFPt9isWceM+jHhOKZEKufCP9iSWMZEPt4rGmC32pAq
M9DapXmu8hwyZB8ZB+gGxr7Qjf4UYQ8IqjmTb0VVT9lV16gRaYLTi11vSecpH8r+u4CT/2OSODD0
dmzdAkxVX6uMEe5xMPzU2JSqA2bQZ814IrjTORGCg/nsjjBzP77PJkrKbRfZBveD31Zu7MZU76Pq
WCUb0moPgpM3p/AxmQlk4U8PJWy5sKvAyu00Fmtp85Tj3ZK4nhHQmpNhIkb2Lx3bO/b5YOylqLV1
BOPjwBRq+m65UbFpAP1tej2b6RMIbRP1c3eI2Pp6BYrE8FwavlwzDqtDpzGjn7Md+WvEpOl7vXg0
kUWm1XTZRmD/9dm9Ze7GYaOsUbwKa6x2Vl8MJ1GNMbl1U1vPdWab64ox660xOZVap1Ka1xWNmp3u
mtpVMozzNVVBw4qOoNudSL+/yeYORpantPZpQDPPUw5+eydTzdkORjxd6fGYFcFkVLh3pXV+U2tw
+tcpfrg8VqDSGlrpDIgDHCPxJpn1fhyARktGY2Vj1V8Jf/rNxBG2L51ikauooYXB5mB9j/TCCO3F
bKA2pRolc+tZK8555xGnDzjVMcuidLQU4wjFb38f+aK8s+nHXrclPhH5sthfLD/LmDsU8YEEMD0w
ksPM00ey4bAw2G9ww75TIu94AIpS3RH8uj15qE970sjflqFvAoHOYjUwezy7+BTGnVaW4EHtOn2L
q1Ic2zZdXvPh3PW258W+7yu22WtalBtPKHDU7hK9IUn9EbuyX+N6Q95bDgzwSCPWfdJFdNdL6/zy
DltdUt51GOWROo35hqeaDmBWdiFcV3NDjUzdlmWVIpWr4ic5snu0mr2eWX6UTQ8QEmA+DvWy7gob
3YscCn3Hvo0Zmh76XY2XCNUG0/tt7k7A1POyuJaaE19lrpffzewi04WHX8rccB6PY9Ib9yn4j2iV
lMJetQb9+zTz0oe0LKfrggXgcLDhRQYz4ePOMcF+EieWdTLnQCulTgMXUFxD4ISc8Y7jgbsfjUqT
a21h++Ko/DzChEFAT8/mBsPrnLZXOOX0XwxDIVln06bfEewSnbJNL1nYjbTxVGKW4q86yJRQPlvT
fXSYFj4iLYmuqQvMcdUm2tdI6yfQoJW2o9k37awosaxgXNrskNGO5OCo/flp9qf8a4IwYV83hjwV
CFWvDOniElQlVbMqQNKuYyeOIJdyGcptlXdpHjROmj8TVJ3uzhwiQMGTk/lboPydHrIYX1k/Kglu
GnctBqQVW/C4ynQ0xEZ2NrAyaiY9lH39w8vaUeCCWSRb21qiB2dCH3XTazDZjXFKuwdrZJa7SUjf
stWg02HajpgM83dwEHTie37G/NOl7x+CPapGZA18urD3/JgTd0m/mkTheEOq3L8aCHJuDM2h61Lz
eiLvdCc8QJlPF8lTz4bciXVZLE4ENMrK4NUc3cYNag7XVU8fcT9HnXV0mJJxp/ESY8QvppMm7QQH
ls6x163p+OVuifIoP5Kszvm0QhvrRvH+fMPAWEa8sCFTMipoappolectuFdLGPGptd2oujOstH6M
2qZIQlcmPua/yooUiWEmi8Bn8fmNXGvQyTCkkntzoFHAvDKnxTy6EcUrPgUWXy4nkiCVYOyyWsjp
B7h/TXdlZmX0OFUqndDpOPa0dXQ4ooe4zeM6iNkd055r+jM7aTLS5hwe39DxCPd7lTEdCBK/gV0+
QCvOOPHioV9xnYTYMoJwX1ule/qabfic9oJZA9g3TDbOFpkMIkwXad4sjIXoouSJrgKnicW6F0Ie
8ZhyXkxcuiuOUq8yA2sBWxWhKPqSq8h56MoahQnM+9CyjTmEZa0OpWdk78I/az8gxE4rjxBGti86
O+HWpXZFYckuUBHrxlb3HEi6VpJVJU3taNzoWQy03Irx+vGr6Ts3zNvIQVqHEtnBtm1j58ek+owJ
Fy0z2LqTiHaku/CRS5Cz3+me9u/0eavvaezY97ZuSTPI0FUdGemgjcs7onaj2Usoh5gEHWN7u7gu
cPz62YrZ39U0ZeiNz5bzI9UXkv3OjJOt7Ez9VLBGEnY06TiUvdjfZjzYzz77re1q9DURZlEzPPdd
n98kSLrueZQTaKa5/t0cay+orXk+mZGtbgxrdoAJTUqGECipRVrl3Htap604OZyfRR8vG5HVLWdv
rT8s9TJseP/nleVk5pUgvX0X/bmzhGFH+bXx1MBDxdSaS0t31Y0r7wDCc3zV8pRhdJf0TJlpEbh9
zkQ5qpt6h2imfRmR4Ry1LuuPAqg1M6joSjkZvSvGnPE3gI5Yg+Ultmbg3nPIR3rm2i+NfSvynVbN
mwWHOFswPJVBMjnA01ujOdIj8A8wC4dyU+JvFNO5qTNUQnYcH61JLW/wsxVTSENjl3bK7jsQnVdl
Yptv9qCV3wWjRjAcaSPH1ahx/BpMaI6SR2RDEp2uR03zv/AC+nd1U0Q37SDgFJPgbWZlVCFGVLSv
oXAUPpqPmOq7a6T7AA06u220unqZtIIO6BLVzH8iIMgF9YlYTUM/Wp8sdn2kTL8YPEIGX1SL3nnr
07DZQyRfkEBSmv1eH2v9eq5JY+mvAl8GwsVi5kuL1wDWuVcZYfexrJmpeYmGQDXJTPnkRympZNml
V8y2KXcy2p5UZ8K6lYtbIIsrFnWiwdf9NKKB4U4Uy+shKUlq0EluiF/lHte971niJ3CZGyLgGQ1f
ZD1VwCAqBrh0G64G2tOnyiEXFOVcf+1slXAyDuZXmuf6xmXQ8pkL0QeX9Ozo+WdRc2OXWquyWG7b
qqOq8hHXJNgw/v6KfvTNL7aRKgkaOUnmdgvrLwso0h0s2tzP2GrGB1sRf/z5nwTZ9DAST0l8Ofqm
cw45ON51Jtr8qEidtoUqkLH5iVEtgR0v8NM9KO5ftLgiJ6ra7hjVsbaEJnt91RUTkAhPM8s4M80r
/C8choSrv3MRcE/96xXORJrOFu24raa745WfnMGxnVq2v//uH+jG3QtJt5iWbtJQEGxbA48IBF7V
ukDSQFtdfsZp/eguXixoLVNhMpxJ223LjyKftJg68+p/8tZ99N0vNPt9mtG96RNza7VZeodhw3A0
NBjev788Hz0i55/6p0ck8Yyu18rY3LqpT1DFUvs26dijcdrI/wLM1n205q76Wxp+8M9//WECoZ4/
Tv6yL3iovo6+NR0L1c63OgPDT273+c35n9IL9w8YwZ8+j16nSZMWxrLPcnzQ+8kVT6U5Zw+dLop9
M81sRo8mfTQ6OZ88vh9dwYuY62alOfapoe87uSCTaPOpi4Nybqz1GQh8UGW9PFguALnPnodztP3V
R7yIwtnQ6f4wOsvetscadlwlRcCsPT0LZX3UTs6EHrww40NqwV8aGJWeLUSiVQMobltiH3R0c7QY
KaP3sJ6KiouRvU9tk6BQS6mz9JwhdDxxElOb9tdkuO3EMkHXXc1pMj+JaHJuzLFzp1VXFvLWl1F8
09fAiCXKBbTVWn5SfYwRxiJJYGPlTEzfwef7Kp7XSZo+94NWh9Y02KeswF399w/yRzvNl3jaWksi
XUCN3Bceb99qwT7iJ66Kth6IMtGeeYvOrqeGHk7pYL4LK09PzkRjM2n8/EljueE2Ydk/cDAWXU3M
inDrjH1tFeVJ8rMfys8MvT94nfWLkJ+hYq9Gh71mhx0f0PfTqSqN+JNVu18vX4FB/+sLluhgWTzK
kv3QxupkzR6bHZZAoSMquBtm/vcWoFz9IuJJNepaFs3DfpplEbpthNaVZftPbuVHl+gi4qElrbth
LoZ9bAglg7PAsAhsqbK/FyMuCbiTmeOBjafIvjY0kz5FJ/TrvpH5l0Qt86qoEaHMi69QC6Dk+OSt
PacLv3hp9YvQ10y91cbVMOwrzc1/WAZVM8ISD+ViHfshTRL/lTUL9J0aaoajqpr4XyYD/yYA2dUv
DsAItm9Uc1rvG91/nlvnpKGm+uRTnc3Lf/mxLoKfX5btPMfJsE+6MhpWvp6Nxx7L6FdKgXOFGA84
Veh+FOoe2DMGIfZp6Zvppe9RZ4W/f/M/elwu4qFPWiq8VGftLEm+jYSoEKZS/9knPF+m/3njnEus
rs94klrQ7fdTa0HVsPJj5sZYuDLFBWMjO4H0X6byGI14mdq4m4a2VUPcrLA+D8a2nz45Zj5I5qg6
//puk/EmyVCwm1aWPVbCc2HsPHrVpN2e1ocKEwIMVbNmjZKKSG0nUTBaqt50CdZVsNmLsJziMog1
fk22GOgqdwkKF1fFn5CnPki0Lkm+FsTXqklZ0Is9JN+xxZZSpakumMxCfHKn/0gUfnUzLuIOtS0d
5iod91NEru9FndmHTIW4CHbV2tBsRu9gKSB7mcL4aj2NGSVGMibLGnMUbsowWvdyBs/4GX7+gxfA
8S9iVZE3k92hC96PdDbfpeNj3eKyexYMcp5CEdd3CWv7eM/xdlRmhlLFQg8gA8Qj+mf4/l/nPLRi
//pkVF3OKjxKn73svxlTt8npBwkMXD33h9m7W6QofytZdPyLINaNUTcrelG7fNFYgxqGDS0JfW8k
DhaACyNG99wi+f1b/dHjdBG24sVNnMbD7hspWr9pmbsfWNbi9KZc/uRx+vVp6fgXwQuFGCo4IfXd
bLKkFkfGwrqi94TYpzsw9YvWv/8kv45Pjn8RnxaXtfd+qcstnbqVOw+rhtnV3/rWlxRht5Czo7FY
uR1TDcPP/ez9zaLsEiHsDcxll0ngSeXVct92cx6O/mJ9Esx+nTPTzf7rEwumuS3HVBVbzzAb+oHO
2b+D6Yq4hoaidnHh6/66dJu331+mj+LGJVc4EbJhDtkWqKMyZ9vlo/sWzZN8QsAyh3OWR1tf74pV
OiHdDfhKuS9mC6l1jY5hTDB0CnIcDD+5aR882d5FyFiE9GLbkdNWE2ngsr8k4iKco89gM8av6wPH
uwgHU6fKJYm6YqvrFn2u6Zx2W54ccUsuY5kyX0qbLb7O0a1GFU+vs5fjTxYGps/QPR+46DjeRZwo
EExq0ComNsxrZvuFEQxqDBAgkV2rte/cFGwiyLa6oSe39zqEyCxanldo8aQMTTf+CYtiJTPt2Otr
t2U9rsJ7J+pOrnBCM3MOKLg/wZ989CBeRBn0m6jMEQpuR8PWQ/bWa4xyaBADFWO7dWGV6NrDEfMz
MtpHx4V3EXJSVCd5s8hi6wvkacyEBv2Vpcb6lSlgTwUJ6X0VMUl4tXGVfDMmw4gQyzJTPBhjJz8J
43+AKn5xjHoXEanwRIIyxsaV1THxrbXZCTwUBZsy0WhnPyh74q2TZwYD3DFc0OBXLqICH/RXUrXx
zs2HBnfIAg9WjRXzdYtcFNPBVMVIfLN2U1mN9eja/tl+hFI0n4eIQbbftE+9Nkf3mdLpBeqz8W7X
/dx+Ess/OAPdiwsreZ49+t20eeKuvMnKxt1YQ4sWp1uW5WocBvuA/K1c0W6fPuEsffAeuxdXUdM6
q+kdDTeBxWuAViK5DkZsgY5xlbZ3v49cH/2My+7jWT5dN2pgd5zSxCXhW2dMc0MD48nd73/EB6fg
JbG51UzhyF4ftg7auJBe+LBf7CK/YrOWBQCvST8Jwufw84uH7hLfXIw2UqQoGbZ5bL/0SsTf07n1
Hv/eh7hIDPMFlQJbAeNWL630EPdM+ALbrYctrhXFLXLi/pOb/tGnuAjec8mALwF9BZyjQ65rhx2S
v99/ho++9fnP/9S68qtSLhHepduUEWA+cgra/zxu/y2fuYe65N//ff47rzw5kqXj/g879f/3X9v3
+vqlfO8uv+gvf6f7P3/87/i9Dl/6l7/8x7rqWeP9MrxLdffesVT0f+3az1/5//s//9f7H9/lQTXv
//kfr/VQ9efvFiMv/rPvvM17/t/eRedv/6+/dv79//M/VugeMJ5+ufwb//Sg0xwH1zhhE9ldm0PK
PifO/zSh0zzjHy49Z9/HuUJ4ujhjbP7lQmfY//A8CC/nhTPfNHGm/28XOk38wzR9y/cdz9CZazAY
+ndc6P760tv847uea+lsmbg+BfLFMWpYVuNqCbPxtPC3ik0FKw55UT9JQ/763v/xUzzhCJ2PxE8x
LmFUqTdPhTdAl9V9fVN5+dU0u7iX4P45Gp9EsYvalZ/lGDAEsLP2Bcup9mXe5w1ZippO5v/F3Hn0
xo212/qvXNw5P5B7czMM7oShqlTKyZI8IWwF5pz5689T3Qfn2HLDRs8u2kAD3YIphp3ed61noffN
kvYJpZBFgCkKpfrJyTVCb10sOGqn8HK3H2XjLNa91Su3Oct7lpsvDe06C4HwVq/9eVNqw3Sol9Em
63MdzOlL6VZSQnvqovHmh8/m5u/Z6f9UKC5rdLP9//u/v7wJy+ALUYalI/7VSRX4eWhucO4JVy6z
XYMNrbjWECvm+cPvr/Fpv/bXw+ErtASqK/IQCTP8+SJzVbURwtJ0t2rpm7DWAw79KzXl3rosOxLR
QSxOuEmMQN/+9F5++QbwihKpaJm2UCBF/mr4/TD1qL6vslq49CW9r0TGXyCK9Wd/CsCghITJPrj7
zq/+sPf/qxT/vwvBf9+vrSvb0IVAzP9pKtU7w6oxe2U7MLS7JpjDKMiPTtCcqyO618ffP11x2gB8
vpqrpC5N6ZqO/LwntRq8LPSe0l0bqtclSO/iwxbcocQK0jPL64M5oDjtfXRe493f/v7axj98PlQG
XL4caQpFSuXPbxZ1SeUMPde2Y1gEXv/FPtBMPjZfcCqeqdt+txyT8E93/KlL+/fz/d+rCv3T/sTM
jJGoZZHu0Jh4RmAcUpw/3uZFgX0Xh+ljG6BxQCmH5NVHMRhygpRe5qdevOsP9Otvqsv5PLvtD/HO
CX//ROTp2r+8DWqRhimYeoTJHPrjWofYB7YKQKcdFakDe/8AWMZR+PPBCfMr7Vl7Ts8HXD8ef8yb
6NrciXPtjMP/Rf1Q33RH87B6f5oHf31JtgNbmjxS4TA9fQaX8damfkY4SlD4pNcXEBe6uyFO++F8
PLmDfv8ATmv5z/fv6tJg7TFsxrr+uU1VawVdZPbYuJKodAdrIUZk3Xyeyx+e9K935XJHCsotvTCD
peTnBz33iIvnueVCsflqlSMwI8aIPxKL+Yfx/MscYuuSXFZsNyaZw8ZnMKhyHXKHm1ULY2La3dIK
hXusUIDI6k/LiPjlpk6XciULs2RVdD4T0raB9l3Rj1zqm3lczopAC7OgIRHFA05yThnK7wN7v+5A
dF0Z37ZHHODn2b4913a/f4s/HzYYYVhmmCwtk5XTFnQvf364mmzmDXGuFi67Kij3qFw9fNF/eK6f
PxUL/w5/TOXoBlXfz3OzYaXbtp6GSpV2Icf3Tf2pcP75zXEFiXmd7Q6nPTYtp8f9w+yf4GgmMWNl
4fFr37kh7uAPR4tfbsFEGcrSbZxyUHlrn0Z7LGzZ2quWh/FCnSdRG0rcYW7+8Kl/voptGYBeJNMJ
c7zFAfPn23CLuZ+GtS7DKuuhlcEK81uni4Lfv/N/uopwTy+E/Z0wPudCNC3utG6oMFJENm3MrmdE
nGS2dFl/f6HPH/npdhxdRy8kFG/IPr21H97KpA+ishCWhY2F44HcBSsoEe17o2X96dD8T/fkKsOW
BnJZ3fmrpfrjpYpiqDuNJ5cI1T5q2AyvCtSpf7ihX68idd4Qz024tomo++cbwqM+GSfbbLjVbfTM
fGFfmbhy/zAmP3/MNrMkCnGh2Enxb+v0W/xwL1lPWh6xBlgPh2J70EFYXDZ2aZ85hRD44tS/C9pg
Cjhd77R9ck9rh/gcwmNDrBNRaWUh5880qFZgS+yClff7j+Ef78pSBtw321T6Z4bqmLWSSd7MOF3p
Woj6tzmY9EkPJkWIQ9NLGfz+ej/XwxRzjU6+tuVwkOHDkJ9L42uzFcrOpRPgWCIb3TSv9BmMgDVg
CROWdl0lxZ8Ca7mXz7sC3hfLrE4utcF2haPVz+8OTkraF24KUi3CAi/jCnzCtQWu7CRxRqWOqUja
yi7xUJpMJAo2FlohpZXADgZE3cUWU0TE2q8T9aowHeJCTfrJ71yQWOgfZusDh4m85rxlnKmqGPR9
PPXGd5nUdhLqa6zfZJZs6iCx49IJVidBl67b2wArRk2Ut1pBWF9RnxB/wygcnMOJPFGv1kk9WF1i
4DbqHOMQl2iCzttNc1GOD6NaQmtcsxIKx9hHAGQQdp7bGBjZ5iZZjMaq0NvlC+84svwyl+5yL614
A2+WGAkq2gy/MPT6YkhsX5XlMvKL5BPmVQ25+pa12U2RW+OCU9B0rzfsRQ8OKVwrnl9XR9S6mPyK
y9QV39ox7sBWOaBa/DyK+jtrjNVlG2GTDAu7NG1/amxjCmBk98aeh5mUXmqhdBwR9dKCd4wK746c
sGUN2imuUOnN9CbjRtqeq8/2lYXQpAqn2cwybJypdTs12Wb6W7bp5U4lxlRgAJ/qK5ya5omE5Iqn
qJVdznOkYcgkp2NBTTs6xLt06UowExv0Vd8AQsnCZ9NdDKZszi9qzAo3TuPMiFfWgVrP5krKkwOQ
gAK5R1s1R+A3XA2nbjx4JTMagU2NhaYFW2LztZVrmYqDsdp658V6YX8IlSAasTdgTN5ojwP4wYxc
Ni92Afz6JeEhq59nnRazDGvRDQWnaAgTMjPS9AwYlhtn+25u2m8ZyuiSFLhyYBuC8771VyFxgRjb
uly6PW6JYG7dgWkcvl8cjJmq7bA3M5fddzctL0lOfIaXLXrRBZkry3sbNBE2TDnWnE+aHMew0DWz
CJpqHlY/Syv8kqIsu8e4mShZC3OU1DtXM6PzOkJLOtjWEjmhmqelCJOKL9Br27zZUeqGKF5W8L/o
slm4mcxqbPzZxUrMaNrkk21U1RcD0/KbcEr1DUwIxvsaKQwYL1XT4rRZAA+zTI17xvSmDh3ANiPM
+OlvpUUTxdc4N7+O+M0Rj/f29MG3BRICbrWJYa92AQGU+TDTGRC9TnYZTWv7bKgQ0O5iKTUSbDE+
ISjnc1ox+8H7hYCpty+uqhc+b7dxtdJPnN55bIVieGGYLmMfr5xeHUTbpOh4RpZYLPlR7QSJmNxz
ZLuUqSdr0mEPVU23XeL7aa4zxW8KdxTw3D7WFtw1Cy0ax6s4UL72WQl9+QT0u9flgIS8T1JdC8CC
qMWztixCd78lmG1aC9ocPoCsoNEks5xSfr3muLTWyUjDLHP0F5TvggQXbMyPGGyml0bREg5izdRD
wJTYMctYFvtKK8Yrx151zoo8+gtFS3IEXDMMuAnFdEeQxWTwHOHjeCAbiE1qTXTUvdYgKGfpBT6P
Y3T2Z7u3r7KGkgZgM6IH/FhDrnGPnVTDNW1EsUrO2kQ4qZ+tafYBmNMmfhs9RRTwvbF1aoU7rZgs
jLIL1ahWEdRLXBpel0Z9461dbWZky4xtE0RleQR7tNyrytBuRT8R9jylgybCiXiZ91irTPesyc2k
OzguuAUvjvsU+gf7RQSZA27FwKrS3sSSCC/cY5tlXIk+bRLfrVx4W0vVz+jBZQs9JBnwwOBstfGD
jgX+NbrpTtTt4rpD8OzUTQnHITZiEUClixR8BVx3+PwiTgxmQpD9mZ1E0b6Pm9wgEyotVl8SbPq1
21I3D7GVwRiArVPeY/BjvUvmdt18Z8bK7mcoOphM6xJSpDPhvYRX1S8x4M+6/xaPo6nCpTQLHHQr
uouD2RpLgsk+cd5noZPP6OCDHYMMIFvmI80dAYPJtot3U2ptT27fuIZPKneb+IAbm4uig2zgj6VT
cGWnKJANGCSNXM5TlJ7SfowmuSIvzph8sxyJqBkd2cBtyAmT5NaF+YziSCgfqV360WZaAjHDwJPu
jSf/4hlGNycOMgefL/PkqBX+CshL4kHU+/cGXebmteAYNE/hRrgBFgqOdI5MRqThAAP1Mo4lb6MD
KNnnCDohqjRn5QRWgm/ZE4vD1FqlI5qT3KywO2SgjZmfVl3D5NEXKN+pobY1IkK3frFs8Hse+mIc
/EjCAadC3xWNNxXCPmdCwcsDA2SgYao5OdjbmFXCnV7iUS51mJXOykKgIA4ETdRaud/XXfpcDzkT
TzTH9Vs0bnHFslY2xhGOnLP5os10+2DYFvBSMRfmLfyt8WFzp2Ehk1sZb5lbjeeuM2Bu1TK+KLY9
UhOsBOV8PTlNmfhY5OTb1uRbs58pLLQg7lZ3CoCI0u9asK09tJPeAjcClGIGjuwR/8s5Nr+VqrLf
V9uNFi6djJxWm3iRHrGZbCBA/qz7uj395xkX/Hf6gI7lNfppW9IbK9hIOcwrs5fVoHlPyt4wwgIz
o3FYqo13jEtj0l4Gcs/oHGLLkztsOdVXrbbhVIuULBKfLy57HsyOmVdH52v5EGuyr9NSM/+07cbO
ijtp3ieraXgY8Km3wwASefHbqd3MUHGG+LAmcBiePYMC8HvHtWPf1LfhpQMLOwa0xkrpUeMcvxRi
SxefZNXNDFRmdPcZC60RWgjF7hEQunoY4SrdfGtjnrOpoXwzU8TBPsjIFFGGVqTrW6YvOtkRmt5Y
sUc6e9VcYflbnD2rb93v4HOl3zoseZsvGVKgI7IR6G/WqKciN1OAS8OQXLawZV3f7tztbsWjAjNs
Nqy3CiDla6owVMLfGzpcXJmK7uqC+Acewmw/pJaCPxrj/oDblqthZ/ZkfODg6qYYx1NKRfuidZPx
69TyQG6rUbc/No4MCXgAqxRBAVF83PfTZBhw1GboyBtzhQzrWZoXLmw3Vu9OV6XfJHgBQp1q0KM7
OM22B0WpnvNxWBZPR72U7OoO3QTHv+IEVow3Z/XA1C43Beaays9Ls32N1x67cKMtpCCqRYqPNlkB
qy1d7YKKnSN0R3qWTRejoXDFNGupjmomdRajI4EG5wUXPudjpw0If6DtcAE2rsS3nA9uqAqZfWAS
66xdgnYAjNnQrLvCZDOkTxGbmNVYyy+WdEbjJl0zFOqHaJ279mNoU219pFYvYZCzMcL0rGfa61Ya
Q61ArA/THGxs++d9U67mxMeXppN1VZc4lC6nSneaK1nGUX47DaM1HPATiXmfW/MEsqSN5uckpdsQ
9o6WaESMd9W6bzsHlCcQQ2n6GQQUNglztuSE7+aQthytY8O4FpWue25hYCbD9JaXgZBx8mrHk/O+
4FxdgnipE2OPHDM3vwx2FTV+aZv6C1bwk5AY14R+SeLfZhzpTKQYgVY3BvKTi54DYZDH9BnOe3dr
atfHlG9dbIJhU3oFlmc3tNHroGXIyDw0OqbTyHHD3ErX75NYXBluw7h9HbrY/EKoLxjvnNMNKNEU
mM1lljHJHtxhjjqodqMywOEaLPFY35wBT1SeYg3f61lhDE+DgsEL0MyMepQmSWc84wPETohzuMDa
3mxlfD1NxDcdNEA8zOsVR+UQ4oa17dQCTfyIw4ZpHIupNR/Nvu3ARzdRzLxjkiTMhEqA6OCMWwqA
plqfySAW7j6a0QscAZfqry5iCsJMMn2eD1Y0meAgCtXB11JJMqt9tsUn2TqxTgk+382ow37ASnVL
hXKyrwQwQTeEJs0Eog9YCT3bmZDK2FVhmHdZqTe1N/VRaQOLhiH6LuK8WvZdxxbnWEUiKo6ZsRmc
yZHdmtcmNBCxnyFG3VqAABMIa0QyPU3g1WDa9prClwiRKVdnDptD6yXVeTfBNnP4x23I0Ljs9ZHZ
F1B3331z25l0KGpR7ol9ULXWrhCVGd90xZrAx7A2sDcg9nKAnSMwY/ICqqgNQARq7CTL3Ij9SrN6
ho7sa7ASltHBcxgXXL5O0VQR4pcVPC/ziJO+jGNUlH411Ot4tyzaXF4urP/jtVviaPGsUqtNWBCV
fQ/Qarub3NGBqtHLel9aeveqSnuDNAkEu7iF1Dw/AfebNlhu7uAeCJUcjMtRhzEVtsAQWOvUEGN6
nOnPH/JJ1HNYlYjJYU9EhnE3wJ35WtYiNQAjRO4H7LcGvgy+h+6q13lTaMEpkxztXJR45rouNq4n
u8u3s6ns8CAymvscpZerFQaaJ91p2R/CAC85CCzlFDiJzqKY2bn5JiUgYdILo8SMCckDP3tebxoy
tyE1IYQl+sQCG6/U4q4s2Q3ItrT+1OCokzgODXx+6rouUiM+77Nkg6GWCsPxzTFNYflEtB/Y3OgR
2G0v3coxOkqBKuYL8FQWxaKJpu8mSFcP4LLzJdLWVAYpkYqPUnXteK/w1KIkmWTy3kSclXeb2/av
QnNwvybVuh1htmtgCuNxu6+bqWl9E8Dl+6ADVA1MDdbTG6msU/Slm7PyeW2TJA22LW0u3XQTMajY
3D7h1WbOKCaFgzdnHZbsDGZE+iH6DUt2lTSqfha1LscA8Y5dnddlp71o7KLcs6Wt0ZarrSknTiHp
aJ3DU8LRqYwxfzQryDlY6sTc3VB4TB4LVcT10SBGOj+ryiEDsqdPzhM8sPZpaqJhAk+YtRFoAr2N
wPab2LonpQHji3VzmT1rmtlyWlaDMOg0QZXXJ8IsEMmuQU8GOYXzwwoy56IomT2wCBZKQt1vXO7t
pMNje18boOCYEHz0cPl9ruMj95Jc9cMlcBKruieGsUpvdBci1DHD7dpf4M1c4s6TuNvji0Yz6+/Y
bG3qKEMzWWFZcVgI4rIBJTYIIgB2tbCSW7wq2UBgQU0n3UQHqHy6FWXmI50lo75tiZuj2DOtLCt1
a4rLvEpW4zyNOaa+sjPLGS2t48BynpppuIBNWN2MReKAPo5zizPcBrExR+jWVa99F1s3liXKaJ8N
i9Oy7RDGBxUX7ASt0w8gY5wMu01mYYkKttEFMyFZYAfmAAllh10+J2tWYsCj2lRNU5DIqNUOVN82
TDoWOxUvXlE3I/GNdAhVnDlvVlF32wUNLL1T3qSVVvJCWkPzsCZSyw4EH3CsWhmqylvh4cIlg1YA
L1NrYmTgAjQIwF8u5TlNXCz+IiKYYTbgd6p+tOC/9oNDK7rT2FF4Sz7KL3OSbS8WVdXnGTRgfObY
mUHtU18ZYFC0tfmQxUmM3HDIt+JmRWnLCJD9GExqMyGIm4m1gQ/KYpd8DQm1NNIsgR+aSgWRcpyf
pLcMrfNau5LxG+N6vhTpeIpEiSpjDcdWUP+El6Juok6DKYrm8c7Koig6NxMtX4KIrtd+S7SZFiLI
tA7QTA4eilMMFJ2OU/vRNYHRHPt8SG7SqU2AfkzVdkxibOxBYlW8II4XHJTR68IwKoueQt4ybt0D
vAmMV2ZbQf1LxDx9NcbKvGfvst1HsOn4xY3F6X3h9hD5nWyevjVms3yXOcrvIKE6OXlTmfZnBrS1
wt8MBlEIS6d9RO+hv0jKyWwf8bxDUMCCxw/bGn9Ruk6DhQiEB3ThEN80e0vTZp0nnNW4AZTaOoGW
kcHj9Wvb3EM9cm47EgeuF/DkhYfEK392V6kvfN9L1dK5ONFP9SSybxqZVQtQFzu+61rbxkOWaOtb
VVjUfqs5ti7zUWefb6uNYp5dWdZVWkSD2k8Wzqpdn40aOrvyRP4g36G7mdXEUr60cEj7bdE+0viE
CHIIOtDC2lmFCCzbBN5h5LpDafUU134W4bJW4AIHfGNGQmmA/UpMTaYHDrj4nKDc+cjwASvCX87M
0pP7nfqUmcwLNfb01XO9aGAXdcRFeo6V2gKwJuZW/DQxoXOCTQP7HuT5CE2S+atRYsHxSVyID+YG
DtzvOwEE7gSnxVpn14iCTV4u2572A/Irk15WbRWmCfJueo/w0/g9m8z+1e3argnLMUk/LFkDG5XG
XD4Ojbu8tIleXrstdMqdNqvhehHVlJzWp/696qT2Mo1zmwd5nQHbLUAF3NaEojwqUBMcGY3SBuUq
xq3xBlcbmR7ABOBkK+ZkPUdEWz8P1Fp1WCeFfkzzqE39qYjYqokocl7bGZAOoeLpdm61rQNXOG3c
YyF7Be+TDQGRDtVG3A4LNvsO2ITuMzU6araO2xdfrd6Eh6h1FWgow+oc1zfzMTf8Iu7q1x5A5uqz
9TKYKZYIJxHpXmvu2XSlCP1w1qnxgFJX35H+umeuaU6ZbzlM174sliIKt7WqbtdUJy1kGWp2yh1n
bCDI8cwWWh8leUuzwbx6JLWkvBc2lYsxs1jwWz2xH7LYJLBmFOUKNzFT4cjW0giWTXI+lNCm4GfU
xfSWJE4UaK0NZ4s3/C1JBVVA9njZvVGisy5kax6tLgbiKKsEsNOkYdmNa5fwIJyp85PNZg6w4pwR
LuQ47gtxfeVHA93sIIQGRpCa8jD49OwgJnCqDIE8x0TSWL4Enk3gU2k+bGTgXFNhiy4GtVYKfH0x
fRUm1SISoNryuMWL/ab0tLBDskBkfW5iUDSpimbbQ+cMOiJSx4CPrzeDr2nF9qYlDoOI4mz/HG/L
+FKPs0NZDLrUNzdfgJhC7KIPkpoqu+AgXyA2obYMbkwWJBhl7tZ/M5AiMGhtuXy4FCz427JxeVym
XEJXobM6+vqmu9/NYWLgMe7g2i9MkVuwNX39lcgpmA/GHMFIoz6RGEyAs30vR46vrGrNeFkCdYKs
VrCZ8HTokAVbaWKFKDfVLYL6HndlNHXlm6O39hfdcACjjkQrPaR6Xz2KgUpGYJgLQAp7XeyVzVcG
ogaiSpkEhKHrNELyNLoa1o6MQrNJJdanonK/uvg2bepCEZUMCRnuTtpJ8z1m/4Qqt8tOBQotq94J
+Vke7dXtntW8VIxMM3mnQskUF9EZRwbjmt1FRqria0nLHVBBXUaLZ1aGPIORCBPObav0MUuAqxCF
K+w7xM6cgNMNlAMfn2Q0xrpTGDtlY8nwgJXbtlc5s2zCpjUUm9+UPYI/Nqb5tsaQGny7ccu3jUIH
Y3W2NwFVOYtZzZ2kAkbWJZKhFOX9K7L3RfD7TfWlXShD9wQFfC3YcshR3iaMtN61UYqQSst5OFj8
QVeylWItJxFEMOYsMd3MrcGuKB8Mg9Hfle6tXbvl46Y3rQlI2oi+LyNtbc9hIzzS0LJdDmnC1K9X
WakXU5w2ZSxnI1KpzICuOqN/7MUCswBdXr1ozgBYvCO5ku5YArl8PI1ZaVLFCw1jjOBQiDorg2Wc
U92rqSBwz1GqyqDgIQ5EUgB+9N28FxL/RTTB9ATVi7l5arAVpaUejYcBPEHvOybHEZIVqNz9ocf6
S38a0YCNSgFJmmvRDP/UcB9tqNSZ2xQwl04wXao3h8VKv/y+sfrLRWizo30UdBjpT3M+/LnFqeVW
BwQWSPGK4n8n2zY5z530T1ruX68CqspGOoqqz6ST+kmYkjGfoZ/Ji1C0WnOZ2UZ0F5dFvf/9vXxW
KNAkRiCLnsPhCzTlZxFTlooiGenaEKaURoBrSqqXQ68CqVfVH/rRv14K5QDaUZ0ZyrE4c396bP22
WtYyqkAThLuZbUNTN6YvtkzFn1rtn58d8hQXXYew0EGi/bU/e5MaoEjw3MxAixKqLknnWEHXGuyP
/+3TE8hh0GWd/kGs8Ok6xSpx/oKQDvJZyoOyWVEMesVeK0i++f2lfu3mY8pzTRd5FlIi+Zct6gdN
RLP2tD7RAAXUluUdw9pm8dZEuauGuL2Vc22UNHwW/V8OqJM8y6SIT0qd4dq2+UnwkRWQdWfCi4PK
qkmpGgrjrFVNsvv9zf36vlCAgee36cQzsj6/rzRjqrHhoAcJHqdjbrO7IdKy/oOr9Z+uArDipO5m
ACtHfv4AnZiCB86LedscDwfMuKu6ufvDiPqHq7h8fqYOq0o3mSJ+vgrpYWqm7sSLogmz02B6Pdj1
srz//omd/pYfxYe8F9SHfHFobhm8n4U46cAGHVafDKwOU4m1RcYudQGOUQFVQamn7c3vr/fr58cc
ZEseHQJw2/5LHvvD57fVfclGg7vi6CAIs7PlflRt/xCRHnhD8hW+Isdhc/D7q/46ZfAYDeYLG1Ez
z/PTG3PHzY2nIoHcT6Cc58bU5UA7pF4FG+7vS/0rX8Vl+trVff0xfHZN/GS0uG7eq/uhe38fLr81
n3/y/0N/BfLUH576LwaLq/fmW/Gju+Kvn//bXuE4/0ElJ1mFDMQXyj1Frf/trnD0/6CE5siGdlK6
DoP2f8wVUv8PlFbEnRaTvGuhxP0fc4Ww/oPi8yRPtORpZhbi33grEKT+NAr+O3wbpdGnFTjTyjUe
5qwjEEl1t33ZjtcwhsuzzjW2UDmadquDpyO0YJjodKcauu696Hptn8X2eFfnmusDTwSO1pXRIUU2
GbpSjB8lfVAMhGv+fZbjdHByGytpTLflvYAlHOpDCUB1HgVY53relUhf9rplJvctB8qrpKa2YuKu
y33kc0RRjfNy6ZRRfL8V4JjQAunvOQeqIAOI0XmdntsHWaf5LQKf9FiDOnvYmqzmAJZGzh1ISeMM
3L7zPOlKnGVlUXwniS576fOT2LjV2nZn1dIK6E3R8MGtrlPNy51L0UaDr/qKfNFOq44YQaDj2yhc
2jKx76IyXq8k3fCnVtTgooYZxIpPUlZlB8ZA7t9C1MB7SinhthUnvvE4JtqLPfckAODJaK7adG0v
LX1SYZaW6maAde7UOhVaElmuhlItB/o5692UNcVzKVT8SD3RIs4vc+dD6+q0j8xEbl+nehjOy/KE
xyXKKH2OOFAtIR4eZ092+nBBP7D5uqgZCtNq9R/YALWrjAb5G6Id/SLr3aX305gNOTmNZNiSgMi6
lG3OE4lEBmWRTR5XIiVST4xJXBCcRic9aPEQP0UmDXIfC4Xx2rRr+VqTB3pGQbJ5i+HpbvQP4Fel
eXM30WS+2Rq23x76sIagoMIVCKiKDhR15YjxyioLjgdLTnKXN+F9+egJUglIz6CriOjT+NY6Av0S
B2AdckM2dc+ClLKzctmG72WaaN9rLYewbFAk8if6qNfU/fqLTVY3lRVllywBY1h3+oyUom8/uoTK
JgBHpB6e1kj51uUKAUEs17Avm7e5Ee1DVS5d6uVbHr0OERUuAg83RD7rhmQFIE5T3BT45IEMFhDA
86wG+g+x7Uw5FPi8zeo0apvEsNMPqde6pbk/RS/tIOLHaY2RnmAwMR44iA8PhmZXaPsJII2xpOwj
/ELX2UBhcLVaQU+57YezDVY46Ha3dnY8AZJJcYuTh1ukGpFhs/2dMpf5jEQjvkeLEX0UcdQ9KT2u
L8FjRU3IWbk+a+UMQlCaHe0LOzpRnxTA3WdSgmL6pQsl0FpqGjEdid08NbqbnMEurVtv7rQojCd+
rVBxzNS9bZEJcWiTRQWG2gEZyzF0WYoHAxFZqR5zLkemFr9hHyCZRPGzhiA4zhjQgOwywQ35GuUl
HcWHbj7ZcPA43M7Z9ticUCh5nJFYBGCSNMxO6Gt1ADkyvohuQRhjN1N7vtHQvUVqE5+ItF1zzsnL
KC8msdZ32KyplGGkvO5mpR6IFkoDlxg17BOc8a5cY1h2fcHH62v9suw3it1jEA3QjMp+VUPQWpzf
dna/6XtVVbMXcSwOu3pWF5w/R5tQ0bGEvL/pNETz1XzWyNahHPBkuDH/t8n0+EOyuzvjEJffZOM0
3Q2Tss4nevrp1ciRAa3iAkqa/zNAgTK7Y1tpeWD1uNoWu+r9eJP0gJphc96qvIv9CAruQwFr76xs
BueyjLKmPXY0cUc/nZR7qzWd843KvLU3lYzfkxLpMpWCpj471bOtQO9M9HdsbqxDWtB77YdNXa6y
NC6R5GkvXQ4c2pNqZMYop5qyQULjcj8tyfhukiXyFa0lxem0yufHKh+7l9oqyWYZ9P4k2qmCDafZ
V4NSK7ul2iIWkU8oRmxjuNl1nOTTrnO2oiWHRmuuExJ/kQhQgj0WTZdSP00EU2FJf+eawF5XhVq3
iONgZpXjA1hoDxHllx6daqsemW6m23LM5nBK7GvVa0hWEtxzyNiU9cAcHd8gy+qe4KTX71PXdXcz
+V9fF/iaaIfA22ZE472aRVl+QRVXvQIlqScaX6PFh5lz2OAereKUIUOoUpC6TbrtFsKHzxY5OBdA
JdojrPTto5KO/jbTmgiZJhX1g2W9aKIKhUY3Cf2iNc3mkip/5xNRni2oGjmH+NRtuPPe6c2wbF3r
3EUzVh6Sua7PKYYzO+FNOk8nMiWKtZIZUIw1OrNAVwVoZfLnTOnmfbsuw31ZGXFYqWm6EpoW3+Q0
/2O0Yat9aYBoJ82cfgCA7ziCq9SKFGFRqqX3+OVni/iBmL4VphjpsKYRZBTUBBDdD6u1PWP1i88j
mA4xI7M3rmDFTV95fdu2r7d+OneYfXs0FVWaBGgPqG9WduvuCUfc3tKI5YdkF5Q9cRGRfm0vdIVS
CmzhoHfxfYpAhfgX/ODHKDL0fbQtlFNrFHchrRy1eVZMBGOc8D15Ed10wMkm2BQPIJnloj2FnQY3
N++eM0LifIa+TpCIBmC4Vs2yp2Ib8bXMgswqO+6dPBCQzUePIN7ye+c49lPbbdmx3lT7HPXx4KMD
IPdat6rtDNhq8y0yxXbsrEFHSeJQhIoRHLws1YpasKorQgaiwXjIkkWEfWbjOcVyQC1MItfpZd8e
E32djlqXqcB1cjF7md03JjHI2Dm9njgf6sE5iwFKo169dBCke1K5nZlsqfK/qDuP5citLV2/yok7
hy68GfQkvWfSF2uCYLFK8B7YMKN+jX69+yT3A6WjIlNMZqiiB90RmkilSgDbrL32Wr8BnjjBxMb9
xuFS2bsgSMUh75L+yyCX3XfRxALwZNJT1RTqADu4NOcNfXbEemuIr7jORoBpTUneC8OoVgltyY0I
B/MuBU+bYWJg58dOy4x1D5oCnwGl32Nvlj0blT6ISY1VbDKhxNgsGjPBxtOpfB3ydmdPtCzcdrp3
3fYtQMkGxH83Qe7WvItzWdSUAZJ8jy/JaB0ou6JepIperAcIOXqkNgs1CL4lPegvx6iOTpP5I3bm
hSb7LlOsRRcSjbpo2CuSjjoAinuVbeYHQNs5Z5ibHjHi82ZGHNrXni6AijY9ktCxXeCADdYhXOZ1
DMzcU8vn0e0NwGzp4+Mgg41euEoAHhMgyibBFZFQFnXWLM7NYik83b9K+0a+9X1Nh9jfw+wdMip/
OOw533MllJZWi5F0WWPRm2keDj8qkCUXjNiiw5FlJjF+IwwFIxwHZwefW+Qsb5vaneioBU9Reip/
0BXHLsFAqN1qeMcI7FOG6Htbr3BFUzdt7EUHywrkGysU2NK2tjGs3YH9jipz7gbTqKlUZOmDBvEk
mqffPOCza4xEwP06xTCVvWruGjTPZYlUDkBoMM0QlNgxovXorG2oCykcUlqVzC0ANS9Xp65aCrZl
hijsYrBMD5gFEjlL2QgSCpmdvXMlUDJTL1fK3zuvAN5u5QrY9dYK7wdRJQEIAUFhXCZHeYR00WIx
hl4xctdSNh0iR1sTz8S2KhNDW4SuFBczA0OHdDJUurIrvHZYlCKpp0AY8QZu7OBrNCTSd6z+ck6C
sjEXWonYn6skALB5XDrJWOITjRX77GFtPTOiEM5v7g8LEmrsVdI6wmghUbprfchV9DmccgE2G1NO
Op0V+h11vvXAYKyATzzZRTvcIb2SLemWVbsCe0fMxIruYLdGdIwwCMDaCjstTSmBSMR6vyCk6Pgh
ND6nh69f+dzSkX/U5KXA1dmYpH6mt1eKIexiAuYYgfGmCsphrTQ1qHogs/m30g+tQ9U33RGHW+fG
1lrTnsqpKe3RHTTmaM2g/CKFTvBUO3651307vmqVTN8qrVM+OY5b9puowpV3heFkspOHCEScbAVS
9WRxTE1hW9nDKsOk5ndcgbVl7kmYyHgptfgVJiC0qNw8JHC4Xp/N1HQbw/KmLSCAooAtH7Dtbhta
KIbaGUcCiOmNlmD2QTWLwF/FSQ362sq5dLQig4quOlW9HMC03ci5dONyzcKK1pbkFcrp9Gzw1nkY
JFE9YiOAPUGsgC20hLcGct7tSzvTlqr9NbELY2lWCjYhgrzgNhg06t6QAOZAwKx8btSBfw30Ad88
J6v1fJKVCTa6IuaG1fraEfc+M1uy211vp4sWl4o26IwMic8WREqXCmcdczJvC83Hu7dpqE3SYatx
uANZcFSha5BrNz7uOSnYMlmS+rlICgsj2NCJv/Pfcu0lpPE01YWf4fuSpIi0kc8BfA3bmLwfGPyd
p8HZA0vWGg9NXhmP0O7poEtW324wfex2pkuSDn5P3mU4/n6lAWzcoIHKeZPRWQTHo7j70gLKhuMK
yDHdrOYRwurPCa34G8fsqd8meW5vPSfWvxQYoEyETveKwnFzXVgFTsH2YCzAc3UPVeHfUon2r0NP
oNIfgCnCprywnrjXee2ipTS9xdHHWugAT+Qj6L5Guu3L1jpYrQVcr5B/NDhsTYKqlUbJ8NH/sKKn
HJa6YwCRT5x11Jm5e1Ti1LwbNH+4x05rYVY0zbne35clVo4ioMQFqiLEvby35nHXyxNwaUQFDKbb
YVZxP/oC/Vy/6etMegx0uqttnNFDwfa2mGohKjqJZvaPDHeya3XaDBMsoqOtLNNSj3s4TXg1kEXV
kb8DxYl3daPr2pPs287jEKXu0tCThR+aKjcTut2psIzHxkmsa27SsrV2KFrj6EiOhjJgjdMKKMEN
ArsqsMIsos9mYGs0cfTwTkNqY+IUCRR4DaqP5TOopCLuAigYGQnUBFyhC/CQFCaCaQUh9SpG7XXb
I2F3XaltBaAEH7gorpO96/f0+NHTDMSsA26zjmsqGCM7WJ60GIrMaZzZhzyiT8DCzcBu5MAmxXSI
aRtMPNbLvtTLulz1GfZbE4wrxJFCP/BpEiN93w/IpE8kchOqktagzNM8z7fgsM1qEqqdjkVVXUM3
Tq9FC4gMpxm8+pxGxQdSc7HOrnpXI/bV/doqi/abKykZ39uJKzxxjYkJwOvKyEQ6lVLDiGdE5h5b
eSW37kQGyHPmWCaXv5iD5RmhWAtDMn0A95pU3OclL6aUWCkF/lMy55Em6LYvsLSP8LktHQBMlBX2
PfCnZ2CE6jVwzG70oLd1TB3D9ktoZ8hWaIC35h5mfVe+m7nJFeQdkx6zU8LXYIkth5zWqio5gBUr
SZvZYZdu+rotfzcbeAnYZw1HFSjPTu80by2XjQ6KSIOU8lrS+0fVTSRj+Oe0YPmutPm/SDVGGeXs
zsvGHJ/L55cf8b/WVfycfq/e1TfHv/lHfVNR1N9QdHBURFNM9M/Vv+qbMCd/45qDvAkKvMg9GJSe
/y0eY/0GtRHYJvtGMXSIsH/VN9GVQSSC0rylU6w04OH+k/rmidTKn+VNyqgnrT/JRUIHn5Jqg2HU
IQSnCDt1wwX2ENGIGTp8ZTTpC+faoTMaMAMaEvCqRywAvgeWcUK7+iXtuHfklzwJDMbjTdvhrzcy
TgqunVEDI7X6ahPm8sYGjzPzsxwLCyfBI9onH8dkbqT9zCXsz3c2VquTQq/kSTI034tQfYA4jFOT
PiCBpjzr6MFNFMm2ZhYIqWkAmGWhpPGd5WCrG0P/nnZDSAzKwhuE5LIbRc/DiQvoPG6CJ10bNsOQ
3Q1JeKBh8tAPSHWrXdmu0rjyVmAo0RC1s3pOeg7oVB9+4IO6pqgFctc7yll2R8Hwrkiag5UAY/Ur
egqtEX7RWuiJhaS8tKX8oOBsvkxj+bYf4RcZDiQAIMwrkB+zN4vy+EfD5q0ozWtD+mcf5+eAjgP9
pp/ChQ7VsaITG5hmEhqz9rRR+GbPx6LCaTHQcGjt4A/TBNSv3Rz3yfApS611NpqW6Z03E1W1pAym
LlEGXiWe+QMfgkkivjaWgslKd4QEIc3sKEb4I22TdQtRCp4U9VeHm/0ca1P8dgeBN7uO6vdQjAAm
3byDL6gAVRPXRWGtP//UE8WHn586tpbefKrZ1bKg4i42KCAc49jflml4bZbankFe1bADyBtEDPfH
tR5djfXbW+2TDhZiLhDUmxh1scJzaBHk3i3JzdJw1JfGrt3lgKsKlt7xFw0bpLEkmiL+7B0bD//P
C68+9pk+mqWTXh6WcAIahEz1yvVW/dAuYVsEUH4dG6i+RvVfd2/sckH5D+tjJ34SpvwAsnPqAHcB
/DvLLRQp0ZcNJ0pRxPQdcZxKHGXnaHgwWNmN17W3n7/qa3vxo1cdW2lvRhktat/Aa7zcNE0zVQKU
hjz4CAKHRdGYM65XL6XB8rGzO0ggt0MJpdr1PXlFxjUts3yHV/oAy8TafP4+7zt4Pyd97Ny8eR2T
rEExDAzabfzMG7B3RsPOuiTATr/o44kZJ+zNz6e+Y4aeXKIi0+e7Ii52VQ2jpjChzhhCBY1qpfUU
sSDQrrqy5D7Bae4jARqrya2XVLSXZf/K9dCFqTC19GKQ3gbuHZhRPslxdKuo1SoLrQs92/c91J9j
MX7Em5e1oqjs+iwr4VPECIX+cADORWShhuFx97AuhJQTDaqfjzlp1cOFr4IkaIqNkrVrdWT6g1HT
e28pVHuij3lTmR8avcb79pLCrDr+9ker7uSkclMPK8A4LTY4Qtzqvb3FsFiQo/rxpIKpD9XAnZWY
Mt9HHsXfPlyFpkF1Ak8SibyPhYERVyeMGvSk/CUsGhK+UnxzspZYBrdyalh2Mv18RZ5TzNRPzjBI
YBKoSzvf1C2k3dF6UaVmyjnVYJuiU8gMEJc1PedeVasFAicdOKXksVRBySH2ikFa5c17uf6SNNLM
9bxDjad9gix6i1lc5JvbtgteikC9acdCATmHPMsVrEQS+YLOqXomGuknZ8ZgV0Xr61qxGQIyY5De
+DBiNqOZd/KgPhpY3BVqgzsE3SSvRE3cXDTcfRtDusqdat/HwVTTzGupw9VBbW7aTN5i+fRCoF3h
60bx0isuoUdO9Kv+Wov6ScxPYT/3CY2ITVhJ9C3QWdiNmvGTgWvGwWlxB4X2gdEe1rG0Ubqci0R0
k5m5fEVV1wSnbUOCFjIFJk+HGQSL1HBrf5LSWpjXUVWtYtW9l9rwQXOV+x6bR0dpMu4rGHJXwbPM
zZ1MJNCmQSdnM8XqtzZgXPo6+p2WXhKdekUhfLD49ZPTwcX82M50Jd+ooT+F+bxFiniTmM4PYSir
LG0OFICZrq0xwFYo6y0llUUapxelf85svlPxNfTISuzcjXyDd6QMIaNPpiIh6UHE1D/mpBSOHuEh
iTfFVJLbb0BEX3KpqKdBA6eWi325NLlDyXZPZRarPa5d33FTLiadAYe1rkIawwkOp9O8pE6OwxHe
6EN9DXFGX4EFthIT+7Rym8Riq0spyhqpP5riAgF37MJZQFve2XkbLR3JW8Wu+gxxyiY1E9kUPh5V
fYlsiqvz/WDHa61C+oFDCSBnId9kpdouhF9+NdxQA+3sHg0sFSnySgeR1vdRbD36WvQkCOJAVbMd
hPtV7ntzWgblgkbZ04WIMUaxjyb45BCz5Kq1Ick2G7kjoa284q4SejHLBRWfRgOa2vkq98YSFKvU
wH2O21SdmwTFGSdxtLBJRaZ1pD87PiWqIB9v/xDv5jQfNmXb1ZOyIxH+/F1fg8BH73pyItJQ9woB
amHjwosrxd4SBy1Pj7oWU+qkEa6jnmu0ljrrLGVekhfY+FdM0KuYOiQMlRcvO/i+mT/8HqblVYQ/
thfvLclejji93C5WeQebGco44jyrcsAsXPf4VnfjOiUpzoiva+ZR9pUy6CrRVIXOcnkTmRalabE0
RUI9VZlL6nVs7oi9FE52ifjeqRaoa3Ua+PH883F4hUd+NA4nh607EOf8VpQbQ3L0JdXv+C5KI4v2
XhmsFbu0cEnEhzmTISxn1DlZmfJMGpxloxjDcyCVsAlC2lJBksbzCpTzTCvsZK6ouCpruq+vqr4b
Lr3smTTmFF0n9WiQYrVZb8IkMlRsJLEGDsyw37up75Ir21deXLQ4eLMBQQMgkpmFlL6dbKebineD
Ke6or2L4wdEGQ3dL+xAryEEv946gw2CPdpwUa6Qpezacm9WFfMY8dxCdnPo9Lu8jpibbUPSt6ac2
YA7qyFxhGKoshJMPc5rt9bzUQqzA9aydiYSulNnAUk68YofP1g1+M1d5068M9A+mObztaR6HPtQc
U58K2TUAwevOFBn3eh7HVrwwLRXMNMLhk9xKZByarG5aKRArHe9Y0/+cqp6qr+hLRytNLdRJIQl1
GvujloiScLTLPVo6dY3bRx/eGC5J35g1orCOUFBUrUQfP9klHKJWWaJLRFlMR1bD9Q4I4s1D1xrg
3jZ+PvfAxcLO16s1DcWIfTRm9TKUVVRQH+uoJqm2Mm8uMOeYqnHczq3W1hYXlvaZ1aKdJDBIJpgg
ROJ8g90r45VzmaiqFrJQC8p9LDt6Uw+bzymayT8A/ZeTWsrpFHdVPkcIoZ1nkEfmRaY8KpWxgeJ0
LUJtpw10/ZRCMyC3iJ2epmiqXJRKPHcrGVFib1PfrM1BeYfwS6PIfvRF/bXumANDbr1ZpvpHyzEf
VdV6TNCI6mLq9nFWEilNEB1DOlpnq8GxAkgDBfnm80E8+0YnmYlGyPVH1MImLJTgSoE/TPgRan3r
aunKl8z2Af5zMVMxn537io5Fepi2K1xzN1hZ+xat4N5AVZ6a0d5zh2BZNq53YV+dq/ucotdV0YO9
ruV84/lDy4YvsKLUKm+pxdjOkkR16yjVJpZkXuHNBabFoQNsgmiZWwn6IV3cje2fDNApGDXqCXJG
4IYveWHkzpyGmvF+LhX87GGIKGKT6tFaHZRlm3kzWbL3lo0hN1sdEvkCWbJpovjXF575Hu76Vx6p
nZzAiZrIiopYwsaFrox3L9rgiPcEgb31XRtLaXlZOc4MV91Z1AGNCN37qnKXKiA1KijQ/gZtONp+
fQFIfMafDPzj+yFg0oH34i+8sQRE4jCGrFKLHr/b7ghygltdRR3FiNIfdHO3KVECVbJbnVv/NNQH
Y67VUojGgveSBXoDOyt8Nm3pgqj5OcMGbYwab26ZrEs5b6Su2TQ+FrzUcLyvLjnz70qv4KcqMorS
HvSugmQUcYYtxJNjXFVfZSPblQHVAMBS8krYIl9QMQg2ZJftde2ZGC4r8Q3ccygo4ZOFiMIMI6p5
WtRXn8/xuRP7VLzajSWDyp/dbJRC3Bu1Y4NagMlYSxCYyuRJieqvo3zFlH4MXaj6Gd4hTXBI5dQU
/ENCm7IC80WCA9TBG1jvDII69Yvghwfs5NLqH4PsB3nFqxrum+E1c2nkoRrNRoUdiFJauFcK9Cjw
rPquoclGcupdmVx8AVoVO1vPdkrGcWfJNm+W8HpE2LthVAIoXOBjJGdNO5NytV6+juJ/d6H/LNL5
fyB+mTFCc5mIcL7av3+On/vnf20bdI7+33/+VxWN/7Ys++fvz//6v/9aPX/Lkufgo17AX7/9Zz9A
N3+Dz4GCqmE4KMOOa/EPvDPV/N8QolQcwO8W2qQW0e/PfoCu/UaMNVRr1DyUERln51VZU/v/8X/4
Iw2+C+QaW0UqHZz0P+kHvF96oImhNOk2dB2ILdBbTqVqeycqITXK5b3pFkuj4PqO/giusLNMbmb8
5UWU5Msw6y9sTPog79b8Hw92HPg0kAvBgI9dkrehBdclFcksrb7P/X5eWjBgdf0+QGdLiilEyApl
/7ZCj2UQ+4JbCGRMLUYfCkuRRDOmtGiXLXjkSq82emcuVD/5iu4UNpL5KlXFTVjK6Gw0MO9yDNry
Y5t9UxJj1LWbmp4B5z+6y/JvaMQtKGjt9Axr28S8C3uxd0zyYscY8CfhBEopcw7dUgvNJ6tOiA66
cyfXsjXRCki1bht+83VMc6r4gNQbNPrgGa5EsxalfQexau6V+RPEm3tdt9ZagSdZEHz3oZBGvke1
ursRZgOETOQOXWf70MboCpX9zfiTVV2uBUx15I3adVTaV60j3Emq0gBGOhvwkT7ragYrQufINODP
SZsRjlzDLZubQ7RLZfeFbnq5TtuUFDaE+9qEiyhqdRA++RfHdREmHb52fY2WnC/5C7mTFuog5rRR
72U9O3Z6CuZWK6Gy6uahKUQ7ScsIcbiIKrVDA6EwZ1aMIVZuwsJMdootzdFtn+pBP4/N5kIB8tUv
7WeIfF0u9Mdkk7N+pPA5J6dkUdFd6RSpvEcpZCZ3xtY3qoVT9PMiMK57lyIfTOgrIEp3wvS2vhPP
dVSbuNUfAmQSaj+/zWkEAR7EWj6AKht3D3HNeGHJ50vGSnURBqKLixTlzAj0lZWo1xSXloHrrPtC
Q4ckiw904o+Z2z0kQFF8bOPk0Nyh/PEFw+qZ1rqTxuu2BckuNST62szOwCrOsnBWCnyLOqW5gWHI
nNnaPPBAXMe+mMaxgT+hOaO6+dUa0VKxsSuqdvQZT762XHGTxkCAh0JT0+dPMBM2gwA+pRqrRvOu
HTM5Jqq1C+PuytO6q7wobh268HEsbRGzufeDbAXd4l4gJafUCLm5ydFim3S+fojUcmHp3V54L7qF
UkySHL2cd/XTaYxHT6GwQhQqETHG22mzYYHu/MG9UMpX5A/iAFBLh+AHd0Mzx57o2zggohLoQ2tW
96Xs3OWmcxfK8dzGMLZvyi+lnCI9qXRXIF0AA4f7us05wLMbVywzPZ26RncV9sWSu+wuQCtJzrwF
fIeJmqv73EC+Ls2Ppivd6X0zg1K9y4di3UBwkONR0kbptmVRrI3OWMJ82yeg1ilZTWsLeFdeg+o3
Z8gITUeoHNKUs5CSH+zZaQ4Mx43LjduFgAPCb64f71ph6mgmhLMibR9KG9XxRuONOuSwEi7JtMTq
euH0ILA8ghWVrl5WFwKZP+THwHKOQ58fhUhXAKv3uUPinZvs4WhuEYWyGv2xvNp7mrhKNGQCKzFJ
rG6rlsNc8qsFxNt9Am+Edg2K/UoyLUp1wpaAf+kc/OJBN8WV2+arLPqOuPJkMAAvdRZFupdS5RNU
acMkbJoqX1VGdgwhnSBHYK5zFKbAsh3fHKLHP7bsJ93JP3ayYmiIfo/sP9R+3094CIHWNIK8umes
9w1ukIpnLL0eOUY9XRVFf+W0xsp2vevYco+5BYw3zJe1hHocCBTUHOZ5mj3pYYIgI7qmfpyt8sFc
wOJelLq+crnrI6h3sJGb67LmsbLTNXSje4jQL+MuUdm3kDUWpcm1undAF9uH0nEuZHTvrxZ/fKMm
c6hjEUOtnCP63aLWY7WwTGgl96DgQPnwzFaFx1ACZunc8EJsPLGR+PNpIAM0NhG0ttMbhAAcLeUt
R6me1RsjyRZYocy0GsC3t63BjLtWu0WJGOj+CEvyJnKDvBGCkfQX3XT++fSe1G+o8KI8xgeD51YM
GQrXSUFBQ3zZ0lrR3o+60OCx1pIDnHs8VAvUzoRtUmQgy4j1ZUnRT+T5qq0NqjXGImE/yREV9cw8
hLV2qEEHEa838A12mV986dL0CHp9WxBRVZGuM6fZqyI7crc+Bkb5iFTZVhTGNA3U+0QSN2bNZ4J2
fQQuf9Ck7qGMtV2JJJcXet8xqAUOa8zsvtnLMdzkKPhRcWqrZndFlXpbkAIldnqLYLKAv4LdcD/y
NWy3f4CO3E0KN3/yEu1a53+YSDFxXpXuKtncwQlBTTZpL0zyuGLenn8aKeDIctNUWVGMvzFAc8XV
A99nWE1JW5Wc4hqiGf88zT+bw7+D9Jz9v/4HZvqM15sV/Dem4tEP4iDPg/RH9RbP8/q3/szfIRiS
b2OXoYycdn00APkzf1fM30igQfg4ALTG1P6v/F2Vf3NgoxujI5TKAuRP/p2+/4YoPPx4CPgIXUIy
sP5J+j5myT+XxR81DFuBTPk+wLS15OYkBsOuM9u13nYvapzoUzJjDdmgdm70o+P6IH97MzQfxO7x
Vz962hju3txT7Tb0PDKhfteo9XddS5+6oPuiy+mdZBrP2MlcKoW8X+w/v+rkaJB75L5drsA7kNr9
gJOCo1wDH/AOcRjW12Yr99eZOyLTKQA+pFj7IighfH/foJdmozCRyjedOtCJjw34Pxdi+vjwjz5+
fNk3H++lWt8Gpd/vUht9P+55M/Rihw3i3cX08+F9f2r8/GwWy9snoN8JbgPwxE6R3BXqNDtMnWgu
eP1ToSGg+WsP4UL59iGuCoFAthN7bdV4vSAaC/PGlO25JH7xAWNH8c046QkWC4FRiJ1E+vgdnm4H
Pj6U4JHbyXUtJPnCaH1Y2xnX/kmnAAn+0raCvN05MKI48zIOvMzNph5uAHM/q8Qip6RDEiQrKzhB
8jOYp2bBJjUgNMlSs5OcwH+E0mqrUw++3U3bOTBdq1INroDGayrESz3a+IUoLpUcPypz8sqnHkLw
DrRE82tBot77z+hcqzMj9+S7Ju7RfkJ5FNBoZ5uI/qm5TT+BtgWyMAWUiM8n/9yYmSe3bVfBQtCQ
MrEDODS1bf9YaNVLJverOoFDERfTpjCOrf5oq/kS9OKki4G8hqi7imbdGu0U0CNYBf0aNdC5lIbL
wLowNGe2vHkSyIamCiOdIt2uSLYalJEGX4PPv/nMrjqVBvFLD+ppzC97+QOCOhPkdFBiPjjlpR11
JjD8zfEFAh7mb0yq6I+yt5DtPYnq5+9+blROYo4q+62pSkQEvXyASKe1F+Ae58bkJNLooip6UNJi
59uw8ayrBHzSAAm3yi+5uJ1785MwoyDJgQzoOOrKNfchqE0XzGnPjfZJeDExnlbs1re3RU/BG7rA
vkqMdQTf48J6OfeAk7DCBUp4fmMGoKbLap6OGEI9Mcu5XvcXrkBnjtFTwKsRB1VeaLm1bWR5rUvg
x9zA+Z7BqB8Mb12ZyMR9vnzOTPMr4vZNKJYzW05h1tujSuWyBoofqg0QF3+qWk+fP+HMNBsn27ZB
6F6G/25v86ZZxV26LDDc/LWfHj/q7csXJLpQkO1tgm7+IozkH1oJH+zXfnyc/Dc/LmWOJ9cQiLeu
rBLFKAACU5G/fv7jZ1aQcbJrY5p/iZ9b1lYxlF1fRzdmGR4RJ7z5tZ8/2byijeFwBa619QLrpgr6
haYb17JlL37t59X3QyM6uD1GCUk7a/tVqLhbIcF0UfRL8ORzS+ZkA6tyG3WIiprbYgSTRvdQLy68
+Zlk+NU+6M2khnKhtqgwmls/NZWZUboPtt4+eZF3qHz1tq80GyGZ8tc28SniT3L7OkXa1tjiW4aO
G7WLwMtf6iK+CdM8mVXwrT6fjzPR4hSZVw3CKbSIB2VZsi3kgHIRdFnPdddlAedUyWEPf/6kcWd9
kOGeAusq+Ohxgwr8NvTwEbMEj3EBL+Lpkm3qALjf5485swBOoW3gh6PWznhMDf9hojqdiqrcPzMT
+yuHPsWt4R5V+wg6mNukkPSNnAEg6oFaXTgbzo3Qyc6mboOGdDC+OiIDWBE0ey9/Ev2FYHru1082
dpy5OJqkAXEju07rPcfcogW61lTd7PORPxOYTl01HUdrVfyAaB8jwrdyRfYjCiWsIpBUvtApPvcJ
J5s7TaDcJZ7DYlX7dOmN+RbXpmyCQ4G8LFz1wjycW0InZ7TstJpAXdra1mi1T1QPU4CseP6lQTpF
wsQo/Xp6Xlhb4dr2ysvUOXcPZ9lBY/+1B5zk4Goy+ChFedZWlmDeIU+C4k6JVk2VXCiqnxkd7eRQ
9vE9wv1BMreySj8klpGQMzHH+fztz/34OPNvgiy87xAladfcKiqEzLZEPMD2wl/LS09hIGCGcsVs
UYQoUS+mJ/6UFTY8jFJBal0qL3zBmV1wivvoNU/L9cxieALtHjTLk/CKZxWS0C/+/sk27rOw9RrH
NrdBvXMBS6MtRKl1WH0+/md22N+gGGkaZPRmTVSR1llwTe/0CmM2LFUu6eadG57TLVy7Q+ZzCd1i
UfaSaqXzJYm88jYWeXVh9557wsnuBcaPTnzDBOh+5c0qDdhHJlAw9csuu/CIM6P0Nz9EkHhhFfAR
wkXgQVqUKk51gI4HN5x/Pg9n9sFp37pEAarXTUyYjKSpHzTP1paOGVXrz39dGUf7g7P4VP0Rtzta
HboR7wacFKehQdN54Yo4/orWh3uQ6856FLGZpqMYqaCUj7cARCCrEnd+qNUX3uJDVgD1CvVks1eu
bCtuWmU7evDhPPba8ptSy81ac72kmKCurNG9jGUEanVdwjEG/WkoIAmI62UsqfoyR3B26yMRdh01
GG3F8WBtbTUs/NkQ9O4xwCp4I5cuWunQ9meB74JzUjxL2uWC5ueFtXAmLTxtNKUOhqxIX5Y7rSu9
ASQBSkCTMgctPhHIO8PM6VuMUYI4V4F/VRpAhwuTeCZ1e4VTvYmVUYKoSAF3Zgdiata64ktXmKix
uRvHdvZ4As4iP9xI2r7mtcrM2ncV4uvozEuKuUSl7GgOwpzYQHB/LTK9TvOb96GQE9iiDuId6lUC
YaHCWCtQ+Q6hUxUXtsUJruOvBOyVVfXmGXDYIznCaG6nGLldHRzw0gPdbBxKerk0V2nk9eFMZw/4
MxMRyyVONwIWtUEprqIdvQ+SvN/Bka2/X5iEj6MNUJX3B1aCugg9mbTfQu5fcJjPgvnNEae1CTjb
CU9ehhfW2YfKgbZCHfH9k/omcmNYST1drYnzJX6KNgNQ+KM1r160381ggnCPEs68bxc+7ON1jSro
+8cpJfsoQ51qC0ryyjt0s7CYAUxGKmHyEh76mbqASNFNtbm/6i7cbD8Oen9DX4ROCDgxy/qt1+m3
hifu+lq/u/A55+ZJPfkcaMmdSnq6LebcmKfJvJqiIzdNJ9pUmypzeYaj3oVF+vHpoJ6615p5Avyq
TTD9bturOreOqGEjL2DnYI3k/Jc2Gyzw99/jcHFDYjRiegpsY2XpugxgSeiobn8+YB9/BKyH97/v
u1EhgK1Eu1yX1Ak3Xn+GIBSCJq4azxvs6i4M1muw/+goOvkQNFAkgU5nuqOUGn0l2KcbGaTTJvVM
BUaAOqAY5yAlUpl4evXEkwXVD2/GNb/cZei3P7hGgeNS3+e/C2T1kslo8YdyuovcwQRJB3HUFXvU
HrJsb2tbZnusO0XeIuikfEnDGoNDPHCbKYZE/S/dUl5FRN/msJVU6qI07W6Lmtskz74WdYNHw7B2
vOzCoJ1ZzKMqwLsn6ES93nY6ZPbWMfopCVJCknr7+cw7/MjfJ0Slc/jux1vUc6oY4Zxtg0zvUx3l
KZukjLQrz3HMHeGuQ+9dMdahBvswBqR1IeJ8/FHItr5/bhfgIkUqHu1i50qJop2fHQOruFDXPbOc
Tz3GG1uuMDpIol0LN34S5H22QvkCbWjOyW0p9fkF5OHHIUx7xce/OZ88bAWGBsvcnShrfZpZ4Eg0
VOs/n5kPebIkTK/MgDe/XmObZbdDmu1yJ1u5YQvmgyL18LsB7qHUrhybmq858aWHz593btDGmXrz
uKbKwsK2kmxnwhCTUdnT1dsUOLN6qS1z7gEnZ4zT5L41mDkPCJF229XBzkenFJe+SwN2bjq091+Q
ol2EV4aS7nLVHr4N/WAvSnpkMwT50lWW+8q6DPP0UWsNdAXDgBzSFukm81WQqh5ckjoX4SotyuTC
CXfug9X376Pont6khp6iHWOvIAdc5Zn8EnUGqrHAUD6ftdcQ/fcNDATq/UNs4HmG35TZrp12s3hR
LMMZjgxza6HMsqk9Q7Nq0q7FUizLfbqUZt7s8+e+4sk/eu5JJKf7h7pfRzpfz/q5sfimTJplMfXm
2fSHmDzudgdt+nx/207wOp+UE3Vy+/17cyE5OhM7Tn0NyiKrNScLs13RhsuqE/ok79prmG+Lz7/t
zDpCHOXdTnC73NXkrgt3HiJAzxjQpYs6w9bv81///5ydWY+kOJSFfxESO/iVLSKIJffaXlBmVhUG
s9uA4dfPiZp5yGaSQMruh5ayJSC8Xl+f+52VQF5drLh5qxuZOmJxStUzS5+BFPcb84HN74jnb79h
Zdyp179/mMlFZ6gaIMHs1CswLa8sBa6ewgx71XhwQRLdGHlrvbBYLyRhFdFQIQudYhkOGeJDgmOr
+7UlXF0sFlKZJgiTC3aCp2sArN0AjRmc7oJG2TiPrjXSYrFQeaqr/LpHoMoqEA6sGwF+rJ07gOVu
98LaKFrMfgu3zpWb9RUozcYDr+qDhaLWrz16MedHCnuWK5v1OHa2OMFOMuyVZKtAZ61fFxOb4yiX
a3aWn1Ta/AGo8LtIy0Oi51sWKJ8/XyeLnb+D27xRqUV+kql2lpn+J0+0GDqpP7fb5lN8wvXktJi9
zuRUKfib0xEVnwELiygLMT4P/DLcFcG8f4dfUAQPCvHaeY0v/lQ7cD/83E/Cwjc2psbnXf8PvPRx
AmqoUlag/J1gtCQeYO65QzHExrD9tPVUdekNUbvDgJK6FNJaIFK8BKpxh7vg+g3axuL66bzACxbD
dioE74RlgpQBGLxJvmkQeBrp3Uy+3e6ftR+wGLt0rntpIBUYD9mpBMSzzCEV/9KNDT5+MXZL1Iy3
/Vh1MW5Nq4tQlC6CGybbmHafHpLhMrEYuRZ4y6wYxyGWCQMm9UemKT4c0T0UAZgJSrrMjSPFp8MH
71mMYOL2PS9hURpDjTr5NhQWxzyvleh2B6w9fbH/ULjmGT2opzEUu/wOnulmnANqvdFGK8PHuf79
w96jDk2RwsYrj11V2aG2YvLTtj3X7dz6dQob6du/YWUQXYucPr6Fw7CWgiPRxDmICjV4g/7sJLhY
7uT77Rdcu/T/RTfogmvjffgZ8AyEaYQUgBvraRNOIK6kXmUgwK+4kb3l8O3xXWB1QX6kkdHQYes+
YW2ILXYl8M1twNRTRKU1h39k0b8T5BT8Fml0z7IpDWAM5sT0aoF1+4eujYbFdB8TnJZ5LqwDyHMJ
aLauCBvYZ23cwaw9fTHZUVA4FwXQVPFgQDdNaFsfmoa6+699+2K2D4NKFHgElnHtZGkIJloL1rlZ
bilHr4/5ZAwsBXamC2+6dMhRZQVktDabsNesrPvCKB81iJG8ETr0RMA2fCa/c8UcN4b2p+GhClOt
/448kEEKhUjkRXAzDPcD3+YMp5g7fZZw4dgChq3Mn6VCbrIpLEKElcfwgEVFe55JoPkypb5AvJJt
9M7aOxYrQQojulG1JT/S7EUmUQt2PlCgG6209vDFAlAPjQvgptIcpZ7Ou0bPRZBmZnXubLYVp6yM
XXuxBLAKaS+Lk+aote6Zp/aBOMZGcPu/wc5nY2s5z+EcMDOYSMaV1XVwkuxK485IYF7tDWXR34PN
0PkNgOP+DEDWLsVdiIHCYQEBAktFYEJ9Onpd2fFdmQn9J0wOjR4I0wZcVjhYdO0eyPbycRwVV/Un
PS9/U67VnWfXdXsxdGaDF66ilCkpu+6o2RALeDDf7T0Llq1nblEHoD1CUdmlpvBEJOTJroREfQLV
zTvUNE4AfOf8Hj55+XGAh9O5sFonNjTIQHMNtzVth2pIBup2CRTAdwMFatE0GtiPQYF9Fl3eeyqK
wKPERFbfN8eRggGfmWcuO/PCE11BJXdpP42sBhSCVK8kS5M3Cy4OHle1FrgBVd3NtqL9BhFQ+S6H
xni1GwvgPYWZY6RYCo6c9uA+anpn1ZfKYpL6WSP7e9Y02kVVoO2twITVfFyLuTCoznAJ7YnELU5W
is3YT2vE7qGejPZLlioaSBmKlgFikOrnFltCgJWZ75gk6ugx2BoYuGBOgELQJhCIu7q+ANDWPc4O
MWOr6bq7ZNKHM4wsyzCZUJw3NpN1BmiaPFBV2AdQasqjYEZ+TvrUem6xF4UJrOGvWXFjNxFL+zUQ
rSxhaQrJUcPSEhd4YJfDcAJU9jyBg+QwqoDXT8XecS2gY0BghMeE2u7g8kj3Rq+RN9eEYUpKrTQs
QNAYQzmZSE8PNgQV17sSIKvqHyV+CkDoKCu8uvP25Mhh3QU8iYBWR5dwsEFCWPPdGQgXm+qGp8yG
4efAqGee1VR2thPuRPbA+mPwybmPzAI2RvCBG/cG+s6rgeDZwVEcMaU1FAdNgLLD2nE6daTtj42d
UiCTCMjcqJXwarMxA7U2uhSeGe34za269EAmXT6kHZI6Y2KjDgiYaydCHhw1o3BB0EGxreFveKWK
1QPsbrK0GkPTVuGEAJ+nCAYHOKFa7YggAZb0AMSPejg1fQLYFjZYBaazd8CFIn8Bss6ZqFT+BLUG
6t6UdicJn7a4AcLrkGf12Pkdyqs9Ohs2TFGlIyLbHmRkOWz6yUtIMCDI5MeGOx3ILDX5QxhrLqiT
GqGVBA8ShP165FoAk1LRoyavbmDXWTMYZrZAGQEgJk3w3CcX3tmpPX+fYbMXJrVqPg08NS95o+G0
B1nnkdFyHmMyWRX08AAqhzCQUA8cPkF+0+O01vAm3ekNwA42UEO7sqxUH0Eli0Y4KDxpmlvsSGID
p0nTxxSTEDbuIJ3ajGnHWbcUFJWlf23bBjlYHRQH7PlyCgq3ny5WD9XPwGYNN0Jt7wHlXAWyA9gD
um95D8mpmx40o3f/ZIaZqsemkcAXDRUutamq4koX8CDY6AqohftE1xLfmeEGmKNv3rUp68ACzRVY
U2RVmDFhHZ0BQvvr1EIBYwcWGBDyMLgGV6F+m/K29OUg4RkF550wVW1A7bua/kkcMf7MVTI/0zkH
ddRsxj/S5urZdgv9reRKf6jVGmXbQInuKSov7oqZw2PIaJugyzRyznKa71KCmr45mVugTKhltD7V
pTjTodcAYuX6PkEhfXEHVDVybW0DdydDWrjDNuumfdPdKrMPCv5Tekjd2zC9yqFIgfeqzs6CTLwG
y2kEj8jRHGEeDSdr+6/tu0uN3wBNc63AXOFojwJwlgoI0EKFdsosC7q7HXit7L5LcV+HKrucgjV+
ZKiNLRpxbFDGOjTW104oS1GfY6QOCtPd5ih6uCQPFUpph6EIbn/7ygFlKeqzDGZhEU+ao6s+ZxhX
U2KBOpoFDCyf229YCRzMReAAe3neOUXaHh2l/iUIOYO4sJE7XGn4K8Hh47EEaQ1VzfMpiS0O0o4c
YGnOVBvdUPHw9sevNI+9iNgnLhOBokhUSMLLwmyTt6E1Bh/2RO8oT95K4K600JIbbbfEgHlcz4/6
2Nyj7tOvJrnRQivh81IPb2olwlizbI8AxsGUBcykHCTqvbN1g7ny6UsZvChzRZkbi8SyKd91/a/J
7KfbLb/St9biXG4OaqVyYPuOFQDJdZ8DCws7GmXroLfSsdb17x9OtKla6i52FozKwnhgfN7DpyRK
+PRqNOlGWLvWNtdf9uEVHR2VfjST9qiIH1b27FRvt1tm7bnXv394bj2RkrsmbY8wZnmQ8MXQRPp4
+9FrrbKIw4eRtpVWJd2xM+wQ8E+Q2A6kuMClY2M+rfXqYsaKmtk6bO5aCATPuftcOjtp3d/+9rVm
WUzVDvdplibxaKL/rdonPdlIMa61yeJYXWOP4qmSd8fReUJCIFIhNKnBsba6r66Qi0QaNnhFYaPW
Hnsc2uHQA/Bdn7ONUWj/y/Z9crhaSpO7voVosoXNl0gGAEjSIv0mi9oF3WLMo1FLGVAMugwti9YQ
HVg57D5qUBM73QGZzkp0OkYtqSTEFom4V/ICQBez1u4AAXF+qmDbvBp2yc+MahmcMHEZD40vYi74
up1LAEEvmezr0GqmeWfwbo5hBmicM9jegb2E5LcOYhygCt7UD9qfqVaasM+Vv2U2Tm9N6TaBYG1W
gEbijjWIfaZJEWS7/Fm1e9Ag8xbFkIiz3N7BebeAIWRWjQfRwkjdb2ZNXijVc9eXpGvQbbaaoHwX
FMhqdrodQRV55M6m+QiKHAy0hBiQ94bsz6tMY1A8RTUm8BBMGabAYPNCVQIFFaS73lbkxc5n522G
UcRpAqIicmDz5GvDDH8TLYUhRKDYuJuGMpidSd7MPzsHJ7vMBTzea4YSdmwDH3sAFyzjV9Fr4GRA
ByKjArwXIKoyFEomTcEvTpImF5ickl0+afnjnIKwobmCKR5xcnrmmKupB2iLfXbgbvlrhAsOjOAL
Z59TqwtSq9XeZpcO7xagb5FGHQ15M1k8T4g4A21OCQAakxHjWG28a4aSHwmk3y+JLeug7VKbhQhk
zaigbYFzrBjTKdTAU4wkbA6Av24mn06wHMUZ+HUaB5zcUd39WNpqs7coMeEcpWc/c5tkvt4pzjc6
GeOTKTlc9Ar8osAqM8TVztAcbPzVqyoGxQg4LDvmpM6TldQ9Ah2AhtxKpvD5gOsACcrWpK+o6yLX
/df90eqcouqksTP4ucDe7WImebUrGOFe142wGIXc7ZJkdbLvtdo5NBPUloFMLCRGi6QzjvhMWOEB
VYTzIkD3Jah7tTNWoZOySQ07l1VHbJxdDF6OfJAy7cGaYXPEcgBNPFcXnfBqYvKfOi62gRsSHfnu
YEoN8C7N2TciK/vOIR22W80qAE5SyV+hJvn7hIzlHdKAeenpjt682G0ln7VSbQxfJclcRBY8t+/G
wTFx4Om7BgDLhF+QHeFxb11HANgiR70xyH1f2/Cn49L2YduaRwUDIdbqMpjUOp0xwSRxVCJeTc0e
fkYtAEJ5ERulWcGixZYKzq8GiztYkUcmEKtw1O5U38IpLUAoYiE30XZ7B16FpwHzOrRhoYJTlSV3
VjLnYUnaLILk8HrIYF1YTSCsGAzg4EpvcIh21HHXya7YdwDkBFebMgJ/HPFDL0xa47hXacEAn1Lq
qbitfsinNPczZxYP12PFPVaqOWaTNgWtyI3Ug+1qg5FLYKfhFqK6n2B2+Gg78NH20ADTztUyABNp
6raHogd/WCYzP1caLw44EbrPFGf/CLA5+TsFvAJCZdpfEecKnitFATuGpnmhrmP9KqrBDIY6B6RG
tZ1Qd0oLx22RQisr2wRdXkqjfQDdPAVByDA4hzsM7HOgJ52AhpqUUNjDtGfgGwBNbsL3oy1m3yRC
eWh7t3B8HKRhkiuc+RVlWsV+LNHyiQELpq4cy7dUwYJRYMHbMaLOT4wmyTd1dvLDoNEOZmAEIHMs
VsUp0yBA0UcyXTIACu9pDf8fphJ7LyEAixMV3dvmdnpXqnTY27XQwhIOanvVqUhoyNR+c1FP683D
LF4LRmeURxpq6s1ta/uwH8z2Tt2AdcjV+kWZkzHoeuB3/Kp207jEao2yb6TEmF5hlMPgVnimMpVw
GqsSGBkZ9KWckjmaW0sGhiMBE5vUdkRoCPOsgrk4WiJj26rU8oeiAa+3QQKvFOTZ1WAcBpfG64Ku
ZnvV5MmhhlXLvVvbI6jnNjJXsO4t2qiz3Omombm87wZUbuNwPV1IYbNzTlRZBqZ0TLhSgZCtGjbd
4+If3TKm5kmtx+I5SeAg0hcFVj+1sgKw2rIXUxWwprBTdnSAjD1DgZ0+lLAUicqqI3zH9br8rnAN
gFgLky9WAIcMWrPodslYynfFznrk7UzuG+ABXWmjSTTXmAJ6WTG/KBOIcjnNAhVC3B16F3hiBb5G
BuTgPnzS4BCZgWPsGdA1HeBogDIMp2zZDnKIHpnO0fmWD1hPsvyazq9MMnk56rhPdUqG72NjS0RQ
iQsyrGL7k7RTvwYl/3tjqmOooebbd1PF3gH7lP4oQb09AXBFdyKph8cmgwoolbOxh9WiCNQGPNLU
EZmfVjqPVaTcjwrELPga3Z1C22RmlJRk9hm4M/k1o6pFbdkJf8jGIh6pNHzYgia7kcD+aaqxtihk
ftO4nf4yDZi9QiJshfifiQd+FIl5SzqMq84NLKcnJ4ZY6g5UZ+Rquap0v2kBbqtIO+sb9h/9CLtD
YwZJB6tIhBsOOBjLNkwTFY58lYTZqOcwWtwzMcoIGLDuhCx7FVwthwsk61rxivlh/sh1TYlBtse0
NofmsR25fkiyco6ICsqXonVTQBJjesT1yZ5WtNghWhowclrzhLlr3pcTsd8F8nxA9ql56LC62SPh
ONwReBLvYQdo+NWVQCQn7h4G2LVEcClULrRR4IvIhHJBYKrtB1OdA5tLfte68DzL8lx5apnevohM
K156KapYkOaegj8MI2cuAmwNGbxKYNWLbb0/5VMOo1gMyb3JTdhUackAVhy29c7MOISDrQvXT2wA
gU1leSq0ipwF6Hc4OOV9JCdF/B440mjY2zM4EurW3ax0SK0hd/6tRQHkK0PSD/hVJNSmViNQmjLj
wVYt7cHJWX1vj3r+Z4KlWuQAHXYU3H60YHYbNqmZ7WoXiqt00rUnQ2uU34lRF0+DBA1QZSizizqs
NBeSQU4iYMYFnwmtf+0nV//r9K4e4wfDQxwu5QeaJ+YjkgVkR+ZpejH5rOxsqZu/B6uafpYW10LA
85MIV1GVx+FDe05mYb9XiWBna6jmlxTJ2BQXa9XwlA9p9tqAO/8X2/yVN4i7t9cc5eEPQ2bDbAe9
qz/aTAUWcYRQ1vA4S5E6JLNkUK6zpjBCMyvZ6KVDAndmFYK5PTZsjryXZlYXirP6RXSMXFCY158m
Zuph3VrKSwuE3t1YqGPrzaVDkQoc7RIGdE4PZ1i3D0y1oI5nc9sdg14q8kU4RY2xXjeotC95QLk1
3OPSAnSKBiHYLlNUJD0L/ZsGPa9fSbvYuUbt7ggFCXDihfZQDbI4V5Ap7nhhYIjntXFKAF8CKM1N
L5k+4YYEOoYdqCTWPdMT9pLKwqw8aXcDDHBHgP87ZQiwORuvAxCa2EEc4sLfA2BZlA2R+1GoRsB0
GPXCjLyeQrQf+Z2Au/WEvLW8XseIEGwl7ZT3DHw9G9Ex9LNE/eFmArZWxaj5hOj6weW2dhgKQXV0
3jSFOpQpdyxT4atSdC7cRGHaGzSZrAIFBl6P1mhhYOhIp9/B+sAGVkJVIwu68jATHBbrsIS/q6mV
XRRbyaI5753fCnxRPaSype1hcTDv1E4JTEUrvDJzcmD5QNcfcCz/w2ESS7yENroHUyZxgE+BerCt
doL9XdPJc4pQ76GQCQ+qVmEPHIAtEzVUxoQ1XjShMUw7wzHsnZ5U7s4wp/YB6QrzWc/BciwYyJa5
2fS7qcOlEvwX9AGwdwVhuwYJUd9I8x6CR9VHkbb9OBkZKo2n1MiswKxJvqF5WzlnLwn1etUhwZ/o
zZGiOoRPP3A36GEw3T5prz18cSI2Rk2FhtRojnbSoLgmrrrfQ75xzbxy2l6WiHIkgCdF4tkC4xBL
v284KIIMALH72g3//0Ob16h/MVH3fZwsJXYpvbu6Lt5ul5UMxLI4FP7wMJYCEeWIVQHbPk4gG7mw
tQcvklXwLzOJVFgS26oS97P10pTZRjJpJUG4LAvN2hZXC9J0Y/hwx1LY31Foc8JdAcpsJuMZRpQb
P2FlzCwrQ2E7Pky0oB2golAWD7hGAYGujm43/NqgWaStkJ8lOBs6JM4QaY6AbuYob61df1bT8PYb
1j5/kbea4CU3gXRA4rTC+dGAYbOAdeSoDlv1Y9r1SZ9kaa4I449ZvV6xmdINuKeA0XMZ4gDFfBig
vwCK6wsc1lDRtZUQWnnRYvYmKieO5FV7BFk2F42HupHIAjqqRdnY7cZa6Y5lhWimFCPc0NPu6FpY
prvew6HF03TUqm2BNFZG7bJCVHB3rNwWGTNwF3sfLtpxlXX7/ApUVkdHek6GZM7tH7PS88tq0bJk
htOM0D3kA5RPEE1WNdzpNyTxaw9fTGyUt6r5pCI93yZPlYlbYot7abdVJLn29OvfPySKVe4qk6bY
1xQ6vNSz77YpPLhpe7cbZmVRWlZg1rTLlaIGpJ67PVybZjjMbJV5fwrsd1V1WekIsjJidOQbD3nH
kUJBsnsOqGQAJIMebP1yu8L+NhMAV1H32pWXWVSo2HaK6dAZhp2FiQl1RKHrHDHtqMAdCZf4FPo1
b3ShtqAcIOHbbbA20heTFgX7qmRFb8Rivmg9sPJYHCboK2z9a7eX/2BjH7qw1fUGF/2uBhIuK08p
02qvUUz5q82gYv/Sb1iWHpUwYClZX1vxXKs+LOgqB/WbVwfqeiMWWWmkZflRAgY7TJ8NPXY0iNbZ
74LcpzB6KJSNNloZiMuyoyJHcVufSTPuHKQycqPYZ+0WKWllCi2LjpyM1jiK9Hqc00fQJ/2R3E38
SyAvFQj6/85PWIEajjLaMxav4aGslAcTma7bnbrWJte/fxg3ZTmnqHlAJi0d3e9zUcUFbKW/9ujF
Zmv0hgPnN6HHODdDaO8gqdZpr7efvdbc183xw2fz1nUHB8sBgLSjN8Dth3OMmq0q4rWBuJitgyFS
nPIxUJDBJ4UTNEhVZMNTlWx16NrnL7ZWag4Zl72mx0gVeKWNMa795PZG26zsecsyH4OkUNQkvRkj
rM9xSQGU2VwOz8Q249qq/nZM2bKHXBk8y4KfFNmJCfThOSbJKzQeflJuBd8rPbAs9pmdDPlCYukx
1LUiwpVRuYdL4HCnDTiFllkC0MKXBtKy5meeJ0aUiWqx7rrEJwoSeIZGfzgKib72gsXczUarKhu9
1WPcl/rSfbbni6y39r+1ZlrM3j5tnL6xOz3mjd/Z0KZVMNm0vbb+UkmUqv4jxn+YZ2laOC5SdhOk
whUJ+MzCKrEixLYvYCVsSXdXZoO6mMx1VZbIU2EypzADFWSGnfxvMicbK9zadFhMZuRyQb4usKuo
1bepRUJrX+UgkNYebpA2BtFaNyymsygU6aoJ0eMSNjqQj8HQjUZd/44D6hd+hEPwz3/XOxPpitYl
mR4nAvFT+kzy9I4Wf4Hi9Vugu28P1X9anuXR4voW979vAQWmHzqT4w5MYYiNzcGICcnamBqAu7IK
Pgy0zKUL/DbLImiBRvDgKe7bqgrZHOThIQ1jzOnv51wdTyiA0Q41oya0iC73u+tVlofJAGekcihg
/wlkJ9KSog1UKJf8vumbEwyLwG3ox4afKqWqL/mgMd+tLesRaWwbZmvD5Be6oN8Q4PTIZ04N9OMt
o+JgSsYCXSew0NDAd4+hkR3QQnUV9w51+z2uH5GP7Utzb9VUfLP1ZAuG+dn4ujba9e8fpohGXb3F
tauOixwG4SSL+kp4ch5/1BAldkO3ke/4bJJcX3Mdex9fY7jCNCatOXbdvkV2NkdlA2SkGyP4s5X8
+vTFKoVcH8zJ2rk5Wg0+2qgiWdtfCAOuj16sUcYsJcwL8xZEu0fXsry5f789XNdaZBFfiCxjiY2S
giNlv7oU+TvclArz+9cevliT2nKkae9ASwcPMvgIZ2HjPNvW/2HeAWhP/9T3/zulPhowrH36Yk0a
5pngTr2YYzEcFUkCpf9G5yy8/emfMlCuLb5YjiaU+cBBbXYPmcGqws+z3oxstcR1rDNUPrwYmyMp
CRLHzEVkA45+14YwmCt9nXNx6YkgEYyA2oBbyleArvikpRMBXFs63uajGs/p/Ktg8P8CkWOn4I54
YwCvtOgS9qBD4W3UJpZgRbdDnj2h8gfWSX9ut+jK7FjCHmCukKT1NVwrHdhiGAZwVs3frz16Ma0N
lHo5esb1mECgktB7DSykrz352lIfFgw3rYSpDGiRRJVA3DkInipJNvajz3a8a38uJnU/uHxgIAPE
ulN/g9j/xeDmLnfzwcvHryDKru9YzO++U+3KhBwo7nXT4/kZVRCeBK3vdvOsLNvLes2ksKHGrU01
ntq3YjbDRn9PutqbsM0o2UbnrrXSYprnUIZTF0qi2HWeOvcX4yScO5ieZ/2G5GztRyxmegJKAypi
dLh9tqx9tVTb3GeVqiZBnjfIteSs13DX48i32222MsmWhZxibrgrRK7GsHM7qsyCH7Dc2+zn7aev
zLJl+aamQLHvlgUORSa8Qqxf2pbP89pnL3ZoE2JyIVyuxZO0nAg3LkeLy3vaKeru9pevvWA5iRU9
lVlZqzHQXvs5g1vglLp3maZFt5+/0s3Lsk0rn2sdRWwyTof6PCCa8lrNeKo5DnNG/gaLro2M79p7
FrO6EjYjlGJOiEnykDYwiM6d3Tx1hkeJEtvF1uXNWoMtpvbU50PFLGWOZzGlYalaSUQU4oQWnDO+
2Cf6f5c/mtc6mxORHutijBXH/F4Mya/M/kolIBYnZzG1SzLCw46mY8yGJkbiLUDl2QuEyBvrq3H9
zE9C8aWxAm6RazVvEyx+JgpnUq4MUQa9YpgLgQoPoCNKOPoUMn91uNSOOBU3Lxqi4xCKtXSH+rsM
rKMR1m/NzEjjU+DXYFNVpHtZVzBUZWaaQUuF6rYz0OcT9JcKxW1FqYg7uMir3ytXp9/m2Zr/pFlf
R7AdHx9QOazHlgadUq43QOk5OgR38zCNv780yJcK+m4soCtNjDZ2u6nwaCnOLHfvLSKifBz+Ogbd
eM/1MPNJyy5F9EI3HAqRSRvLWvmZlJD2wJmPyuK+LIlvN/LHaDobvbiyoi1F9RBDQnjTJB2K3PQA
BVGppxXzn9vNtfbsxVlNG2WLRQEedEAp7XOgmzyhzV9hlGB0LzX1U2mWg5YDNoDyvtBI+C9ZjBHQ
UF+6EtB0d7FgThMz4AELNFfr9PVTDlVm3Kvml65X8fTrqvMh8mHTbFR6D1M2Bb4BEhVazfw1bjD8
Mv/7aOm68HmF9PU4mQ9NnXtmgybaOH5/Fi0AwLGMdzizQPvWYYTnzueS/WbGxex+NvkGHOGztf36
9MV6OI8qfLuGguBe9fdk4JA35l4JHsNQQuVHv90elGsvWayK6SAGCtWwPM5DAT2h4rnuySJlNJmd
J+nGyF9rp0XQU/BKS5sMUD8HFWWEvLNenHTzPXPUjV+x8oJlmDNw1YKCCuMHEqWDnC2Y+CEh0bHm
N9AZXzkRoT+W0c40ttyEYYk8Js17NfQnQmUwCxbd7ojPNtjr068d9GEKjENqm7qw5LEYBl8phoCC
REk3lrUVvqi+hFUMdKiatDHl0dwlfwlK+s/1mQdDSP7yZzhCPdUbOY9/V0vLtfr6M5Yzuc+p26Cd
jvQgdG8M55MT2X4VoHDS03bOObmz4vK3G7VRtdviF3y2sF7fuZjirX4tZ6TofbMYiohD1ehDBfpy
u19Wm24R+RTULlUlxS9qO2+OjCCP7IN6gOPICa52x8J3N/po7VcspntJE8tIRgwAXKkHjfmDwMj3
9k/Qr5/6WacsJjkU2YYr+SiPnBj5hfGG3ENC6B4LI08Oc2/ZzJfIPERUH8xz0dpF4EqUAGt0Up8a
1ep3LnTeJza02Z5AjvGdsGY8lGpSnSCqZn45atzXJmpcmnzMAqCXifCazBFbSfN/0OHPfsBiAYFp
WlohuJGg0VYH90H+SB7Kix27u9qjPmR7KBa4cy6Dh7LugP0U3LMjJebPjd9vNOE/ddUnX7BEZMwq
1QWoxPKIio4Ak9NXvB/FAdpm7+45fDxk3lsRVXfS251+vkKF7GNwqN7r/ZXFegXT5aDDZZESuOHW
jdfKerGkZ9hlP7pjx+VRNSM66B4ZXjR9K7+/wtrTl9gM3BorkPTh5yp7HspA8aw9LMI8xf8jPAcr
hwhdkO5YAAA/JoC6seOttvJ1ff+wCKoV1PaKibk2+nPUh2A6n5B+jAz8O4WTP/oT/s0PIgBhw3M8
HlpB7xnoBO5pXgFGMSo99iIGS+ZXfrHfEwLQg2f5NNy6mvh3O//ZOFisb9RMO6nX+MIOo0A7pccq
qn3H78IRbZKd0l0T2qAACrwzDSD8vz2D1zp7scIJqUDLJXt0B2ZWnTYBmK+29nL74SsLj71Y4Ibe
BGHkOrmQdISrVTG83X7uCgJXX9bw5kmvKzOKkI/De/rNQY9dB5IR9Jdsn+x+QTHvpSFo4j68Zv8a
8bWn4vGUe82Zb8Rn/0RDn/XWYuFzO6diiYsvsPBuUBlCtqdgJKeh2Cen5ATcUNCF5KxGoGGGeagE
SYjo+SCi3i+/b83Ufzqvz75isXqNDuqCsL1jVD9MkH81d0k8nOZAwypSYPQMRxJaj/pBP8B93Xtt
/MqnsTjXd03M7/Q98r/3VrDRJSs7wfJ807aDzLmCBsFNjsQClj462NKuNEuxb/YM0+qX8iuBkOai
+ZOH+8Oj8tzut17/6RkZO/WyprgbKpwequuICEz/BwTEXhYkvrujv/P7dI+6n+liHLEDvkAIfsdP
w6sZlUEdwZsIvaOF8Ff3lGCrXz7Nul+/ZhFyyXwu3IxeYxUIOu/Ec4PT8Xf73nlJESCd+B1cT9+0
+9stvxZGLKuSUTdBEhQ9I9C+c56qe+WtPAOHGU6RFesn9PIGh2otALMWCxR28LGAhyoGW9ycqvv2
Mu7qnfOIBn1CYghUc8sHgyJEacxh2t3+bSsLyNK5i+TuQMYOvTpSza8719fSYiMoWln4lv7m09zW
lKlotaYnnuA7d6JgkmzBxtfiCmsRc6lOV6EmBptoF1XIJANb8mAd2n16KffGsX1pA/29sCKggCIS
ijd2Nr0KW3l1pn+MjRTqP93bJ4uDtViibGTVBn7d8oZo8qvD/3B2XkuS4twWfiIiEMKIWyAtWZXl
Td8QbaYxAgmE5+nPyr6qw58kEXUzEVMxAylk9tY23yoPbBfv210e8CNwjjvu10EfDFj87YHhkIIW
9pqrvjRts2NJn9wJJWgGHFt0WX6UD/0dfzUO45kfnCP/zI/pM4rybq+QpdU/1/1qoy4Cr4QOob1L
992Lfpc92/Ch2Qfby7OovDVex8KY5kgQ9G5CVjrCmGJrREidBhTcyJUxLFwy5yyQfsy0kYGMEian
YWvvrA++p/v4yE7pQd9Wh/Zg+fzsrpzUCwt/TgapVSsINOWG0I3ODvvU9ENUvX9zILMjYmDgaCbD
BNfxsXgCdDb6m3+ar8ZnBcymZ6bo8ga9xQNxQzusMWiXhnOZry+OHcjFjGoFXlmpyR/TMHILNAqv
BMGXJn3mwED7C/wvEzEMDZAfNApPq+rFS0+enQ81ASo8ThDgUbW50ZJfRTOsVE5ei2nC9sy7OKqh
7+MLVjrsOstrRYrD57eevZbDbxMtSWytBmHJHJizTY7MclImhn7xqM2jscmBzM4C7QlFCRt5Kg7Z
HmUhd86hgt+zlipf+GjzPo9piDC0CidaPb1w8QrRlBVjsLAB5/0dJJlqjcaYDQR3vEjvfHQ4+U1E
g2FcC3NeL08miCz//4Wq27HW2JcDRAXTR/ozvjeO6V5sSajdOxvtTh7ih+RJ3QNauHLnWZohOrvz
QKGrZ+jqRljph0rBCPDIi/VePMrX6DNuA1wfN9V2tHdRaJzi3+2eriQil7zzeXsIaGwdOA8YKfcK
z4rOw7YJ+o060ODiIHMfMnpBcl/+5YfiUP4EBeDJgJjIxXNYO6wXDoV540gxMSFsifkEgO1DgXaW
WHe10QW3j7l/j7liWensWKBJPDkc+AtIo1Qby9NxZa93/V2N66IKfrwkcL3Rkv9L7vgdC0RY49aO
a7qn/ss3WSg2+OfGfcjv1lDJS6OdnSXAGU9qIi2CxcaQeoaFJmcGUFnZOdvbA17adzNPYuozCsFA
nLHKSb1uOCX8v9sPXoof/SPjfzm9c2nZwsmwRKF1vNHOUAkNy+1wcLfZGdnkoMQVCqlarA5xN+6L
s71XOFJuv3vhq80bTlDeUqIDGJM4NMSry5+pZXjVtyo9CXLV/3+z82YabdXjpEL0dRNfVMOnvWZZ
m9s/fel+Me8vAV0mzuSE307P1od6Md/0u/xZhdG2eUv/OG/oSCQrXqSLH3xlqf/b418mCPwDN+Ec
b3JctKQP3G+S0iujd9Y/0hSZOEAdSbdmbS+m49rLLlP15WVOAWCkoWM1fBj+D+JlwcuPO+7hgn/3
Kz1uf0lvm3pPSYBIEVokfXdnI9ire3/BhIDv/Dd8e8z9t9tfeGHFz/tUun7gZdfCuOU6/WvZ1Yba
ZOXRSxGwf3vhyyhTzcqhtoZny438S3N/kAAteuNr+ew8uT/EfX2othn0lazH4dhtLN8O13owl0Y1
OyhGnSWiqjCZVikhFdl6sp9WzsQlY/NvtF9GFUWZbRHgc8LodfQB07xLj9k5OkQnzUWcstsAZHlC
+z0uhznULp5uT9PSHp75III7KC8F+Czs9TvTfCmSn+Bn3n70v4aKK4vx30C/DKgEfkHLwcvE9Uk7
dycrTB+LV3YajtUD5ueYnp2gWnnXwrzMm13KOK4cy8S3awc0poHw3TgPt0dxcS6uDWLmdKA0QR/o
ZftO2SvKtj2SgNSHsnmLTT56Gm6/5HobIjHmDS95VnaqcvCW4UzP47E8uB6EjhB/089qE/2+/ZaF
k2je+GIAOYmGVsw12gBOXXNvVAi96WjIbpKTNCFINlr7Ii1WPtzSlFz+/mX2a5gGu8jwNqt8ARy3
oivPXRrFzHUoOn0c0dWIUaBc2xrvs3HajL0VFPVzntQ+IKieudYHtjgvs/1Oe2Qvu2iAYwBkVioO
SlY+2OtebiLCnSIqis4ww3x1EvtUVQ8tt7zbU7WwLed6Oj1oZ3aX44Rro4fo0rL7FrOV5seL73pt
Qc93PNMgV+FgXlQ7vZZRjtoT5zj2Bdrt85UpWpj6ec/MCPhkOcjGObhZNwWNIeoni9C1hfVvU1wZ
wbxRhk95VExa4YDvit4iDzXwCYp0Wrp1JAHulDT61slFvkNnSPkwama7Qx1A7We1y/aD819lRI1P
haxKb7TAQN50jK1h3xZOi3mnjYpaV6rSdA5S64HV+XSnLnCnR9ctPQqczLcWx7zLxuaRiLvCZQfV
9fScAM59phnYSiyTa2f3wvrTL3//snltl/GmAbT5AG1P9bPP0m5XmGl8plT/TkkZbtlzbR1iT7Us
h5wdckREvWiK76Su/sRTvxJt/Zedv7ZMZgdFxFBr0CElfaBG3IaGmbhePoGcPdlyRFtDyv6kJB23
zByA9Wiz6MWQTb/PO0b3NJZV6nFVjogoZrV1MKDru6nNqAa9hYLZrZkJ/pXwrQ4lwW08orGiTsr6
rTB0+UISKZ4Bw0hguTO0RaI+/dFA/VxQm065ye1YHYyYNEEKMN/Wqd0GeFCRbqAJqL0YoE+doI+E
WpKhhcaUZ/B0OHTUTSdvmipkmPT4WA+lfryIAR+KlOvv6A0Z/tgGl78cXhi23+pgz0BDvCOHypT1
wdQJfRvahr4UY68uBYJWuW1syJ7UcWY4ft4jgqJED12uSqUHx4BwNHJOvb7lCuBVT8+4AY8D+Jeg
LlpyV4sCTO6hccrdZBZI4cVxC1hW5QYSjGrDJ1DFPY2ObB41d2zOU9Ejtj3o6uM7y5/MtS5zN8+E
lSh2AGr5kCsojHXDXUW/Ux7KCJnX++eTDa0QztwDUIUTeCyqn+46bgOLoUPiSNiQLQ1kL5LD7dFc
PyvJvHKlHNO64E3VoFu8u2ind6gkHNY0XK5vYzIvXCn63LGFZVShpb1oxT0ZX3J75apx/dHGvM2s
aKPIbusoOtSagY7LyTw1CdqXB3Cvbn+YpRfMrsxgxYBJg8TQYQBS0M8luhyq3Ih9VQk9+N4rZqbQ
aWInnfJYO9Ai8wfsmT49ZaT0bz/9ui0g8y4zCny7gU4zdmiz9gXLhvgayGQudX6MJdMCy5Yvt1+0
sITmjWaCWSZuW657sEX+UKLeAGSnFUu+4MOTeT9Wp1nCJLnpHgStiwO5YJjzpknQ0y8bmIPI1sCO
dAJGa88VReQpkUu0hyE8DkYA3HKPQDgUnNG6ScOO4TS4PeTrTgyZ928JFGt29aA5GDLZjfnOtJXX
MQsykSvWY+mbzgxg3cisRbOye0B/z4PUNZ/I8Vt3FTJv4eocw0prMrBDZNmAl8WgISVooFh5+tKX
mVk9A4hGPXZy7EvU//hZ0tvAL6AoR6/PcYXs8e3vv/R5Zn4xj3MRdanrHDiAZFBU2gP1t5aQWhjB
vLupkTFqTTQZHWB32J2tE/Zmsaq7V0apPzmTvnazu37AkHmTE5VNigoIhv5Me9oq6A4ZQ7sfmm+5
2WTe5dTUVOsKp9AOFSyvP6It/aWzKT0YtMk+O11bi0gsjeLyFb94anpkTNDAxNciI3kXFntJeXoE
iOXv7YlemozZPqDRVKD5TWcHfUBByHCaSByw6siHFTOy9PzLAvvy8xU3swyFs9HBNSPpAz1m+iqO
7iqu7qeiXHnJ0jea7QnHjBI5pgnwlqN9kED0eZcuFk9V7eZ7X2m2HTIeTdywcNRz/pzF4MWRY12g
YmENsr1gStjMFpZ6TzhoytpBmSPzWQeZBirqu6YZkmNEsfPQlbSys5cmZGYT0dfhpP2lC6K03oYU
XCdw4AkUk7J+JdaxMBnzemA5gacKymUTElTDSzBWPbQgn/nQvd+ei4WIOJnX06a22zcxgOphJTNt
3xmmfMulW+ybjrl7B6C9Z65IvrWB6fk7gjV8Nsh4Ya+AYo1rQZM8RFjxjy4Qx7UvQZo70V60G9F1
tQfZsP5B2u7Y+rF7cRj0uM/dbZeR9tCUvbUmLMWu3tHJvFJXI5nbTKwcQ1B3Lb8FnzASAmDVsvNI
UT3Ssf/o4zVe0b+gwv9elMi8RlfXXJFHZo3GF9k6pwt48QX3Pw5QIlixAVjWHCpMLWDZQQRmukfz
rB+8BmhFv+/p2jnmXDbjtV8x26RNrmKTmWK6wKXGwatNu2Iei3CjDkxQQyNvZJT/cmUOd7OvdPnD
6sdunyhwrOuqpDtDQZMKwMXY0yUxvWkQ6kU4U+fZVOM+b1p2D+5q+rPmRf4jJ01+Lqqy+dlNxeg5
ulQnytL0AyhbfQMxHqr8CmpVBm5hFM7OVKnQGgfxgGKa8gHdRK7yMjWJnQBBHiJGYnyDDMb0oLs1
h5aPrDe6Lrs6gIoiDdSotY9Zr9zAKEtjF+ux+T6iYBevFcO+VbW1Q2iuAvVRq7GTeyPQG6sAA5E2
r2MBJS7Pysbx5Pa8BljDnaCdo6MgLRZ8B6tW+YY5CjQG5OYjri7NZqQ2Tfy60DlHx4CVGMBH6qkM
Clkjfunwrj5OnejDRJVoe7KFYRFPDJ36fXv/LbgGzuwsbHlad2nXNaENumxQuQYgan3Cvnl6zE7C
GDlzwMXBAYA+4W8tGY6AnQuPYxl87/ybt4q5ncHKGFfvsCKfCicrKe5k9DMWaz0vC0f5vFiZDsCr
gr4AOliOSwCKs7Y2btK+njrHzKGf6EV7+dY8zIuQQfq/8GoFO7iAvEeJ/qOV0coRuzSGy9+/GO3C
ok0iGklCESOq0eQyiIvykJrdeWxwiW3dbPu9MVyM1JcXpZKC13wJi8eD8ZpR+VokVXD70QtmyL78
/cujh16gnaxDZBfHyoUWn5OD0EsTSFR0td5+xYIptWamdEiixsrdloS5VTwaqgf2qNXfuqp81Bz2
8/Y7rkXDHRdXh/8/DAnW7VgxMhx1xD8Ha0q9yB3ejUFHNX4a/cwhoZUXE3DS3WrX1rVhXV45c9nS
KSHgSxttKLUIxZhGn/qMSKjF5MLyR7EmAPLPXs8NwuU9M4OQookSrPAmCQv0t2I7mq7lO3wyTnYf
x1tr6u0ga4p026JImgMoyyGbFtcGZLoMqFMAxvA6okHkSCZXwzE09Q99p9nvxJQaHM2KJT9oxEBX
qQcdilhmZPwE4Sl9HhMBynNsaWUwphz164I1QZkkJFC5EA/iwnbn0q32JnVr4qVVE79XSdQd3YbW
2zprO89iAm0otksCjhrJIDVabZvy0nzjts3/dFSKDbN7NHeYAXO0ABrgxT0u1ewhEVMd0CjroZCX
9fsOgrXbjJtlkGeX8hP7goeeciPIHa27y7rE3EJ8EN06A2TiSm74cKzcO8dhw5G1LNllgpoHKAKI
oOgFYMhEDue2UjZgMeiCBTADetMD7Z41GzxNferzABP7GwVCctu66dqBem2jYRr12YktZT5xG4IS
xxiNU1l8cuvWd7M1HsrCYtRne6wRCiFHBh4KlAP4fZVQdsw0vh1ImYbI1a4m1rGd/nct2vNYDhpw
hrw0YxkS97ebbDMw5W/v3+u/H3H1/79/EdbqoIyZQUK0BUdJYj+BCESHccf7Nc2l6xNgz0M4dRUx
+KaGCCEn6OV1A1Gtwuv75hsH6WWbzux9zrB+S8g6HHXX+nDT8bGz6HsXq++EAy7Pn62fKoZihi6H
JLSFChKIVtB68CbFPQee1+1JWDpEZ4uIyZZCnseBAmTSB6nWj3cuNSGqxd6qUdxJpQwvI7A8JE+N
lVdeDsv/XVDOPDdeU1tLIiNPQ8OCzAjjjyOs6O3RLD16tqSG4ZIfQvY1tO3ec63HNnG++eSZ3R+t
iBc2K9Kwd/tHe3ALP7koRXzvZ192yBeDnGgZGcq67uFnh9CNCMaiXPnW1zeAM897N4jDavAikhCE
p0eepntLxSetlo+3f/jS4y/z8OWH67rJk6rCAgUt/0dP86C96HQ70oxXvsy12yB2wL/C7S8vaLTE
sIXmdiGzoydIuB7tnrVAyrqnlCWbIY3Idmigv/O94cz2sz42ABdlZoKVWb5PMZAPmrGH6O7+9uOX
VudsOxuaXutxp5JQ60m7LSC1E9hlVa9UbF4/Th0y28kaISWJgZIIreLTTDWfjqignNwg4W+3f/7C
ZM9T22nJW6ESbAGpfpMEhcf6HTJlKwuVXq0BuhjL2d5NIMthoZU5OuqmVsADqN1oz61W3eMAtNX9
wGj1N4fAnX7op3aIwdKKLUBqK6UC+JbaI8XV+cOSOpLjTWyWz+3YpB9jy/ofPeg8IQQt4ldIEtkA
G8a4YTZTh76KigokRCeoXthUoZJ1aoYHkUn7Yajc8gjkvP1WwgBua07jB6qDH15HFzWZrrZ/xaRm
nyxW9aVQ2oX+l5M6TwPQh58lUkTSywyLQ420gCLxkCD5CnYv6ppVIQOwUTSQlw2Opto0+8wtoKYI
sA4bSN6jSDwb6+5kJnG+j6SMIKkbjfuewFh6RV8lJ2iQuE963WTH1kUecqwhpOvWpvaXI+oKK1qW
+m8oKlfnhOVa7EGho9kNjlXvRrtAGcek15u8r5xfA1p/znnJrG1ptQz19TWLwo404lkWvQop9HIN
cK0L0AkgH1I8Qq+m2iJeGb/mTVtApiK21HmCnM/G1ivrb+FK7hm9MCFd5WL49iW+BUJyFdiKN1ti
Ae87djKGck3a/ZbIoD2Tro36TcIs9cMcDbqpoJM0niBQxsQJQGb1wMr03gLhPjB7KMWxwZYnSDrZ
XssdtVWdmQUFWCZQQ9OKO/xNBL3LTd9OqxSyHUSDeDBaflC01vhQjhenNiXIak+lA+VZRzn+oOpp
A7RR/UYhO/LaZK21n1QyBqKzM0BmW8i00UhPd307Ud+GuKKvLIjxGRB/8syI2odRo5bnWMA7J4kd
HaM0m06orohezH6M9iX0Eo8Mm3GPZh70iV5Ummu7owHLStePu5L8gtTXcFfEDLFfgGuep2p0txaf
BuhMUONXLzr2253S/s0B/XqjxXr6G/xbaIoPVjP6uAgwyM4Z4x/ddf1IqxsfMQcxbarUdE+dif9i
aJDAn3KP9+5zMULYbGI/nDJOfd7FYqO4BfihbYVWXj0ZsSm2paRyU9uItmG0aHBt03rjFBn52eQV
pqrIu1c0DrK7To/xUXOh9kPLcH+vSLapis7ZQEgXmXtL9vvEaZVnZgjheUx2HEJpU37Hophuo0Tr
t3EUly+Zi9+cIquNzlpa677SIOoxDpLep1oLqeLK5GdByvFE7RIC7QwiOfEAVd3CdgGy6aDWHZiF
5vxp0VsGOE0NjmGRaB0Escb+aID59RZ3mCbd1OsHyJyZe9KlUZg5UMrSzMi5n5A4fjInCeElKiE+
ggKTyuvSZESrSe0GEXFb6HS6EECeqO4LhS9Y6mUeTCX0cG0HmlxmpNtbXkKFHbcUUy/9sk7RfMyk
2kwFkqBAOU0QEi9pbAQuN3hg1fhfk9qRocawqFMuIl+kPAcWhRo7B6I8gW2P5i5PafcTIiKSB4JO
+Q8ULBShzYV8Agqs3iEMmLzbo1v+wraWvqviyoc4HMJ/Y+xUalvyUrO3ShDbS0bOIl/XTHnOIRdO
AheqlTHqN8kUZlCQ0P26TfXJt4lwCh96UOIRijUkRzCQ15BlMGwSZLY9vOVWV9xBZgVrHkpX4xOr
a3uXZUJ7ngzTgF62oeuWn9kEuGDLglId5BeiH9qQQyesjKfK57Sazr1KGBLaZHQfsDWgeWaaWYOT
xsyzQ4k7wN6aWjT6DOWo+iMk9DJcsq3Ouu97nE8SJSXOPneKtD2X+oTii6jmZFNrIv2ZIAIKxUFG
4etPWgfFHdWVMlBZWYBDSYiBxvvKGR9H0ekoqh4cKJUkXSr+fs8+zlxE2ppQRaok6m4JPUfgHXmj
SD8hn1Ou+KDXYk8XCzlzE6HVFqW1CwXZqVUnV9U+d9sfWlQ8E3he2Ld8xQ1a8FPmFVCak7d1g4rS
49Clj2bjbGOUA608e8Ghm5c+IfagVxkDgSyzU+A2MnrqtDr1lG1DCMetD9pknc3oOwkXx7XnuXLS
IFYjh6oMK/4cRcnG0M45Qr635/u6w2XPUafIq9EsKUsJgF0l/zK4d8fGNKpnUzadV7Ta5N9+z3W/
y54nzeOsHXVS5LiAg5NVseKz5T9acLi/9/RZqMlmpIjjeBIh6H8baCD0WwJ5cW8ykmTlO11tOLjM
gvH/bwmN03VlwwcZpkMHXWtDFb5tJuVb7066l+L8OfW1CMcGMZk0rk4ip/G+nLpmAzEsyDVNPL0X
LaL4twe8NG3/64U7bRf3RZhU2rlyYO0I4KEZa141S3u4/Q7jX1/z/15y7XkplQZKKe8kQbAeBvB5
bHvnrm+qSPlNj2AdMOp95+kVAmpJ3ip02II4/FkNkfFMueOiK8jq2p+NLW0E+O1R3CuBO1zM6uLJ
THDrCggf6U/UQTL0oSNR3XuqBL/RUyg98xkEVn1Il0mcjQYurNRkr7k9thHEIYWF0jGzfgcLByJd
zEBkBzHrooyAt2p0OBOWW28Qk2ktDw2r4qHVyPBoEYiqJhVNNc/IkQTP6mH4KKH+pm80VbB3OkCt
uezsaKNTAO4JU9rPfLLYD5T0t+ZOq3L1xiiTUKx1mvG5lBAHGdHmjrCiXiG7mDn7ukzNO2jMi5CL
uDy3CEX72lBUKGuBuOkQZG1jgXmZ9JUnFODMAUNhShskrdLeE33SgGcQWrOrLZn7qRlzGUg7T1C4
BsL4o66BtzsVdvNKipG8aBWDuppR4grBsgeU8pl7Q29d1Fkx4w/QdW68hQxev3U0Uj4Ppj6ey0xX
+8IQ8JzS6dhPsIJFDlI1adrmiAApSoQsyOdOaao81BgTT29KYPYqNkDHd3KMYGqz4kGZFnScWeZ4
kZZquwI6xxCnsLS7xlIAPui9/OTdlGynMVXnkRbJtnWI2PJa+8mrRG4Tm0aWB3lRnnlqqoSXQBzO
d8u8Ax/BjTPPHgR90Cbs5Tal5QcnikFJk6TOA+lrnkJkd2DnVhlm7pWJFt+PSY8SSElKfDg4cSHi
btW9Aa8+qLRBnC5yv0jzmjig/a6WeeLHrCevKD82DlYU43zjo+vEf2RaW8fa4G3iI4iKaHjmtKYP
AefoY+wz1OYWjekjv1n52qjngQbBP9xS3Fi/1wfTxft7iJzhivBi1G6/54lxUZQz66NykWYxptHc
NgWvQUOAxJ8+2tlW9Xp6wKoyfc2V9T6hVe4nkZmdIRMR+zbyeUdc61pPB38pQMGng/YOw9iVEvqX
Y6qZ58FmkdiO+K/DxognH3KRxl1fUvgxUKba272u/M7l2UfXdcSH8wRdvEEkHm1j+igwv0VvGOeq
xzL1GqhzoAhBL+0QuoT1KRkivlG2Mn8XJbBFhd7qm3hCLI3Xyv6klpXtRyUzKB3AA0JH7YBmhDrR
7t2x68XWAUfwV5bozo7D93zTnP6vKXu+KysoHEM9z0HGsydbEQ3lHaTuhreRuflZIo3e+3E/yWct
Hl1+UePEBaVH2H5vRay7T/MRyeESFXnWpmas3EtGmm0+UmhxjhVO4jyPXlEH3O0gZmL0Xt1pBAeJ
S8o/xK146peuyfe2NVbgpOCm9iKFRJolM3JVeaabyRd4npO6KNJeSgmhXnrK9Wn8iF2oV0J90SQ+
AXX+Xiss/HsOzebUl0YGN7GL+jH14GsLHI1xjvSF7gzk1+1jeOGon9dbMAsQgzFLge28/ExkbGiE
LFef+/I7SjMwbfMS1hSdellEtO5YTY2FS2al+0bRHTt3eGXxsJZHuO6Q2fOyMGRxIEpUwfHLi/7J
aqaQyObp9if6l7q6YqjmpWBJ3rlW0yK8bz+qU7oHo8rf1t4hC6JPSJtVAX2cjs5R24nNc3LcW5nH
34eVSsalYc0cZlHZupKdLUK7yX2lvxbmmge74DL9DxYSIk7FlCDxMjb6c9JEYI7Su7yw/97+aNed
WHvOhcS+Ni5BmTI0tHxnt7kfEfKUlc1G5dQrVP/p6t+pNsQCm3MiYYJcuLD4Ro3q62BUE6Tec/M7
qmaXp8+cvzEydMeFtG0ICdojITTQXfoINdndJH9VRbMS21v6XDP/Lx/6lAgu+9Ah5qE0UR2GONu7
MsYzSO5PnIqHOK/l97zleb0Yx2UPpn1KQgaj+dmktvEeK5kHVQ3T+r3pn0VaRW8nro70SIiz64m5
+l2jue/CaHaF4kdKq2d7tUBp6QSbbZGkq4oyjfPxiBI4qGXAQSvjzdD+TtV3YKGXE+zy5i8RdlJb
k2720XCsFTsOcbEHwXZfa9kTycWKx3393mrPS7qInrsUYOEsLCGpHht5YPRH6Isj4lOixeTt9qRc
Lde+DORyynwZSEYKjVZFqofqg35U94A8HPsM+Wqv/Rh+1uej+wkHWV8pcb2eNrP/VXJ9eZkCsNBQ
ECUFTMIEF9ZVUmie2RG2HSHqeyQ8rjZ91ku0B2SdBlSUlq6xMxZOzXmRUZllBmxt5cCDEJCfpHuL
Z79vf8OFY3POoiYxvbQK9fYxTT4oaovi6R3+l/e9h892DQLStK/ayT4aYnxJR/Hf2BLuoTD7e9Zk
Xl2kOrRrGR13jmg1alAdRu19X1G5Uke7sIbnJUU9UI+dlqCSnzuoXGcq4w9Q2EVQSkLrpKU0/Q+C
v2uBnoXVNcccCjhGLTKC9tFG7Z/sfo8oqhOoLprSxKdp7YG7B0H7b5oYe3YCgACXMNkjcZRyKLAj
Up18GhAu/nl72hdOsHmxEapPmyzJzOGYmH9GMgGhjEauHrxduSZptLAh7NnG5ymDWKYYcOth/G9h
0p/m0K3kN5cmYmYf2TggVqlXSJ9WmW9ORoh4+GOLMkTT4i+oaAmcLkKPQf7f977VzFA2Dqtw89IH
KO6aSJ1Ufot0Cco+Eb1fa/Fa+liz6Ec/6jZQd3I82roNDz9NAySb1jQAF3J49hyJPkKjorViKsLO
NNtNNI2WX3eqDqoEfV1TXNdBXbVWEA2Z+CEI13nAcEuhnlVryb1wkPEqRGfluD/F6r0ZIvMQRRIM
lKzOPlqrF3+0nK0VGi98iTmRztZ6pjs1ycPJ1QH/ksNGy8GIvz2TC8eFNVuTOuKcoJ9qInTjYR8j
kyELzVNJAl4DtKzKfOU1C57VnEPXJSAniFFvwyIhW9sSUE5Ba34b37MkO5p696ZboEPcHtLS95ot
TkvwBgposOK19VHRcASZ7vaDF6zOHDWH9n8KabhLkLbLDuhNfh0Md9+xNUz/0u+e2Z1JR49tNqTI
FacmSuDYi6HXf2//8n+59SuXpzk/jllOzYrRZkfjkreKqyHzYwvrV2hpvUdsJ92XkdZ6Q4H4pinG
aFPywdrffvnCwTpnZuq0YB0qwBG47S/ZjCQ1vIm3DxkZda/IphVHZ2mFXf7+1dEhKDhOraIMJWIP
YkD7sNEdoBy6yZNmL1hxTIeV+oWlZTBzdZHZiEg64SI6dVZAs6fKnLZ58nz7Yy09/PIRvwwDpehT
QTOG/ch560eVnXqtqZ7GaY0IeW2VMULmRqiReiomJO+Q1GPOnwzNHU95Xq311i89fWaHykKDDnvc
DCHiJx/UKTYkyr5XVT6n4UrEKymAHiSETOaZdulD7IwPdhevrNJrH/7yXWb2pkCathCjUmFZI5LG
f5hoKXCTlTD7tS1wefhsazdoGeZKKBpG4j6rP8scMB/nd5auuMMLj5/vMFRTTDXKUpvQMRvNG0e1
EwQiyHYFRevaXVNZXZjbOXwWIgc9HSeUSveRs81ztk3NNQ7A0gBmW4raHO34ExYl1FCMoGGdsalc
2vuWy9k+N1W5vb27rlk7zMMcIqtolLr95JJQymQX8xZ3H7PMPVajbX7iCLSTaq33emlIl3X2ZSMr
g3BichOF5ZCs+o9DgMXLS7AL3DbXd2aX1cHtIS3NyuXvX94jhWs6cdqgF8xs7uyo3E/MeLv96IUt
MTfaklYMWm3YcRlt5Z6TyTqUyOHcQV38O6pqlwmZ2WqpUKVDphFriulbzZwGD8HI36htezEqdMXe
HsfSJ5pt7aFGzfZQuHoYqVG/t3Ld3McoFPreBMxNqwvpjK7NBApTKxTW1CavNymN14DpC799DmTt
m76E59m2oWu5x8q0Ti3kR29/loXNMOexyrzKUF6FpqnBQNeco/axcHzeGtseBo2SFUzuwj6Yg1hR
/e/C/OcqZCT7T881JETk8DhELvWaVGorU7ywVP/pu/4fZ1eyXKeuRb+IKtEJmAKnxXbcxU0mquQl
AdE3Egh9/Vvnjny55lDlqZOCg6S9Je29mg9RAEITq726wDrq+N5M0Y0cTa1iFxjJ6PpofXa+wEp1
LhP04Q12aUOmg/lmgg4gYF33HXuySvuUw5c8bz1ApowNVvvagC22UBg1cI3OMkls8dYMEqioO+2+
u2lw+tqHLEIuQ8cSxFqXQLbIgnBlbnSxFObRTf2bsfdhABCMU+Trr5mLmEuh1lwYTUmnoE8aM79x
APLx6nTj0rs26YtdFXfPae5w40yEgrq5vHNUFpfq/fowrTx8qcLq1tNgAs5kJul0Yzg8DkgVel63
sZrWnr44rdb+pGxeu2aiPX0UTfEEsQS42/pfU2Y0lzKs4zxXSBSWmTjCiqy5exJFdpAQB7o+OCtZ
aam5CshfPpNGikSw7l261uPYQJf4+rNX0tJSVxUmnhoQ16BLWkA92+AdlNOjlz3VwxwZaLNff8na
+C+imTo0A0QVJ6bZ8J7rgpohoGBPAgt1IyGtjdAiioEpI7LohjnhsvpmB9Whbd2f13/72qMXAVzl
/lxWaQ8qsKheFMtvrKzcKB6uPXqxU5J8to3exXZcoh1OoKdD+63eykpaW2qgtigBtN4wi4TzS1Vt
4so+Obqcjh2UyHa+UwQbG87K1C4VT31gDYIcyzOpaF1HMhuAUzapHbYjIRuTu/aKRfRSVytfj6xL
CriqcBOSCBFgkvH16V3Rs4P41b93GlDuu1zZ4MZXPSjsRh37QwkQsytfwQQ7zrnz1zbayBPjzhT6
l4e06or08Ysvv0zfh20O/RRgJX0Du08LmETNIGIWdowgOXnwbQHiG8S7zsKMBSRHVZyChhUrcLH3
KH+N94HLhpfrv2RlKS5Jk0ylAc9nSBCwRoQgyd1AlGfjAr/26MvfP3zjaLdE+jigJxO1R8gEtuQe
7HXri09fRD5qlsDyyFYkjvfmji/W/Of6gKwtukXYt84MqZsWz6Vee+Ob5KjASMPv3l1//Mr5Zknh
SguHDmzGsW+mbxYqMx2473Wa74kFTlVQRHI4XH/R2ncsdu02p1NbdYok8BC9l5XtgJQKsLutmi2j
uZVUs+RtmYUVlJldCahaUj8yetLu+1TmsVtO8KUZ+vRrmWYpaOqbY5bSCbJguW//UFYJHE/1kpUb
62jtKxZpALrm2Fwl9tgBhuwRc5nx1FAbrjYezw+BmaZf2wqXsqaAn7kwJUOg2bnu4anJpQHUOIA/
ri7IxkltZU//pxX6IeII8BO4VGDtluYFnFWehfxuDzM0Iv7XBF+8iP2D6vzwEk+L4aLvJ3DSnOcw
J8U7fN23ivBrX7CI6qConLKXg504c/GTtPkZ6NGTBcJNmnp7YJY2DlYrwfHPnvDhG0aiCydjgZXA
AeAv1U0Pt6r51qhBkboefStOIuZStbQqwePQQ2knY97JP44DwmZQF8WOMZMdus4eTlXneHGQGuyZ
QR0a/byS/IQup/eCraFKgiCw99d/y0oeXhLBaOE04HTPNiQK+u8CemGh9rb01lYGcskBC7KeMncc
7aQwgPfnbv+uG/hy0L45funHL1lgAW1Ke0gn/HiQAMJMj68zEX+vP3tlsS0VSt0CgH+btG4irfe2
pbs2RaGZnCpXn8vq5fo71gboknY+rDR3pKSuqtFKjPSxAF4DDOdQ2huDc3nIst2Ay/ISmE86KLGZ
rsAypv43kL4f0zr4Cezxs6b5xhit/f7FJm40wieNy+ykYdBQc6yKf4MpSx+ybNIbWWvtKxYxn1Gv
cdE0cRKGVNVDVWduIVrQqmgTIrH2EYs93Q+cTDrMdBKn7czYslrrVpYs3bkGV1/bpJbU/iyd3SGF
dFDSpQxBDtLr5EVUfPHpi808AFPJL3kFjHpLOhiP5zoN81KPz25Di3EjZ30+SmCI/Xup8g7KKFng
O4lV36nhmYh3Gmx0jT5PQWRJ7ddAtaL6mA2J5xZ1NJu+cQaKrd4otXwex2TJ6ucuNzpHIpsjkd/w
dPzTkOEFKIO3dnB/N6beXQ/lz9cpWZJHHEhq96aNC+FE66ODs2dYSheaStKOUvDS9l97y2V2PiQM
vzA8bgX9nKRN/pSq/HGexzt7EGDF5xurae1DFjGNgzh83GmFM6h4JDiDtuoboS98/HP9C9amYxHP
vgMqZ950ZoKNp9/NXtWxkIBRBp2s6t2g3HwdbJl/v/6yy7D8NwWSJZeEe2D6ERtBMVAgiee2ao+D
Ys9dVQ4bDbG1tbu4rKfELuC+h/JXObkAw3nQqhQbC/cSWZ/9+EVY18DA9WlhA78Lpe4QdBM4W3XW
bV3XN6hy/3AxjGEAkcRQ+sCUXx+wldlZYodrLQijI7TF8CnZgx9QdQDEx8xOQPyLHzXLKyM2dbFF
gvv8vkOWcGJ3KJUlnFnDM2DkP12rDfbgLZK9qUyDRQBOWpHOXYaTtxro1s1kZVEsBSchiGqYfmqN
CVjprC52ZXVy5VaArj38ElUfAhR8ClEYNsO1JyUmoEtqCo0se27FvFGZXnvB5e8fXzAAGR/0YEbJ
cbgFf/xX55d7aRj9xgpYWdBLCDFqxylccjw4D0/koUkh5pGnpjxcX15rP34R/B66u3BwnoKzafwE
lUH3L8OwkbbWHr3YxWGRx/t51MbZqe4msJkoiAIN3TiErD18EeUQo7uYqM3sDBZqM7dRNjwOfRFd
H5S1EV/EubSKDDUkbpxz0j5VFYWuta+9jYdbK96MQGj/e8Hgql8zNE3gBpXCuhRklLH5S3kVPBY0
JUWkQfspQy+vxBFKijZAZPmrPeb6fwOO6pEpbPcEOvQUM0nFqccB4ww/IHeX87n5OQSVhXatzq0E
cjR6iGrR+zEbjIlFVcl1pGkbwDAnk8NdBYpbjOaW9fOyvURM5FNSdmyI5kLKb46hGSoFNQ2iSqrg
h6xbuA4ETh5A1dowqmgEB2cMFZeuH0EO/60LlNuHtSfU8zB4kFovhmqI+CAGHqsgM/5Qo3ABJYMu
87eeGcARNBCQ4TuwrkEdMikE/kZAbv6X5zkjyKAZfdG5pyNwCxV48MRLcN/rXp3UkD+mnHrgnhQ1
jW0O1aq+yU4eq+0wy5l1HoWEzRolEHkUg3wmbf+3hADSbZYhb/lmls0P5YW2DbR82v7KIOkJlC/p
QlFVDl5V+NMRxubigfK031usrR/ZrDT+WfwaqBogkjhBIloG4lyQDHklH8m97yMuL63c/zkudQ+1
Mfh3nFJ3b3HT2KUQbo0zt7BOAsKUUWurNhqp6iJvtry9Hmzn25w6419ioCFxW/bIrPUIE6Kwqt1u
XwHhD3ByDbJwYNWvvWFPu9x00MGQtooaBzhGRbIqBk7fjnzW8VtrtjIIgKopBglvmHYFyxx+8ls5
OkcY97VVZBip2ceAIhc/SDGPjw0AMO+Tw4naOYPrlXvTMiCSI2tW3uAuqk96JLSLZ7Ohrx0P9BB6
1MqPEOGwdyVFcPg+t+FfA8pOGTqp6ccKxKe3eoLlNyTJQNMETmUso3KwzQMdfPuW09x/7BX3TAhV
lhDhQN/w2I9B1YfVSEuopVMjaGFVYLSgU5aNPgGEXjo7iORkSQfP9L2X5xHEJ52j4BDx0EgDuCaQ
8XtpaHuKvcyq96XbsIdAzuoUSFfCsJv1QIHQst9BJ7+GGkYzXiQ5wUaM+laws1+U9C9q/cZ7AGuA
lyYvEDhZ3dhiN9h9ewIByT403KX3Y9PkHbhxdXOb6870dlmf6zd/qEno6X56QU/XKWKz504fTX1f
i11jO3onJsPd484xAQLkGqd6IOULK5T/3QfnKLTMEWw5BuKO3zXzQ9oYw7FvoWWhwXlNpOfVu6ol
/KVq0J70ofD6xuRgHGUNQJefV88oXpinuQ2gawBl9fFHlyr8HBLU8dw6JMRskzPRVX7PfVOXB2im
u3Qjra0k5CUPgebcVkgFXRIArYC5ADTUC0iU6nJ3PSmvveDy9w/bLKg1LadciCT1vPfUH3MoIc9u
6HRbXZ4Vk0ayZCBYDmgtMJXwz/ob6cPsfnqZf1pd2N3y7+rB+GG9+W/Ts3gQt+zOebz+UStH+yUP
Ieto42Tc989mp6sQLQYGfFJx4cP2FEJtdQa+0PU3rQzfsp5ZdHyYAe2F9CE3YVoODZGwssrftbFV
iF85qC6pdAx6RXkwWca5DeBhRQUEhmmcZo+tBAm11RvXrZXPWNpClKRohYACXFIJmu1HqEc852pU
ZlgaWyqwn9cCib8s00wNmbIJxaVETnlx4H1t6BBuINUraODzTTsP1bOuKx6nghux7WEjgYwMoMEA
DO9bgNiiqZVbok3W5czxnzsH8ZZUOOy9UkISCHZKhj/ej3PFj+D+2gy01iw95EGQfW89b5wfbZNy
iOqkjnDjUgoLVACjgW4vRzJPSz8nUZaL1N7p1B5PRt6mvyG8NQPQj9vDOyougQgpVDj63fX19ukZ
injLfAADaGmzUTmQFpN3dUUTKydfqQbj0YtMwIJgcKk50WSC+BM0eSLlj2E9fumH+0uFi3H0GxcS
J2MC4noQ5nq6dEu3Ctmfain4WFuL8zZHAhvtDAXYoG1uet/FsSLTEVrXPwtWtKdGDr9Qhn6uZZHv
J9ZDykcfcQAkodIVDnZB93R9ej6NVvyOxeEcMjL+XMvMTqq2+Z/LAVnwqtiC71nUNd2vzkWT+/qL
Ps1weNHioB7YtDeHXvQA1roK5xmeeHX2bMwoP3eO2LgNfL7Y/KWUpuVB/CcTAEcAu1NHFoOZaF5+
pRaGw/ritI6SDiwjbGCoRGUXsLuY7oUqyo3R+fyHe8tCm2XxUTCrAwbPH/c9TYqu2LjYfT7BkJv5
93bJS+4UpS8A9He1eBiaFFtY2XUnw7Yg691W411LC/pyfZI/zcpIUouI9NNpgkJB5SSikJADoiFq
YGra+JJPqy54+GXsPmz8zUjAcJGZk1DOQinho1GEdeFAYB2U+H4O0xYHxHoLobL2KYsAhdp4kCHo
nQRpPiSTfYTY39m0NsLu82jw/EXYlXnaegEIwBgomHCCyD8zO5S4+tTS28hfKxO/JNCKejSg2oAO
QN/iNiAFoLX+2YCnm4dyFYQFNnoZa69Z3JFVMXo9xRUyUTAQa+cpmu36BECmPffwGvh5fV2tDNfy
plx7DPp/RuYmgXB2mZeGqpOQT65CaEFsRKD5T2L/ZIf977EvgIiYge0euitVpHTtP8BCpzoWneoY
7nmM3Re5J3ToSNL8rFvffEqDlN7mZMD8jW4TKUtbEIbBf4XimREcgMCDOKEWVnV0hAl7FhuXm1gp
Uh7NGbUW6AdON75hZTunqjxwTFx5A1E7L4ZF13DkBURV0ZvL/WcTrISdAWuDENUAvmO5eMPRBFoX
QgKZPTveoeYaTslO3+/qgAW7Gr2Tk8wEfSiDrok84Me/NWry7kQu2c1kdTPmypxLdPwc85hDKyUh
NXMOPRXQ/Myh6BNL1dqh0+r5WbUiPXgWQEK2O02nHjTJExO1E0DEhOV3BUwJI2pDuU5qbunIIbbz
PzbBybSHZ8wt1Wp+qW0TClT8F4Oo/jRY/oGoEjrRwB3cF3SAJq7cpwZn8Thyfp5JzmMX4mdzGPgs
ONnKbW9quB0PscQNHNdEbUOiohsix7NZrFWLarsPRReCWM2hsmbgkzPiiV+ZAWU2yC35z5UVMB1X
Y2oeSVfSHabUcjDsfgdSm5fHo8C9yEEf+16kioJDNkDqLs76ouYbC2wloSyP+EUDNQ2S+xIHOHc+
WqOBsopi/Z5abv6l7e8/suYmZHE6wurgzPMpAlGfhWa9GSBrv3+Rsowhh+pmC7k76G0D0yXSIXIh
lBKp2vuS3RgOdIszgj3WLtcta5LeKQ6uAr5LEOOngbkKIQZ4k01oMl5PKGsfs8haLRiaKUehInFk
p06ZMWcPsGWwd73p69frr1jJWUsec+BIbwoaIZPOMmaUp2h1CBQf3nHtnm+h11Bs5MbPvU+It6Q0
i1EOZTu0NpBPdnuTl11/gIFn9juoVOPsbIgdh6iRymnn1fDXaAgp/uaDk7/muPZ/RQvax2+47A4f
9ua8rgM3hdwk4MB9HjXdvK+wS0dfG8nLCH94uI/6z1xws0Uvor8HYv43VI7G0HLs2FPZuPGSlRVh
Lfb7Gt6gnp2BAqj836MFoE/1MlZfoWZfhufy0g9fQGfdUBSjWkQ8P0uaH8Hr3H1tcBanIgjnQ71S
l5D+kPIBIjaoG4zTHHY1VGZmSKd+7S2L0fGUTbmcHWi8t3WUF8ObNTT7xmN3duPur79iZQKWBDYO
tSEw2HibUEv+gmolbCB6SBPX6ERtQMb+gYh+ssMvSWy9BUmpoAL9G75HUF8fC5G9lMqE1LWZee1J
TGl9z2xdQJmDjcexn7wjXp8+pTCoirLGbu9806eHoAj0k2vNPQhYvfktHSy45IzSPzhQbn722exA
bnaAjKA9AMprQDTqlAo/Z6E/tz2E4HpzigzPFluXh5Uj2JJ55pHUJBX1YIdj/R59Go5QsuAcknzG
z0FuXYdX0pm7iHAL+y/KYvOUALiS71St0m9ZYOa/CVHuX7N2t/gXKzehJRdQKR8SYmhLXMrp3+du
fADjY+OoSi+r9ZP5XxIBaxmMRkX0kGBLuTPhAGPGHQQS7zLLMkAvKPR87ElhjzHUscWrKE35o8UR
+qa0jeqQW7V50w6y/25bsNNVIqtuO4T1zgdGEGLdHTSjYOrdH1s/A0WyF85PV3fZHl485v86iYIl
aNf9AUTvLgg5FXJHVC3CgQXmETpdeu+X1D/wRs1HpytA+4a04r1PshwlZGG9or7NIbgr/KNGt2IH
UD5Y4Vo3pxQN4VBWpht7fTYd1VzUJ0d0022RKn1M/c6B3XfJz3BpwJqHzHMbKXDm0yNaFePO9XqY
R4FIM5ew/7XaOwjiOToumkrmp4Bm9e/Mh5FXJLImCE1OXkxYyW9swp/2mMl/bBf6tp49WcFXqQfI
LUNnsKCx00+xmQYQSkvDYQtospJaluBdwRUkCIrWO2uh+7MDtfnYp1JDxM/iX2n+4lsWBwoLzE9U
Z6Y5ydk5aE+1vuXkK6wDgkr8vzcPwZjTa9ZNSZrmaAi40vw+enO1cUxZmYT/yCfM02y3hQe5na5I
ZnSWraI8l8X0OHn8IEr/70zm0/UMv5ZCFltVV3V5JpBvcUiooFKenXJVh6X/Wmbz4WtvWGxTfaZ9
pXLPgTK/hCohwPmigtL05DYh2nlbjfiV5bRkZZojOqjeBaYgGDyq5XvBdyk6sl/7hMUZmDQttBgh
5HnW/TM4q2Fjp2ENjGvw9/rzV/Lr0tFJGAa03bM+OGddDtHRUUcmYMEbh5F/MuknGXbJ9lR2k1tV
D3QeZHPzHE7faD2OkKJEbYN7seU66T0EStHVbIvgZsoaHcq2ydoIXSN315q82JcMYj8he3FDaPxZ
jgy55dewEO/siBVoQncZ9ELbuavr0PU5pIDr3o9cn/FzOfYulIG99iEb8+nWcf12p9huZGq8K7MJ
8vgN5TVu0KoKU3seY2rK+sm0GhryucuhKTlx9j2AQML7AIf0e8vs5U0xlegZuqZ4VTlLb3KjcaYQ
7cC/vTEaseU3UPFREu3ruhi6W/gnqipC5tY4fBkKjsNkdmPRtsWOFrN1ELlvfNMNa8nGgH/OhkGr
6hLWH06WpSisrLaocUZdYF+1RdyIasf4DNnxA/RSv3vsFdCtG0c+Dygh4IawkbtXzhxLdizOyqBV
Nz07T6T762lgUSRcMJz6MXdmUDuqje9bSRlLeuw8FDlVFkKNKahxlnZcmGbU0O9esyVqtvaGS5B/
GEAIA4DWBbgDZFZkqH0dEh/oCejkehvpe22kFlkP/XVcNHtinH3AGUzU3gyzPnJ0+upnwFi/ljWc
ReJDb1zYUClj5y54mlBCZNm8U8GNEGTjBStpw1nc/mXmVm6Qzii++s28g0jmPcsCufHwT+fAxO75
7znoDegHD5r558kfz4afP2e5+jFjJ82zZsu08DKf/8lMeMcir4rWtGH6ZvmojZzy5q0u/2ij3vj9
a89ebP5kTn3Qv4BTHkd9sigMbSjb9/BGvJ6yV4ZnWUlQXVdnHh1n7Grpr5ZgCbWC2OCd5W/D6G1s
zp93O02yLCPYtubC9WDYClAZVENVs/ea/rvZNK+2hJxzqb7RfHq2L3Vdg7hTWNfZPbQyRcjTra7Y
p6GCn3D5+4dYDDI1dHbvlAnoZ/yQGYWMy9KrvwkXxq1Z4JkHU/hbt6ZPVzRedhntDy/DhtTNfQ04
XY6G6q1G5Sm6fNzz9Tlbe/oirVQ4OeNCbgOsYb6Pw1Pd/fnacy/v+/irdVoZgygZJOqpdQflVchI
BhC5vv70lYX8z8Xpw9PHgOWdMfcywZl/0CHDISccpMFutVPNT9ffsTYyi2A3KATJfSdVCeRkmpMY
2/FgaNr//trTF2FusL7pLBiNJFS64j4YRnkaVSq++PRFoAtjnmvchLFZjDhb8kvzTExZfP2nrwz+
8nbq4+TD/cArkkr5WaxrRk86JVOsfdiJfe0Vy9MCnxh6QjhcwhUgCnAi8/kcp+0G4nolfJclAtfp
aE0kLRKlrSC0a4DSqiyDB0Fb/0pxz47sTQbN2lgtgneCbH4wQ6L7nPsHHVBkJL2rgnEjF649/fL3
D2GgSscu4dRQoDnfRtN8aCFthyr38fokrKTz/2jKFT7E+8xcJir/4RONs+0vaUEjMHi4/vyVAFvq
0uhWmZc61wSbhqKL3YCW35mB2u/GyW/t5y/i156F58wNELd5h1KgGMIC9uOKhc5WkK2N/iKEO4sH
EBaX7FxN+btVBydYPD3DRuvP14ZnEcMtxiYdjICd7X5Kb2RHwKDogo0S48pvX95/QG0OrJ6AEwUF
8TPsrH7y0jnX1bBVMlkZ/OVxf6JGU2gFLDUPXmH2iM3yVGRJO6aH64OzEsLLYz3NAKor0iw4t2WJ
xrTK76D1EgY4Rlrw4jIa4/n6e1bW6PJcL2Haw4HWAMQOrkcRa1zrgQiLb0TY2ixc/v4hfjsDIq91
PckER4i4HOHZ2v6h1dv1n742BZdP+vBwoNkLy0MDJQGCIiTitwpg0JG9FWiPXn/BJRl/clJdnuVF
6tI8MJDbgOjl0dgMwSPATWM01jYzABdOxT367YOAY5be0m5cm49FUI+N57RFB+5C586HwGnvScu+
lo6WCjfStyCiB/I85JmojqBODS96+RUZVJD6nUUwN1mRi5bhVG8U/u0s2zdLZhu72cqQLBVuOgkX
Zd0ZRdLAAP6mN3gQ9WnDNm6FK0vUvkz+h1VUttNE4F7jw1J4AKwZxEn4UkzjVolqJY6XAjeA/nao
ogsIWgLW1dI/qrrlJhDrZgVFB+9rWgUwUfz3RxgUAOpC4i1db2Ibzp/qdjrojm4k05VIW0rd5JYk
igSXQDCerJTH8kI8AL903LKVWnvBIpThslmbHXHZmfe/DIhe7FvHSPLJuIPrwBb7cG2i7X+PUdql
A2pPmGgyVrtJk+NAXtup+trN017ELVDuyulTA0+HS7rT73z0Fmi/8fC1CFhsxJU5AII+IrhAXO3C
uRx+jbb4cz3JfQrmujD9/j0sqGnnZT2N/hnw+g54Rhr5HZiZAAmfRhv6qh67YXZdhXX3RXrWUvhm
AkweoLLaSVQqY3/G+X1w7Ri23htoVHMl5qxFSHtTW+hcjirJG0Mfeu3jdsN5973OtRmDgVLA5qYe
9mLAscMF7P47rrtQjwmy6lBaZhD37gShJWceAMixy2knS6uPULRgW4eHlflcKudYvjKYCdQIbKib
3x4lFdpBuen/vj6jKwvdWiSDshsKiDw3KCzDzNJUP/j4ZuiNPXft2Ze/f8iWXDE7aGAoAz0q0wpV
HfyirZc0GMOv/fZFIihHG22xAccRD3hXMb8U7XMhNjpDa8tikQDGUVVFM+O8acHlEBzUvZKQ4fPD
YW533Rbofm1qF3kA0i1TzlOGQ20gvxeEJKQpNvbBtd+/yAJ2IfoqhcHT2RiM1zGY/1pW5ZFw7k15
Y0qYJEG8M91dn4eVhLzsooGXZLbl1DpJmmf3lqiPfUoTw6u+5d4WzmPlFf9Rv0EeUGlOsDNKpsOB
Zywsg8oNTfDPGXfj6x+yMh9L7Rtwptxs6vEhUBjel6o6mHprV1x79GWePsRCb2oP6j0KXVPZ0lD1
Gr0Hc/h1/XevBNpSiSbwTW+AwCF29DGNUSA4exV9VHrL82Jt8C/f9OG3GxD+7E2gYRI2l/dGZkSs
x/Woa+7I1htWVus/1c0Pb2iIZfe1DYk25nP0YqUd55MTayhswgivbmMFRfuN7REQj7XvWYRdDYlr
u9Wthu9Ob+0sztxnG8Xs08S69mA1Zf93GNP+DfGTfZfz4B8qm2dgi8EufF+DKfdam667K8EqrEOf
9MYPVRccMDGVPXZDbr+MIAVB1mESRz6z7H6gfnpDWSUjry/9pIeZxW0HmPXJhgxqTJpA3xWVO99b
qucHbK91TMhowlAuaNJ9I+Zq55em+acrgmpnoWUdiqJv4jRo5bsEA2mORhja/eSVLJ4tOkJYbMT1
LJlzykJX2fKeGRn/X024J/YXwlKcoVt/Fn3m7D1Y5P6dArd56YRh72vwR14DFGTuQfaFJU0n3FNh
Z/rBMAGKA6pP6dM0coOHvEnJiZRs+lbkukm6YmC/A2NI90GRpXHlVZDd90DFCLUx9M8w7xQyagvw
cfbQlxnBoIPwvyopHI/aAPo1BlEPJaCVr7qB+5iByz44j4I/euA5tWGeZhXcatwqCzsucaThAaSQ
WkA+QCylU9JBNyoPGeEpGKRTP8szvloz+DObpInzAh7KUBSYQsFqI2ndmTxVbsMxvj5zb7xBmOfR
C+Dy4Ln+s3Sa3N55bZPSaOAw8uXc9/YIr7LeE+AoHxrHmm2AmW0YBTsWaKImAzA2AgWyQLNaj98p
afTTBJXq2BPMxFpIu33vVHKfd8PF4FnnZwBdx1MDb4Cz4nzcTVZdA9PaXGwZRR/7mQVq6ijGo9Xq
7kzqpj9ZvrR2lRLuA3T0xBtuZzA1aEllHeFK1IcaLNEjDiM0FI091CFWa/CgyKAeA9uBnx+AMq81
NrNDrXxrDzHBOk672jnMCm7qRjX6aKVq9dv1s/6mAlH4hY5+eUv6qouxh3TflPDmN9aMdTT2aB2Y
kz3uMxviN7APs8MAF/fbpqv93egDTt2KrvrjlXy6hwOjC+xvIW9gj1zvHQWoMBjKdWzbDHeCxhm/
QQVB7q0CKmndMDZPJlBwkZd2cxU6KO3fpkPjv6bKbPZuX/D7Shk9rLktAEEGcKjqQsEhbTbKCHK8
wU7YpnhxxrmBQd8EZ0vil7tUcgw6AZ7Ky/CUiTlw6sNM3Gpimzd0MKe9dAIfUzfTvZPRcmcTeOHl
rcvuOjSfwswxS9gtZ9YxqIr2h9NfrP3Ktr7hvHYQiUN14/aO/6Anxm/NlqlocDLvjcxAixHTIA8T
OutxWREQu2HSaT+otrSOtPGAaAaudFeYo76rRlQjVEqzXxpk3ENQOuxg+BYczWxHvJj2/A7ZUPvk
9to8DPMAlTwxo81OtLo1fLBrQxue7XsQ+Mqjx5Tz5gupdw3pczNsDGDXoF3v3LU4PUf53MGSIphd
GpOi+EuoVSXl0Ae/rSCn8JSHYbsDTGiwr3gwvsBl4IVpKJZ6Trp3XVEc3bkhYHobk/uSp1P6Wxdp
E/G6VPO5pHQ4S+kakXOxLzT6Qj/5EAxpoyCY2H6q7PLeAhb5sZDFb4Na455kXvPYNbI6C+3Zr1NB
CY/KUULWMisbGJoH9p3nwvO8tDvYOJp9+g5/LwKH59ZDqstHDx7PkLwm2jTCEtrqcdo071NVGKeB
5PoFJqXVc9qMQNKrMnsHUXq0I7QVsp8BMP/OccjH4i4FIvVQz2kFW86+bJ5mcI9OAaw2w8qcSjjJ
owa7m6jLDqVyp8Si8/DTlgqeeRwqwHfwn4PInOMFf9w+M0Awys0dCL34XgKp76GqVDSNhRspD37g
XNbmceKTHcPx3kp8u0f9O6+YEXKRk72Cv4ezd5mXHnhVtn04iMLro9LLONAJQ3YoGc2/Ma+CuvXQ
YyBNZu6slrbgmJvmeU4VB4/B7rB8g+xbCijFk9ZGi9Zy9X/OrmzJTV2LfhFViEHAK5Pdbts9J915
oTKcBiGJWUjo6+/yfTrXN52uyluSOsfGgKS9117D9kLGHvx9eDocY7Bt8iDuIjT9y7YLY4Osm8RB
QCPzZ/bVIgAzp3Bg31nEa6V6nkGZ2fruxa5DjMhMXL2oiJdBPqJT6yfhi1/746Pc+qVgo7v8qDsH
uILmokawaPOwdHAhmbxe7abBwTHaWFflk9VLGhLlgOnczq9U+809klCDXa2FzucoWDPuODyrXSVP
mNQupW6m5rjJdf01Dn13jp15KFkfi28CyTa3kWqDNsPgxT85AXFu1tbv93gt8IbEobyRyD0rNdw3
Cjm6NAsnDdaAwL494jEtWahlXBI/dl96KTUMeoc4fFCcxlvWJoPzawaocRqTit+FerwI4AN7ZlrW
X4Tnxa/MFS1kswM/NVTTXbzEfq5NNR4UwQdoO0rs3xOyQdZpPjSEwY63x8H7HDk+dPO0Ch4k8opT
OXviaXNrixSTVblzkYxN9bWLDTn0AKihyOd850vZfhWaCmzMIUwhNjrfCxXRLNE+qDahWtMxtsNu
Htnw0sFpsUzigX8Jtvbn3MEeLV+jaDsGPZ5VNK7rMyoJLHlEf7CbzYdKJIBFQIB0+JknUGAoWESE
2Frto4826w3MRzoVQjCagXP4aKPhLFgCDSfsEAS2Re4PqdmCKkZAbeOTu1B21Vh4yEkp26TuviBU
fTp40sHSmjq596NqnNJoYj0MLA2j9Qkxts2UKcdf13LG9gjRB1ITsgRJqqVVXQ9BAXflkysJybkJ
4CHRCvLUcy9AnryPvkACjPDHzqTQJAincLaKPtieuAW2LTevidbvbjwPBdx5zXi3rT0G4praFJYe
mFCDF/wrtuFo01py80ZiYuB7Qho/wMnWJm4+ofh5HZ1leCFJKJN05J4slVpVtuJtkamhXtVmZAvq
N1rhAPAH8j4iivVpW7sEHAbooVQ6cdf3Mq1DuC5EU4iUz7aPS6cSJlNxqE9+4KgdtkJ4LPTxerP2
Ds3g/REMyCJLUEeRwanfQifht50XuIV0R73C2icCWQ5VmpNL6mNL3KLopokitYMs3t6hFEteggj+
wcCp4e4nlM7gV+r+go8CR7bGCD3SOsL8YF1nUvCZ8p01zB0RUVXZJh8YeoB0DWBPkrLJMfdhzdbS
IFn6FqaLmCfFTVdwajny91h/UJJyWFL4Nb+jcYPgcZAUnoMVPiQpzOycs+/UvcEAqsV27y+O9yJ7
Gb1DYNN+dxOF4zeyCCBmFsVyKzHQJtD+7NcFSc7DEnf3JtJiV4Weep5WOj3IFgeIMNzPPYTWRKkc
Ka/RHYJVmC6ja591J2H7AQ8HIVIB+0R6kDWsikast5d5hPSonlrPK7pqk3cxdSsfQi7pweEvoNiK
qNA+srSk89XrLBLEO9b773UEGynfTOMZlA4M0hi1hY6EgoMKaWU20ks+tezG6j0Ytzkbpir8phaJ
+FtjdNFBAPW0xJ45c8hHm7TebACbjXqofs1u5IR7WCWCzBF4OtEPoL8sXQa35KV06LhvhzG4tV5U
AzWEjmcHGSW/dWhHDaKXuVtaliSw5PA8cz9LRPnUGq0sjSeb61lBu5Ssm81abcmYdb5EMWMM655c
VbNCjXa8s5CbqXSxsN9I5RCYBy0XW9Lugmc5iW1fYWrg4I8THMYcO09YAy4Sj+cZRROCL0pEEgMl
Edp4GbjV/DDhjJUZHxV2OGaWjmYBrfpHUbnwzpk0rrhHnXbTBS7aS8brmzoaK9hpK3Q4ENfejD7y
fdNEOG5hiCdvZqRJFWPYdSckkLADbi/JzJKQckVMEvgvpD1Ppq92aqZjOl8ijVC8uONxIhA6mmRB
wmYy+acQFek3TRGvdBNvzlQ6kvUPY5x4xVwremxDnBcgPGz3Eay27zt/UjSdkMt+O7itvotdZafM
zO22ZyOjLgbZYIk5tBlfXAvdZkScukBAtXxxxEJPgT9ArDD2/QjFPw9LnymEPC8oQSAchS/XBC3Z
ruoa9xCIVex0kEyPbu303yyK7H1/SWVa6SqQa7BwkYu2Egh/3vjYg/BtmywcXP2G3PDodRzgCQRL
n75NawRjdjAkR1vX+8RFEpqIfnINviOsDPmcNQLeIajtmmPMprpwpNIXbhICbzNmF/wDn+sXl1p5
ROJ4/Q/caNyS8WrcCSvJLjDCyzmCxnPIk6sb4J7NvWkX2xYX54WSeQ7MVmjPdgimDo/JJgXWjfDg
KatqdJ2CHGo3HFkG77D+pZn5+MM4bfAmYxZ+x/UjyEvEgwcfeBgqOcRxYM/iya8Tr10oiIAWlJC5
q9yDbngf8HB5pQOybZ1xsM+Ta/LE2k2napoXSC95REx1Mzeye+x91Ek5xIbgk87MXRNEj1dD3tB2
K8fGt7AU4uRyUb3tc7R4yElvkkHulccU5uau9+pOY3ILLoaOyzquYQEQ6blYtirS2bQg6DbVTsve
eoEsxN249uhimB7QdflT3gzjVIBTGKYurHPQvidrlkTQe4hRyS+CzeP3WKIiLbyNh9EdG6ScnjwG
StJbgzFWU7RomFnmytF+AU/Au5Ug7e4jm4zIP8U+3011iK0kMIBNnmgfV5DDeGDnBnJgeZ905Kby
yOKlSO7BUiajHn5gVACObqeW1zBqgxxmP8ENKrF5yHzdjc/tCseJNHS2MUwjDFxeYJQTNnmtQh9g
SJ+QA5yU4G7TWEuhhZDYEWq0o+WSVD89eNrdo1aZUgRaUS83Tg2HzpEJE+R1BU+EzOnuu8jTQ2aD
OOpgqjSOukh6hiSYakDmuQNI659KD7rUqgezEzhIt0taK1Kkx8g09pcZNFnZ4Ld5EJs6Vv+o4xgR
6huMxFbcxEcv2dxnqEarfFkCH5sQRTQiAg4h2ZbwrEyRbDPfrMvSnTdO2wKiUV6CpeW8KrmaQ4Ia
7SDgMXWEt2gg0s7t3VLruM0VSLt7HUNcEo0hP/UrAdICHN3CfygIdoEPp7QtsQeLajsFAIQpYd3b
s0BvlPsaBWAq4GW3D5xN4m1EX8TB1urkSSaSFrQW0w567zWFDBjSEcrMyahN7/ECRxmxa18kVShP
g+hqtAJRspuDaU0jdLJvoyAtarmNl54kw32lowXP17aywJ791NdolbyE66eIIzzbD1SwDyq1gaC9
xGUn+/huSirvRnlV1cCELKiQA7eYYpDRcoixhBdUy0vyfQuxTNNxUPFxcKpk301KnWwMBtS4rOyZ
mc5+R/koXltnXTPZ4QjPFRK2UJ+sEIUR4XQWFThgDKYovZNctUdHzdOxx9QQJ/TSNKVFY/qguln9
k2iYCyKjBMlirNNI81vRWeewRnGXDGbI2JVHtEhzFJMCGzF8n8SpIogFDbvWIKtbAuQaRw++YQwE
a1fAd4iCxoDBDg9utXH9fK2TtYRamwJk9NnL2EUKw75Wo1Exff3qQoj5gNVUX1JA2THiQZ33NgxQ
a26q8C5tWQpymTDQuvIKzPzeO8xQxDUYiiFePfO5V7+hhnILcOaiw7yZ8ZC0pj9NTmf2YzcNZ3gj
6YfI8erdGHre7RQ1w5H7XP6AYigp1ebGO+JTxCfr1lQ74IjRjTGdl/qu0G9k87ddRCvNU+xb7Rnx
qO5tS8j8SJs5fGk4J7moJQxuFHeDAwpB92ZwVlx/tI67VQJmnZyNHoGrewcqEBkaowPCge+qfTVG
2qRt2yB7sMZoDycFcsXk4NBfiWlxcladxMHm9ZMH/9qRxHstq3gvBxMXCN1Zk6JaBvhJTXXcAgOJ
eB9furplhTFZlxSNMuZ4SUPYxUJvp2ScRbqF2r7PU9DsbNOQc1wjVCyFBmk9TkjGeewQcXALR2RM
3jlMEuq0crS5FeiRumyGceM3IH/BP6QD5RZgGhzYqtAP7xwPE0tHz1GUhmEERsAKPOObL1b2tA4E
pGg+DKuXh6SeaDZQrd6jWLTPwMWik6nnQOdQHHV3fIlMyYRt7zoLDRoeU3i/IukCByYf3muV8Md4
bJYc/nUYgRLwMYp4jaeCB2IsXK15trmJe/S9Id6b3hvLXkivHFiPVgh5w8BBkzH+Ws1sgqlq299X
2EiLGGyRvZrh9yPaIDr08xqfbWXMrqL+eON3Y/fsqTFGPYGBy6vXAC+V6NsL+O75+4XyaTes0DSp
2DVw0W3oljYJRs0xjuN3J/CqMBXbRIcc/G3vvjKx3LuKoWLbOnTwqRs0UMpJCR+tunXIoZnAI4YH
nNgFuKkng6AMlTZdA8fDfojr8+QkDdyp2FyiIvTexm6o1ryeEx893AiSQTvYR+tLAfev0McsF9k3
3s6HcUC1o9PKf8aooQ6xkFEA/6kYbk0WoFg2a0pLHYI02xppv/dm4sinWui0W9fQ+1JpMxRWeUrn
g5phaoBV/7gaGLmuunO/u12z5ZfLyRyLraYaYRmQMM/bw6yOnypN19whbfKLL867605ruTbL9jIs
oSidBM6IiH723qYxHO78wWzflN8CmY2TuZjXZnjpUWQUnax57jZ9jkMsh094ovfxpp2dgZtgsF91
732hI4UJYVerAcZw3AUeuxg5p4RC7Z2HGAe8IOlrTmunFgcUCXHRayFy7SSqXELlZISitdsM61mK
Xts+wyUiSbkTuj/c1SY3niXioVPTdAR0gXCVbY1LtGLJXlWozwYGMJ3jHNtBIBgXBB7phwZdHmw/
1BDswkb2u9WSHzaqosceKb84/fBrOJRrj8gzsz+SSNUnpGw6t1BywKx6Yk6maklx7FXq3Bv47UOz
ilhpu6AS6IdcU7RB8OJYs4YCciVtNLxhXtueHB/btW9qk/njFt16iM0pxoWz750gwBYw0Dghpx77
PAefCk+QIfN0wzxlRhJz0EEWxFCoJMJ/xMZQlRYmvqhd/e4Ub1WIqhd14JPn1GCooXDa9byzN0K7
YYZWDJ2HaWeU2MDB/a3ydkwt4VON6X+OqgPHqtpY0VSOqdPFiSBZWsLxDNdB+c3yGYoxGEBmWyJk
5gUWBVGteeEb5OR4wwW+H81XGJGAd524MB1TEPqZvpnvNjmQZ2QMfl0nB07lU11/1Yv3blwHYQ7j
KsMcXn5jjtSAMMcE/t3fOv1r8WoAckbDHk8kquCaQxcSRNh5UgDuMAC1AbxIYBo0Q32axK+2l/Z5
2BpZZ60KORo5/+J9RRNTNFCAw/kkiQrZYLuMIsDQcHa0Nyt3zLEG3/ExqDcs/2Xhj3xtRjhmujE8
SAgrcIx1J3eJqzs2Tf0b/Cgt4iX9bjchPiULFBP5OuAkHNfBphJVSYeIdBWWEYlo2WyA/lBw8rNB
GZjkFPK4rKoipwgmPykH7nn466b2NDBJjko0LiKqwMKQATKmIS19DZk2hbB9cuSBlQW1lXqY9IR0
67bnAFmcej+MS3IGJWIuYG4y5RxxCznKVbWroKQd07WOlrSqYvsFNWF4pi0n78pw6HgXalJtww02
0HXSZa4LZ5U61D+aGv1b2i8ifCGN+xSYWMzF1HH1njjwx/TcbSxheTmcFw+IfUvb4WuwNdEBOtKt
CMdY5nSeL68XuhPDhjpnksfZ5LoaGiKcUUHH2DcIhmW+eSIoeeP6LNXTom6Srep3foXhkwM86Y2x
wN3XTrOWGEmjUaphDXGsdNgcF+CgaRNDqhLFyxv2IAAFFZzipByWZ8GTsFwBVuzrgIYPkOf4+CER
5i4wUSZwRdyAkO4MpgCXbXswBlQS1/sJNh55deaK3MG8kux6xCmnlVqjQ2MxqGEy8uH/Bjwa0yME
a0AYmJsNY8620a+CDjCdmXp86trzsnPgUTlzPdx4XhRlEtj2DjEbGkp7tkDB3Mu8krHaNwRvvekA
EaQb6vDH2Bn4zlVNdWt0r+E4a7tDz9FKhq1ObqrAopJeWv4M0fYPjGC6QkPNWcBXqAYMD8TU0czd
GbviscLxa0oDVFZnvKEkb1GI3Gxi4JD50O1QqcbAGLi3+bagP5VVq/AWB+v9VHfrDvVFHGFtB/CX
qSvR5qisEOgyTM2+mthyWANMW7u7DtTyKK3HGJaygP6zsdMbSVXYRQcS+/PO1CsLMbKcw3uwiFkD
H90+BEFTz78GAP13od9O61MDgLVOWex5d2aD3DJ1m2EoA0667ySAZivmC7nzxMIOc0RjmmnFMali
7QInpS12BK5gwYENEBh+cKkhK2ZngwKa2dSdzEJJpJ/2qE8KPoTkNU5WhJxKGywwpxxp2Wnr5ZHQ
AAwb7IhrVQ20dLphhmmmI0rw6NucmVXkA8rDr3q2IVhOY9J+Z37Xr4XjDtIvDHrsn1Cz9BaJ1O56
m7QeO1Cf0m/DwrtDHXXm54IR15zSuqOnaKrJfdKgqARSSU5wowjwPjdtikb/xKDOPSVrP57WGf93
GmNwFuYd9sgpDzDtvoXTZr3rFiJk4dfdvPfnGdUOZlTtzeTwtmAzb27MMNhvc7Mpk4luQhRuT/T3
VUT6q2moOeuxDkpHUG+HyRRNAwTknUZIUM/S1xIWZV7wRETguHmntCoiiSYCy33Zjd2cHEUrtwdj
l6QI623bkb6hkEqMEoDl3HAYAUMi62J3AkQ7eKj/BZyzE90UkdgC9LOuX2eNWtbvyoExsvE87gIY
M1gXSdBV3wKYwRSwbYdpk9+ysqXx8iBJuBY98JIsUlt9AIDePbimJpmCc31ZI1XiKapr8xwhdnHn
krg9DT9j4qhnEPANhVrbmyBRGPyhP6sZVpRpi9cvC+Bi26aQyJrXcKvw6qiIHyOPR7jcrSoJ8bYj
bzm6N1dN4dml6/ADY28YLXu+R99Q6CxBCptrWC4sXrQ0WVtzQB2zM4kjIPGwPbowHgDZyCoMkOGm
9dCMIzADGvq00JxwUbBqxda/+AjJ82HLuY8DU79WY+iU1QDNd7lq6RyNh3UDMyTSfYNzvXrvhMss
eGRh9RW9D0SzuBM3cJxqoOeZZLGBEoB+yAYbhs7BYrIhji+TeRgHhwEaIpSh5q5KcPVpULMxDbfW
nuI5tL9Y4zhZz1enWAlUe1nntuYOyl/7SFzTfIvjzu4gMjVeGmgjsg0W2xy7BFPnEeq7281v3mLb
8Z1JQvGPUjM/AGJSLzB4DrPFh5I3W/roxV9C/TqwDu/H1s/vGuvuZcCM39+NLofRW4MKYdE8ukvg
BH2SwQTeC9Kf3l3jcijdxFA6DNcHHgp3UuD0F+mbFiEcF0Yd+ejTN0HQpUp7npAUhk0Hp2CuGMg6
OwGHU3g+8whFWeW6bhGGEs7Ovi+H50ShnIbS28OYhCVjFxZh4y5lM2OAkthoKRZ0fQe1Qf2VcniO
/YoaKp/EAp1HuszL+GgRkjejBd+GOOsC5cCWpdn2C3HjrB+MuJc8RCMsAQH8jBQfyGHZlAsS3TgX
GzoIDHqd1e9SWJ1XCgAW8uCQbYgjcmglBl6g58CizAvrBxug82Wrvx0XjCLeeByHz9EYiBOKpuVR
RJvYjxuX+dJhTBHPNgK4M0G9HaOf1ng+911HkN3euCKLQ79+GDe4QUZan+jQ/9PMHTmPYTjmE18x
CReE7yZ0Kqm7BbIwPd7StJ05z0OfkXeNIf8NElymO4uDMQ/5IneAg3sEZ+nkdmMWTXZMw8IxiGek
fjgD16H9O1Zbe09kosuxCvW9py27AaQT3XsYfmSTapt8HHtgB960ACNX0MFjYrTtNwaZgkZT+iWI
qbgDnRK2ElXI7jHmaZB7M2GipXDbxtXqfNpAg5j9bj5Osxc8+H4dvKO37veDnJYZrBSNqG4Fd//U
9yrvQROvLS8z6BW8Dg4BrIceBBPRCLgtODUZMUwUroN3s12AQCEBZziRHnC4aoDp5BAFVnu80+1t
T6e6HP2QYk/mAseZVhNK+i6aKg9OC+l8BurRTB1cn2EEBdImBnqYL+HUXUdg5kHjmzPGHyrV9dK+
uahedbaGQv7oEI+xiWrYIRmEFj3CiT/hSH7EA7viSPKIjyKKL8ksEtQZ2blhCZIB3AJMjNax+juW
6nUgWCArXzZgbtxSwIYS6iX0CADtBX/+K/LfdSjYNBP0m8mIUFZkAzSpI+Me7Ckvfm/4lnzC8PyA
vXidC7ZZUL/6FYL+laMbesCO++dr/0i+fB0KhpaCk9ggoAhODod24WhD2ya7DEiZGPKWjQfT+gCA
1p0Pohhp6M0EQp0zfEKc/Oh3Xd6Mf/EOk3q22NxCsJ/lyxQ9DWBy//mHfcDIvDahlnWMrg3inNtA
YGIypsr5RUHy//OHf/DeXnscAyPjCzZSqIk3yNXIlDkhx7p90tEn5OePrv6K/Dw4OBh0zerbdeNo
KfdsHQBfxn95+d7/3nRFMNxeMDy+tZj0BbVX5ehKy5BiNu663WdhyB/dpKvFvSXEDi4MXm5BdESt
c3b9YV/Nl9Q8+8n28dHLcyWGqJMpUHio+pZ7Q1YHv5AHkv/5Af/2k1HEXeQX/3otgbs2sJ1ckoPb
yl3vc3hOTZ/sRr+VqeGjr+QOvbeABlWHl25oPIN9+M9cB2E6GYlW2JuSbIvXr46tP1sHv30K+Lor
2jMZZszxKrvcUvIW1jBnQdpI+9hPnzncfXSnrhbwgq4kceCGeosJx3Kqxz65JWPMfvzdc7isj389
BzXpHkTAEVKatT1wFd8JAFp/99GXH/SvjzagojFMsxIEksZV2g6F00WfBeD8dvnipl8t3w0trrE+
yPJ9DJIJ8fUeESUwLoNN6p8v/qMvuFrBYlkB6mEmfotYmTMiXNYMqtB/mBu8/fnzfyszwg+4WrtT
0sFjdTYShPOtyXXV+3e1eykpaEz8XSQG9aAwR3jo7RCfbK9hyPbnL/7odb1a0rQm82opFCXxpiAT
9ZyzRuGRcX3pg4OJfPLw/3v2/59YFAF9Vwt8rlGJBQnE0iC47hqQUTwx3oFQh5rS/DByuCVB+FT1
aj8Syz7ZVP4b5fC7L71a+rVPOs/xRXebwBjy7JAElSR4fTYH9A9YJoY/XQPmSykcFaYrSeDm60VN
OS/wQNRe4GSzY4J9OyGCS4RVW64DU3cgM4Y7TLqDFf23AaWgAYKUwidxeAd436ZhK6Z23yyzaUAg
2uzJWwYEIol+2Q8Jmc7MxuZErOH3M6v8HQyX5+McL+aJzQxdxbSIAMBJp4qF4SUucLnymSmF1G7A
pTGQg6FDYdBjMH10o3Z7CCaRwODR1GVlKEwfqzhqU4znwD2KJ8a+VP74Avq1s5Oc+D8l0LU95p1i
N0yTulFBdGEax94tgULjdq2ozUdfb8hUar3zlihRtM7s72SNJAZugxb0IIvxeuKEmKrqxZy2Cnzr
Zr5UkULQ+5YGa9mPIVolEy8RereN9ztuoraMws0/gnDqfnZofLAor7M1VmB1MJWCLx9Y+Rd4kFTq
5tNIzA/22es8COmvoAhAXXyIUKRDzFk3n2mYP1jr13EQ4RZePMcCOCsN0/1QzSpHKPSzXWFU7KKS
HZe+WIL2hoDM/ec1/tFPudp5Q94yd4Z53m0ER4TSSAjOIffwPikKPngK12F4ceO3GAk5ycHHgBpe
jQUNH7ELf7I/fXDt13Eiq1uv8agt9ieAzTeJBHVrXAO6//Od+ejaL//+rzNpgptkPIU4k+JVIdwR
Mz3A4glwxr/7+Ksb7zjDELkICL0F7/feWgM6s7ukm/dXoXLYVK+OvZXUPob+uHyydVlXVbnoz6yN
8r+7+qszz52By8MtrTpUGITD+5NFGE5tn9wa4n/0ZK+OvIrD0Ex4PQwEhzHMAN2qO71uZYJ5PiI3
5IpcuYCC8+P4+ZIEP5kc5A8t8d87yNYtJ9hBvgRT4+emuWB7CUSWBfh+ddmxWoCrMLAXoTC2dR0x
HTFEA+uzqzf6kPgg1Y6URXeYBs67oFnIriLLgGTmZrup3Qb0xHZiYKHhDHx26you0YiZh8ldvjdE
MgX60qrvBQJzy7hX4i2hTB+ADVdA3/vgySTY3/oY6doYbKGfB83+LsJGVWfzYsRtELMY5Dk3whGr
4LHrrw0MBLndKQcW3JVFerdw6q1YWuIc6ApiAmDTBHCwCb4Dwlu/h1J0h84zlwi+pQcRYqGvDSP0
ZXYWfWfcxZ6prO1lABBy4OXClolHxAuZhuWsN4STiUgqiISI+apE5L+uCenPzqYwngBftj1uCQsP
is0B4BhGvledmN/iILBdXk0uyQLrdTv4b4WPEUaeB8cLzHmtHOyTm/ghLQUjf4s9ZHzpnu3pvJov
I3XiowtvQkzLOKilHgG/BYuMAcYLwBQfwrbg8LaDxAUpXGxwDbwUO/V80bfdLmokoLBjIJgax4Rp
wzzIL6gBzKKq7hfkAs6T38Jze/ZY8M0Jl/EHaSpTwrNpPbIKwSdIVHOPQTuDKATp0w1kK4D6CGhM
U0NeWOWEYC7EQXMUkcIG3PTwRFYjf3YGxCguiH9zP33jsan8phqJrlYrFFdyIjNBARya8Lbe1PIC
llrzjMB7JISQqQv2LkbZd8yifQ66cckhPQIcB5nJiVcBgu5qZv/GYAk7x1XZh3iDAN5siHaYneO6
wYM0cY49WT/ZOT4oKq9jMNZ1Q0WZuMmBqu+QJWTICkwFPUv4ff95ayKXPeh39/KqshMUnHWAPXBB
1+ZA0VukCEEHI9B/h1RpTa1n5hS0tBb+1suT6yVfTQLjTBb9lXOLi8yI/z04EDyUuGDGJQeUiXmF
uSH0NAjraz9x3fj9DfSve9ZoGrdEDyI5QNL2ukBHg3HHUc31kx+rT47t31ch/nWfStsQ9Lgwqg7r
YtRu9UHf9NgNRdTi3AVdDiHJVMLeED7jn7kn/v6w9a/zrRvgTq2vfbQAkXcirYH7Pziek/sJsvb7
8wQqnP99JLXDGUNfDL0xEPzZOm90St7+/Lp9dOWXr/xXmRDwya6zwsqN46/bZDMar8Ugdn/34Vfb
AogREKhF6F0lg2Jno2/+WJfxioPmz5//e8QR7+plDf3r6mMPjGTB8AXGZx5YDFF7N4NTjyE6WQvV
9u5dFWK+jJm6OjjrMOXdLJ0dRZ2+R7dgc+zp7icbw0c38urM7z3QYtwBzwhKn7zrhjCtmw1pa3L7
yy+42tck4HRLBj86rCMW/6C2KgtC+Ty7wydv2QfL5rqP1Yq1LZ0ZkIag4akiFNkf2jv3fVVCKPuw
9Rg4bd32BLrfr0+e3+Xa/3+v868jrjEJGsls8ZXGJ1XJlrkYer9sRvqzDZBrav32CzhPyElkz6Z3
kk/uZPDBt17hWBUBR00Cfj4QJaDyo9rcrGz6rCX5rfzd9a/L+iYKEKAt5x7W1GLfOs0XGnivpHV3
MgGpWoMd8Mnb/8FOep30BeZeD9ojfCjXsHqv3OobqPl3rYIU0YF2689P6KMfc7mF/1pgfMGgqu8w
r/cpx6izjbafXkyQWQtt2TeG1OETbOqnr3/+MvLfeuF378PVhgFafkQgXqhhRe+IH5GuJ7YfKGZu
ma55o25aAUmWhgTDOWi4CLz4gFm+OoMT3sTQSx5DRuSj1xtwzWpkQD1B4zRj1mZWBqkN0z+SNgZc
AYtH8GDqsP4ar3N3JI1ECpFDRg9kT5c/ILdpzhyIAWFf/R/OrqS3bV6L/iIBEiVS1FayHcfK1DRN
2m6Er5PmgdRI/fp33FXKF1qAN12kgGhOl+S9ZwDHEerY49m4ZfJx4VrK17z6SUl719trEKWls37t
gDrJQ4j4f+cCQlJuvnQ/ndXyeZgQcIxQcyzka9qWwbGwoTQAj5sJknd93+I0svufueLDzQRbQ5js
2g4Azij7QGmZo9LY8wPYks4bAS55J4J+ChnJsxgXRucGN8Z5iaQS1ltGGUp3BMAv318GOOnQ56Sm
c1RbbYVafNrMtzSzGie062k4QIfhF+RwKlTmLOs+z6gDpiWAJw3Jya4BJw24zOVbPydu1GQz21lI
FuBPoJoDRNS9AIoHOXc1de4zhnT9nTaF983NfPkJhf8JTG4A4gGoKEGX871fsi1+Z4ykuB53YHzR
rk4BeGPUQXQEBxxupIy+ouCMRE1ztgXAu+KwTriLh7afyS+2Ag0kBMkQs86BEAYEpgd6P4HhWZif
QQHVTMcaF27q7Smq4sDywsstKe3ev5Mdbk6TAunBzwpQ0GWOwnpkL31+6PgMxPUMrMV/fIbuKbgw
PDmWtV2fmD2RozcnNnx+3aQ/jkFRfwFizX8DG1MczwQEwOVJym+r0vGOLgipM3iMwIzCpwuDALZj
kO6qtVc/0wWvmY4HYPrSNvvmgkL7xUrH5FCl1BujTIHDH5E5XbJIAPkcUrCtx31XKo4MmF2/eMAk
g4dkKcDL/bJ4sGue7ssyryK7rwDWCAT9oWACvl94Oq2hhDD5bQFt2iOQ2VkVtXO+PvGgVjeyJf2D
BwH+x5YU5LlwC+sowUcQ+2yymQdcYppNuxpZPOeBwmBxiArXJp8v72lTrNVO6KB2O9TcA5B6YTCh
xDMldEPsyRT+tANXJKIArFwOcQBBBDxSfxPu3fJsPdb1Zmr3fOf+KB5pZ24ClQbVAqwJMRwMmuhr
8QN4KS8cCclOZBybpwr62LtZOkMS+bSbggPcl+YfhLYK1VsZ2HkIKzTyJ/PS9KWaGrhHjEVPWgDo
mePDs7pNxUaoNoy0/jJZA6lgK8B7mPdMCgAYwDSCcivdYxgI3VE443OA/bP0MYFGJBTBknjO68ds
HV9QcL1ZE6DVJrffXV4zhpnVk5/NDCBzPsIjZgUexuoXOHAf8+wBxJvocgOGu5qeALVrt8UKl+OJ
29NRJKnAXb3fFynIlpcbMPVAu7AXQOQzNYg+VtIHW4H5nQCusGBffOh+/UGY3rIWNfVEO58Xy08t
P89gCkUYKioe/y/xi4c2SK6cCu1Abh2/IEEthngKekgaAC7FfkG7FTHj5vJImVatFh8GwmyvhoE7
OlDCb2IdvvZjufHUNA2OFiF8ucLfdvREnKnhswdlriD1gOmbPl3+6aZJ1oKDVEFggQTiACKrxqjE
8RRR1eDS0d1PsHe/binpyvM57+vKbucWUmvs1rfJJ5Tyn+qp/10StRFJDXOgy84vfaNASeps2LnP
8k7xNAdzOBUbS8jwrGDnq+W7KySQmoBVwuwvZtXN5MMay/86BtUejLUQWLODW2XAPl47Wue5etcY
7NpBBGk5vD9WEc3Oo09PvJuiptpILhHDmtJt5Op1qIels4fYu0lu8uPyuT0Nj/M99AJ3VuRHSO1G
YMbesUN1lCfxaB+bG2Aj92x/ec2Zpur893f9c9fGh4kmlvREIdxk/fGC75c/bFjM/yc7j8vKAPqH
iO18fElB/9yBafssJnvPwE3YWMumX69t9mXNQAOEhkIMK9m9HJJPwtvyTjAcULqv3IIEdZlxSOTV
rg3pjAaoUbD40iUcvG8LJARKuaXraloB2raHRmltdWfM2xoEp9GF1ARr+pdkTf+7aiZ0DXoxAz0/
c3+N2wwGscD9eo+q70I5XSVYaoN+9O8aKsEJtmufgj7bplGQJH0kJvEFToIbgCPDLFNtw1vCKees
hqaC3433JAWzBtfxy2Nz/sQH9zGqbW8P1rupm88NnI5fibjrchYnNug168tKtxR1/1qSfdTIeeLf
7THAWGE875SovbLuZcrdBIsno/cA3ye/nXNWW8qk+uQkgLKqMRDIM0HPANas/l4VrHwUXiFjMLnF
Xdv0dtS2C1ehmzXpzTqySYBVXsKPyGreLNemGxvLYEDqelpc4AR8oiRt7bgCwDqiU47aC5S84AEg
waaAF7I7+RGlmAxpc/UZ+EywsrsxBwy87yDTctX06OjFc7qPNc26nMr6rRZ3tYs6vfPUrafFyjaa
MMQpHbzoAX89KpiRxL74OuCVZkN2a3JPtd8dLvfBsL11awDLJm1r1WejcQ8JgxU2xEQdgCHfWMGG
3687A6jCzRNh40IFJYhbSK79IRAYCiDPQCyxEUBMPdCibFl4kK3rUWoUyZxHrIMgB8ya61TWu8tD
ZIi1VLtXITuRK3uBm+Lak88WfBV31sq/YvbpbrLSZ1Wtu8y2vY0RM7WmxVtOK89JBANdtqD/9ekM
Kn4QQ+l33g1ujexN8qdz7I3JN4Qu3TsgCVAUpij5x1XVvIKzcS+W6dflQTPMim4bUDo2gW59McaN
BJtCLM0vkjgRSKjJRgwwxEbdN8DmHlJeviSnMnkT9VPGnNtAoDI8gcyyWfY3DdB5Wb+LjYQmcsjh
4xiLPH9wVnJShdgYINPv18JuWXS1cLtpjYuApSfLC4Kj3abJG1LS7QEWu2M0Dnb28/JsmIL8/yn8
+1C1omNPTnAo/DTU9nyXkdK9a72zaIcvVBu6nBRHCS0K6GPT6QD9yN/e7Ako9djWbkzlCMWREXja
rgGDEkIEZ1GKYXKPBbWme4p03fegJ/KeOHjEXv7RhtihG4BBsc1J0wb7DiTNHQQwAb33ojZ9Jcvz
5QZMa1Tb2FahOmQvGa4ewIatKfna+cOPgPVqI3gbtrJuFQAcYGX5ordPOQo0u4rmoCulIBChyF0f
qywZImASyqgGB3x3VY90BwEHkv5pXc/2KWX0fvCrm8FKXvgmItYx7AfdQ6DhNsB/0+jAYGR6Hlrw
9yGyAVGd8sSdmZ1ATc0iXtDiVmRsOKakq95aNsOeu1JjaLmz3PcNJFiv66x+8SqHFpnF1DkhgfmL
VPnjOCVptIATffn7hh2qew30ZetayGP5J7CTogZSsMIKXSjfjNUdiOmfLjdiWIO640BbgJe3jJkd
+5A8kvPT1CkwaG6u+/h5Gt+FrzLlUBMCIBrMTogFewraIg0om0imOlemflz33yaGSkIgqMTcl3UQ
eRWMzG/BJtvJbmOPmlYc+ff7bpKRacr6FW6TznQaSugOVMMQbAyQaYq1CMCHgUK0I2Anl6PSHARg
XEObROQhB/ZqLq6cY+1Ir/qid9zSck9JYVmvnMoGsl8QdoLFoXu8aqZ1q4EUxMUA0PjlxK07XsP3
yr2RZKvc7xgise4zkJC5aoDeUUCq53ke5YsL102L+6eSZWtz6BsufrRzsCiIblQelC/5xEgIr84y
x79z+9qWPvmd9DbbrXYm/0AuAnfZroJx5+XuG0DJrs7F6dg4VkBGeieU3CNIWGWhz8sRAnH+QdrQ
UaNgotWiWnaiGe8mn95ebtewe23tfjAXUPuURQbjqC6AHDbpzpCgGWavxVJuLB5j17SLwpSUmYDl
iXcqAjJ9Xqhc7r3W5zdMQX/RY1CjKNkInSgpgdHNoJUdwjblv8v9M+w+3b8BVSxRNwBIn9IGUGQi
8PF1HA6XP24YPN2+ASouTTmLRp2CqYFIJ7R+7RzSeL7zevn7plWrDdwCQQfA86YibrrHpiA3ykkj
MUJ7MLnKPADELi2+NtLruZ+zPA6q8uvq8ySCbMlhcXrwh5NVbozTxzYfaEaLseswguBOiAOSmTxN
lbVrBL3B1RR1ySOEEB8Blibjd5eBHS3VXkEYaii/K5a9nZWghPsdj7yNx4lpyrRoXHiUw+rQXaBv
4JTfgCRw99MEYckSsLsNNJOpCS0kr8QGiEA5KzzNq5MP51HIvEIIdqMDhoCv2z1AMVORwfXcU9uB
NMR+J6ULFQMASMEJdbYwbYYu6IYPFW72XQWhF6jtDUsTDSWKCR4LGrGDYW521e2H6CApoqBG6i3e
CviDdCOofLX7qeuSXWLL+rqFRwJtfVMGqFTdMAG11gpaYVNWqx8teAFf2rT1PkECCxHfCpQHR2/X
CX55qB6XYQVSMKTrB0hghBz6xhDchBlgGlnuyEDIO78moGUWl8IXG7/z440e+NqqrHnHJe98QPiW
Lw6kbFsvh2vT8zj8uRxIPr7Hw/T13zsIY0VWJmMDECTUvHZ+MLr7CgKwkAcoUBxUtPqBKZC3K+Eo
TF9u8uMlBG2Ef5usCpyaheQw6+IPHqAZQx+BaLjxLjGMl15jaVW/eNaClK5jyzcuu9s0y2Iiii+1
N28cyIbfr9dYKBx9+VwB7F8mExAsXlzQ7rWvsyvJTnqVRZGaEni4+qegLyGN1tlMvdEsly8Q/1F2
NMAK4crBOg/iuzs0pF+6AIRzlDVduMsnkCzxZUiBq/Tnl8tz/XFMCvQaC8Jdt9AaxK3F60Naz2Ft
TxDN/dr1Voj/3FhRplb0vUwhM1w3DlxonPYHIO/3PQqdB2Bfv47lCNkSdzxc7o5p6rXTCohogPWy
1I056O7Ix9aQvBV1xC1741JiakDb7p4qwVSxyjVWHKZJkFMW0FKgG6hA097Q9rqnZlSvbUy3C+pt
NQE3w/9L6R0SfRvzYPr12s4G9nRYiqqHhkBKb+0UMk6qg/l1nrxdHn5DB/R6ymplJTzlMPxrnXtR
gFrHPYyBIMnZtv1NbffJ/rp2zsHy3b7wywT6MAh5J+5+hXJs1Ldr6PX5jWv9vtyAYaD0usos+jnr
82KN5wyUHshA/wxS+rUo/Cs7oG3sRIxwHELJ4IR/whbuxNb0pwaOuV03OvD38fX/lZWAnnv2fogy
Rle7VAVKwa39vDIinsBahpJWRtyjhNDOic2QmFxxiQeiTeRAoVo03+ejm+wg2G3dSIvTGykqepP5
JburEt7dW06fR9x1gPGaQLoI1yKFokqTOkfg74aoFXBnWqXV73Louj2oBTJl9ZgGbzihCNRc+8zd
KKMb5kdPwKpC9cCvrfA8ysoVTBH5rcxduYenyXUTpDu2di5UbCUUAuMxq96SaXmsYP21DinEuxtv
q4JuCIueNkeWlZblmjVrzIKHgsyQL1dhaT8446PK/ZvLK/kcYj9YB3q1qi44koojI3FXwi5jkNBy
X1LyevnjhtRuoKd2W0FB/6RwwXOZL5DB7ctd6Y3wL+oHikevKqfnROXySwVhTphQgCSz9qJ7Aje4
+61Elx4gZQBE5+jlcIxwKBg9s9P50OTMoIXkjOlxTh2Um4QHX88MOcVl42A1rB+98uSl5QARlxko
fzf40/pTtnP9dr+w697mgV56cvs2DdYpWeLUc8VNDUDe3oaK49F1ra0ahKkL2kkEKbJ1AbiTQ5rW
OmTD2a0mT7/Ct3XcXZ5cw+rUS0+lyueyYWgABJXxqGiTPKTS+zJVxRgKkD5u8Dj3rztWqXYwNfCj
mNIVB9O83mfejxb5SAX06VUd0StNsA2DjmcyFHEnofdKgBYMXEi2BnGVfM/Src1s2mjamTRhpIBx
xuGNKecRcuvxUNAtDrphsvVyRGLPBZ9g6RBPoJM7EwxuoQxXvVweH8MTQ7csXileHdCHLOKBD953
u62m7w2frS/uJKk4QPa8amDP0IiftqsAzL7cqOGqoOcV6lkiCHi4RHeziKrVTXcIIzfgdT/kZf58
uQ3DlBBti6yUIGDbuYol8R1oRUwtpLy2CvCGKfkbEt8dsAhLsk8IoyeYZJEo490e0kc56iuJtzFE
pha0TQFSiON2skNpI5h2o+puWal2UPu77gzVMwXUtrnV9F4Tp4MLPyjYmazNno7XfV2vP1XdoODx
g+3AYbw3Z78qBwJV8vPliTWMjF5qKl3cY6cBXCTXX05p4n+tyvHWzrKNyGdYm3qlyXbbpfYr6p+I
/3ls3uBZvZ8gRglA2kYDhoWp+1VDD6Iumwk5bXce7bCDEYY7gdx43eBod8sZMHggjvB8zxhkHSl/
nX2kThun2kiSmUbnPCnvFv7UJetaNRgdq5ggvfnJH4HaoX+qdmPXmr5/HrR332cF5CfhrrTGkI1P
YM/iVp9X9thYzcbgG841vWqU96xuLMgAnPxmghD64t9ZPc8gNls9QND0c1LXG+As0yrVwo9UGYjp
VgtKXlHbES39G9eZgRha+41bjGkZae9FCL2JwoUKfTyCE1GXTyCmXrmGtNBDCMRHehfPXBR3SASA
y23nIELk5CqlLBtOE/9OMvTW80Kk0BzIEChe6sUBAK9j6rhUw3XookAvHNECSlCFOg8/7R9gCvhf
V1T/wVzmcHmbGZaRXp5o5myVWYbBHwYeHNfZbXcjqExhlvXLqSMjZHmp/HG5LcOW0KsVMAurXdjv
rXHQPDqg9ZDmjgPqIKutlJZhqf6F4L7bc7Bj7GFfeo54XhvWWRsNnMPHb+tuZPq8tqWTrBGscBbk
fwY/6iGQMVA74utWesnwed1+OBmmyU8ADYh75OZgVUDBFYGJR5T5kGy8PAOGrfa3PPJugHIxBunq
OU0M+/kQCtQFlASu+/J5zt99WQVErtAn7uJ0EknIBxd2fNZWrDb97POIvft4BeUHH8LnTQzBZ+gu
f7HGn5d/teHO+Bek8e7DZU4rGEzluJvYw9kX5WEJprPn0wQFULVzk5pETtYcLzdmml/3314kfp3m
XVmJOM0XB8kkuNrAP9Ta2b23kXn7e+384Jn8VyHgXX8c5Hkc2jIFb5OhOLDaz8I87wFZgFDEZxkM
9Ag1Z1TzUu5+Ao0MNZwZZLaxS8ddytJgD4jQdJi5zeDOmHb8liEhDNQNuEthkmUd7Fyy5isiA4HJ
JQTdcTNKd/1UBS+XR8gwzzpUc0wK6Kx7k4gLaJAfROdm+8qrh+vOGb3ADdnnHOuSihj6NhHvxPfC
8r5e/uGGqf2/InbAp8wuXHqCS/HBI3BaXudfHgx3rvu8tv4dpTo4zYCZ4LbTgIAGuxn4FO/WfusI
NkTmvyDhd+uGVlIt1sSBTpjeJMTxcU0PYY0E64AtFK5hhHQZ1MFn7QDHvSJGbfWn1TnJqSfU2snK
G/aXB8lQ5Yeixr/7C+a1AuI3AESARjVHRVPA2Ad1moPoxwr2MAGgY9Zc7YO5zk+poxw4R8Ar/XLj
hgHUNTkToLMnsYwqhjJJlcCzxHvr2y5Sybfrvq/FDgmfGrg2DWBxLEh0OjBk2FHZNdA/E/zgd+Xh
uma0ux6zxSSzwaKnEn4G/pk3m8IU7S5vu40DyLAMbO2uN6yQcvCCAW/ZpA9l84Abd5FvHf+m8KFd
92hgDX1VlskpRzJdLX1UJFsEw48PCq5LnPCZLjBNLVvML2HQ/oawD+QOugJsW7YeVT/DoCRIludp
KNeNOvvHveG67ImwIL/MJRgjheMnTzZLsj1oEluKBh/f+7iueOKOyWiRvgDDbZFhR9xdQj9DihKi
6TBxXbdkfkx90G4FCYTf7dWl3mkVFoNOLdSPWU823uamj2tR0ZWw8oOfqYdI8smzgt+rxX9d3gam
wTm3+C4cBg5A3RWMaeOautYDcpRHvGvtCJqacIdI+k81qzbuBKY+aPs6yOsc5/XaIXc+3RfueDtb
fGMvmz6t7eXKnl2gCbo2dnPo4PeSJDD9KneXR+jjfcx1ic5RCCuDVD7ga8RjkJYPqLpnYK+osLaq
P5fbOC+S/7/MQCLp31noAzytoFSWnBw8q9xS7OCeFsLtKUy3tLMNLej6JaxsmnboLCfOmBWthRsN
OTlxiK37xcaT53z2fNAHXa4kQ7JlpYDQwTprgmxi79UISrMdNQoKTLRyYBNp/4Rt0o9kkC+Xh80w
77oEoaUGNjlFUsfWmmRBtOSyhzr0XC/XTf3/qZVk1dl/1m/iUtX7RkDIPd1n/tN1P17b05YDA4ye
wVh4IuVdQYo9XCt/Xvfp83i929RjgHiNEijwDi4U9v1X1WwkSEwDru3hHFnfuhDIQDqAQPHlQaRf
Lv9i0/LUdvAyT3aJ1z47kYm91hJKfrACC2Geh4TVLLcSbaafrx3JFP4+eQubgRge1BHLobc+u/7W
k9n0cW0Pe8HS+BY8i+I+hYdiZsGBqWj2l4fHsLd0+YKWgkk5Wsiw4doXrXB48kroujb2XTO6D7j0
7UbSH7qUXXV14bqgwdSVXmFBQSLuunueOGHq/ik3ZVAN8VQXMAgSH+AO2P7EQjUhKA+R77ahNV95
DuvyBVYHy3u75XVMXQxJUwUhPGauUxXiuoSrpxJXNT0ePw5cj2H1q5w/tH91hq0FatgGvrZxC6jC
k9qWLcAqDy0AuhCGLvmzPV4Xcnxt+yrlMThFQX0JykAA/ir/F3W3ZL5NP13bwTWl7mp7Bc7gAgaP
Be3HfUagBszHnB8gKrQRgQxkTq7D6+o8X4rGhuhS3wi8EepxmsN8hpeQl/PmZoYx2n4J1BxbLSEH
5jnlI3XqYg19y96iehh2ug63G0c4vg/YkqfBqp8LMCBlO7xc3uiGT+tguyqbiCwZKp+w42lCK58j
OMg34eWPG272OszOG6clyGcgH1UOIWmrjFpvfcqXb0x9pjlye0CIbLRk2OM64K7Kh2WgEA89wbJ3
iYagsSMbVvFhhzLQRhOG9cbOf393xlXrXNm2It4pgNxpbteQnYYxfP8CssHl0TL14fz3dw3krINT
TosjqfJYqNK3VYL2P2+JQZvmQtvpcJ2FMb034N5dEJjpKKc/ZI3Pj1XlgVCyjFC/hWtkflv1lf/r
ug5pu38Gbwg6BuhQ5+3nNIHUFDRhl3l3+eumDpF/h4vKMlFLwryTVTX3yvZiSDq9qqUEaLDYT1aW
hiPwwRuNmeZGO8hzkVqQVEYp16sgd57P6UPh53dOkebR5d6YGtAOc+RWxirw0ZuzYjpuaXd2L0+d
e2UE0WF3yzDDBpfgvu+29h7GlpDqLTeeWYZfrgsYzGydnZk3Ah7Vbghh32hUnwPocF01LjrMjosG
LF2+YtdBdpmgPF80024tN5K6hj2tKxj4wzp0NfTKTqK+qcjzGPwm46kvtn686fPajlYcdiM0wI8n
xW3de5+YmEPFblvoiV03Ot6/e2BxBgm7CH+JpT3eMMZeVYF7DRzYby9///ydD55YOkiphamlB3N2
B4cbfJdh1t6FPNu6Y5oWjraB27aAS6nd+eAWVo81BN5CMfMItOOtG4KBD8p1fJKyeN8HVdbEbEnh
JAg04wOYdGvUrjgkeg+CCD1nQcx8D8yrlaRf4CYFJxK4g935fl0/sqGHeb0D6MDGajYsCL2qr/CK
WeDa58WtamnI3Own1Gueisl/sMtxC8JrauT893fniKyrGnZsPY1FncAcEg6Yz3nNURH8enlRmOZN
C1WwjUaxBQdgbFsTTCl+zSWsz4AJv/x1w6/XoVgQGrRsPGg8VHJgHIbsCl8GEPM9eOhs6XMYVrVO
/udeDXmuNPDiga5R7uzmbuuYMP34c9Lr3dDTlWWlFPjxjO1q75sof0B+rk2uHBptYpElnerSbt24
YT88+QVCguEqnku6kWc3DYsWrRrwJFORJCw+Gz6HTj2d/c7TjVPCNDJapKJN3w8ZOY8M+Idjcmeh
xjLy/wSdNkKVYVXqOFNsZvj+uAWuAQzUf8+NIDaf1ltLxpC11NF1GGoI7QsF95K2h6ZM96Ou4KMK
onJwsBnqsck4bBxJhmuNDrWz5cwsSSSNAwdqMEsSuvKFkjKcSB15+X89mKmXN5ppwLRtLCDBac8I
SDFt+VHMNj8AALnzRhhCX27AsJ50CBYvq2IRGXoCm3jAij9n+UYAMkyGDr7qFCQyfUZYPPGsvw1a
Ue9qVav9WokqhJA0ais5vLov98IwHzoDvuyTNRloK2OQ1YNDwsr5W9HMCWgRYooqCPLBNR6WdMds
zYKNV/PH/fP11Knt+LOjKpgn9tXRGZubxoMft/xR1+PnstvYjx9Pjq8nT1O65vCicEQMBRFY8ork
Xq5NsBGoDEvrrxPHuzA4khHiufbix501hH3LjgkKhB7duisbqpFcx2fx8szpt3wv9rExhqoNpX3T
+bDFTKtoJRacTh+DQoak3ZQe/Xi4uKvdVQoo8iVw8PBjApncwP+Rrz86sG8WcW8Xr27/0+ZPTf5m
i8cF96+ePg947F5efwZ2O6gT/54pVbOUJGmAIurIEGWyfmVQRyi7GoA9lR5dOFEza7hdZHYzNsPv
hcOnNJvYi52lt7lDD6OUe0f49XVRw9WihjeMVpt4womTHDRG5TWfyry99Zt2I/wZBlpHfU32ki9j
2dA4c+w4GdxjqsSXyyNp+vR5h79blXVgDzRLfBbbnYyKpQj9bgsMZzjddKTX3HULzKoHJ64Aoil4
Hlnyjk4lbEi2wNB/ZT0+uIrrAK8hh3YvRaiLC89d7jPZlzcof/RxNiQBMmtlEqlOQkoY9YM2FNJp
jxaIO49sgngMxE+WXSrhtFZ6RGZRVfTq6A4pvFh7Nf8JVqDQVz/IgQjJ7M8Nd+zXNauHH8yxYB87
t0P6VQpIWJElh3QyAH+fcmesoeYnyHxHx4RBZ5dbDyBiWHsqk/y+q1nxkhQMRaWl4f5WPsk0g+6/
MwhTprUFsWeIrUC8QOwhhoTo78uLw2D0AZmRf789eHBlGUf4w1WtmH4ljWcd0iRvj4vt9z9THAEP
i6poE6m8zZ7m3lmmEPmm5GlV43wz92O2tZYMwVMH2jmT1xfEh3hc0rcQ23XL13pgn+HOt5WwNjVw
Ht13+6CCZqLXSE7jwqqiFI5jEImLBuv58kB+fHiBb//v1wfaB0wSBZ+9xnLve7D9SDi2KnhqJzp9
qWAit6/tMfM3wqOpOS0eWXDmLhwSDHFSDeMB+dHbHmIK4cKWp4ZnENoWG7djQ0VEx8KDCQkr4L4j
cTm64CNBcUo8wGmY7GTT9aih9vC3tj05RH47wazPplO2dQR8HF18vSCcyIK1K03s2AN6LpIdOZIW
eG1Ynf9cerlBiTY1og1kVbTCmkvpxBAsG8slLKpPXg2WFvl5eV0YVp2OwFxLf/Uq30ae3Pdec8j4
4fwKVrsLHWvTw83UxnmRvFvZ1jLAQ6qAHprK1GueztNpnbIicrNNiSlDBPp7SL9rQeC4FeXikdhy
6UNFu19gGWxJmX48A9w59+rdtxMawKw+r+cYjuI/a9lmZ0VeJ2oV+Trb3afL02DqgLb5y0yi1uZn
E3Ta08dctRD439qKph2iRWdnXC34FAAgCfziYcyzsGH+XaaWCFYmewnxQwf1T5dtDZdpsrWADdPs
pIUloBvLpr1zG/U0NN6PNKm2bjqm6dACWdZVdjOknRsnqQrCFWGzjJa6Dfb8fM5WMI3b4np8/MTw
dVRBUzVZLeXK4qYGHXYiyf2QZg9BAN9PmrIQd4vvbO5+XF4AH3fL10utPvdyYkvgfX126/Yv3LNg
QZ8gL1/trmtA24SQpe9aSvHS7zq4RfT1TTN9Cabb2hcbL/2Pe4DLyL/7pGas6mFOJ+J1fWjae0+1
z9nIjk7ibvTAsEd0sKPN7K6zqxwa2dA79J/aeSsf/PFEcx2Dq+xW8tZrSaza+VAp6we1rBWwG343
lONPd+2+M6vcmGdTJ7RpQLnK69mYefGYr/ce8EShs/Qbj8e/BIkPLqM6JlcVa0eKLEeSbiXisyAL
f3Ldkj8VA1++gPZAd8G4yj9p19FdDmmZEKbkYziUFdT1ckgYZKFtec7OH/x0P4PXeWjdujuQEgq5
ACUj5+ePzdGaXXUrYeL0idBZQd1knnfLIPiNT4V16NN+vK9bv98tZzWvy2v349uErzuHNQLG5mVF
55jnSAdj+5XiCUyy8RtnzfywdAmqS0NT31xu7eMIBhzXvwvZsTxZO8B6xV2QHqt52BGgZ/Bsu+7r
54Xx7jhRdZk2bt7gqJrrT1QAuZkG92Utv133eS3ad6XgFXOAmhVI6HVdvUunr/WwRXkwDY0W3ME0
qWeg5lWcCij00KR9dBfvJ/CBW7LbH8+0o5Peqd9ya1bAaHoUeFZKnF1SyXsgFH6nCuZldcO/XB4n
w8PC0ROTbeE1gbv2UywXqCk4Ndy8rHZ9zVvxnIJ1v2fe+q2bg0917Z6wne4TZ1lDmAr9d7n9j0fS
0TOXSRdUDct4cJLQ8Rj4mZrS7+dl3bh/fxxmHD1d2ZBmkSR3cf9Oq2c3l9/zYVNDyvRtLdBTBjUB
4mRDLLl346ru3pmR4Ls8LB8fIo6enAQ1w/atpoK2cIsEW/95DIawUyrM2dap/vF1yNGzlD2BQStV
cMTpl8rfr8X6Wtvuo8w6mIL6t3mQxmlbP9VWswHZNfVIC/g0Exy2sMUAKI/t7CZn9V+4ExA4/Vnf
HLvfogIY1pMuOzpBynB1LKuPx2o3kyIqIKy5nWgzTLmebW3lZOUjSyGqy7/myRCu+cbzw/Th89/f
RUMkKpCe8fMBQlLutw7PA9Ft4e4NoUTPRnaqSSBJLHGlBi8IjkoPYxc8OtlMoJQUQDtnnDeOXdMM
a0Ex7drcV6TDipLpHqF9x9JfOX1exRZi2tSAduW1eot3Y5eNMQEjuy9kVCVPKbKN4xYr+6/04P9f
HJCz+HcaCDAaC/DxyOAcp4OKkht7D9b03j1CY3i+h8zJbo3u5rvuYXiojs0n8lY+podqI1YZ8sZI
C/zb+pRmQ+sG59bHsK2AdQ7LeW8t+/bAeEi78Drgi6PzSi3FIfXA0I4XPIgR07Rv2O5y3DKsYz3T
OKQ+Wz04MMdLWu1aXN6LYQt3bvr0eVW82yJ4hrtiKvCrV8t+TcDcbn25EZsMlXhH13IIKFJrhFXJ
rXJg1DYXGd4GFSxt2zBgpI5r7o73bb6w21l5SM5acj0QBIOvczIl097m4/SW2+P6JVkXsjGShm2r
J/zmpnO4lXbTqZ1KFQ7wvoYR34NAvq1vKay5/8fZlfXIrXLbX2QJT2C/2q7J1XM66SQvVnLSMTae
R8yvv6vOfenDVy5LrTxEKrUAA3uz2ay9Vukmh9tr9m+O6Mqu13Nioh0TQ/hdcsqR29tBCs55sQHH
AZjC9eQugWDdc2q3zvfKLf7yGYy1igJFo55sS+a41/QDQI3T9DZJq3oFwSkQHhkjYIQqkyRIqJls
hCorJ5ZeqWa22eTZJBtiYCTmh6HK+VM3cyeE1iK/K9mUnmxH9NAMamX+lDjO5x5XTf1CN0MFO+sX
MsZD6Z1EW3s7v11OuV08JRRgELUpRby25Lr3kbliLEFHBYTchQIxqPPAMiugLUQTt1g/VjrRE4VL
wZltFnYXz6w+J1MN9csFsjSOrHbSdkkwOHwjZbfW0+Wa+cFg28QvuZJ1H0+mQ3aZV/7gZf8y+MNL
ZwkvypS7Vd75r51e2cF6cbM5+bwG2XV6ThIXenapanu+m918+Vu3VgN+LZp3fxTgysPOThvxVI6O
+WuRnD1CX77FaUVnzgNK8qkKIH7oHMEzuDw2aTmd1JSDZEGlEJT1vNb5Z6RM/eNBqaaCdjxOVHuS
9gaWd8XD6Rd73Orp6DRmF3uZqB/6YnH3XW5Muw0zv2yjK5OkX+/H1CuhtsPaeFjyrAo8T40PQuLW
GxhAgiUXxJHxlIsJ6eNG+Wzf2wNI1aq26v7eHsHK+a1nJ3vDrRbSu2OsAFb8UpeZHQnWGQ8eEOqg
WRu3igFXYkA9U5nljcknNk4xykyNVzo1bYgSECfgRWJs+KKVpdKrx5GypaOCKmCcti7/5ZYCtN1Z
kXy/PVFrrWuXVwmlWmyFFo5AuXQ/WJX/YKets/FUsLYMWpxWdkvhiyRpQa/S8EOrbOvLTGYWL5YU
QWnLaeMKvvIVetF12RWgwDW8NrZTowuJ789hn1pPn5oiPcXD3IIjMzOkZw80CWUiIrbFnPj/l+xr
hnLZVx8cV9pcgPou2j7/NILvbuAGZfCHRV44h25wfx/9zIJ9G9x/P5+j+z3+PZ5O+9P+Poru718f
X8owDU4vwT+Hw/vh5f30PgXvw+7u6XA6BYfT6yk4vd95Qbg7FMHuIY53u93X4xH//Yi/hMf48BCH
aCeKzscQf7ML4/B4vo/2++/R8+XPwjD6HkXH6PsRWsMbd821uFOvYGYsnW05w+/YLh1+Zq7vPCfN
PEaVZ6PWdanoo5k13s5ghRlUedmCacZuXz+3jtpWt5c04UD6sFM3swNN+xCsbRtbZC2qI9pGX2bl
8j6n7LSk/kFmIA8sjCOZfgtqh4lqj47xMmfTU4trIjq3WPaVuHRn0i1U84of0iue7Uo507wMXUyA
/z5JYzG/N6ZR/mPwRHzu3ki0kAGA/ways4ydCApYauubK7ac6L8FJP9rBTDP/1qBQbK0tToHQstI
OB+9RvwUvoRWMOM2JOVJbprvo3R4iod8UUdiasjr6CzFa51k9K9kbDoAdgF9sSwXPQhfUsgyl0tr
RtJVu6wTEaLF+ThLx35u6lzctcTofnWTgujBomoFmkq34xYQ25Mzh85o4RP9HJLofj8fFERTwpq5
KiiyvqoCLucMaFhVB64yqyNe1fBCiA2VHOoS1cF+rRKACpwZR3xlCido0sEowHODUdidD1YIv/IP
C2pmF6jkjEkFlM6ltLWYIcQWMmeez2bbiV1mjfiLnFrjo5X0SWQsttrRMqUPJK2nVw+CFBEkjxLc
qMoutGu3+N5Nc/VIezqFjvT4ru9VPweTQYDlTXJkKOzBjqQEBXneD90dNdjWK/p15ws9p/+uHvQs
CrMHQ3Xcp0PFAp8Uzg7SIpAK/4zdEr1EHVVH3OJN3sU577KnJE9FmFVtvgGzuX5EEb1EnU494ZBG
ZifXfpHei1IKDMixk29pC61kPYmeSXehKQI+wsY9Sb99GGfjwNLi1Nf+yTCh1O5VoVF3UVnbT2ln
A5sszGgpk408ycrS6Hn1lKJegBZIsiEzEyTdY59+u70m1wNuohPOL8ScgR1uulg0Rn/IbX85gm++
fWRssB6mlhTxgFfc3e3O1pZIc9ylzRUkhEQJpijU7C51PtzX6difSUpRTQUyiSW63dF1L0r0BDXv
bNvtOZhhSEPem7KOwMMgApJuXe9WPkS/+zMpeZojmRsDHr2rS9uOaAG5so490KHdovJa6cTXjiKb
cCZxcWBgIYva6bfqQRE7PtS/b0/RShEgZIT/a+0yE1M90FbErj8SB5Rwbj8fzZaXDhiOcQKF3TDg
bUtSezCDZhpdO8izFEpk1jA6hyoToxveHsraHtQOpHSYJ7tCgVCcT169N9Iq+y3HyTZDm8pul6qp
PCtzmA+3e1vZGzoU1VVeM/gMfoJUXkyH5o5w+9lg7saFbAXcSHQY6rQIoqpmYCdZswUHgtXMabhw
2b0hZpJ3bppZJ5taw4tZyg66R1Ja57R0lpOfs0GEc5XMUVlJI3Jqw/4mnQsRQFWmG8Nb2VT6wzy7
nLS8cprYRyHPUSWJGXM+qftG2b0FnmI/2XDHK4uq1/2nskgLm7pFLDMLoJspwSXSACH+iVLQSpgc
YWIzL3RjC634R++y2B/Cb0mm0s0K2sXVIuQxAaT9MLKabXjfa1uG+Z6uOrMQhW+YnQLBbsqDss+/
JnL+ZymK99tb8troL+1rfjFbTPAa8bqAO7EOlseeAM3dSFOuNa05EdNLC2PkMo1L6Yl7xDDq4Ced
s7s98LWJ0XxI52Vp5rh1GgOau3fUK6KZfWluwfnXxq75hW5gYsrnKo2l+Emg5p2Q/hORCCZcT2g5
BvcMKtFyJ6agBP7Z3UwkXDOwS9NaBqvJaVr1fpvGDA+wPhtA4JHu2dI8VWLjjrIy6XriKp3qTOWy
TEEyK0PX+jqNKjDEFgXDNbu9jP/yXR8syTJZD363KY/HBmmqEFUUYg5SN7fu5mwQL8OiMF0eJ9NG
xm9lkfXES5VArdRMJh4vTE73Kp1k0Apz6wxdm6tLrx++pgFwB5XgXhq3honHEJo9dbZRAtDob7iG
teFrpmuJygOsxs7iKs3ugEk5IH2xwei0thKa6UroqmR8aLN4dqfArZw90guBAyBKz8ydNW746bUP
0EyYMdxhkczN4k4p60sLQDB43DJFTrc9xJo5aDbsZdQAIaAChZoy/1JlHiAp0AUZcNzYVN0Wp8TK
R+hZUCXAMcjZkkEPM0NdzpvH/t4e/rX3A1iDnv9Mzby+8OZmcTlbIBUiP7weomlgaHA71GUM6r1E
fJZtKc+trLie/epMBuHmboazzu1vCaAhkVzSO27M952H7Lfy1RYqaGVZ9FSYYU8WnyZMGJNvvBcx
s18tVABNw9Zd7+Lu9EzAZeIuBvnB8FJiTaONSqKYNOMf6LTfSYL3yMl1L0rlFrB5w9Hw2dYz6IqZ
69monOXCzGkDK8zHe3eo5iCX9B5EwVtMCWsdaGbOTeRSzZlwhE37bFkix31Zpq2niLXGNUMflX9R
eeyMk6x+LN0YdP6Tn21NzZppaPZtD6IR1oiRi4w8QHjoVIz9RlJ4bY01226W1LXnuTVOZg5QgA2i
pNgR0KMFGLfZL3xw7xmvs+d0oWTD217ftkzPL1WuoFPtZcbJUnMWtcNcRh4DxMXKpYy6HsqDt83+
+opg//5398p0AS1W7qfIVPAFKEMre6gkVfsaDOYbXVxfF6anKxZqjNVIfR4nHdBmaTGkId6NP+V1
/wf0NzlCMIPVGdIf7etSgF8g7b3jkDvIZ9rV8+1JWvuCy+R9MHHe9mzI84XHtVUF/eSG7iYk4PrO
YnpWAmV7ieQOzWKjaSNVwf2W80Xxbu81y73wyNfSsD5xc8Aq+JplgzExcRIbB7jN3VCM1R/Kl43D
Y22CNLuGopxZJ1B5ibkwnjq/iSgef27P/ZohaFZd9niqgiBhFve0O1H+LisULHlLQBdnY16un0VM
p9MbbWi7NhaiD9ueIaj4aJoWJBm+ZNbv0vsM8gNzr1/FoVpYVg3B3LcutMabX/lnN5B+CfdkAiGr
JIFDsqDihDrQwBrlD9KzX46XPSlqnIVbvtxeixVn8T9Xag+KEr6Ah3WS3aJcvCw9QoVyYxn+xW78
70HK9Ht07UEwXilpx3OxkCIkieMFtUv6c8VN409e0zE0eCbvkiWpTgMpXWTF7XnHR2v52XvNHJau
Kc6FZxXB3HvkYSiVGY2Z+Ybs+rjn9YLKy66v9xZpjYdlHraKjFd2qH4jzyBE6bqMJiesMjlL1VTP
PuXp+zxS4GTayd5wddcjNGD9/+uFFp8Dh+0UuMqZxQ+QQhThZNnPZOmeiJX/EqV6qpG4vTjYT2RQ
LptWcxhzgYi2rt3k5FLkTxj2LZihH7JiS4djbTtpXsPJBEc4xZITs/OfZWH/6Vt5nqf+y+d2q+Y5
in4ChZmD4fupPNJsnEOIccXMq77dbn/FdXtaUCBmM6MmoA8nllcHd3HLkJPhNzOdGLTALmrMpwOI
JqPbna14WJ3Tr2zqNAFVj3HKDILHTd/40slPsQlgofWyEkeA7Gkwl+SkrG9SpkFhVkFLNpzG2sgv
bvfD4ennoL9vgTqFdnuHwjdvmPJHezGz/e2JWdlEOoNfZ4H0W5aKxxaN7FLuzcYMc0o37owrtq1T
+IFWv8erE07+pj1N0xT2Zb2bQTPpwgxvj/9qdvoy+ZpZm6PT0dTEBxQir/eObK2XNOftAwi9BlzE
UnNvloDrFoRlgJM12ReQNi14d2vs4PYI1mZQM3OQ7Kb+0tcGii8t1KleoIRA0PkFi8zWXDbi2bVO
NFuvC4f0k+XAGF2sj0AdaZGHoMXdmMW1TabZOhtFMbS1lZyazj3RgtSBZXzyzs10Br9ssjKfjwbw
j8sp8ZfQ9tqNqV8Ztk7gpwa7aczL0TGA4u2c+AkSTjU1DrcX9t882ZUTVafww4MprnONsOPWGfun
pBL2seo7su8m23gcRJU/1BKCY0PdDpHvIc/bcvqORxKXR/A2XigtlGuTsrZOHsvZWUioNGBncLpx
wKxsCp3By/CquVRWlZyq9MUtXi3zztwy3LWmL79/8DqFM6nSIU1ysiQe5ENq1D7SMAUoLcD95v+6
PcEry6fLDLb+XJWo2E/j2ZmBt/YV/weqJ+bX262v+B6dv2vooWFYQWTrtJTQXWyN8rEpJuBtkvHd
dz4jfALvo3Mv9k7Li9TCDqRWdifSeddkzYZNriyBzrk4NM7QwrclJ1M+VG6zI+2CrTZuhIsrs6Mr
G3tGYyRsxukrpReyQuHh0w88U+3K8dvt+V8bv+aYB0IQ/PSX8df1PqmzPMIT+Kshui2ur5UAgmqO
NydIEEFJMosLCBX0EaFm/mx4XR5Po9F+T5cROI7RwfeozN56x1iZNlfzw9D9Ia1FHePkOAYEE7Pn
au4OXTr+toj5/ql504nbrNyyKAHU+FS2Rtym5I9hkedlSLdqe9esTou7vKZMJeOsiY2+86KmMiEN
V21Jcq8E2TqDmT+WI9Qp3SouE8b2NhJKP2k5+rveSocosxxAWtqxCIqKtE3I82prO6/tBW1dyiyR
hXBwgy7Hu6ncUwtgKIH89z+CABhYbB04a3taOyfrFokRmSJJzcBmqLgdua0IEEJtGOVVUNnFnWhr
I2u7aEZpX+4oUE+Y5XjySg4a1LRgReTmJI0Wy6uiZGHJi92lJqI2d4x8s/MjZxbtXV1S79EbEEvf
3otr2/2yzB+OASGAHholTIyOU38Az5j3dXBUzoLKXfA6IgWUBW73tJJF0Jk0OZ2rEWTMuA1UTSDE
e9a5IbUzZILvcq+Nbneysnw6oSagCYYnxhphTp1HnVcFeOIH0cD3262vGJZOrdf2trIGnpSxDTTG
/ZBwN+rcvtjfbn3NsrR7QFYDVgTqiCp2eFNdlDrN+sWgKK+xQT0QKWhwz6pqIyuxmjerX9KNZ+GV
ddGVnocOkA9ootOYOR05MzMbDqiU6V6G0qcH2sxILAHl9rntpis+m9M81y01aYyYKW4tfhRjG5BW
3HG6EUevrdHl9w8bOm8SYxCA7p87Q1X345yBz3pQfOMhbsVcdDRRYbWWYElLzqI8ELYc5uQd5Wqh
C1b325tgbfiam7MgA1PTyVXnsmv2Y8L2c0K/fK5pzbX1yL13VVGScz+TZ8tKnnIUKm0Me21eNLeG
5LX0HN/EsOevGXw+YYd5RBo7/XN77Ct2rRe0mllay7qAdIRE1QeAkQkzwsnYaHxlzvVaVpAQjZ3X
GSzuMvs58eZH6m2JJK41rdk0JngWVmlZsTRKUKu1fhtMm+xAV5HXOEz0atWmEb6QvYHWi3G+F0XW
hCm3fqYN4iWgDr0eBebWeDdyQwSFm4pDJ/pl49FiZcX1WlZRLyS1FDVjuUD2y7X9H37Od9Dk3ntk
2OLCW+vkMq0fjBkQ3mQYh5oAbVP+tnj11ltt5Dsd6L2Gt9s7a22F7P92QU2ry1SZ2rGpQISbmuLg
5vPnLE7n1fNFN08zbdoz3Gt3kIrPkVewJLo98jWb0OyZeoN08TpM4lGAYZd7QBkbMZnY4XPNayaN
QtbOLf0hO5epE6JyDghnCKvk0+f8tF6tOrt2UZPClLFfGz/qFudaw//eHvnKQaoXqAqXloJxd8bb
Oacho+lfhQqvoFjaFy91wdjjQyKjnI3I4MaGNaxEp3rhalIp6cFry3gwaUhROzj0T+lJjSxU6uAV
W+Xp/958riQsdJ68pSHMWVBNiGsD6+guqRsFPJ0vQogSz4/IqqPOpMajej/Zw7M/+S2uLri/pLIp
jwoCpHfFPMpXyBePAZvs8jxRxbCwXnGckkr+ahRRwHkb5qkfJ1qDa1uKnWkkaexDlbwMbGjJfEuZ
y0Ng1MlRTrw7YNf5EXWosRtsk0ajBNbeqfhwzMBTCuLKbDe41T8L9+XeLbz0yR4K8o85FS+os2wg
5u6AeNQ25ub7yMfsCCB7A3EDf6kD1RnuAsW6HMV+ZtUfqePY+3ou1KHxiH2eRnO5s50WD5qN1Ud5
aXT7hpcj5CkH9VSNnQOeMt80dvYwD/cGaez7BE8mu9t7bMX4iOY2LFBpN4xlc9z2713xnRFwcm55
vbW2tRggSUYvBfF5dbYcQO6DPssQ8BUt6g+6qc02duw1v+dh12jewxq9hpRIPJ/L/o5VbsDbrefC
a7ZwaVlzHHQAps4slRcXlTGidnK2T4Xlnk3uHw21pDiY+FfYy8vthbh2RKA3PTIA5dCl9ogqFKNG
dTc/T6A3L2V+lmX/fLuHawHypYfLd344hJbGtCdiSHUeTXfn93VgI+9cCRXygh8gg7oRQq0siM6e
7hbuyBfcMM4osNsx7Hy5xZWz1vJl6j58gIC4dFPiyRy87DJkw5AF5eL/uD05a21f9vCHts3ZBtOT
P6IIJnXeoIr5Vg3Vn9tNXzODy7xfuvzQ9OV5yqsGxzy7wgGFo+VbMZh83R2du6fP9aAbcYNEhm8w
2EDOcyiYGvmLalCgZsjJ/cQxd/kIzZZdz7D7OoEtky7/MfDiQTSfefG6NK1ZcA2gC50XZsRgTg15
+7dKtviJ1hZVs2CopyF/ald+bNjNDmy1fb2VblhZU/3UH9xRdqoXfuyUzRgpanfQq7Yr8SdtSr4x
5Wt9aPZKspG5poWKjAp3S5egVEz+dOwt4psVf6Of9LgzlZ2weBJ7Du5oWUDVdxTOmeVW4dza6DVj
7Wlqu64ifmwt92NKQ1P8rYcqvL3hVxZWZ1/tWzZPQ2epc46KmP2QmEbE/YZuHCkrQ9eh1IoPpTlV
0ErhAiV+NOufPb98QNn7Rr78WlyHDa/jqXlVJl1KqiQestoOjBJxdWJF0Nw5y4H8mcqmQ/U96pKd
LfGXq+9Dlx6165tJcbTUnj2dp++jCrsf/hsgsUYZ0Dt7CZKgeSCv8ueX5tlDif/GneHfUE4P8S59
ahtg7lulFjvtzrJ2wdsFMW0H5RFe9duaVfLu1m65dykfv+e5AVY52Q3ul0UIsW+WZN5NTdGifAoR
ohUaWdv+bWW1PA6syN6L2qbBaJpyDAWK4w4Cped5AH2s7s3Ocs/aAxji4AZUenMXqKXI/hipWVbR
7Z23YjY6eraoLzsjBet721Tzfb20mM7CKiK/BtWoMNTWk8FaP9qKZdIbhqQH0eswoFIy+210YPHz
o6Xf2OMrFqSjZQfgG2eRon3fSwITXmWstmqfVsxHx8kuIO+uqAk5Gl7xaZ/Tie4gs9sefEdO+9ur
sBLK6OBYWhTVIp0RtIktzQ7mmOzA47WEPR/vWzM7zF22AQtY+xbtZG3KyZgU92Zw5PfFN8PzrHAa
lFkEBNSJG7m4laXQywXMuSPSmjpxnoYsnmbnzqzst9vztNb05fcPoYcwUJQIsFV7HrLiDkHIa12Z
f243vbJBTW1mal4MTlVZ5pmRv77/OxX/ZKMZ2OKTzWvxhgdaaNMawU+KitRHq52fZGX8IRW0IUmz
pVCx9gla4IEMmWcbBPFkA0/hmWVQOQrMjs8Av23Ewms9aAEIypxdSOhJ51xJZ9dmKpzmn15awsdt
BSL/7pIrblavE+BDOrldCpUF0xidk9m12Z57XfqzM03/j9um/LFxHOdu6eYBryCdtyvIBUNO8AR1
nvuSYltAyxv0ptzZk1nKjRf/lZ2nkw7QtnOqUk3qbJh3NtT9QHi/MadrJqmtWgMtJheDnc4tPTtQ
MGuRFLSHjUeElQXTiQSWnHR25jQL0IW/wHBXhSA2tS/cr99tJeTutulc/wKqQ75NdyKLsuFUuqyY
duM0sFAgkRBQLjcO3+uzT3Wwd09rtxldNp+RVDUDyAUEVaaa8HPD146mrgDlV5sZBuqDFjC01UMB
QoGW5i+Cj8sWTfXaF1wW6IPnghh8Rwrq5OeszyK3X56mYXy5Pf6VaIjqlecZwOOUJ1mOu0ytjjan
ZR1OTUmAJm3Ng1HMJHIcz31WjAKi03qG+klaWyVgQav7EETQ6dH30/pX3jX+sz35+Yvj4LcBYPfv
t4d4fRtSvU7aSTpuDJer+uxjd3vl4EAdBJhAqFaBr2NMtp47rmbePQKqzv9O8+y285yCnOFM8Fgc
2dbIobfRx8uS/GW28b3nxlOC+JS58ov0UK94+/OuQuEu3WqHBySgCMgIZi/mA5J/GXRnerBLpS4F
BYlq0wgaQe6RdCO4MkBecszH3rtw+W8cuNfjb6qXiWc2RpQrfzknbHyb/OYParfYhRXlQSUocGyK
PjBk94BU4GdqbS7fq50DlUgsIx+JF2cT7omSBqbzvdt8a1tbRR10jhXEPHKX4S6XhgVA/6nR7zpi
BVbyzV7aXV8vX2Q+BFa5cTVd2Z86Fh25kazD9Y4Bi94ir/qjJs4+T+5GsXF6rLWvuRhzFE2Sk1mB
7OABSd5TA9k9xaG0JZaNZNiKD9Yx6KZZ1IVl59XZb+7FUkTm9As8thsecm34l04/OK8qB78Y90sv
NiGt4qs2WFw/spzftVo2LOh6AEx1iHjumkPl5ajc6Ycy4N2j5WQnW3ypJxXNW6V7a1OkGSlEJXOH
TzATBu4WyNckzh8v2WJbWvsA679T5HUVlKYYW84cVAIAywajfBgdESa2QsnKt9t+Zq0TLVToud2T
JvXMs2PYRxBxAZTc4TWg9HiAqxrY/sx2w6Wsrbhm4C73iZxno0IG7s3LeQAcadRAz6JHjcLtb1lZ
DR0XjrRqBUkItz3X5vzXaZkMVQ7iINf+HMEI1bHh7SLTmbULhI1FJUM+yfoIJ82fgBVJo9vfYFqX
+fjfaJUyzbArRSi08TiLy4XT2J6SPLLagURjsgzgEW5N6B4ZNKmhbujbh1k0EwB5aZVHLEFpu6Ec
H3D72t2hFAOKIWSqjk3J1F1aKegpjZ7LH1pGmrMN1NidWY9TMIPcOZ5UBwYQJpO7MoOH7PrR+Ton
5fjoen59IFMzvI4jgEqL1TeRaHvvBfSI9NjJwotaAQbQqnesyOxrFXVG9puCRjjqqQdpjqFtoStu
ziB4BfeSNSz9EMiaLI8QVJKhL/MyKLwu22dyWr4trJ8jx+/yUzFl6ki9Wca1a4iYJkygNmL6x4Xa
6h76TVmM+Cd9WMRSvkFxOP09KC+HonGben+zRCwHmg81OOsIgFSJKsKWj+2hMg1IHDZJ/9AntbPL
lnncy8luw7nx1ZvwVb3PbaMDrq3g995QiB0dLBBAJaIlDyatDSRcGs8KUsvqQHTfVW8o5vtL63IK
m9ygIXyM//+sJRN0jsJl6rzzJPw+9PBo+5vOtN5XpC7fmKXSt8FOecS9dAj9hTxyeNsgbyt7p9Tc
n8Y+f2+91DyCva48uq1Zn50p/daDF+9rkc7zfoY4e7TglSW0M/ZrKgl/LRWgSp5TFHct66uXjI2Q
Zp3Hi0Zy3oCpUb3f3qMrdqYjrxbQRPUgsMfm7PtDbRYXgerueZRiI/m34in0MoaJERAGXbyqY/ME
FLETfNGQ/wQ/+xJlndy6F658hl7PMA3I6UxT3p2N1njmAgzRU/etyD7zZo+ARq9loGZql8QZlrML
jtaePVV9GkzL51i7KNNOHn8cc1DaNjTucgh7mOIVjuL37eVduVcw7dyhEKMEQI250JK2A9d4sMgn
G9bOGrdp+ZwbfnPm0v1Gs+VhNJ3T7TGvraV2uGRAqqLCaV5wmzOh5gbhcTOiWySbK43rlQkGL5wG
7HLL2Z6q0KsE7tN20PhbgvZrzWuPGIMSUByqVX1WTtVHnLvQjrYQVycsNzZOlRWL0pHt5QJ606qp
aDwlkFIuKH9zjAF0PLKOqNFuRLwr+0bHuLc0yaRL7epcND+s+uv4GdgODElHtzeQA2jLEg5wsnn/
SOoetLOWKvnGrlyJgPTCizyzpeE6WN25gJ0WMjSHlyL7Unc0sK2NHOlKH/QyZR+i3ZRCgJwh4XCW
FIShgeMVeVS5/QDGVkSlzFuWBxNijlvEGGs7SnMOkINIgB2BGnxlYck7ujfTLmjVvBG7r32N5iBM
CLclXWY4uJpmXVyMbrtvTRyiuJw2qNIq/J2V9/mXT1k21ZwGqYhT8MFeztK/b0UeNOTZBxLmduMr
7H5Ux2hnvBmHRKF1VRRO3EKB/mQkFosnvLCESe4ke7n0QGcY2VcrT8fD0osynGppnyRP6t3tUaxc
tt3L7x92x+Dmw1AWvINQYpJ/kcPsAu0zJ/va9QO/BitpJ/1xb1dTfqxRI7URj6+Yqw7SJsQAAZsc
oXIGzQAxPPYA/dz+nmveBiwEOnbaYIlgdDbsOGt/0xHE0Li7JLyIUmvrbndtg1960GJkNeEtIEHE
CtgXXnx6p+kehJuRfVWwLfn2a5v80sXl4z4sCnglJ1JMiR1Xgzhn7MGjoJ9wdtzwgm6L33Gtj8vn
fegjSSkkjYhrxxMfa0TFQswRqwrxslzybfWEN7ppMqyNBV+bNM0JDaqr3cGDH+2aOh7HcedP9N6Y
t7S01lZdczoFBHSoIJYfe53VhglC8juFi+UOa7UclrouDp/bXZr3EYCUg5XVtuKxvcDJxuR18Ywn
pOGyO4ILxe1O1lZG8zq0hCp3IXvU36fuEkAX85Qbzh8ysMM4t28s7/a3+1lbEy1uocW4gMhrgmBS
M75beMktRf4LZd+/PtW8jphajMYZwcZCzg2qLzyQmkB7KNt63rrmQGAhOliq4i3A1EReEqNTLGp+
NNLPxM6Xpi/L8sEw2tkXF7YDGwxzww8jJajxFepH0s9m9LmJ0azbm3ib9GAbRkgH0eHmBQWGKIbc
OO1XFlXHSyOXW9PcteXZTB+sWdy3YPEqNnW0V7amjpVaOJRAwXtcny8IyKMFnOgLeBbqO1P0TmRn
frH36szZIoZbsWpdEyhHNbyQluvFyp//9JZ1Z+XgXcbX/WCJ2sqxr3WimTRy6hnwKhIHYFbh4Y/4
AafFefLlPy6Uym+v+Npu1Sy694Z26Ke+PvPafzDF9Fpl5saL2Np6a0ZceHjCrNnoxxmngcAVT+Ch
RLkbAdDV1DWMQQdSLShJI5U5kTMYP7621BKx44yH1CN/Kp8AWmHGTI07FGP/BufP7vZsrayIjqsG
BDhPu44BPeT+ni0LaQoWdHlxtP6PsyvrlZNXgr8ICbP7FWbnrDlbkheU5cYsNqtZzK+/NXk6nzMM
0rwk0SgyYLfb7e7qKvft+gP+FsH1NNf5q7QtbnHISTgKbhy9O8mJGgM7jEXVvHoN7R+CfGhfytkg
IBKz7X1DPaBvytl6mCrLfDcR4D71k1mupNLPF61Lr6I5g5GqtpuhhxvLFNSKTrvNvDEEbiYEhd09
Sf7X0xWvszSrZwP65NYAzcmtshoJsnrgpmkKb+vZ8i1R40fi12uosqWHnDfAp4cwaHilk9ORk+wz
5UKf0qOP+di6e7+bxEZ6hrytA8/TCUzThltBhlpzTBJrDCUZNgAzfbNcecOl/mwimlvoOh89ICYh
p7oy2xC3pOR3WXoMxLit+HXdDBe8gi5oJBNZqb4v7VNbNb9BbBrXJv1yfehLUf357TWvYLSF3wOM
m5y6ekIefQRzoGVG2dQ/+jJ5JtU5Mzj8zx7WCEIXzgUdkucJW1VdomaAWz98cNKD+igKgscOuE7i
f1z/pqVnaKkKt+QG6QkwnaOvoAfnRjnBXdz7k40UlYK1TqoFf6pD8Ubfrcwym8gpd+YjiKF5iOju
gyZzsBLdLdArIWL87x6BfFEzidFtYzJN0BhE61YW5Z1VvqVJChCAKg0HlGl9X29KyGRD77VMH3vw
RzyBcrguQr8Cx79yG/dUqZTHNCndF4rERRtOc1F+90HB8choAlYPT3npofRpFveqZmuFjgWr1fWt
Rqs0hDtI85ST/B63441dtCsuamlozWpHD8h3zxysE1Ve/5iBYHHXpXm24mkXRteROEEuyUinDHmQ
lDpH2fvjQ2A1ydN161zwfDpKDDjjuu3MScbVJO4CJUakXdk9S8mrTdChfv0hC5+g6/kkAxVjJ4M6
DngvHxT46iKvy9dOiCXTt/9rmIWaSBdMdh33Fj2yIHktcwskqv3aqbu0gTWX2k452o6HyTx1TmUe
Gi7STeZa1Y6U/h/SsmxnFDXZFW2PhqCc28e0rJ2DMyXGnk7N78JBdpzRIj9QMbTPLq3t10olw4rH
vHwOuzrowCyqwk2rFhWfeog9n2UhT5pXMTnPAUAHeZG3m3JE9Hl9IRemWoepohfN7ztfVXHV2Xcy
936Poj5Ufr1yCVgwRp3VtVHZYNSuZZ5wKUbx7V3Rdw+VHFBL3Pj+mg8jDN3VPpntUyAG/sMDcvzU
TRJFmZE7a0CypY84z92nWGLIet6jj7uLhXHn5dWzSe44z/d+v7abFuxRR6myLuOZxb3pBO7NQ++9
QFM+yswgslOx8Ydhf32plz5D21V9Bz0Tw2LWKevzMzqSnPBVLKR8OPmt+rj+kCV70raWm9mzOSZT
F0Mi+amzu71Jy10pit314Rf8ji4RZAX9CC3vXp0GNKxYboFOjXZ7feilRdB8fgmenpSSc5qTgWaj
cH95XVCFrTH8TyiPg3ZlTUJ64dx1dVifMjxDDGjwjq3v8uu080676djvSZwgfPzpvTov3iN7Mu+S
2Dq88Pv0Lft5/Qsvr437D9hv7o1BlXiuIV7RmB0VQbsJshvqHtA+1zldM8ufCh9ViZj1+bdidL8R
45YmjvPQ2h7vqc9KZiPF0vrD4+xlXwIPveW3zYm2t4usgjJTquq4y3uxTQn5w+d6hw3Yr5jV5V0H
LbD/Oo+8Rc0bjQvjyZXce8gBW/liFoXalEB2foAeeE2iZ+k52u4GobVfGVnboCm6iCknd7mqTwMa
SMvVnt8l+9H2tilsYZkKUKi27SJHiPfWrl/z3FpF+13egq6OfqMTWLHtvkRU4QxfEyc/Gf4fd8x3
WQIlVzFtDKtFe2V/Gru0iby0CqfAjXxjCKVZR749hm1WgInBvsnZAOLx36VjmSmmiU51zIrx1Hr2
HnK1K1axMJU6Lo5wUHlVFBHO4LHH0hVPJjO2EF6/KePp6rSszGGj0/VzHwOAl0c+sd+UgNpXKtba
vxdWSkfFFSV1rAnAmJipR2+4Q1L1QO1kR9I0dIw1FNDSJJ1//3TusnZIAl6JOlZl/7s0aQxs7aOS
fK1AePkwcXVsHDBFCbEcA3F43uxs3obuakfzQrrK1ZlSK2TN52Zu+7jNvV/wi7Ggxhuz7TaSfbFt
pHq2mXxtSwJe7Xati2BpwrQN6rJkcABPFnEwV1ufsDvVCXSRrwVzS/OlJQ/znAkBRkIe16W7h44Q
2HeBwFi5USy9u3b8QhXWniH+18cq/ygV2gz9X9ZaF9DlJISrQ+JYUWQSfYZVXNQjKnCK19lPHPVm
5NGZ/OqgP/Nojt74BhogCo4Ea1pxIBcLqzi5dKjcQNx8Tue2jpsCakgtYGAPAHMhe8xC9D3tbGd+
yGp+qpA0kNUjSW7L5bk6ek4ZRPJyrJvYmLo8BHyobqIZLQQiLYCAClk+riSnFvyADlLKQBHM07ms
4m7yzTfmV2wzuIb9qxSde5pzBrqDsuluMxEdqjQnyIPZvV/H8xg7ZQZKBihpd/PKYi0YoI5Uaixk
1dR5dDl95E4VMWTb6GqIv3A860ilvq6FVTIcbTie3R8G0F0HNxPeH2qBRfCM41hZkKWv0FwAt0zP
mgT8zmjRbZmUUPfJti5fU7ZacAF/xS8/ueQMCEifN1kJUfnuaMppV9jWSv1gaWjNAaAB1EOeGhQd
FGmmoay+DX62AqVb2P86dKnIyOSlHH6xz0ZvN87BxrS8EFcVcsdm47kZfANkNRRoUT+4MbDUmVbd
BMX5MUOGhHDgpMy5/wNWdh5C2+02HRNXhzMlAhBECwTgcQVod91UOw6Ktik4QWX9tuBYxzLZYJOx
A0XQ1Gh9aSgLE3rw3DXUyUKeQwc0uXMViMLuRGyU36duCn23j0BBGeXtm2+5+2BND2LBrnTUUc+H
oGs5xXPAM6xafgy8NQHyv8Wnf2smgHX9N0IxgJoyZYnbA3V6dMYSM49oatsxpSRlYQU8UJjk3XTv
N759cKkEkIaDNqKhrdznAZg0KktAIbUDE2ZJhPWH50kX9mBQCsfMUS9Jxuxv1CL2syq5vOvR6HIq
GlFuLds3owYyhNtqRIg/DlMeNbTgb0jCdit5xKX10TxJB/BjjmRUHycFV+h2THeN20WJM37zOw8U
FcQPkZ2+LWDV8U3DbGdiUrOIEVlGLTgvhDyIvNpcv+QtnFI6vikAx2UlkrSPTdBL+m3coFAzOcGG
8fu6uk1Mw9XxS6o3vN4o8RDZgfdiV2drMJ+Ft9chSj4IC/MRbXqxAfZv88zGDCgGDy3k6dZO1oU9
omOZGXUSCVWZMc4pNHiawHyX3by9afJ1ZCG4xkg9EYVIuAeHwDjleUiyCaop4zygVcS5L8rs9fqj
Lh1+wEi6598/nU5wfk45d20Ve619z5viFzqpDiZLbsSo6uzOBZkhTiiqJk6Yf1d2HRJbyKT5pfnn
+vtfWobz+2vupPCqxHYNpmIWOE+p63wEs79Sc1iaGm03V6TlA3cDEZ9pWH2bh4HVhoO34iuWXly7
GQyDM1SQ0kU3rKGOqW/vkbK5IYN8nhMtLBCucAIDjHXIK71J709XziBE/+b1ax13C6+u0/vWBJiL
pnf8U+pb3X3lkf5Y9lO6v76il/Yu3l4HASoKkVw0CojYqvM6qoUd9y59GPPqvkvNDWtq84bY+Pyg
8wt8Nn0ZJLhhYn0hPR9NJQkHNNv22Y2NajoOcKIWmDQ5n1EZTjcGgGBJT6Kmq8PeXmMKXrBQnSm1
cWjnFf00xIAwjkfl9+qZzz0HibrfrJwyl4608ySdbeDTJCVVR1zXTRWyLs2uzOp8A9WdHxBDR7Pu
zL9Qb9r1w7QCNFwyLG0zC1aYyHuTMjaKMkz6o+mtfMWlq8T5K7StrKrE5dQhiCyF9SudwCQiyQzV
t8a6K7ppDY209Pralu7AjleOA3VO5shf20C9NaVa8RZ/uaD0sOn8BdqenvvKVQlkreKOEvtFVA7i
SkFTEk7UQB9n6owyHFmD0r0HTGgW0dGTX9q6ZnvWKHM/OmCR2RrgKMv2PR2H3x0Yv0CvQnkGoR/k
KKOmCLJd73rkzqo6KGkRY3xG9xh5J4OB5iba0j9pwtCy41uZFTaikTmgSln1YErc+szOnX5mQBGg
Oy9rX697ggXz1kGIAOY2QcULtPPM9cli5bQJ2uSlqdaqCkvjn23+k21TiYJmm2e4iVt11I3uD1PV
+6Luvlx//QWj07GIqVSQr2+tKXYSfkxrdmB1tUvNblfP2cqGWdidOrlrwJgl+wTpVo+q9ODM9ott
2fs0QZekIYMXi+aHTFa3FPVggzo8MTV7WoERAjmhhkeqRnMs/1/jvVf9ipEvrYfma8bEUWWWSCu2
ydBtGuRJPpjN3dPQuGtQ5oXDRUclcmoxsIhNOFPqOVK4e4jho5zeUg+qNO0KYHBp3TVnUw58hs5x
SdCzETyU5+k3a/cwt80dQ5/9yuH1V0z6gkPQmd1YoQpbcdHGJY+mXfZgnZyoi/jGNEIjcsIWjD0b
437YmrskPL2wTfIgPrzt2uMXXJ2tuSMnVZMFoiArnoZGvFdjau/6hpE1hv2FKdSRiz4dQd/ZF01c
VL9rF/3p9uOU8I2z1n698Po6SpEQRnppgTsmbYKIBv6dr27hFscm0eGJI/TLc1vmFi5O7YubmM+e
WGPbXZqV8++f/FXeZITPHENbXn8UxKpCF125oUgqM0yasVkxrYU9ohPA1Y1ySR1MaIljUBAOZDFB
KM1hH1NuelFtZQULoRG3Vshf+iht0xdW0reFGOzYA7LRbx675rsdDGFd3LYbdayhw/KyLSWo0lJj
N884L4uvDi6BllxxWhcTGucF17Z7bbWkTAzbic0IHMjvIwRlQ/Emw6f51G6LqD1Y35Bscl7MndgY
R+Nb/1F9iJ/AXuehv/GPiNZW1m3BfeqQxGCoipmx1Imtlu6dKZg3tCtfErdZK/cv7Rpt089dz10w
edtxQ+j80LE6R3syWSMLXxhdhyFy5dCq7xnmkdjHoeE/Kl8+Xz+Jl4bWDvog6WpSssKJ27HOdw0b
yhd0fqNr7/rwCxOvww5hwtB1d1w7FpOxD8wB+vBT1oSJXCNNXHp/beMjdgD5sY+V9cD32rbTXZHQ
/W3vfv6mTz5FuEYTDHPvgri22svyfg6SCB2FKya59OLn3z+NbhrMGCnkUuOK979b0ztORrK77cXt
/w7d2KPrDlblxihAhLz7EJAzZaq7cUm1TZ2BFWhyRGfFXlbfS8/f9mbvb4usm1fmfWlmtLuC16Zp
ZmW+HU92emyaGgGboGvTvuDB/1ZYP007BCwt1zSJH09njmA+pXFVJQ9WIdIQPNht5E/+Splg4TN0
XOaYozY3JK0bu40vokyOHTKEzkp0u7Cv/gHaTWNHQA4wxIX16iqoIjRoRlU33s91nF0VANjlmE4f
18P4KzDnr17qfM0T+pAQvlZdXjjcdCZIRv2WkmrE7rKD+dnz63Q7dkWxId7sRW3hNNvrm+HyPcDV
PRCK8hW85ghaSKv55YMd7jQrwJZC5rTlBsBT882UXjeEWQso/PVHXv40UHb9d/8xEPJ6pMiDU+sM
W+io003gqnwDlY87I1/tIrrY7YHTVSe85K0wkzT1/NhooYMkHF7sOgZOkK5J/R1095w2FE09nNRU
1+COb8YddFC7g1H7/aE2C+tbkOGee/2Tl4z9/PunbeVNxSzKgNpxVyqUdggQ7d+SHDW325yOzhdf
tWmZNOdjygdVoG3/cHL3KOc14ocFp6CzBs7cVy318yGGLPqeqvcUqkEIf3d58MfPf12foctG4elY
wyExSs/pziFI44dufUxcAFdJEZJg7Q66tAZaDMIHHyQvNHXjrGQ0YjnEHr26XEmcksuj/wMznNLG
V0zCJ5h2ISNI66RfUlm2Ty26aR9kNgOSACWu+W6mZnnM7LLdocm83s9A7L6O1mi3oWRFEjE+N9+u
z+jSG2mhi18UaQUH4sRs4PfDaHwJ5vnGoc+G8smcleMiL1+0VswboN3LZkiR4EvXCshLL342kU+j
G0le552NywpPByB0M9eDVFHlrkR0l48G9x+aQYf7Tl/DmEf5YzYeQRgcTmvUpUtjn7/o05tbmUoc
7mYD2lPbXanSkCTABbCP6wt6eYu4Oj0fL0vkhTi2SCubMDXv8hEqUQ4PDW7c5EZcneBw8j0pJm44
Mc+D4yicLJxy5xupyFqec+G00eH2Iq1yN5UU4WjQDKEpum+GA2E60OPXg9GFhZ26eGS2crYtLYe2
43GftqBuiqfl1IUiLXO3beqnITXYSp1nYUV0zKIPeqbcrzFf41iADGusUCuuuxCSyM90KsbbVkWH
L6IinFcSkh2xcw72qjx4dsoBFOFq5SsWpknHL9bW0I2dja9ALBBmXIaA3YepugX4Bz1xHb04NZPB
RiHLuOygsKTkaynttXrSRczXefDzN33acXKE4oxbw8lN7rBVDYSz/Tx591IjDQMwmw8VSL6KCaX/
oPkxqvzBzKbvf+v+17fk0tRpG55wxOGAsmJLIqny1RzS4mSApHRLSmetIL1kY9ptBWrQDWgvcVuZ
KHoV+PlI7OpD5g5ehPLc+/XvWHC5gXZpKXsIzdszzsZiTO6Ixe56N1vJciy9v3ZdIZnPxNzOJC6Z
E5bjw4R2C9P+kwxr1DALPkXXgS995eYlOBNiqCeigRfYDNvbD714rArotTjgv6zZSkZoYbl1aKM5
l5ZKwIIZFwTuC8l4lOdQVYRO6Zpo78JC6BjGqQfhNc0HL/YQgwv/zU5XrlsLy6CDFFuWlGPlFiYo
hzj6qmlZvqLXq48g/JjvgkKsMTItTdH5+Z82JPGlTXmDD+DjmXf8nuGv2V6JshaWWsckqs41ISY1
eqCtQvA23CWUhwrABjdpQlK9mI3YXN8PFxHF8Cs6PjHNOw48EErJ/ZT7+6SzgfSyi+p1HE3zABSm
m25NkaAxQp2RVFnTcb4JiiZdS2MvvICjw6U9z8mKwG1RKR/CjkamghYQeOlCUJSD9M82gMVcOV4u
mxyIs/+7Yh2K5lnuNYCjBOBzZuqpqG8hQDjPoja016E05tJBxm1n/Zgm/qOt6Ar0csmeNY8lnNEV
JoEpoKVkr9oHk33xmy9OnkTXLeDyrLg69tIY+DQkI8b3zSIS0JRtjJXgeWmHaFFJb9mBmRXcikmZ
iWhGpX8HLQ4rArCw3l1/+YV9okMwkVWG6K5KZJxB7Ne2nxKrejXJU9vZe6M9BbdGJjrskjQVKQc/
cOMyGCNOWFgOvyEKvr3+FX9rKv8Wqv7BXE4NuthTB6dSvbFfrJMXiVP35v+kcX3stu6TipxtseUv
2XPwzXyh92ixu8sP/Jl/L7971naNyG7BEnRcpihZL6AmXMeuWb4KX973ag1UujT02UQ+OUsQ1yV+
C0bo2LS6Z7vp34OGrNjv36rRpck7P/PT2BDSNkvZgGW3g9RE5BZ+HSUpky9DkStoCJoTmnlySMKD
HGJ+LH2IdeTdaH9NLa99VB6CcRAysg346Z2TAW3UbZ8F4rsxI7EJ6GM2hQVQbKHypP0jlcO461rT
fBQCzKKDbPjegIJg5I4s2JCM9zddgBw9SiElrS0T6jOxEr+B/9vNlG864ydQuSuu8LJTcQItVuEt
CaphCED8Vt3LnG5bdzpyCCUZX69b9OXx/0GwjpPZDEOSkHhuN5YR4ioK2rpv6bRGILZkT5pTrCW0
Cb0RZXCSOo+kBAnfIF6uv/rS0NrUjECFDEiIoWw72/62bFSwt+ZyrR1gaWI0nyjTfhzT0mtjWZjv
beIfUpVmocyn51q4369/wSW/61NH5xjNZ+4UQ94McRrsqZlBKTeNWPF6ffBL03MeXJse2qcBL1w5
QBghD+3yoRArA1+amfPA2szYZgbpsqbicZnyWYatZOypaxPzTzWT9BlogTWOs4Uv0M8MMN5Kp5ZC
AnT2VKCzRKRr6fKlkc+n1CdPBGQGmsQHKePAPJS2DIuKruzXS4lJTI4Oyk/bTDkj5RI9gy9ObR6N
+gWyCSEr8u2QrOUNF+xG9/+4aOXulHjDX80nA4QahQKYk6wlVy+d1edvOM/ap9mR7uxXlWnLOO1p
aFn3JH9FFjwKRB/OWY7r/lpIuTRZWjA2EtuBqmon414Gmzk5NszZDMB7zRBDzZ2V297S12geSNYM
JU3L6GITRNJHUavsMA6M7kxjqE4Nt+VHY1Ygm01puhIlLD1R23k5uP5kIjIZj21+Bwf+2tvZHXPN
MSoYugzBiXwS3hq2fcmUtd1YOQrCFBl8CK594Yi2lsJZachZWB0d0F6lrbITA9vPLc3+3iR9G4Eo
aIjyJGmjAYxou8AZjRVXuDBnOsh9Nq1s6P1Gxr6XsGhO0CrTJkN2CnxQBuHc4CF1Zf6VTOWa8S24
MR3zXviGQIsxkbGZjuWDxZV4YjW6yYaSARKYy+I2a9ABxkbTNr4xpeDyAEc8mjvAbL6dt9ljsVYv
W7AAHWNMGgABBsBbYtg29O5w78x/Xz9CFixABxWr0hMjJHyGOBjFMWfuMcuaQ2Y16T6vSbNpkn7l
QQsOTYcXMwct8lZSytjxi50rnzLgPdADdP0rLhZC4M90ZHFrCixn5aJZOWHg2nfIdLCJ6O8KX9XH
fIaIlyux3EUgLKhLUO+pQZ1iZ9hQ62s6lOeqIZBvvl3lK4HwRVWb8wudV/KTg/VdFpROQrs4CVoV
FglgrM205QzrN5n5t9poXg0hdiSA/C6kobGt53bl2UszrblcpJ+Vk9nY1CNiDdN+qqe3oFy5AC8Z
ouZp7TSdDF7B0rvqZ5D9sG/R1jtPl+ZPrbEcc8dO+ti2ILxdvXHTj8h4y7X6PLrmQLskHZvc9vt4
aPMtZI8PrW9tVixvwcfooF/Lq1Vn+UEfzxVk2KGh4EYeyavYbpo0NN2h3s1Z3W1pZakfsjjXfz1I
YEPpi+VH5eRjZGUCzJy07reFFNY+Aw/Yz+vvtvRqmiEQxzYgy9UOMRV1WJzbUXkREX5wTHKbOehK
wJ1lmnM7GdjU/NSOG69YMeEF/hRHR4tCTYDQXGLgPuq29bH4wuLhlWzKDd+luyH0NuOuOtJT9+rc
BXG7hzbbynr+xdnpN1jYio4UFVbLE1BCIDK6sx+DvTy6u3o3gnwsNB6ye5CI7MSRPY13eYwevTg9
JVv6Wq1keslFcB6ergNJi8CbUX8E1RpL0QgdTQkoSBu3f5v8nJHIJog0Ui8on9AUijbCoaPlFNqT
W96roSMgkDXAqe8NFoglh9K5A6FCZm4NBJJlNGeitaPcc4oHMC2L08hrgRZ8T7BwbHApDdFJTMPB
n7MIqix1OInZfp64GDbcSeeNYfYJ+jcHc4teKyQjiUOOZuNOj0xYw3tVU+sPJQm7rz3ZfIXMUbVx
A+nuvDFrNyiBo7pO2fBgVIzvcjbYIWRD/FcTgoVR74KyV0xg5eFSoCzqTnwnTHPaZvNYHRKzn95w
PbaPeTtAyKQXUEbpLdTnleN192BA8XZ+Wyh0+QlrGzgt+9VWGQTNh7HGp9VjgdAf5daHmlTyRdi5
AdZS1zZ+JEbr31nNQCA1JthGycDqQvCLpr99euZlRQHkza5Y/1B4uR8ao8uivk5+usInH3ZqQR8F
DHpPfkGCLW6kI9LNfhNOZMjLTcIVONUNIk7SkcNmrmp5ZzhzAn5Cj/9F3HVflKmSbV048lF44/jB
3LlM96C8tb8iyEvCxLRg00aBZq4mLTZ+ReYQsjHlR1u24EuvwDIA/RPkCflZs30y6JFPzI4GWtYs
7MBlu1VF79uhyDIVWdyHGAKAkP1GlZbwwrpl+G/Sb4btALqaOwh6k5e6tqFlatUphdxJ8wF6EeR7
TcqUAFgKuBk2j8a4u+6ZFo4RnVE5NVuHQJaHnqb8beLtNk/X0ncLh5/exGDh/PeBEaQnb66hP1B1
26rwf87dLXDps3s4+9pP53onUcsrCa7cKhvLey7cr4VE+8n1afmLf7rkfM5f9Wn0vGCdsiSuFWjw
djaVkbAfcyaTbdI0xQntNNMOFZU8Qr92ugF1pL/DnVyd4RsqqoRjPE153aLhCQeRCQ7UWLrSepyY
UIfr77d0oJyX89PrNf3QVB0KRWAeGBPEovm+zINgI0E5vEETx/b6UxaMQwe7g1ym6+YWeeSA1mGQ
PSTi7frAC7ahQ91dNlVBO1b2qcmxCfhc/OyAUA+zzl85DpfC0L/6158mqLKzMhm71j45tORxYENS
0sN9ZjMbgRmVJfr4SZ5uBCnloXTzDdrDs9Ak4lHyftrbyhZ7g90YBuqweCUZT4iqcDbPx6x8ByFK
yLyVe+OCIfxt8vj0ncANc9WmIo+n+tGm6I0PpuPIyT7pgxUj+Nv8eWEr6Dj41PCnrDpbwYj99Tqq
LLurE0GOdVIbh4A26IlLpO/8omhjfsPpIXBxBIcnd7kZTor5+KPtniskgTbwkdkG0jB0J6qiOXBC
SNQ5Y3agSTXsM7epTkndNNBGZRXuJcF8UN3c73zfsZ4bU40hQvd+Z/g1tMmGln1Q11CnplXNvhh4
eR/QJH/glmcfstpKI/BLlNvaTo1t7RrjppoDGudkCDZ+m5IHixECPYKER96Efw1Gbh2QAGufU1EP
27mbHIhk0TVS84Urt64u3waIKI0eYdSwKcotrzf+PW7dstysXnQWNquO5JRB3lTMQJotI90DMA+n
uvNXTODvW14wAZ28FkJmzG0prKy1hgHtgmBsBYoNSrwvAYPoZOh3tVPuGHPIV2HTk2yBt51l9iH6
/GAbPvuZmQVBlGR08ylzg3ZHVObvOantiATQIb7uVSic379vaetUf+NsjQPQ1zK2W1VvIBgqttkk
8m1rOc4BlPL9h1lRujf99M2SvFu58S75Mu0illcmqFkqTnEsJz+mKnt1BvMNvcgrV4eFZdV7M3hb
15WckLbL2LMffCT56/XJWhpXu4nxwjqz+hd53HXlTjC1dVm+cngu+CS9H8NXyiJigsOA+E1Y92Nk
NtXWzIe918gVi1yYdJ13NxWdJ3tjlHGpHgZghh1pb8re3N00N38PlU9OlVYItorynCqFlHJuH2Tz
+/rASzOj3QNVkgrfN7FHiexPdu3+ktBECaDkCE+zAn1fSCP9RUp9eve+SeXUM5wEWRfS8t6oQdIn
HoGBjlpxm9qOo5NBJ1nR0JHbWYxy04unsv/VznQskv7Bzm+M7vRGhHoEiRBQaTnwKrbaFny2t042
uCvms7AOevPBRGhWGW3ZnDLqsK3oJEEv3+i8VYHvvs8+aVZ2woKZ6n0IudFNVBk9Tn4xbwN24BYg
gtmKlS59xNkCPq20NwIGyAhCVFCZ2SGUy1+ppz6KDKK2oHRe8alLX3B++KeHQLwNzs2DxVrtDuK2
gEyzKKHP17fDgg/SIfoVyLlzh5gyluCnDyGpREOcwPZKjLz06uenfnp1qwHJbB20MqbevOnUfpzd
Tb+m/rc0+dpOtgxvJiJACr1WO3/etWozpluRryzt0sRoZwr8BGO4fmNpPbHBtTRaLXEvTYqW3mOI
F2VqIRHf5R9m+r8ErP1yWJnwBddjakeK6jtrmqcCfh89T4j1SLaFHAE7TciCbqissgMbB7W5bjuX
Dntgi/SCieIKDEkQM4qRuIVs3kSHR8pyZPsd095ktbOHzlq7BQMz3ch2er/+0Evrcn7oObr7ZFKN
DS2UMXDqeKzJ906w3yRzVr7n0sKch9Z2M4bFvRGVmdjqq5+mxQAhRiLlyetVtb/t5bWt7Cfg2+NZ
ilQZLRFJG/6jsufX62NfWvrz25+/6tPElGQmramANhmNAeiSfDMW0B41x4lvxjOgJCBP1x+0NE3n
lfn0IDSK28CTkjZGzJ5tPA8BOkfhJCIMIsHXH3EeSg8jz9+ibW3pz4DNQCYNl/bszVcJrvbTjdOk
7WuqkEJwyQxih/L3PDUhGqQDo4r67p651UrGdmmGtB1ey7IHr5dJYkCT5cYjdRcNnWiOMmvWxCAu
Ob/zDGkb3TfAl0ZrPCI1PP8Q1APIw+yEVwdSlepEqw452utrsfAxej2vQ+RogmjHQYNs4r+Pfs/2
idMlp6F019oqFqCWrl7Scy1RS64qEmejyY4mySXq087wUYApYd/QGuhL6AAfi9Zhx6lIgdkzOvHt
+vctzKRe9EuyKus9CEHHEKn9U7gDmNxdHnKSfskqsoKaXdiber0PeimWstqMxNR3/8/ZlSy5qUPR
L6IKSQjBFuy2G7o7nXTmDZXhhUHMIAR8/TvOKlEaU+WtF2A0XF3dewb31DfJchz6MTtMesG1V2T9
J+JZ2X/XP2gLkW/2/1Kkzg30zp149DR/4e7YRitZ0nceyYcICq3LB9K7Xxa/z2Mf3sR1UCoB76pS
+uJtmTXL3mVwa+UYgQJwnNQqVq+LuTUdbN8Cy6QO0eS5/plbY2rECAn3zL4jE4lL9suyVDitMqCg
5Sj3G9stv20ccab2UFmMtlQsgalbXTz7nbTu05WGFL1aTp1j1ZcnpMRf5iqpb0hXsa/N3l/hDksH
oRESe4hKx6L2kmBKuiooQK+/8RVG6Kh05VU+n1ZYyZ+L+u2UPK/py01zYvb/1lpxsbbWHE/KPQqp
7+Z+ONCx+Ta49bEDjmcnJm3sWbNkTjiU70qV2yBzRnlTBcswn+ylPvTL5+sfsrF0zcq5a9MFaze1
YQ5mvYDEeqis8stQujtrd4MZy83KeSpHxwIZEI4vU84P6LQsZ1YJ0IpHqDBVdtmGdlpJ+BRS9gDH
EthWlC4vnjhou7hTDi087ovMuW1BmNJAetHOmoEPHAs59sHgdkdWNDSYm/a2M9c0LwRat3It15Zx
UU4hnaHi6Qx3A3U/qqp+0tawd1PaSBtMgaCR1WVag4kQ8wlcJ0i1HYBfzA7Xl8TWmjMSBz2pxuNW
Akk43L+GGtjRdjgrTFdDbxEcx+Y3G72+BOccZPA1Hkp5UB7Oh2IvJdmIlmYnt4Puu/DyC/kE5Q5e
wC59+oBT9zgPXpDvAT02do3ZsHU6y60bBjMylINDze6Swg7Y3irdOtbMVkgOT67B6aD0RNa0j5TX
+FmYdb2Vosmb+7GllvzOZ6M4WjkvT/Xq8IPvwWBXj8IK1cpvvCaYnROmOg4RksyOm/ajDznAnpws
l+xEtq0hvKy+P5Jr27GKrGiQjQySBgUaMsR5z8edTsXGIjC7IDNqOOno1fjnWq5H3rpNOKvKC8qa
9yGQQKC6oBB/035xTFKYXiCRCeDsEnsCDFk95CyoLw5TYwYd+mLZU2l4fc87JiHMz1EJa8bEhVXp
BCUl5UAG0nd28rat2bi89I/Z6IuiHHPNcVQSiTzty+hyyNrfmFmbXZ3BszowFZFcFIoeXb8+KUXv
K/Rorges3wDlV25RprgR2OztwkdXxxm6wP/pXqHR4vTIRcOUIQPtHL185ZBeKO+GleR3mVd5zoE6
aRYPsAiXAVM9TML5mPE7TRIVtaNbHInFoLIpEqj7o6IGAFdh1Sr0dOscrHlSaVjwYXjscMs9jFnZ
3FPhqvOSS/euEg55yDq1fFN0TT7D13d9EXULHhWqvfFUIsu5KM6cM7RRA+LR+TCK4SLV4DTLp7ou
nWDBgJ3XzvLDtWq7PJS5UO+n1e+Orlb0e1N7xcvQtm20WE37To3jGnbzmt0zpmYvmNjU36clF8ep
Xr3HSRQA3bm+dSbC4iJwKzQQmlaIUNm5DkqrVHd65gV4Lplkpzq36tPQZAgofZK1UStn9m0FriA9
lKWW6lT407RTQN44asyGgzfXUBtcxjVeFeSJAVZyw1wyGayyKMKpG26o/eG4Mb0q+4X0BMzdOR7c
PAshIbAEgLh8vb76Nr7B7EBUmeqaYsTD5YSwXH1dgCVJx7PP7eP1F7y+8bnZzsMFrYDgODJlNdMP
Xjq3z20m5p2Nv/VwIwxnDHQ0fWHjjhIon7KDxiQAKHvdma2nX8LNH2GlaMggHRQfYg71nWC17c/Z
PN9fH5ZXMVuYVbNz4tosRd+th2hzLlCayXu1PhNSrR+JkyB08Xa1wrqrvLclE/zoAhtxttGlPfeO
v+ZB1wsedNOI9C8v2CPKiSxodF+/GS0YcU6k9M4Tb+ijN8FToxU+PeQ+d0BVSmprZ+w3TqnfOfMf
o7NAct/tS1fF5ZBCN6hxP6VkfFhL+OAI0UZDmu01VTfCu9moESii2TN8qGMbcqJB4Y9P0veWEDWz
nRC89QKjEAQ+gba6eYFOdDqtBwmVn7DvE/cLYNg42q9P+OvvcEy+sme1NMUVP4lW1SHX+Vja/snv
lpvuBo5JWm5aLy9mRE8oBWVBTrJzZz+sqXvj+BhXUcvnA3BUQNBCgsVhw6Gfv5XK2xmYjQhkdpjS
hjZNP+kkyugYzhyCSvxpQnmaAgB9y9Bzs7fkA8LNVmgsxsqBPNM4HnTyTtvVTi3/9YnlpsaVgLFg
OS3aixycjLx/sMonW/+47Z8b8a3RAIQ3HqqgvJ0AE2HLwXWaMaSO2PnzW4N/+ag/NrEkYFZaKSOx
rRmQhDICAAdd0OLM9em2T7gE1z/ekFZ9Mqz5gvivv5L2s+VE2AU3TqxRWyJjngkEUtSWRHNuJXjf
ohyPnbb3bqpbw0P//vPj0mWLVxKoRQEtfcpHMtzhblzfAYuYwIVH5DsZ/9YaMgKQXuYCGQ+0xab6
i7B/cDta1r30dSNOm72mDlkVqpnIUqo8+8oFjRuHQg0PNUQUZrKmOt4yz44JKXFxJe7ydl1jQqHD
3vkk/aSEW5+qqoaK9fV3XJpH/2bKjukUuWrSuO2AixHOlvO8Ar/eWjRYFZQTLDqcvc76aql5Z042
qt3A+/49+QMlRe56pItti4ivC45hP3AtVWRH4g/dm2yqVEhABgxTzY9O6csjV/Pe6fr6ynNMBysK
yCaRSLEj27GTd66XrlEnAHsdh84+e4VOdkL7ZRu+MqQmZ28qRQu4GKqMFsrAQcfId7nsQQtfX9WO
aaWDBe3m8JlcY6ch0L3MocmQyUu+s+fMuDFIpgNnt9QVVDtxM2vWRzn+tKYhsJcnmez5bW8934iO
rNFJwtB3j0FG/upOVfXUVqV15PPs/chbf+8E3Bgn3wiRxCadzmfUw8q+BE2/XoZoajseOxbdw6du
vcKIlM3QKb1Y+JKm+ZkXYHwBDJ7le/JRW+NkhMk6H+vUbipkH10eJZP41Oj0Lq1ZfoQZ1B79c+sT
zBgpVV07vSeiXiSBJm8UtBYbsZeebewD0+NzLXnm4v7tR4Ds3xEne+sve5SW15sTjql9pfLByWBo
70VN5nQh6TN6bir4CaXCf5vqQXwts6y6J1XR3smm63YuGBvDZWphWdZMxkaPflTq4okW3We4lb6x
h+7D9VC8MeWmFJZKB8AZF7LGyj14ZfbWqtovuihkwHcC09b/v7z4j7yh7oeyhu0JtO1c6KvOY+qf
aD/2IR/XPb2KjW8wRXJqOMb5Zdp50dBO967V/FJQKl8EcI+13jt9Nz7DlMehtmXPqwMN2rri5FQl
cHfMyxkKrlW6t7e3PsPY276Y18KmWRJBaTBIlgqUa5gronI4gq98fbZfzyH+UQRounaBi9jiRTVx
jtZqH2z3IVlfyqlBU/L99XdsjZSxv5dyaHNF8Q5/HY9Vbd/Xaflca2/nON/6BOMO40EzsoG22RKD
KGS/s6GNdNf0Mn83VEqCfLl2Z6sS8tP1b9lIVEyJAGl7U9/V2o+ytnhHPRbmLgP2u4UA7qT8sFD8
19jsKW9vfJmpLbPORWnBoaSMfSD5Y+F1K9g01nK0s7nog3Si1gcgjMhtl+V/pASqsYB+Q1Mgn6wZ
5IgJfZon+sFh7N31sfuNTH0tJTGOw1Usuh/rYY7TuiBRU8/9U7dOy3egPy8E7/WnDYDBgaa+jpkD
gVV4y0GOz11ZElKplodUJfBQK7rs6Kats3NR2jgfTEu9qnbh8su8GdxYfWR0japhT/J9Y+G7xumZ
dMlsN7bjRXz95KZTpMfPGkS466O59XBjVylX4PFweYJZcXtPVZLfjVn7IXHpnhv1RvQxTewgmz44
0rIgNdO7h3n+z12HgxY/ulsjqAlf48pSTcYKFlvUfYZRYuxeKgPUuoUI79mOiVQbkKb2HvQx4mzM
+7cNZemKWjatA8JSBlJEWb2UIs2/5aVmexnfxpY1IWygeoAAMEx5bKftB7SR5KGv1GkYxs+wqk0C
l7U7BYStFxmnaInM289npOCW/zjrMWxScEKhAadWNxjRL7++yDbCnYlp06IDxHP0izjFiSCD2p+T
T2gJwMgIUZ08TC3XD4nN2Bckoc7b6+/cWNim6V0qbLvok2SJwY+MSjnfZcNLOg+3HUYmsg0SOGyS
/rDCDcA/T/N4D573AY6XO4fR1p83trxVyJZPA3JZnHEH2Z7AGz6QdieAboQqbmz5SZY+jDddJMq+
elvL+cnt8p2k8lWJgMtmMU7RZiZ9MVEY7VYMNFqZPeEgfWK5dSILbGpH/2Vs+ieLgEaedJZz6tVe
T3QjzJjwtjpPezoIuaIn2rAnaKSM96sSzqHPGT0PxVLsCYRv9K/R2fs78XSUWEmxIA+BJBQ7JRdH
4X6y6vusrD4mUlZPQ9LqQIO6cfYskH8b5kG3mrtOuEi9iOD68t4aaRPvRr2xqRsYnMWzvTw0HYgP
cGlGde5OQq39cwN5nLDGn4vGVeZ3CS2Se3Rx9ow3Nza0CYRbZN8SNiGotxP41/NHBnYxOgnRNHxX
xZsRfmbXv3JjH/wDgbOacVI1/PuqQddBUaAT2M8JCbq8ui1MmJoWDJLbDhhqqM7OXyf7JyQbAmEt
4W1/38i80Xct2gHI+UhOH4Trh5RwOAWVt6UcJqgN8Eo5lKnyoilZntno33N0cK//8a35NULEiHI+
hOyEjldJIa0/jtkSSdWC2yFx7YUDnP2V1tYUuXTt9uR5N44iU9DCqaAZsqbUi1ZWBIP9tVg++sMv
q/8h8v+uf9XGajJhbWKitWunk4hUOuVPtdWHhSVkCPG4vWRnI7SagDaP55nv+ihy2j37CBPqcFz2
GrEbDUHHxLLZCDu06rBSbaudoTc1z+HKuh7F/uk/KUQaWDkujx6U8Q6O7ZYnNffkLXrya8Q7a3qc
++7TPLrz/dBxGCD5iQ24nQbeEh7fx6oFSrfXuX8clbQhNOUvgV+J9LZC/D8Mc0oWP18nLNWKry/W
nMROAYAASfltccKEvjHhpmOrUaXsVQr7w2w42jaksrjMdzbEb9vfVy4dJvZtaJUQQlZL3Cyt9bUa
s58QOpneQWRABADpql/NslQnV3qP1PFQj4B2z8MMafaQ97b/pe48CwKlcL+Gp7d8Tjyffk2gixoM
LJketZv03xrXc+7RtrTQnpsy9BcZC2hd/nCSpjiuJRzmRqmgg78s5CNVED0R47L8AqhVnaTnT295
n7VHoELWe3fi8q6btQhbf+zPUFqu4efkfk87Ik+8TiBA4ReeBJkYerLLRLMe4gl4NKVsXgNgrZ7R
RIoyX7/lurGfq35Zg4WVxbdmahcJPXOvfUSricCHTPnzjTNohEq/pLrx3K6Jtf1ltkmgGrgPzr+u
b/ytbUn/PrInuXRJZTV9zFrVFfjaJY2YWvudZHDr8Ua01H6d+1Oq3UhjMt15/uFb1o3/3MinhCd7
OWUpjS0wpO6S1aUHt8/3gIobBob/SLO4yWoT2/aaGP40BwEN6Kwjh7F9kdo+DMILCt3dA1UaQQYF
EiPldC7Uu2FZAGheQzRlT8ti3+Wtd854d1wA10oteZKrfjPjoOtmoBSyHTDBxhD/AxrkLfHcRYvI
qmFAsLjrvdWVt6UAJhAQBrHgck1siXUNChdk4Uf1gXfzXuR4vYFiyieMEGsr2iwTEVKl/FE5KVx1
OYXyRV9Ne5T4jYPNBARmiZrcOoHEtZRnvb4tSVSx79e3zsapbKoi5L7iRXF5dDeoMNHf7QnQpXKA
++DX2u9v2/wmgg7GA+NEZ9uNSFE/ibH82E/kpMs9z8atxWNsf0EFhxxQjatg08AztYd34jp+uj4+
W8829v7U106DPG+JCWAbmf2tLXdW/NbAGzu/RFuvJyiroh1rH8q8Oiu3gXTNO3soDmBu7agzbawc
E94FkyN0R2vckoGYCTzyaSp+9XuwHPK72P/KoWliuxB0YWPpQawLgg1L2Npuf9YW0SSc4V4IHkkx
jf7BEStke4EAowcGz4xzOcn2KwquWczy+3Ve6akDjO6+h5/ns88pwPuKXcpJEEy2A51YKaoIadHy
u5xBtjdwy0G24Gs7UFYutF+cNG29L4ndf9aZrH/lel6OaEbBNaiXcGf0oP+D49N747odQWXFgddQ
ANf59rPPkyqEXEY5HMAipfNDPRUDXJbntT0qi/EXmTrugaJaHyzKLh8GXuQxbCyg08BrceyAy/wl
U1F8gzxudRIcMm2TuxQ4tyU9ybmfXwSxuA5ZAiUCv0tV/nYhKfpuoqnyNVA8reLJku59Y2f8xCAC
9KKHZbgvAOKMSncSd1aSzYdEVvV9qcr6rs15frZ7SkI1jepMCm8MWC5hgNkUMAounUGdxko5p2a0
RA1tXc+VuI5Qfwy1ToaHsan8PNS8gUoPs5o4ZXR4v4DfFKpx8nRkJ+CkW3wRnyzf946JHpd3EhX5
o19P3pOo3fGlqbPqzkmFd+zY5ECyAMWXOpjm1nkuRuK+l33BH50ph3EF/vdZehP7kNBVt6FYBpcF
FgxfvpfVvMLBZm1GOAMUj0BfyWOvhwo6zEV9NziQx556LqJqSpygRXTygmGgdZxAtu2I2bYeZihe
syOcuIsnkQj5OOd5858qB/Bmm36FehbJ6qU7CuE253IWfkTnkj53XgdAfQlaxgTZlCE9ErEwcNqX
qofHZjKEFq7znzrdw92XOLYKYMNiN48W9Zl7LJsKhs/Ag0xhNhUWPIus7K6rIV2GK0B7mJWeY+Yt
+kRaKFQRl7cvsO7lP3i7AJiYJDoPJxfE1bBCqvyhz5akCTrtsbetP+A+igqDpSDvs+qX1V+Go26W
wAV25qCwSg+teLEcnLXMt5wfU6e6d+UIJLBdAtpeJPl7CVfnE0U7nN+72VRHjZfNYbquYzik1XAG
MObTSmGHd/Dw2W8Sy9bwRlhdewy7PmH8Achd524YQTAPHQkR99uORhPi6KCGtuQ2+msFA/ELojKn
ktEP3Oa3+f04JgRxcFaVpJAkiGmrcR/C1SDt+2MCbPTOwbVRdTKRh0tXUuXkFo/aFPJsoDr2UV6X
PCiE0GcvyZKdutrGKWPKRFRwfO2gVQZtolKl3yWlVhXAfI/uTMTW442zJreJ1805aeLOkfQ4+0V9
L9W4Jye5MUgmgA/yfQusRQSPKnJymzxMkQJRgq6QvfP3Nw4xE7+XLazmXHInkhARRKGv8x+LvWv3
1rMvx/Mfbea17UpNPZlEzBbqeZFt8h/8U20YOmZ8J8ffKLaYckMgqEPirOjBFVkIORSz93loU8Q0
oDQlsd70Oj2V7nBbWmHqD/ngojijM3kQD/rspmCqLVCUA3MIcPRA1MPxpqzIFJWB4jnP1qW79AD9
NWpUIo9jM4/frj99Y8BMR08GpePasnHbp3zVMM3N/KDIpvJQE18fHWwOGAqNSyD8qt8x9tpawpfV
8ccqYKIRgoP8Fo2deqjJPAc+GX5ob7gHmXBnzLbecdmcf7xDgbWXgA6NPlOp24+c6gUkiMa656Lg
R4jUWjsp3xZuzbS4xDmLUvXA85gLLzkxcLaPvRAsBLE5x0iWOv/gF8KPm6ReT1WTpMep7/W763O3
EWpMB8ya6DnRnkoi2uAirjGSiY9+0/WHbyBpTOtLCtvbqp/B/4B0ehMk/Qoor93/tP0knDy8Etlm
oeljkSf/XX/hZf5fSXBN7GST1SqZGSyNmPDaM3H12fKRj9oZ2VPJfv0N1Lz4stFRfuaBwUrgfPpV
d32GcwYIiMCfpz0zjdevGtS8AC9259aex2gEX3vxYenF+gaUnCqCfVkWJk3vnpI0K3cWwNYHXZb/
H8s8A0gRDp8gR87sP9mqMOOg9HjD4fqEvL6JQOD+++k98F9Qeq0ZpDJZFWTu4JzK3OuC1F4+a0iI
3vgaY68OLCcQGlUkcjW79yGdgk4YtP+VPOJ2ueeh8vpWQfXt72/JfWgqNzUQWtChisY8f/araYcO
sDVM9O9Hi6ZAp3+xcOTk9UtqLWefaMAL2vcZ2GM7m3Froo2b8cUMS6R90cajTQ4QH2QoH2TfacI+
Xp/qrecbSUvmlD1A0a4f1aoZz1U+Lw+ihUsTeGz6+forNmbAvB0vzLUyNyF2BBF5GS61/gFV4Z2D
eOPvm3fjKREJgeEhzJj8oTyObl5+aLrLjRZ3052/v/UKI3fp0hLtoW6wIwhPZdGkOhbiO+4SCFHv
zPFG5DCzCdy+LQlnazvyWfolmeAVmSXjT1wCj3Wzfsoh/Hh9Ira+5PL7H0FjwDYbatYPcec7z/3c
O0HJ2qgcpz2k8EY7lZp3EVvKhop0cSNXTsjBUMmfET6s0FvgO+u6Qb+CIZxM0arLR4Cvd/KKjbMY
AIG/P2x1ZQ5XdUkjTMqbDu7hH+Y5t0DRZNWHFOy1YLRs/z8hZ/1pcEnUoem3M6Rba9sIAb3wSS4p
6+LBUodMfJnnvY2/9WRj40MuPkusyelguA5QW54X7715r9HzeupHf4/jHwvB5rNDvXzs437tH+al
OGoZu62KBrs82ssLaz5cX3AbC9u8syxcWmnHcxqlQ5XfFWp6n12KMqnof7VF9Qb6UjvTsBGJzbvL
2iTrDN7mRYcnDWX1ScE1tvVhvalu671Rk3/keJ4P8UXolK1ymhHE8vJe6aQ72Os63ARXoWZCjgdb
PVtB3i6sYnwiFfClElJlh7rNf1yfj40AYOrbZemSdznu2pE3XMSNu6Odcvir7F2Atx5/Wcp/LCtk
18nY+l0bt0UbuiCIttPF2tM+3/bvjV0uXFxF5pK7ke2pI0wL0XtLl49Q59hrT25sCzOr7ia9QvtX
cmRw4m2b1PfgQs+hrumxzHQToBj6MFN7Z7a3lqyxv1Ff9WpRz3a86ME52DTJgpJ2a1hPwzH1bmul
w3Th7ylZLahJVZ6LMqQvP0xt8iD99CbMIzGpSK3VeHAwYU3swvcqbJw5pnaNbFHyPVT36yGQmESk
Km0sp9XuGkOy8p4zfRoScnfLWiIm6yhZs25wFsTtfuAw4D5wAGOc9ef1h78e9ohJmJmAnG3s1gbp
eCLqUJfJ54zJd0yyJmjQKA7gNXNTRYuY5vF2CX1fHOSgapXVvZNMd1KML9c/4vXNTEy6zCQr2fVy
sGN7oiETSJ1ddGZO1x++NULGVm4GuD1IAaEDDQtZkn71pu6UeS+eC++Bnuyk51svMc5m0KMp1SNn
kZc5zwrtXj3IMgBdTh1aHHRpSfZIM6/vZWLayPe69MhadklUiAm1c/THKg5Z97V1URYq5ptEBIhJ
nlFrZ/dkxYZzIFVFYAyEsjj6G0FV3MZxICaHBtamXs2pYpHFJ4E2NO0PfEB1IyuK4eQvWXFTJCcm
a0b5tRpgJgxhbt/7yqvuQ2NZjyInO6F1I26YrBlh9xCpVrwD7xLNE5g9CL5z3dh68mUB/HHC1T0w
Mu1oAQIxszpOnYkcOujy7zz9d5r8byEEQqF/Px7Mun6axdxATAcCDlzkd45XemiFVPD97KoBF4N0
6Z4ly4sjmmVJ6HF42eVjBTQzsPwFtKGhK1u08/H6Nt1Y16bpc1U6PvOcoYkruaRV0Cuvf9ReNUYk
VyyuAIfcuQFtvciIB5JkNEdxAZWA1K4OQLlOPxpBxiMu79mjWzj1Ttx5/YSHbMrfA0yaagV2qsYH
MRtmC2NQzHVIoe4irBi+DE8N7ijXh25rpRjHu7PiwJyKyr4Qsi1Jz7A5v3FSjCPdH8tUYzEgcbDt
g+6hgCYUZPFe4OdyuP7fN0K/qSKEFKhkjp11WOUS3JbeTptj6xOGXkw674SAjZkw4dNeXaeTM6E5
2/KfQw2JScDYOyhcjAzYW/uh9/YYbr8vga9sKhNM7RSsS5laIM2erDlcNOBQmqJ9/Z+Xe8c0b1mM
xqob1G7bvmXMyZ4T15tOFfXmc1LbxVmuVO2M68aaMMUpVkVynZVJH7eiiJMxifH6nUWxMZymMgVB
9xec7EvKYfPP6Uy/KFvMEK3rPsMn+cBUVQbVYt+W+Zms6ZJxF8i3kkXSWSJgXJvQGpPH1GrfXl9/
Wx9zWZd/RNk5A57PzSsSjTq1g6Ho0Nhuxx8Dz8ZTOXnP9XKS+fvr79qIPCZz0KHNPEy6pNGQ37sO
DBqSn6KYofyyp264tZmM0JYr6MyNl+JOK8Vbf+o/ZpOOSaN4eP0Dtp5vhDQPZWyoJjRLJJr61NcV
TouPlk5unGojjJGZD72GR2EMq+t7i9SorE2QmATrZLq7/v+3NoURzvI0KYo+79fI9dYnp5DnWu7J
/G3MrckP7EaiFJcecFySx1JLWCy39232GQT/6/996wWXBfzHQs28EWVGPg7x7PTnJpFuAPLcfaqz
L6rq93RVNtLYf0yFfQqgTbrCL1JwmNp/ItYEXtYYJNn31at3VtHGLJgCBVyuVVV2WKVFYX9cqHrB
1X0nq3m9nQRMxt+DJNhYwWOV2pHXtp9gc/AOmCwORc/mCbsgzFoS9yM08ewV7rjXp2WDXEJMD+Ok
XJQP5ScaWUt3D75IlOQAdqsOui4vuVWGjbTfLCW9g/05agj5YU1/Xn/z1jAam11XVoe8jGEYR/qM
7uk7lrDD9UdvINfJPwTGFIgsD/JusZO0+cmj0xhB2HoujmM3Vw9lp4sqWCsfBn3O4JV9WLKifyHz
utyTuReQi1obHxcTuGfcMe6sabh4jVMDYNr90NC4qnAtzfgSFJz0z1XXQjxYS1hRnlq1yrCGIvVO
53QjYLlGSMlHzckIEHcEce53cGWBXkWpAlXCfuj6SG29wIgotc3hfahxfNhgtcISpOo/ATzRPGSW
lT1ff8XGxjfZktTNrGoQmOcMY+P1T1R34ey8XYudPfO7N/Ja0mJElmlGNAH2fI500yYHq83ZHQQl
xmdU7/NzX5PmYNeJ+lhaliighNcWwAX6/R1PaHaeC+4flFiqdwRmegfYAQEzx8oVF0aQebMG8mZu
y8nn24biErb+iIHU54BiyXmIITv6hCX1zvZRjlj8aKXNbUfEbzbBH68ACWGuXBcs5TUd4I4mshCc
rb3zc2PLmqxKz0INzgO0DsIv9BE1rSdIOp6vD83Woy+///G/fX+uKzqgP1hlc/eVTm77JETn7lF9
thahEWyKHF0NucDMr0yTSJbNCSagsavnM8Q/dzKxjbOHG8kFnYvKg9KQjtP1sRJ3jFanenxHGx/Q
vtvgZcTkHEJtc5VocY7xnDqAlUFO/5naBT1WE592IsLGRJhkQwjldjAFyGAaQxN1HqqZwiC183eK
cBvxxuQQssx2PWG5MNMdT41IQ6bSI8v3SGRbT7/M/h+LaM7KbGWUy3jylrQM5JIMh1xJ+pRPVbtT
WdqYZpMg2EvmlBCfg71LAwtua2mWj9BjblXQeX5xTGQps6ATamp3so2N95n4gqZNy8aW1Rg3o3pf
Cvq1KfwulKv/NSHDM9j5P65vwN+Czq+EURN3v46UZYtr0QgKF+/a0u3AfmzLkLNEBy5P5oMakvTA
iu4Jptw8cAU/SbKccEB1kNzgB2rN9mnJMxjqiGkI817ctTZ8wvuBBSB7TWFFa3VX9tI6+2gPQ3Y/
VQegGLpjpiiqyhcCxCAL9smCbwSEq/y9lvHre5+Zfe+ZNzlz+DJHc728Zb4Nh4gJeElIsy/fr4/d
6+sOBKy/1x0FZ17Xk4PcaV2Rz6DNdfJWixy7Bg2S66+4HGb/zg4z+94L3GVctqY6BrnqF2m4hGdR
N0fwI+MVKuVcH2Za9mMAl77leP2VW191+f2P3TSmqSYtbQYkUcI6QubiS056HcqxvulKALPjv1/Q
yQVplIuvcCFI9LzCFPhNC6T2ocjYdGyhhbPT8349pDGz5Y2EFkOcsjlKINKmuXXEsXvjtBhBvy5L
lZG5hWwCfevxF6vtgh6Z7ADAt/ecjtPOVGx9gZEHTgS2yJBvyWMo3cRDy987Frnp4GVmf3t1C53n
nM7RoscHt0Galjc7J+LrtxlmG/M7jmUnlSdYNPCZrmGSw5vTgooStGNZdvLbgR2tEWBsKLbUv8hk
7eVAW+81DntZ5QQa7y1a6XAs0WPdBjVtj/7gw6qk0rE1j1/swoc8bWfv6Y29HqWZ2Q4tuhxzvqAD
xGvotTYaLbI1kXZQUI2XQpfxrq9Qery+MTdWgwk6ZDMMriVGNhrL7I1OAX1J/Z0Lx++Q9UqcMZug
aq6dMqP4EDDqRXYs1VF9SI/ZwTlUU5D+9PL/ObuSJTlxdvtERGgEtAVyrrlcVbY3hMsDCDGIUcDT
31O98p/X6YzwrtvuzkyE9OkbzhDZu+ZhvsNM6H79pwqBnU9H1zmtVpLO3Yks/KCXgN5Cu2feqNzZ
JGOdt/uXZWPnI1IGY7G+s7I5Fbh1DnPe1C+egUTP3z/9z7cMO5+SQuiIOA/KnxiI+1+KpRj36NIf
Jlss24leFWH4c0xm5+PSdvbWcqzwemiwa7L7Nn9ovU9/f4A/7ypQSP43GnOwKXt47qAgUeYNBpHP
KNySv3/0pV99FiUDNOFDlQf0uPgZWCer2guYuEZyLK9Msf58/Nj5UBHZXTrIBSx4TxYRdOInDc/r
9CvcYiPuX8sjLi3QWa1sSJDCjh7A2Gw1j0VfHybtruGIL3z2+TSRuzUYixnuDaxboq76SUBl/ae1
P58fGjbnWTtBoXTQ1XwzsR6WZS0NDipj9Mr9+ud4y85niNCkVj1UVtSxG0qe2GnE3H5dVgG35Lbc
QCOlqOO2+AZo5nZtefn29we78M7Ds2R/rLMuNwTM04n5MmaL+VQo5JuDbe7MVH1qan7NcfTSN50l
QrmvxmKiMHPowpfZ/wUTgKTFPpPtN93/m4YZOx8frjJM9RroEOFjnLbrLHWkM91sYVx2DXEo/0NH
/f/gDpW3/z3iII6aYJYYhwVeZraqHvzjQJv2Z6CgaXWzNlrfsa4TU1TlMBHa+XB+3vcUAK44gL+H
joKqXauIo7GGu6Fvj2ABz3FIpcBnBd2mAcboCykZ8FIgTiegCK4i5iC5oVPWyPSQtiDcwtDMxI0i
QzKtKf8pKqIO0DNGN41QHd5xCRoaDassIcOYbdngsxudwxJmKcN8OyzjGDXVHLypvgg/UbpAYNV3
Wj63QVtsZ6WsD8JYu9x6rspuWDDwPAr9GiiGokl3fgBHy2zIm3cY2EO+ukQQglYY5gAQsdhiyFVu
GTh9z4B5VrtZjytAmV4LiBE+PGL5EuwtpcGLCoPsdghG8gh/B3c7QAj+2FGzJKUqqxhcPHRoB1CV
y3ZI914W1PvQUAeMfuhFqpPrL+Qm/k6OEO/qYFYcrd4gPwFEspw84pMdEgkAQgs2JfPyMUSoAjy4
cPWNNzTZZgZ753mETDZGzDR8Yl5WIOT1awB9e8m2c0uqgw+1nI3SUm4av4V5OhUG0oKq3hrpr7u5
bLu3dhV8V8yueOl8IFZg+g0apVHDGMP7G6rCTcjfISHkEu46+9xKKMAueQNu8CBPvZzYZlKTOcyQ
Vd000+rvoKraJbZdsk2pWXcHOgd9hLx/8M6zQd+PQxugSmncwa+rMklJNp6CYplv1Uyz7WKDFR8V
sCgIxfeO9DCbl9wHvZZEKLVH1AImiIWmayRU/uBVHjvMmedtAXL7kQ2dPMiuJs9U9J9Qfg97Hy2R
72mq+jpWTTt9YWyZYgdtJrQEWuzhyGQS2HDwQX91S2PjepmXAxA8fRLCZDNxyxg8FHKcnqshnO+6
oVKb0M7rl1rS5qVtm/4O0gvZzaSXX4uYuwjtx+I+6IMUCzDnt33Qv/it1cdxZRNeSFOdZlhi3eXU
b7fepGzE5+YV9Nz8TrVYYWpsdUjxiYfUinHXlJWsYjv1JrGhP8M13LnjwjXZUZQ2CVszGA00vt76
MCqPGtuvsPhqup1lK39n4I7edLqBHuawVN+9npcHtcwTUsS823Fk+xtNSbqDMkB13+L8+HHjrfam
k2Udh5zjIas2jbGjbaJayIGlHWOJA5wCkFTQ0ZQBEGgVmUKflTrI0lb5HuZ8YVwjpERwZj7NIXzu
ZjXb2Li5Tnjn5xV0JlX42bd++Vi27fwI9n2eWDNmiZz9dg/rIDLC5U25uLED/IVKFARbfF0AqLCn
IcBERh1lYbk+diEnD+D0pnEVNvY4d8Oyq6D3d2p18TPlNeCaskiTjHdVknJf732qWAj+Sg+/rS4A
q1tCufFO1XVRxSm8pD9XRMsoZ4EwMa1S4MmbSYX72Zr6KyUB1fBSMvZhXiteJ/3IIOxdZ4behzPa
n8B8ZF996r3OVYV2B0s71Bo5Qsimno3aVu3S36wtlHEAh5SRVy3trbXpuMXAdon9Gi2IuoX+XNSz
Zn1Yc+zCvITfMWmz8OQg8bJRKu8SZeUacYwB7ugwDXczmOVb4F+b25yW/DSAF/KKXV28ppzwF+wd
9+SPqUM8hT8aAHtugTUzKVcZLSDy7kzHPIwSQDf3GfiQgE6jM5OO9gaMZO4loEqlMcDgLoD+7wJ3
JxvyIALb3UcgXfJyT52nonkecTYrlrNPXanX2MsztfHKdf7auw6CITluA0+rFDgFeFrnGy0H3Gpz
CqXRodJsX1pVRz5oZ/EwdG6vOOf3a9cOyVwG1Z32bblfJrlCy1PRJQqZqPbzMoqI8ILcu7rkD1Xu
NUm3ruMWJxjbtMFZsKATbgvihp1DLq6jMu1hljHBnuPACTQmSz/rE07MeltaDXk7XdBtoerwjhGn
nuZqnu7ztR23CopEUQ6P1HsDL+fI71j2vV/4sG3g0H6XIeLEVqw8KXwYv5omgP2QIunRcbIWkSbp
stUZ8HpGKeRASL/KNk6h6fig5mF4qk1XPpPByKQBuXzTFo25BdC4+gRdvDSq1sx+MoUBT95h9xzQ
CiNb4xjZWt49hL3SiRZkPfBFkK88oP4+LYIugUSQAh8+r6NQijGCHPhyG+aLqiJfO7PRMFbeoavS
PtY0g6dzuTZvUk3VpuQm2K3eFO6mJZzxr3kf5XQRh2bR/aeGG1xdtkmfpnJZ3vN51DuZYTTPh27Z
lXNb4JwQWKwSKfaj1/qHPGT6PoWSzs1Y2uokELy/cOq5T+Vgf4DxTg8F9/sfQBG0JYZAfXg79vN8
J5TXf5uE1TD6ApkphVrWFnoMy820rCbHEs8cGkuuxWVuILGEAI5dtDFV26G/CNx/Iqjvfe6MK55h
HpR/gyanSVaEhXuWDcWXofcxAmbwEGVkZVhJ0r9Iy4Y09nyVJgG1uFjSorsZmOPfxnVNhwiiRyoW
Te4dyuUjGRtgqPQ8EDnFkE0u4Jhr2W7OOEzPM7bepbaxP8lYqMjIMHgLp7VIzDz125rk+nPWF/om
l1CyQdxebxB6eULSVT5V5VLftAhxewyn1C++ENYmTTuwYzAh6aoL2GrRfsiSoiblvphM8XmqPbkl
dVMemopO+3Gc2YlSmyczXwXdV9CETbSXd8ci72sVQRsWQKGsyyqE8yY8yKVMI09243dg21M8ZVE/
LMr9mwQmO7du60H0XXrVQxZGs/zoCt4krAXTHgb39kq/6kKdfQ646tax9SW4JEecw6MsMTtIcS91
TbMJPeldKeb/3G1l5+gjjEB90U7gMZGxA1lwYDe28m6yYtzKKj94YpBoTPArFdqlJ/ooO37rs0Lu
I0QQ/TDXG/jNYOpDkBn4Ipn2kHrVlanFhfryHIaUdY0K9GhBzPIWG2WD3Of2mqbTpc8+K48gql8H
einIsW3aN9hAIYRYCJL9vcq79OEff/7b4oQNYVU4tqAk+nmdLFYux9GO1e6fPv0c4ygoYJtN8cGm
7LyvZmHfJ3ZN3ftCzyM8a9n6jhqHKQo9QkwjjzpRHaw1d6To//GNntVycEVtAt/VWHUJl6Jlnl0E
4YAvf1+XCz8+OGvYtNPSmLJC+odUuN6Kgtb7hS3ybcJo58rY/kJRHZytT9X5Pke3BkfMgwyLhDn4
6gSsitYvTVg/rXb9+fdHuXS6zro2QUWhRscgwYhiCuIiUCGRUA4dh6h2ZPtPX3GOneKWBMIvJ3oM
PqAN9DuGplC6BQz0Goz1wiE411MH0Bc/uufrkVikSP1405vgSufswps+R0xVbtJrU7UUrIg3D7dR
3z3267UBz4V3fI6UajUI8RUMUY6BBAo7XXFNFV5nktSaHZSN+sgO6Nj8/SVc+q6PB/wtUCwVBq9y
QBMqc2l9amW4G0UF6bq6jkZBeDQWYfdvt8M5ZEqRHt0aBQR2PQuV+JUG1oz5NkLlLCO3ZvWGOdcg
3Q3+kf19rvWO7KkWCj7OuOo9CMvPfIrgAvi2ABgbBcxc6cNf6OOdo6ZMSvTU1wBIrNnTCB9n1wP4
vX6uAGef4ZzSjV/odKVleOltnZ1+PiKbs7S0p9b+4vPrMDzIauPwrvQ1iYFLG/vs3Ev4jAau96rT
StpDLdp3Bb3sZvSvIacunMlzWNMSpFlBIDZ2XCX0uEjL3kYHseB/2sznCvCyblqQ8dGoK5BjRixo
dgEfDwXVm0HML1B8uBKELyzSuep77UGLDdUAaL7j+rNh3rMe5g/bsmvPcWmRPoLyb4eSzXNb+Y6B
qwDy26FCz/ZumNCI+PsqXQjt53CkztSAMyJDOC6sgbIHyBDFZ+70BlS45O/fcGl9Pp7rt99va+UB
IEfC46LCnarCH2lR5TB28K9MSC+tz9klrnhbSBm65oSy8+g+iF2jPfz9p184YedwpJ4aRscVSgJt
Bgm59pfOfpUkS9Ycc50rWcKFLPmcl4BiCm0EtoYoKIdxoxUdHkKemlM9LfdQ8t2CjL1uvDQLrryN
S+/77Ej3cxvyEYXqsZaw+HW/QFtKiP42/KOsEzuHV1m/9hzEFfG6R/QN0KKw9qdsvv39hVz49efA
Ks48wTTkVlBTtHtpqhe0W8rYm9p7dFTE5u9fcmFDneOrYENiQzcJmJSw/s6b15cSkvhXbtgLh+Fc
gh1dqCHsZRYe4c/2mnnkyXmwRw+uICku7NdzXJWSYW/DqQQJqBBxWXfwbWJDiFqVHJpOtBEtpmvD
tktv4uxUh/BPWwBmWk+q3SvrbUT1ruERi/bflY16aaXOjnVmMtLqVhSnFoMLFXxl810RNFde8aVf
f5ab10ZotKaAYIHowWtTg9pN0YyuJrRuVG6vRe5Lj3B2QXuknRkYTMupsGO3YUw/NotkaCFe48td
2qlnh7kCTr+vlKWQMG4O8Mf84RXhFRDDhRU6V11Ha26sLbg8x1mKG8Ht50U3NxWhzxir/fr7Obuw
W89l1xs9raSZWXcS0CXufUw2rZXPlQme+wx+V3NdXEOuXlincxF29JnBXw2A/xsXi8lBJz8zVl+p
If9Dj/1hIMg/VvC3+60rWNnwssGHF2KJy3mF4Gsjhs2Sq33QTIfOkV3gNa+QVvvKaH0f5PyLU+Zh
WMWjr+vHoaDPipLnvy/qf3XBn37Ox2b87eeQjhgk1lrCvSAc934A7kM6F24nfc/dhXWbgYlgs10q
GnvyBAD5JePsQEBZ+waLcPXEp3mMR+gwPQsITka1V/YvTrSY0o815MbrpRHPogWyZRiXOTbE2XvB
JnYD/OYPsPjc0fgNGyMlVXUPz3n/xtULZnQWlFEvq8vHlS5z1IwQv+y7le1KKIFusYIOfIkxvU1R
zZzQB6G3YH25Q4EqJ2KVpVu6jlzHQGa3sccx8IHzb3VE26/8UtqgT2q20n0+UyDPBV3hE4XbwJY0
PBVelUIiFyiyNcVfmFCEseoRGVdlszszq/wtdTTYT/7cbEH/0kktEJYLN0x3owr8K9Hs0g78+PPf
3oq1s7JcoaHts+qec3sQ4prK5IUow88DZalS6nzAWVS/88QNpCTEfKWY+c+M/k+b6SxOuhZShqUA
s3k8ip29gTA/BAflTbCv4mxT79m9OaT3QkfdHUq12+p+vBJ9Lj3TWeSEDrAC0gHqsBY+vXZTuWqq
gIKFTR0zobvG27n0Us7CZ15ZRKA0h87+urxDLfVzafNr+i0X8jr2UR/+9sIxmPKVgS/vsYPVzE1e
CC9KnVggqAi1QzSvScwh1Z5k5TJ8+vvJ/6MqUaDC8xaKDT1OILmhjzY36qh7wzC+mbNgk1vdHz2N
f2JF5WvMxdP+hw+6N9AIa+FfSZb/dGN8fP3HSvz2xDavpEXTPEMz7aQwJhb2MBtYAsgy/vsD/mlT
fHzBxz3y2xeErm/dqPzsiKO6AxG5SKwOXsQyXatU/nQhfXzBWSRXzgjpmFccA+MkvBjk+DqsUh8k
eHx9VCyQQphFWaxXcsE/bb+PrzuL1CnGa2nYTtnRw9BMMogshNdq0ktPchZuUp9OEIAP9LEU2t1n
FeZBaKRsTa0IlGzmuFgbtv23t3IWfmaAgtnUePoIB7rY9l9YKQ8rxGX+/ul/pNZ9LNJZBBoH5Vi+
YlOvYbgZ1vVlqD0AfAL/1pLiF6EYzBVIFkzuvvYfQt+QTIBCRdp9/vv3/0cROI+AH99/FolSaAyJ
vJvVsRcAwNhnDpe6Tox7T/zAzD8yFDouzbfQ5Ss8TPVxIvWuxHx7rekdqfqEcf4wygnu5XAw1GQL
TdLbogOOYa2e6bif1Po50OxKQ+jShjqLZ6Xx6t5IqqGG1v3KtYoh0/z+93W4cLjPOzU0F4UNaQkf
YNBbqVZIBfukGvy31l5TUr2wZ8/7NWFTBC1t8aYDr9wa82rD8dDKPUkfYKJzZTtdWKHzXk3vlc2U
DUIf6Zqe0GA8aHvN7/GPvH/slHPW2MddwmgXYok6FgMvlbgQYapiiaVfUm7gPvPpg0ZbA9UBCNbG
E+PJhyHMv72fs1iykDIMh6UwR4PpOwh7K7QVfVdtbTY3YKPW14RNLy3gWWBpl5TgjPYZ1IHdQ6PG
45TX85WXcyG+n5ccyssH0SlujsH6MUL3/SUu8IVRH2B6+/dluvQVZ3dU1vZdXsuiPPYVs/B4m9+z
qfvOw37398+n7L9p4B8CxrnHYEC7xvRy5cd6ofmWjP1yP4SZ3dcExoNR2xdoi2D+Xn23Yd92e8T9
6TDC0eWVqQ5C5MrjgHkN/cBfZeDV+0ZY74WzLgegzguimYXsXnoUaEJepK9ZvcLVAz6a8qbPmDl0
tZ+eRgzMX6UsV3QWuia8gYB9nkYddeZtzlsoeno5TDq6jNPyFJDaboSyeR9LmIYBkzFalfSwxmli
2CeQuDTQAa2NX+YR8Vn5WCPb3gIzwOPBk/W+Q484aumU7VNShZC3LbotZPY0dHzLfAGpaZHZdqr5
sK99j4DRP5Z7EElEkknYtsB5BwVIt3Q8bvqlPNZWyGc223qHgR8G/0uKNpLj4vvss+Bkq9F7YwvU
rnYDHez3YRHeHiDJ9jva0vhEa8GY6lvImREBHbVBwlGciSKElQGEARMK/NI9Tf3AxW3dBCAsFzqH
dRxLAdWTc6ejShPx3LReG4X9nEUjQCrJAgF3pDM6B8BIpnGJ9TIxbF3HHw5gum9jNg4V3KKo/uSV
rQWybPnp1g6ePIT18ml0vdsAMG9heQAB520wYoZjPrRHpFLLe9/pKdKQHEsTZsnwPZ2z6U0V8/I1
LHL6XFfUPAnZ1NuUZsHn2Y1DmQSkMMCqQHbfunL+7uuPxi0FDBVcjMW196ptAQ7NSuI2xAwzxG1G
U8M62Kn71bQKbSHtxWSEDkW8zgQehyn0LWP49REPpGgfkNMmI+h0lv6L5D3wQXwpD6jZ3Ddk4uEN
LJ+WVzAo2w3cwaafns4VAJL+BPcyMyYl3NpeOIxnIOElXQjNAOVeh0D5J7wX8VTyEci9dFYfeC2A
OGNv7usAXLKCH2lnsgPWXu4gEKie2h4o4XkZVheBTFEB/OrX39eZew+goHjvJRnVg6eGCo8KRaSv
QoAq2qdi7CPYN1IaGTj5JtCU1d/g5dfJKLOheIcC1+C2aujp7QIEMnw0ykIFwJHMQN9lYcHlTkOJ
KgalYRmjjunp4GQdPg2pk/ifP/Sv6sF+Uuk03i0DJmVJlQm7E2LRAL6Bm5IHANZkxC+aeAhhqolx
corPhGrsBj6O+sZUrHuugH29yUzZPRS+8nucOd/QjYKlOBqmvde/VWYYfwFfQnQ0j7ZIQK0Ob4TH
5IbRtiyjGiKQW5QU0OAIcOh05mDxVNMvwNPX94DdTnsma/cZriT9qSjF+ABHlXZrYCfy0KPXDyN0
3BEzbbOoDtd02yo5H43l/i2bFOaMraCxnIAdncd+vLPo0RyAOpwjzJo8fgCul24oK+17g4QL3YNm
epqCGqgLr6oiaooJ3hoy/IKcrdnqRfR3wM6PSIjCJhZjnqhhSkKOQDfCrozC1AS2HSOYrMZqsxMD
H4c47+dJJXxy6tZ2ZZrgJ2Nsjt5TCyInEGmF2ZaKq63XtVUy8rW4VQCZ1XHv+AioKbqRpADidWrI
gnM4dylcVTo3RYOeXL2pPwSf0Vv0D6GBUNJo8+YXqSrx1md23YeNLF3UTzPboP4cYr8HNizK4VTz
0od+BZwlTGSiQMPAjZl2PUCks7phamLwimmhjaBcm8gyyA+ohVziy0G8zSVG2tTlQawhsSqgcF+s
icvKcNsOXn0MAzfecLGQT4ssvL0zxEdPw9XAhyOLgDNObnYhIHY74VMDPqjpSeQTkIichZ+E7ey8
5aPHXlfPBg8wOBDfRAco4xa4VAPneDX1X+aC+o9A3hYPXtvXuzmc0rfB5stb6i1B3LkC0C6/R/Tk
cMRZHVj7kyjNPhyXbDtkxG5Akw0ebNDkW0EW/dnHsb+dhjRIesDBb1aMd46QtwP0zBfsPg+qEpdH
PgC31GTJUPnQV2q94I7ZaekiBfzr40BEth+CIbwLNYSD9LJ2B68WRbK64PPQTv63AfWei6YOdRN6
sp55DEfH5jgFWDjx4dzqJ3g00CN61xyKSSyPaxMAQWf5CO6sGDdDnerEC+X0CuGn6qnNKv3o9bPa
rQosuxggdBLNg8H7mKqa3bW9Tp+sqbrvVRVApqMVut+XwdK+123u3U6uyw6sQsXscweflZXV3R7Q
/AASLJZkJy2C5i5oGvlVsEKeKJbvvcqMPnqTw07is4c4JekBmroVVFBJtfVLzNnBf86aaChSGpu+
G2JsoWaLHDj9Ma9TJ/ZIrsbHHsaDNykS7W9Zw6p9Cfce1PC9pj9BNKg+TaXM7nzRt/dL5vGv6O6N
b16ozac+baTdzCNwWDH1R7qRQ91A8LDh5DXQQQvbJHjYt96q3sp06oB5I7lziW6DAjh4rnaAjJvb
VOZuO7tMHsyk2YZ4njzASCnfSdYOX+fSE1vEyBntbaQIMivzuGigCtS2nU1qkhUbXN3t+4grMgEo
H1ZPyObmqOubfDczKNhwOKXftgJdU6+g7Y9Qrd52wKh8tw5qjgbAQZIJeMQvASU5wMMmeMlh95rM
U2qTdSH6Du30IvHgt4W+oXvL/Hl8H3hL4ikopx90WuHAl/cS9o28Ip9d1/a3YkQcorCi8CBIPaVF
XBtdZHFKbf+1YTXfzzmr0CFs6Aq1YqBXAQKt46rzmpthZereVSHBQehaeNq1ULMFJBeI5g6u2FE1
ruRRhD6Ah7waNiY3xS/uj/JUTeV01wW6vSsXj4MgQOFbhQlB7g7GGlCR1RyGy12le7g3SC2+ebMP
sKrkZku0kJtu6IJDtojyk5DZtDciXZB9+VP+APm9rol6cCQ2OitYQujsFRC5FAqGrMi3VNTzAIsl
OUSPSKqAjtdp8aj91cAQBcitJnZtoG5ba+Zn5zNEXk5hVNkN3h4FCmqvD7GepBe0o3FGNVuTQTr7
eRIGzArTB5DUrKdW3dcDkJdSdu0YS3jnAcfZaPJ1rNT4ktKZxpPqmnuSz6JJbC//g7rnxm7ClFa7
YuirJhqrgqB6Z+tYAboOEy0ZVt7eijz2RrQey5QlK+VFDJIgTM+ta3cED1TG06RlnQx12czAhS/y
3esggNGsWjxaCzfGaKkHA2+WgjUPOtR6MxFfPmatr77NrSp/zmgCJjnuvRzK4XTdrkh6Po+9WjKg
a7R9UwERCLWmoxCOMRU8CmDwIO/rkIEJL4l2n+vChc8jIcDOU8mfMlhb8STze3A8simHaOPq35dh
EN7CxNIBg1f00z0uKorkyQXkDuZaati4tpiwHJ3aqtZMD8Dq259i/BC5NdTSn4B/+3dLOjWAyvTg
GnEGATG8F26KOHQue50EJzu7Unvk62DeFEFrM/sPRgtuDuKwyY8hhHY+5LQgRYjUmEHKAzOXfS8c
dMSDFPEhaTJK7z3ew+5HlbCXa7wQuHThoZBlgvXQQsklI7hDuLdruoJsnRuqITK+XDa6C8ULBFWR
YI9HOI6SPW449TkcsD1wERuxHYtq/Fq2/hwTGvBdN4EyMbO2+57lGak3Q2jyZLQpiM7TsL7rFZ46
GBa4Bte+9dQn8GWCJRLG1V+05/kf4NuJ3XZGlreDXIqXsvaXTS4pe1ozXh4NiNJjshaTH5cjpzJa
i3z+KdO2uONTCJHBbt7D82anpHR30KQq73E59TviNXB8W5RvNsUQZMi2PfoIz6h5VzLhhSBHevOm
DdLxCExcf1JLMGxGycQuWJF26BaCNOPcp4mYl+DVTePyUIaGPGghpkOpXJZ0o5ZJXXXh/UfovB0X
SF7OEN1J5iDTN00pAeIpKcQK6QCUdlQHHOQgJE4Gxw2EDiKmZiNzGWxWMY+/tK3Yaalq2NVldvne
IZEGis5le55ZttWlqh/L3Lo9hIPL09CHahv0xRQzjy4JdBb8byDZBo89qrsqIsabbjKV2rjh2biZ
5wEH0uubloFQBgJCXCxknSJucnGcs6Z5CERT/eyaCUVFbTIQJoDA2JY+B1y/00sGX4e8fxcOnsRr
YJ1OYB9WJ3Bb6V/qoqQ3ng1JG2emwyEV2Tq/iqVaYYau1fd6DD/qRGHNUyFJfSebKm1vYEgc7pla
7eMMv9t9NwzDDjws5ERlCPveXepIefpgLtDIa0bQntp+3QsyZUtC5myI61aj4qQcl4QJh92H2gzm
8J2HBzP5Tw/Y2NgfibmtqUb6PqZ17m1mSZafEBERj6KqS3gTLj5F7jwjp4hb01U36ZKFWbTqqoKZ
haNhLH2Jo1lC1xtHfxhOMIID9aPOu8OA4x/Dh67fT0UJyuU4wLvclcVyhOyHOXAo4kL3oBiyO51C
DrfCqwdYbSowvLdFa5JCle0nUmBOJdtFP5mABt+CxdSxzwmJNH7wkw8F/B+dksvTALTKvhl5fpq6
PNjOIQy8VNd/XLresC1NrcekB6DCRhZ//LpCJGVDgnJ88NbM+9Jzkf3IGlp8CjxvAkguECn+w8ZN
8J9akQsgOHOe9IFu2kTzygddaQy894ERWD0ESw0KQB/UZNOAcoENq/hKMbyrGtgkqnn9alyvIYxT
WP3hrMdPquATipuBcFwoegDfYGr9YUuZHQ/oZkJaV1PkI6rxNzNNq8OEQktHo8sWFpEOmdjqiA9v
yCq7bYOSv0MzN0AAd1V9qsA82bQaBXzmOE3QDKcnjqO+zYN++dw3QuxqFzj4UI55cBrGECNEtDs5
Whu8glJM0ff3FsLpD/hr88CboLebci0ACzHCt9/0ykXsgxoT/R9n17EcuQ1EvwhVjCBwJSeIQ2Vp
V9q9oDaZJJgJ5q/3mz3JsDismpNtlQsYAmiE7hcIQMon18riPe0UXv3ulA8RiB/zTdkW1T6xevcX
0gP2qa5AKztIu213be6htA4qBdCdubcT4O8cRcEpsg0THQ64oTAvGE3L+WOmKKbkMEQ/2EDiPsLs
3TosY5G9F6MZ38J3kB8NGudfaYknf93DdK6as24PxpO3H8ZxPtV4Y06+4zrpTjGTvC9jci4PJ80O
OAWAPFMnb/zGcMY/jkXqg+OyAZwrXr2NEE85DSR1JkBKZBw1PZgvTovK7lB48xtTSNIFST4332TV
du/gBU6ej4eNe1fTrtwZtnEmoyFfw3F8Ab0zsVsy5hQ5JQc0tBKZ8Z7z6mdZkLFCYgZeksBkdhJu
7N0MJGjRQgCKdvCwbaYdntPVbqgb3CVjBXlIWCqS/ri4/XQPyhh29Rj3rWlcSoxiVZ1606temnnK
voHraVb+sEAvqfEWY9fSbolqu3aj0suQs83n9K2uZ7GbKtW+OQubo3gy6C2e9vUjRTPfCeRc3hbX
ozcdz6xbkyTI9FBTgcNCRvjRq5ilez4AneQvhicfz+mNCNj180pyMlxUvKFOgylv3eOs5uQFDJr4
xWEQ1o3HdgnLZi5uYjz+jk1XwFSyWrKdPZ3pQGMtghE16ocOUtYQxwTuuuVNfm/3DVv8ifIKFsLA
xdvzmD+cL3k7kwrovy/cMH8rt2Z3Si1ggoJrebBBJNxb9lTvkg4XLdOGSMzQ5RYGDke/qWR7JBLs
xwXF3/faE/nBs5FB88vGqPZWWiUvXoIjpkaxNKD4wgCvmHLPPAnDIALnuKAshRstyJIcBironuEE
OrRjb+J2rBgE1+vxzs4tN9lntDC+iI7ixjVBkcuH7xA/wqDJ3s9ioiFZMCte35NnA/edagfFqOQe
S6MygqYuyhciYwXC5OiSZ2sa1QPP+Bx40uq/QASVHLOzyk5rFP2hhm7FEd7uwoQXr+Oe4rmH0GuV
JdP3EtfggLZDCfOLBFfhZRDxPbQanXdTmcPvamL8pZyKGpkehplr+zJMKCLfl0LgF2eOksUuwVma
+TU4LU9ZWrX3iOAl8nijDiZNm7sZFOcQFpzjoRxccaPkSMDhmsj9OJvIDA0Tc7HFVLhx9VBvU34D
Rm1gUdCMnTqJ94ZSKB4nOX/sbFi++W4KPnJHTeeXQymK4YtB+euYSgr7Hop7nurKR7eT9C43CJc3
vPXAAVcdQTIaNyaEXnsXJ6LKdwakF3cJk3U45LZ4cocsjRKOsTnYrMZXMas0buA35fxlr8I/d3BL
qGMP3r4exuRYw6AWUeMO8y4zzjcGCG5+t3lu7x2HK3DMUTW9pfAkCOG42exBvfLeJSX1XTOaeA0I
Wzy3uUpfzbHv72rPMm6GZUhCe6kAVeuqpkFWYgbx0544C6kb1yGH7eqBIUfoF9gEbxXvINk0Ze1P
JKy7gClIVdSTUZ3mqadLMBUl9NgpAOY15J69uT7Otdl+sdu6OXbckqde0KEJkFapvmGfbx6KZXBC
Qw09PF8hig6TYOfeAFv/AXki8QZZ3fqOMifexW1m7cxayB0nxYCjr3MfE/i1HDNRum90TPAeL03Z
+8hyLEfm2OQfa/aM/Uhs/HfhDdkfHGopBC+NHJQ0ptqgWEDp7dy8+2qNbuc7I5b7nI/V3ZzF8TFF
du7Q4H8G6t8Bjd9Bstp1vele8PYHx2PgJQV1eod9yvO5FOmBsZjcQYPSvLUbwneNE6dvMMWqX5HM
cW7r1nEDhFXh7GDoIKfDyKdk52VZae9c7Ol3juTIEFJjMY5IO+Rsb0zE+uW0rLcCyWvnwR3MznyU
vdv3gQHpoWegSsWraOLhYWqm9lUMRR6HuT039GDLzn2XHY7twOb9gtcmfGx+9VmnHlPbbQGEWJDS
9ickzV+NeLRee2SnDZD8hTxZNjI0B1Yn9lfOUwgllMhdiAVgkAwa2ulkZy/UEAVIEAoJOWchFCna
1AQQBsi7fW3gmrMrnHY8kcVqkn3jTEaQ9AWDkIDZqwDI6vobsJ7qZcrzqfaLJit/yCmGWw1Cy35i
NBtvutgT97APhvQVNsM/0LzJvrt5PeGaXKovU7kob48Nuf+Wokh6w2U8WP5Cl62S1VpZVCuAd7U1
wDe5BChhrl8KEwR/jqMMVRjQa0sYRCOIN2rdZ2jKZ5UrrdTdm8roppKQsADV+04uc4Lr+ZQ/cpL2
z5YY86eKgFlX0Dm7pW7Bby7XzFYrZlrZGiRlmKIscXGSzEx3UH+1A9vOpp0xz90uAzeVHQuxIJWb
tSneTrNLfHOyrGNfgmdsOV5+hFxhHSK7mEh/TmGaHONV+NqXZnM/m6X6VlGwjacUIkiWyv7pLW7h
XpbYtxV0FKOm7MKuWZQIcNogrVBCaPy54RLZuLiX+e/c65CHyFIBkW6ZLlgPqpr2sFZE5j2zoYIb
4M5n3iFjNYN5gYd1iuxGSv4hWRH/k+G68xhLxQ6kEa1z8mQ8Zkc1wHeHtkgaDaOR7GmBElKl8KbD
/YRBEsF27vLe+mNV9vDsDiNDiOXiaahV5retVX217dY5kKnOv1jSLL5U1YTykoN3DQEf+QheSP3W
pEQ+gUoz3kIQdDwmVTsx35jhVuWARhpMJVKgTjZ8w9NPQHXRckFMt7ZknFaWrA4B75PYxYaToJ7n
wAl1YGaySysck5NhDHuLl7DLhdn6Bv7kUw841N11TPhM4NKD0y8/2baynAAPB/W7nZQTdCLJ9nRs
fo8dsrv+YrlOJKAIgGFH/uWlh2/Hy+UlvAa90iHjcskEtkkrP/UZptqhCyCgbVhl7Q1qW3jPefVX
3o/7XGZHW9HXy72u1OJ1LDlEl+HD4U7yJITdvhkLijNZZTsb47qC+NCx5KNrogYCV4ZTzhsZLUPn
HpjBxwcHJWNUzCQkZi5/xqcAWkygjs5dqBOLGvmfU1fiCALR+oxg4Myiu4k5w3MFt44dwUEQwEgD
DhTu5N6BpvYLU9lCRyM22U01GuJNZrJ/TJLBQRrKu3aMNbxDoiQpAdSqTpYS78g5F2/zsIxXTqAG
nZqb2J3dlOKJsiQxKkQNfQZTt9/gJa0tD+3g8Bi46jbUbmDvlvvgTARNHG+gTdamzNGOitb0gGUd
uurESEff2TSwZwNB8BPUEhiXTYRijwJS16KpeTP28Az2BlSWON6Hu1RaM+7BefcIrlR6pJNkoUeS
egM5urb3aIdJj2uklXh9daqR+g/gFPaWdpAUcDPxAhdCI4iHQW6APVYGWAd+dy7UV8umwABz4acN
bu/Wr8shsQZT0dA8w7DkeTsigalYVvg4w8YfCzPL1yUvt4Ss1n78+e8fwZQoes10GihoA8ljSZxT
nC0bdNi1prVlbcmcU9hTV6epc4GafB6Nt8vDsjK3traiezw7IQSiypNahvGXRRMnbJrceZKLiQx0
Yvf9CSpC7QYza20StDVuupMnrBRQpwXvDTLcO/jHwjdkW9dwjX8VhD+Mfwe5ElyX2/o0lgQQ955b
0ZglAzvMpUGPKLukdogsH3SKLFzm5Q2uFyJKUYixQhu1oB7WS3JLEfuMfvrk4qfLI8d1XUDnIo9P
BpL6gYfcdDd1X/OiPw4eDcECOEzY9De2+5VJ1IHRHk2HGn4u5Sk2GgiemM+C1Xbg5ctvlwEKi4r4
xia1coDpHtxqri2zSCBWNosZ0vzxEQ7TfmH+tJKNdb7WwfkLP0whqcuxz1sRn4pCAvpQdpN4q62J
HdMl5ZE5lMm4v7zwV5aidf4FH3paqsRrUOiPT1b5GLe3FqSh88LbGKfPw9XWJT29JjaQVljgV5SN
D8ypbpVZbvDR1prWRmjySj4ZcNGJGk5vUuUeaLell7jWtDYkSZVKIGaaLqLWq6ieM37V1mvrDodO
DLertAFVaJSo/s1I7Nmx+UiTjbj/PNRs3eXQcqtKoW5ZnSonSZ67gnjRPHvDblwyFsBlmwbGgJwl
ZKqrjWvA3/X+/+i2dU3SBELBbdyWcaRyhQdSUc/La15gp1kgV7RbUL+BnRfeSpGJUuLBlCK5J2Dn
Q65Hpf0eht1p5AEEfbQbxy6DRY3jN+APY2TuoZZzYzGUAgK3ilFw6ViNFLicRyMEuAEZNoBn1J2L
V/+uIhWBQ4g3gHjtGNUznZLl6zXBAe3x/wYHB9WndF2sWS9W7AnQRHPPgLM5GC6rNoDVf/XbPxlD
nSWNfC4sNrMsiSpc/+rAdSHkSwV5G6sqq0IauzWEjpKcRCNUvIL0TKqFJcp46qwYULAEsDM8vBIT
WgrIGH81m8LxGa/7s6qRmpEVVqDW13W8BJmV5Y9VZ5Jv9hwPqFkMFKytdJo2lvfne5bNtSM06zyq
WtPiISBkBhBFVfrqQfkYQDWDetFUjF22sc+v9aQdnyjkm64aTI7zoxS/B+JWGWBVrIZ8Y99AbjEu
qbkRVCt7gS78OpChWlTL5IknHQqN5jh0gYSr/FUXAVtXf+0G2cIRERcBQzk/PVbfdXhH+0CPso2h
Wvv92jYZe2ZTllDODGEuf98KAHwBMrwcHCuzoAu8inEwp6FnXjiYBDBVDyTF5V7Cl9kfS/PH5T7W
fr52WzVYhhC3iIef3720DduVabExs2s//9zlh4OvUDOtJUtYyGJgV9IXCxA7GyDWWW5Zk3+e9LJ1
Odcx60XhFVDqs1x+p4b44AKLKuvHFCIXTQ00VGn9rtItjsPa92jhVyHy2pIYXpi507Nl1m8zrCZz
BwXPHMDYy9Ox1ocWeA5xG4AUPCeUjVig3djeN3PnBKgkL7tEqY2Z+fxKAvfr/87M0BjI0jaLCAea
vbCO3rrm9Ayw3sa6XWleVygzW/xuwUseAkrF3ydaqWfAfzjAIEDb/L48UGt9nM/oD4trgnYS9KIp
C2M8sE4th964r1Bo8i1pYZu6rhMttkc6cE+qnIVmQx7MZXiD5mKIAs5G7K19w3kRfPiG2EjguJUK
Oywm90mlqKY13rEptzwT1po///1D8xleGnDk43YYM6AliwF2hfhXtrtubLToHuigurFjdtiyI+os
yPwAfDFskePPI/zJme3Z//3tkKkaTCDr8IwiBzEud1x8o6yHJDHBk+pw+QtWYk3X+BJKKAJTAjsU
ufhdl8Djjh7A59TLZQAXg40r3Hk8PvsSLaLx/iuTOnHs0FXjF9Otkehl4/PlL1gbJS2OFd4WIItb
dmhWfDeo+rvTLTlUE91HpAeAC0mbl6s60tmpHbBhiW2lXogUdv2+gPcKqd4KlAHexr+qxeyORZXL
q7JAts5FJXM3pmNdsLAjqAPKG+rw23MyFrj51P5y+YNWEs+2zkeVKZ1TVF9oaE2AD8Dad6S/looC
9dK1MQAgZ18EA3CgA/QWO3iimtCcppWAvKlHoA9++VesnF86oy1W1tQ6c5dEcKC+Ac7/MBd0N5pJ
ZKB8LAuO0yUS9pZM4Vpv2nYzuYMoASxKImuhoQEoHHh0PigFtwjbO0OogxrxAGDq9aqP0wm5FlPV
cCaChJNL2Q0ZHextNTdCYFs7H4IDmU+6AvTz3LVoCKBmv3FLXsnn2zo1F6hFySAuALaDFMR3zbmF
kZ2yhnxnQn/pgRcKHIBMMOmjxjjvunRxv1qpKPaXv/uve88nEa+ro6VgpEmXZU44QzP71UpMKAeI
frYdFIWtzDs5BQqTQDHYw6mrObBZrMnqGqLHJnB6UuZ7VMF64Hjp/D4jtbPxs867/me/SttRK5VS
lZuJG9p8fhITFK462U/AbW/pDaxsdDrZdxzsErku4oQjA1zK70jvHKwB/vYbwWKdd8zPvkDbSWE2
n86J2XkhS8VOLem+TsbnGvV3yPL6Np5uBWP+slTHXBW7ESxmXJv3cF4fuy8SsjCG8eoCmeS4D9Js
feCAb5ghNgZ35Sih2kbcGFPpNvGMq6Gcnloodjf0psxngIzfLi+qlcHVKbxz0kJTanQ9PP3iL8C+
RECYPl5ueoX7CpDif89aICYNKNbHLETVuMRd0/FScLtEH47A+O1myytO8wKdPxAw3H3hxfYe3BUQ
o+Ag4JdL2+0Ambd/b/wY69NJ5vpJI1gBoLhrqJPVjgcwDo+lYjeugNdI4QS9Kl8hI7DjdgXgAWhQ
CJvBSsPLfX9+mnL93KmIh1tx23aniTyl1ngPUQTg6iXqnfR+AVjlul7OvX+4lQ1N3PdQNG5PKYHE
vCxUH3iJdWpE+T3LoE4PQeMre9L2e8DTksGI2+FUFe13a7ZebZknRxA4YG+h5n+cYUoOl7/p870F
Ooz//SYP9gXNpIzm1MqMBzAlAULIhuXPAGmZ63o4x8WHUTNB+SqMHqMGw7HxAcDU8TGm0DaPrWFL
q/Pc1P+3F65LTM7W1CXdzJsT99qfbgFzhR6438s///P9get7Y9xNZJAEP38G/5WTV2sx9qT5R4JK
dLmDlRnQ+esdpMG90cq7E9Q3IYgFVlG2B/gXkvdVa71f7mMlPvQ8mmkQgIgtQD2KMc/e0xq8pxrm
IaGF0mCU1y5gw30+bNw41z5Im/ChhusKSPk5pFDEmdaUGX7XOTRsMrBGL3/PWhfaiYiCDTiDYOWF
3Lx1Fd171o2AYvl1jZ/3tw8LtsrBdGVD1Zwcqy6OBbTnQ9sBNKmvu/LpchcrFx3uagfiyCXwbbmX
nRoTWzfMqc3mR5Iq7N5WDDMH6DcFYG+DflGYUOCflAePVBBM+Eb/KwHjaOPXgnwd80bkJ9I4d3NN
Xs46/5c/ba1pbfQ46uqdHFqgscucPfSG+08fZ/PGOl5rXBs2aH4mwmZyOJlSTT6egd9hurhVXV8J
Eke7CajBq91YMnIaJyP/kSNZB4jO6GR3wCg2twPgkTQginsbye21Nax15+Q0Ex62WgiVjT/zmb1C
eOF73bQbT7GV5nUwELSRLU4AUoeQHJLmfTqVoeG1JuxE5HzlVGu3D+Iqr4fYhhuWhtntY0HHoxqV
3ChirWy8OrZnqpo+6W3phfnZogUUoWryC7DJ6PJ8eaWudXD++4c4h9edN7WFXZ8csOW/9yqFPEC/
8OlQFxMKNpZg6fFyT2vL9jxHH3qand4c7MFEuGV4byvFoePSp/nuutbPvX5ofQTQ1oKvb3VqwRvf
w/IW1AKrrTam4TyZn5ytujpIs5QQXehrPHiyWYICT5wjkK4ZwGsF7F1KXkNxgP3q7PLrVV+jqxO2
hShjy7Oa07KUz9WZTltkGzeRlQDXAU/mXDSkMrzmROcmCaiA4Q3Mp++crrjpyxTXZ9leVaLmOkSl
mJx4hBV1e8ogQCiH8shTZz/DPbga1NvlcVqJb1tbU5C56HqzgnKJnMmLmNUX5s3f1Uy2vJvX2tdW
FaS3kGTpSQtTIsdv03JfSAAv2+Xm8s9fCQldPY/Mg+e0HD9/tsf7qsZ7JGdFshERK5GtA1akygrp
8bY9dUjR+l6RAbkKRcQBWHPisI05XvsC7SzqYTwkOwdzPCXeBBWGZDy/Xq+8Nes4lbIdKrU4TnNK
AP8GSyX5VU2mF8ybykUr86vjQegoQDOxVXsaWxPEsjb7BaVOMCHV1visdaCdDvPcShDGBRbo+NbQ
t25+yMVGIP+1v/5kU7LOEf5hy8vAYcpR2RxOFGJf8JlBOWHXYLKxaxtk+gbyXvu9spv+az2N3l6w
XkZyceYbbzQnlNrxDm5i0Oa6Dm6PTkzEq5MbP5EkHH3Yfdpbr/OVFfI3y/ThV04OrisqrURYANvM
YDTeqaeWS9eDJgHEY+xaJjcZUPSpPw/cvXO7pdzDi49GFCQpIFr5mzzTi4nIjf3lqFvZzHVAiyiX
MjaFME9wFIympr9tEvZYmS1g5n3QNe4TWYwtza+V3VZHN0k2QIzdhhLjSHfEgmoIzOug2bA36nfK
t1BNK5GuG78PTrIw5GFFiHn+rToo1y7Lcl+K8jd3t+ZxbSFrl+XJnGSx1DOKoUVEQZRSFgkSkMkv
T8la69p9GeK1hlE3LjmbB48HiMJWD9ZSJ98FdDWu7ELbqZq+VKU5URK6WNuqAUUHqsvHxlDcv/wN
a7OgXWVtpEnjxbNE2MKRc4fc8N1YYuMFueNmhBfWRi9r4XROjn8IJ96xckrqEl6c/M3r/7HajRvO
ygz83WQ+tEtKaUpmSxJ25i0qnuD7vSS4Q10emhXILv9rVv2hdVq6xJh7FGwN0TYRGW37toadsC/a
JMZ2k5jNzrby+nfWDaDsxRMPzDnLItI0y3FcoBsOE1WoAYA5C2VjKAKA3b9c90T4+5M//LRUEGmb
Jj4ctMtg/JuZfXTLrWT62rCe//6hdegwpVV6bl3B1DYBb1uGlvFrY1TPS/eTA+BvQvRD4+AV2MIC
lSqsBln4Cux0CLPVvsRGX6j6kECY11cMb1swLvxxboy9t2QbZcGVje0vtPRD3w4ZXO4pU4D50j+A
kOJDsNTP0uIwQ7+l3gKHrvWiBa2qM+iPNE1yKlrbJ7nBH+FY6B1A8XhYxFD7fDa+Xx7MtYnSoldy
DoQmPwPWodB4I5qiOYDz9EfaMJ6/3MNK5Bpa5NIkOdPbpuTk8Ld6lBG47hvXyJXfbmiXjNaM+WLm
TIR2Zf0A3Sg/xLhhU6HUxqaz1oF206jynpFqMgQy6lAZT0nqPoDM2D8L6OxdOTrnXfXDevIGli68
wg5Rtze9GQcGJKiuG/fzR31ouR/B1eZg8oV5htR7yydwpApIZVxu/fOiJDfOs/2hdWGbIBeP+N2z
AbXIuhPvhu3+6MfkJ1RuH+OZmf5MICLVsOPlDleOGUM/iHunrAQhwGvJSQFZZb5Tmb8oDlT2ktTP
lztZm3Drv1+1lG7nxp4tYGc67pzyOXMgeTOOG8fBygXM0KJapjA2htqiCLtW3id2+yvLuwc2KJAv
q8BM7a851Dcvf8ha0GlhTQlI3fmMD7GgMDe5YkdFsXFwfN4041o8zwtN7RrMnNCooExZJq9ZfI1d
GEhJOio65SkEidImPdlguXc2c4IFKnUbQ/L5imVcC2bCSV0lZpuerIxDBzjzpBsgYUm9fVU7cwQl
VKjVGdPYvk+Lx0PFy/m6OxjjWpCn4zRZpJ2TE6SLfJem984IBLLzenmuP48MpqOn82L2oHeCD+sW
QDCzg2vkgUeLoGRbmu2fhwXTAdSpUMOMuUlPTgaoajHdNDNKtxOE2S5/wVr7WmzLuimAXE5J2KZQ
PFva3RTzJ57y8HLzawOkRTV2WKtqz1ENvrtfJ6bfGt9Z/kS2RODX2tfi2jO4iacm4jqDoIDfJmB3
SmznOatf04SZGzvuWtxpIQ25HweyrNjPYWR8Y0j30NfO16sGSMfyxtCl4zEM1E5m3eygYgxy/D0e
hn5bXeM0iMjW4byUK9akLa4ZsC53swdiuo9E3Peu+Xj5Cz6/MDGmBbddmcRZoO6GV04ZmWX8R6Qc
0dz0N2bZvMGfdMut7/M9nOnY3ryCyLudCWysfeHnuF8u3h23IVmbI7LH51KmG9vVSkyw898/HLBQ
nTNnD/J0oTM9wBIuKFXns2rr0bbW+nmRfWgdZkiczlCaCT1z+CqhDuiPmfnqqq35Xlms/0P4elXD
xdyKsMzsGwblhoqol8tTvfbTtWhuBuggGCai2ZSQkbQBcOez7wHJeF3zWjAneSEqq2EknF3nh9sj
NdJAVgFKs1eC9JmO4oXNC4UsMw5QHMlwvIcH99epy4NFehufsDL4Oo4XWQTH4g5e5KxuXosOSUqo
h1wenZWtTvcXzkDuwrGIG/E8tDtbvvLMCaZM+nb+fLmDldn1tECG540nYXQT4wqQDIcWm1LojC3E
T0YiNp4Na99w/vuHtT+Y4Ctm5ycPY7ADwMFPjyV9scWVtxjv/Gkf2s9MUNEyx2PhaHW33IDqnhg3
shUr25ynhe3k1RWdS2xztKDOu5sQFcxz8g/El2zfqEz1UjRlsjFMa6tIP5RlBk7HPKCGOFbjviBF
tncmd4sCsDYJWhRPkkKQvOshV2DAoMi3VWEcjBpqpjXEUe7yjhcbQ7bWkRbPKeUOA2InPnF2Z3ZP
LH1U4odrvF9ern8rqv/PRTBPO5UXedbKZTBgeX9/CMn+4S59do7OMRp9SGz5c2AEVlD5kQh+uz7U
Vn0nUEeUnwJ7hwuUP/hqp3bmyT0tX6sQQMvbGYaQfh28kB1UL/3fl3/l58vG1REgS5rTvLbtPsqg
0EAVtNlND2LdHFo5fQCllo0j6/MV47ra6hxLJEiLrC6jLmu/Ea/ATbS7qt7iutpiFD108wgELqO5
7d46JQ7SrA6XB+fzHcd1tZU4w2yrdXnSR2651HtAMIwjtc2xhARmJa4q94MY998tYaDU8AQxCqhI
ukFC+BFQy8e4MK8ceG0R1pY3J8iJdZGabUgtW7ue9l8uj87KnOpIgqQSDedFPEasrfog6YbyC4M2
xUY27fPgdHUZkdptrB4FuzFyW3D1qmrf4yxP895PB3rVYejqSALoKRpgDiYFsq/l3uughT1khryy
8fN3fdjq4ZhHATbLiqibX+A05vOqv7Jl7RDp04J3TZL2kfD6P6J03Mm3vWS6zvbDdbRQhYGDqZTB
ush2q+ZunObsVahMRENNs43zYyWudJiR6jtvgPVAF4kufjOGbDci1Py+gz3VdUvT+u/gc1dkcjZF
Ho1zd5uI7pVVw+/rmtbiFSKmoyBeMkYjhWlCVgTt1m6zFk9aqGZnSKGEAHUUFxa8+eDKR6/bY3Ss
RjsRKLurboig0xKlcxUZLf9yRv1eHpKV6dShGWlrA7yZG1gxXX1TGeJLblm7BEqXG7O5ckb9D5/h
lIoinz9EkDHb5/RPNhnHBcrpJJV+Dt30675CC1hatZCpgYRAROAm0RHnBsLs37I2vm7N/w+XAUsD
a26cIZImZNRT6ybrTrCjvLJ1LWgB48qWBErzETg8wy43URvoM8j55v2WiNTaJGvHLAAqqoRieYwn
dPojkTQqDflzrquXy6O/st3r0Iy2m4XXVfgAJdIH0uYQ4aXkznYYNLq2kjErAWZroRujpp57U91F
0BpzSHm0Jnq4/OvXVqgWuim02mCDjJYnXLQ7iHA3bHhW8XIUOMyHctpysP08Uenq4AzPdmqoH5lD
NFj2P8mchhD3g3K4nT60yjtC+BvOMpxCzp8l10FqXV22Y6pdqKmKqYvgPlugGoj+RNeZ/phAj/ny
6FnnNfT/m7L7CWwDwn5LqyLHGyvIx6jhFHfFVMCcpBXPdgq9zb5/moy0znbQNYX2SU3Ot6Smgwyq
UXPPDISRwvhKUNeAELAFEwfS9CkN0ikvH2Zo4P+MQZCFgZW9EOKzDsakhZe0bcAK98r9W685wX1r
gfz9NETcGl/Ngj/kc/x8eYRWgs84r7sPlwmLpZw1EEaMEmI9OoKFTec9idjdXW6efT7+hrb1LZ7k
Kof5bwTBva+JzaNGiPuihYGO7ZIusB35G1yr61LGoIL992PAIUeCKaNDZNrDjMSV+aUSjkR+fdk4
j1biXEeYLIY5g9eNDuA34JWnQn67PEwrs6CDSlwbXNWicYdosW5T+buXt2r+fbnple3vb2R8mGAT
2ncQGm/bCHK5FSQTVEZqXxkg5fiOCZVXUXTGxmSvjY713+GPbVTjZm8eIlTi/Ga6XyBIevkj1lrW
9lc2mG7cmGi5Lr+7sHHbOjrX2tV2V9qQBLbGWP0LKs/JkN7ZMF64/JNXxt08b7Qfxp1wkQFinUIT
fJkSmPNkX9uyPropzHLSZqu8tLJudCBJAgurepCZOLUG5KNM4wF6+wcrTjZqGCvDoyNJQJYvoDYZ
S9xI+xRQtrm6bfql33hAWudR/mRz/h8axOYlHdoe4Vr03g1JlsSH34pzhgbipjFD7DVdBFj6hJHk
0MJidtdbQxEAxu75IyQE/b5axm+jC5OYBtgPnwkbxvTEKJGadYWxc3pAm2BQW2xchdaG4zwLH6Y0
SevG4Us7RIaqALLNuLzrOtm+X7dgzr1+aL1M0jZr0rg78dytg7iO45CMS7dLPPBeIXuqNvawtYWp
XbfMWaZFm+AwgdI7rBi8/A6S+19nCA/vyMS3OPlrveh7QZNPOe6kQ+TVT533B/JcQdqElrPx7lib
Cm1DgJRa3zUES0fVf1L5kxf5xo1hrWFtR3BMY+QxxA0j5ka4BASLvUX2WIlVHZIygRreLPWCDYEV
X+B7rgJJ42cp3K+X18/KLze01bmAqvL3uRQ5xgNsGiGHvfXmXfvl2spMlsWVDQQcIqzBBi8jWcIH
vLhON8PVMRa49sH6zqjgRAbf33YCO9ewdkgrXTcq2jpkphe38BAaIwBi/ZHcTcMWH39lhevACo7q
H5mXsYpIDMFdMgfL2Ox7+TwVW+fp2rhra7GrTFyRlRojqmx/SG7PNHhv3rhyfL5cHB1RAS24GbL2
CpuZCTfD+cHo3i6P+OcvFkfHU8BQ6awkjpdEQ4aTSgAyaaEgVr7ANWy3NOKqOHV0YAWg9rDno0g8
eNJ7gbZWYLXF0+UP+Ptq+/+55OjICWipjrWcBySRoPzugJFlGv6ZrrGb4Kiym4GY2g1l5+1GenZZ
Y6XTHw0HIrZZ3Eg4BNTmDY8rFVncXXZk4JAnx1sqIm2tXvJkaf1/qTuz5jhubUv/lRt+T1/kACBx
4/o85FRVLLJIcRKllwxSJIGcgJynX9+rKN8+YtkSux390id8HCGTqsoBw8bea69vePOBXwYaZr72
D5QucMxqjAO7YhB+Eui8fKyU9nTgR0qCA2pDzIGfjMpKIJLI7Kdf3+ffD2Dv1CGM5J27KgAR9jCY
h3BDqaTv/VuqwDlzcbz/hy/qZKXmsPgvj4vqmYEvKwQcDXwjfn39P+lF90794HjhWmJ1R4GGgkA9
FzDxk2Hx0n0Ba6Y8FF/Q951WQfbB0/rJfDmVKyCTbnowpcUZ6C7okbxJ1w9aC37yGk5VCrnTmW4w
JUZbfuaDPtvSKkhh5FvNY/TrB3UMOf9mPJ/qFMDbtvLBccEA7uRzN5LzdJDXheXkgOiSWMpi1zXW
hYHz+K+/72eP6ninP0QybTkBW5VhbnrLF6/ZwZfsgzf+9wuidypPMIvbDhO85va1X4vYdboxqN1u
3lW1+1HG4Gdv43hPP1x7M5Vt4ym/2FflejbSat336FZ/pX45XCCjX3/wSn72iE6CsHRUK/DaQE/0
VR6DgbrLve7610//J3dwqszSoqdoWO36PQBTLtzGupuu7m771QZ+pP5HBwPvVJvVlj5ZOj/t9hbN
ryhqm5YzfjAd3uqDfzNaT10slw7b6siacT/7gLy0XoE+traEpx2fRi9QHitTUFpTcHfB9op7NC0k
S5b7PWwaizmuFHglgDgNdwBl6nOew60SyA3o2VVGYrBh5afKpc0doQ6N5AiuAJ5KkwzL4sNFZaj3
WIdlAlFgeyfLoTtzwUAHYAyegypUs61fvUE7N2vTjokDsN0IqhVYPTpdTDwOQMkKbB4hjFAjp/pM
uJVWm/GIWq6AsjmAd9PuajKArard4pPdAb9cSdl/niDFv3TwGZuuXmswsxx/i7glBeLDpZeqa1C+
UCvtPwpy/z4r4/nO+0Fe2yimOTYmaEZZv5Fq7u/mRi0Rur/60E5RGm+nHjQyR3Rglv2jYemf7AOD
JRn42zhqz+0EG2Rjoy4Mg9t1fpTD+M+G5anIZezGAl1sCMkWO3/KbPUNbMCPdpufhDWn+hbszgsz
9VruAZgawsoyt8BK75Xmt4B1X7hgyXzwoH6yNJyqXYgCagassmHvzRIe+OPe+OSfxXynOheAgC1w
yR0cQcBa7e0vJH369cv9yQ7zBvz4YdV0tJnW1bH6PZAh/kvpdlkCUGe5h705aMKDm4UtmkbhF8UA
fXSlk/z6a3+yH5yKXkYvc1hR4khl1U68dFUiobWU00dK/J8FGKfKl3FhC8sIyk9pPxoZ1oM1xl3F
/IsZyNVtnwKiWRM7S6Q/6MPqpvwSVqcp2JFZ9WmBIfWhMDS9+/W9/sQpyjv1TclhtMtLylFvBwos
HkGMB7qwqo9Uo2kLLx70vGE1juuB13FdumU8ZZa9peB9hq49tF+l4VVcoQnz+tcX9JNFhJ6cTsq2
t9epK4A8LMBi99DJETDmbN3iqCtXXREOfvMZPaXPv/46+61R9282hlObv6pxpF14x+p03aq9lbr0
fPXdoYQlVrM+EOCcdo0Sw2cCh4a72eHs0S+B747cZbXsaIJ9WGjWqsABE/bEsZv19Z6kQ7PrnSq9
HAQYuYS4PCmnsnkEWWC8AI0IpN3VoxMw3J66BH0kT9BYWD2V45GBiP4MKIepBTVdv+aXeb9Y516j
7MSy+HxFBsOvFi34E+D2QPHO1dKhimP5Ee3N8kUZ0V71dUbjrjHTfcqy7E7xKXu250pdoBsXnPqu
IRsAs2UDRmiZn1NRrzdercE6GZr6jvWoE0uMihffOFwHCp2c1yhzzOFUrYC4r3LZ2yV3L/s1c4Mc
ubLAZnZ+oINkYCNJINVrUJYDrQErQfY5CwdTH+BDPN9nerJjMBb5l9ED1rH0TJ+YnkEfhJ6xzVgB
I8gbu39Y0VwA4pYPjHxDaIgWa3MGnxod4hTYh3CVFpFdLtg/3XG9ABfdeuEpdTaKsRQgZ9afT4Sm
QQUSelTphm6V8klYkYpvrF5aTzCnViGQrTJycq/sEd8r594HOi2Zqry+g3uGEyyUqFAyCH8w8J2t
JOhn6Qs6hOOcq7sBqFeQYarlChlBD9ogW18VrjsCbjWajWtcE7VAisSwXEdWvHQHFbhWCuwu3J/3
2hWvLQBoG0AOm4ixuj3XRkwbjk7yT5CmlA+rHORzWTlNUOUTyfFUYQ/46/H+k23g1KQHXXtuCws8
pOkUyc4d2rgXNP1n2AnvVJtlg+nltAOOfsIxlzjViqDWWQJPtn9WiQFm8n2EwcnUNWM1izOhL8vy
UpkXf/kgQPxJfHuqyiKauQa+zD36q02EvrjAdACR+Dqa3Md/9uid9xffAKNOGcHKti4DlEHwn99h
RtEP1s2fbFp/kWVlGFsAFvT7gZLI92ggPQnM1Z/tn//5bf4v+WKuvi+I3b/+G3/+ZuoFQCzVn/zx
X7emwj//ffw7//t33v+Nf21ezOGxeulOf+nd38Hn/vm90WP/+O4Pse6zfvk0vLTL9Us3lP3b5+MK
j7/5f/rD/3h5+5Rb9Pj98ds3M6AehU+TmdG//fmj3fMfvzk2HuF//vj5f/7weAN//HaTaflYm/bl
L3/n5bHr//jNJt7vRDgc8nl4avniWIucXr7/xP2dCpuCnkhB4OTH2FSbtlf4S79DM4tfFgxELg+y
aQzkzgzff2SDDGfjR/g3cxykj/7n2t69nX+/rf/QQ3VlMt13f/yGNleMqn9va7gsDkd7fLnwOQM0
+LTJExsTRbcCxAN+dbUU/H4E6110atnUoxUbDqaoa+XW+QAAVuwt6GeHUfmdQ6owXRv1LFu2hbr1
VVsz/HsbGhI1OaEHHUKOLFI4svLccG+L1sW4ziYSSKOPvTpdJLBuu0MVdpSGPsjckeGgQ08r31kW
YggKs4MZxyEICLE8V/qK+0CTWyBkur7cy4KMYUERYWhY2vOW4zNcYFpKnjh8iI7fyvLqqkytGMeX
C2wmYQcEZkOrWLQwCbTZVeuie5aV5gY80TJI5RB5hRukQ32lZp5YSJLxrvwKGuO2qOBoyHHjMh0v
2PLUN1Xs5ubK8r2NdK97EAAz+Hlj598RdCIZRbezd20ksgSOSm9J4epN08IHzhq9ctfCbFQI/63g
fwU8MngJkxQbSoyX5NicN93wZMhTgVux7PKcoCSl3GsiqhAy6BDfR4rqwubW1oOgh+IyZEkOzdpu
GCCUx9/u+3JzxIyu4JFw+8y2l5u1NIHPgbEXafcwGSoDla03hVVh++wvlIa2IG/qsMIDXbEp+bkD
Z0wfwZX1meBl4IroZN/DiDbMyHU5XGtzTfBClT/dN/anlMC4Hl8Ml98Na+neofV12ZuIr8+NGr+W
qnID9DAHbku3hY/vJCzpRffQaqgvlvbGcgB4Hct45mV8HBW9jTfdE2BveyuuCgrCmWJoqh4v0N//
tcCOHBgHLD/j7AzG2tL0kRhFQhcWFo1MzIR3wOf7xi/iocuf+CJuVU/u38ZN6eHT8DvcKLjOWWcg
Nn/SlCWDXROMt3LYYg/f0BZXibvNNbnvW3FbmhnkTRM3jrspM7ZpOitenPFCc0hFzecj+1XA/gPG
0iNmwAgz/CpTGwD59l0DJm6rm02+0E1hytBv13iCeDL19c2Yy4BWMp7a+kKxMvaH7NkDKyEwnhVP
dv5cOywphmsXTqtwUd7rvHNQpIQHptckKTiE+4wBVGwWNoXLJFY4aTQYTjn/WilvufZoWeyYqODA
1PCbVTf8XONncENmQbEYjkOT0tFKQOMpDZIDHXgyCSjeTigWo+FZ6QG9PTRp0jD1pZb4tdoGUPnt
h0iPUDjXF1fKK9SGiFYlDa/RtbMSGDbSZdFhdaRPzOKlhxlNgMjlSmPiBJ09dzEAmECH520XHy9o
ISzdGXYcBRXTMCXQr0xD91MRl+0B89CY8pWOOGTKYY6m0vCYi9n7fa83XiWyHTRCZstSoxLYP1ub
TFvbAnrMKoA/aOTr0WzdPKNX0rP5DRLfTexSFvmzSFBWjQp/3ZC6Dss2S0hhvqJ5a1+5RxJc+lCX
MuaGn5WzQCK8DGFTubec9YNA6+8XYMentseIoFjR32/7aLQWcD6YzAYqzMTyr0fQIxV74qYKfQEn
MFJcl4tGqWe9t8RHtTX75Fz3ff13qSdcxwZtj54mSEBVHwFkL8zGFt6mEvUZBFljONR+ohTGqUnL
QG2yzo2Pqyv8+RK12tm2XfsuRJOpGyxzcwYFBg/nHvBWGDu+FsWQR1yQ23GIqdXcclbAzXPlh2yA
pRY+JUcKmFS3sHs5o3L6xObsoSZInjMLan20pgDFGR+3IaKdEmoofcOJSbRczo7Lcg+r+z6Di5Is
kTgCORP7kjWyx6rszjnIqB4m73HirDDh1bbc16OEzHKJiQAkMmNbBIihP6hvE7/zx1BmOMeVZldI
Gubz9VEKPzKNbPjwJF1vY69HaXx1xXKG+j+mIdVwWXKCDB7sOCpvhm6+rydzI/zilebewXHpQc7s
4Ep+Djz1mWjXLBDrSKIG2i2rgqH1ROJVuNu+z4Lcme+wbO3GxhdFsPYqfa1BC5ixXFtZFUuKtVjp
YCqflqq+Od4QxcbKvTOwNuegq6rzvtNfuNFbKmKz0oMDl6Pa/fRDOPNnyPBjiPA+4P0+QJjNCGM2
ZgZGyvvx2ZUVFQNqRZt8aNHFgVVbKL8NDRMJ2nCefv1lb+HGaTjCiQ1/Vs+3KT893pMuGwe5+mbD
DD8MWYdVr7DhQqM+dURiDtbDpgHz1/JIrGcZNl4ypx/d8UmDy/db5sQHKRLNYw6sgd/fsuikB1wK
M5sJjY+NzrYupPSkSRFVbPADLEPm7YUet7Nmvh9LNCHnblxa8LHs2fRUTyypKTYLCyVlPmEjPXqy
o8cU/81N2WZCRRtc+sBesF7BrkZZ5JD665Xqpu0xQIACAETDyTw67sM4p6Hw3JDhBA8j2SnI3NvU
ObNaGtozLN3MNlfPnvckMnJFKE6JpRPBxvUDwcObDdfpexEQMiJe5QhA33JVP6TatO0cnXqN2YCo
Fhib7FxJwpkN2NnWEFK6GIqFRJb7Tn3u7DbxkP5x1ivYPkbTjN0y288sRTCmgzn3trypAAFTMCwp
9cZILHTTc29N1+7VCmN5MJQPECxcL/1Hlag3Jd5f7+IYOlNbuBDbvn+x0FiQwhuw1g6zDvLGnM+L
t3G86gvY1XFXjlvtjk/25O9LejvR5UAY2o9bxLC98wh5D1aBfC43RjnbuuM3Ttsf0G6YOPa4cxp+
cYw9obeOOiU/kBGc+H99H5Gw+yVCYKW2+akkyq0t5EbobDZmcJ8WS+2pxcPcXwPHRmHTjFMZLFg5
+8XbKkEie+ovm6aO9QKXK4B4Qlmub4tb3Q2BjyDjg03sTRH/lweL8wN2EsYJOS2RuWUDJzLZGdAv
DILHPrKhR0Ydof6qZh3WvDh3bY01mB+0B3CMZW8kNhAbofeQYT1f3YOY3DuGntx6uMo9DcHg9VBU
secMCMMa2HWlRyOhe7vyNgUpY2xmoGKNwcLaDXJmkXaBADPuJ8/u4E+fRsgQfhtdtaXqozzgcTv+
y51Cl0y4hx3bf3N+/2EilGxNC7cqzQYcn0/HaMwh49ZJz8eSJBUpoyVn2zGbLo47yrI421W2Nx+s
kX+3IguOs4cLVhS1T0u3tK5xkLVxCfXMwpr4O6ymYTs/HaNsO1PgrJUxjiLPnUVBhZCBM5sHemyi
96rXY5TNPjSx+JsgBu5dhHPGbeoS5LPeT6zVmfSYrhiflJyvvLmGgOGKtyzxanPFTfYM/R7w2v2B
lzwuvA8a5f5m08C34224wsZFON5JCDU1TmotLcXoQ+DJrS+mu6MaESS3YpJ7n3BO9Z12u+JaWCPR
HPWR2PJNzP9+ULy/gJO6KlLEc9XY2DBg6BCuVQcINt2ADYPV/MlzrLdoRjMH2mBE9Hm3K8Yubp0v
FcPxa122A50jzS5XzGdMmU3bfjuu+tIF8xHj2gezuKm7TdOrcOn4IW2r2CBe8nMcdScaIggW4dsQ
+3+dxbnIvrVIc732/z+kcY4i/J+ncW7VY1Y+aqwG35NCb5mf41/5nywO/Z0B82ITlziY/ccF8HsW
R/DfXeTlHOa7NsHqd5yNf2ZxHPI7xqT9ll7hLtZGjMs/szj4NAxVIrBYOohyMJf/b7I4f5kATDgY
/J5zvD44DeLT3skHSD3UYp2tflvk2XJFnXG4sGjhq7AaZuJGde1acgO7H3cIfUpmaLA9iAw2XuZa
GaoIi+9GU9v7bfTDI/yb0PF9XQ4pGeyxhLtIYdmYley08Af1qBp1qXBZ1ZCmeyfD2SFig7LmyFkq
dQ6f8frCUmmG2dC4xZV2CMRsv76G9/lO7iOEdLBWU5tTh8BG5+TRoCNp4OOAE7y0KpchYyM7Dl+a
sliCpSa4/V9/3YnR+fH7qOv4ANlSvGEHybv3r6IQYnF0o/jGm1O4FI/cfSicGYTxMrPJ1ymrJtiD
igyZ72k0qDIUOLP0w9x+ZBR2Uj18uxCPI4rGwPQZoNQnhbK6sH26OIRuStkDg5TzGZ0WZJHPaQ8K
oCh9D/mzXBZNkJF1/kqAm70p3VVa8dADbBtaYpTwUsobnn0wLI6P/MfVkjMHlFAfQgUqIFY43Sxk
41HH+MW48XwxpQlApczbtnmrP1LpnY4/fBH0FBh8OFcj6Dt997bQLtJizbCxS3xhLBvi2Ulf+87n
tZnoq1NAIg9v20HCssOrEGH0Om0/GH+nmzU/pmmxKcH6XiDT+pcadSOytJ/1uDGrj/6EHPonZBPm
xYmmpnXlOZky54Pn+14rgDd/XHSY7RACfSURp0f6iarWGRQZcGwv6y/5VMLutuJzYULfeHSP/0MT
CVhWO39grPfXe8VKxvBGkbrGEnk635cM9qEoXrQbt68IJPE1wYJTWKzGSCvTFAXLLF0/UmX99W7x
cnGwphA7YiUmJ+NcG756k0vaDfqJ1BYmaXYV5GMxPWvR1s8OM03YFMVYft8i39U5fjwWH+fx+0FM
OT9m9Dn+J8QpmU0yYdtDn0PHsni9C8nf0L7CgHlWmyWX2bDhXc3BkRykrxPBe4dtfr3QoI3iGFX8
+xJ85IvYcetAvIPxzcSpZENNTYoVz4ybRUNupNP+AQLs9swdDblQPb0FBzjhq6kjN0PGYc4b2ICo
NM8iudB537Yo8NrM1ahyzoic26bbyd4W20bM5W2hCvuyXZwaTvfFt4rnEpgiN9uqVU+xw3rk/1Ng
A2hb9pFVKHMpFwh7oeit6JllUiBp/B70G4WzClIqaGlDrVJl1uMqSpwXmwmTcW1eHciegslGzXN2
+a6zkePhYuwCWchsW81o0u58nHtNr6sHVc9q58zua7Ma+xywyTxQBWZUn+f+TQEaWcIaqi7LGTdO
pLqS0DANmI+7zJcCiI4RAkoCX4WvdiEe+rnyog7aoHN4OMBwCJraJnI6MgTMhfSlGfqtSAftI9tj
SRxPib+EYLCVS+CK/AY1XnTpOhkZI2cwE0zUsjYmWEajElpTwMyxAyTWOursRve1bEK/syEDWPlI
6yqQyLII+JAiIcpVYlDdL5ZQaIMFaPQmW+zH3l/BWfObYdRwCy/KSQR2gSNgIHPMrDxKIYWvIaPU
aJL14qHtPHHlw3RtqYMJNNPex3X0KHgwWAXhcqjT0mBOm/pLgU+sz4k3OYVC0yAYEBcl1GJNExAh
9XplqhkLYG3oWHxeOjSEb0tRwK3ceMt81VWjzTZHYzlkMHidZ588imT9xtEIf+9KW/jsLFOeKZKM
zdjoncEfweFF3XRE7oORtYfM1EcNtQ0bX+du9H1Hnu2h0si5T8R77aWNj0Ug7Y3XqWXjQ4ApqL/I
xWV24A7cG0hgV9RP97QkWMRK2WGdyVP0NUTlIHDVMq9xvZ2j8e+W5BKDpCky5CoxhooorXxcntAo
moNILHQzl0EHdnV1WDVIK6E/LmjcKxiEfWHKgBc/m+1m9L64rEJjZuq43RJl4GdvjY9t49xb2qaJ
6tai/sGDhUaRTBZ0KEnTEnS+dbKaO3i+jBjLpGpRiS7brv7SwPDa3hHPbabQxXzDg0K4YKJC6XOt
yZAwncsp5POCMhnKN+2yo3ZeXtvV7JaREBbl55XFhjSZaNk7l7ZsZnBNRFpmnzJv8PpkaYtKf4MM
52XNABkPe7F6z/aYzeJiLmh9WTOKYzVgdxhxOM72Iqr6kvOg6yo8qdGtZdR4nXrtOzyngNVLJiNq
vBrVvaFFQbrMV6TcLbTboWhU+CMPCBw5Hiqo6yCHzPW+9SpnDNlcWnGzoA02gO/zcS0CKrx7HGRW
k70Nl7plWxIyIz+skPKeGTBzSUvoGloNPHVRgDA5vypKFB4og17xcjZjBh8yYa9oCoMBbhZ1NK2z
kI+WFQ6QTTYJBeyxC2t/nZE+bgo2zWA4CAyUXhg1hYxmug36mvr1Nq1G78qFBWmdFFA21RH8Cpev
6MJf9RaFFEtGRTFh+6rdAVsWKghOWHsTgWSeqgWrOe2JmALQx8RGV9A3JUNBebqXfHXhtdimqYww
L524Remg2RifdzSy52wAjmzFDlV10FH1XG9HkvX6vMJRIYFIJwVonliJoEZf2rbFUFQqpzzsqV29
auDVQziUFJdO503nqyCdD8r1qp5HnzA0ndapyCM8tDTUMrNGkN5tPJ6s77utYbWEhW+pUNPJM5FC
JaUEFCpwywmWMjNtYPFUsNB0k5s0yqNPy6SP86ip5kSs1RLbQ+pdzsig7UvdekFFsx2EL+2B5K7Y
zPUKxLBjSWtbezNa9Is55XHlKfducB2WB9RZP2EP7ba+NyGHOvZNMi7g8uwIHBwgpPZhm0zWfCuY
ts5KFLNDJEBMMpbTtOuKZnnK1OJCvyqyfe5reWHs9TOxC1SUxNAOYeZqjmJaty6btaqnm7GCICZd
cGYKlU5Jv/HHfoBJwTqhqpoj6usQFM1YlhsgAXpr1Duse4WOi4nVM9Yo4r0MOKwEVsf4Y+E6n0nH
xoNXr81O0RVSqlWK3dwMfrxaNUQ6Xev11mNppViejh1LXWUbFfuLkF5SSrSbHzIgk29g60OvCrli
OfeKOvbH1GvjPuNs2LvSxu5ZAs6+CHgHAtGRiwdo/jt1tppSooC9YGaFWsj8fJqM21/Mfie+LR0d
XmqEXLGfyqwLqp77QN91dpI2utjRPmc+3njdYN8ql10F3yz4MVnjlAWZT9HWYaz60zTk4NSljX2+
ABKTCuJg1fRJfsjmsb8UeZkFxCCxMY05vcIzzCNZMYnqaolNOs/0jXC9Kl7JwM6A0yZPLj2WOIXC
3QcIF6wICkL7ytW9eZlqZ4mXsVHQ4rqtV8ZFpisnLMWUg0tYVDeZmspkymp1kaEbHv0oeRE6cDFF
DNHDQ6E03Tkkcz6JsUz5L6wAtLZrOhvLdQedcjuX3WUBtX6JcQEgeY18T+CMZvHCbFD1HbqxrK3s
BeZGzoqr1hFANKadp+4JZGdbquc2pk0uN2ASP/Te6kZKdc/TCk73itmJbqV8vhx95xMF2D40qZ42
M8DIMRZfJyJVukaIdAA3YHmhD9liWzvu6TKCEox8QyDYnc8IeKKBYMUL04GjzrSM7qXtt2eKd/rM
dhReCajXQe8PdeBL7tNA93jdYVOPxT2EfzC00kKZA3eK4hJmZdoJTCvHHlFFNyV6UaKIF69skB5C
1C9Uau9m7VrBugCOBN0fTqR6GJMeJWyrrMCfHItLD4SMz+jKtsF7m2/h0X4HgN1t7zOk0EYD5UO+
gtLWqbQ7rIsDTvrcuGeUpPc4ur/mowDLQT7zCR4FoAReDAMvti0WxjjzFzS+qUcqV4MzD/zLPU/e
ZRO8kse1xnz11zvWDJd+nlZAi8I9zm/rQ6495wJMVmg/2nkLC/LywmHDrVdnKpEQBYUGdQGzQEJh
zxJy+GkoX4eiXwJEZXGDKhr821QXpjxXAW8dHXuoqy6K9TuhaoL/rlno5e16yDo2JbloSKjGNb/3
Kv+1H/xs15blF4tS66zXyOezCoEWbzEAR/W5JPpRNB4KgIK44aqmLkKFfbqfTfmEJfgCq/pV5TYk
yv0BfcJisMJMLAuGoKbJ6pYvahk/Z+WYJ1RPS4Qd/mLNVRMXYK6i6Av3gApxRaKol2ikEpGakZu2
baERZDzbrtn8rU57EzKkGIIB618klj6P4SCRQnyDQ8iSggPcrTzqlRIbhgAIkppOHmYcT2BkYy+o
y6Y31VCjGJmJ7WTsw2ihRACn5iz0rLrapkMHC4MmL15EZjUBQkof1XvXYHn21oeiIzSAizO/QLV3
3sIW7dO8pPUeiyfEMyXtgrUayS3WxLt88dJY5VIkfrGUERGjjxqnFCh5Nr0JAHrtw9Rix+IWWNYV
S61osSvUlHr+2IiWRisc9eeiJgFUHjAAMfybUziw7bdu6AIJiwHrBC+/sUORp/eoTdkBpkQbzIay
Kz7NW7c+uuzxaQtOXxtkuoNdGJrhEn+ZJTh0tbVzmXu2ICjZ2qwudhYq9EHXs7tuIdtRYtN34Eq/
XdTaO4FIiYjMACVGAY71bk3rA4eAEyLABdHsSioPJVtnxiGnXkAc1WrZuiu/lFV3M8Ka+uCs43pW
Nz34oAhEz/N1RP/N4NZJy+i9jba/59Gd2p3VEveaYxe4nuBmflbkUPUik1JAFzDLW9VofaPzdY0l
8BkPY5233zLU5Diaz6HJpXJcP1PHJZuugvyh8vTTMhdtg62DysdKs/sKO8vlTFYvsB2oiUjlj2g4
muVF3jE/JKvjJIORRSQH01TJlDZ90LTyYaG8OiYQvLBuJ6QwFstAllrxY1mWbAsbQjHptA8OiDIH
Xdn1dQf5TkRVs/F000WVqfLPfCSWRM3ayYIJBbcD0j/6UttDgn5q91A0WobO0IP8ThQBjnnKpyWE
Jb0J8xYxP9TucJ+tIDYaTOSVYrgUft5GPdQGLQ6wTLfxpAqEAC7n5SWOzAL1U4c0aOVvbJz/pcti
HM07BP2uVGEvC5UG7iJ1h5xPZhtQWwfnFlzCC28CFaCrzXLWo/cy7GE8E/i2aPe9kuwwE+HtTZZ3
N5D7YztCmbKDbRNbqjNVGPnkZdCU9INAXRh5MzRsWFp3cbq2fJdLpEBDQ1fokv3FsLAHHjhCZwrk
OIgo66BcMxD+vCJvUCQ1EGOUI85f4zxXX8umWjuIg20rjURj8zRqLTwE5Gytrj+jyEk2iW6Ic0HK
PgV7rZ0wEDM3+zTSiSPsRcNCXKjB3I6kyvUmXVzgNlLlI4ybFcfx1+8munHqGU7FtSsj7qpii+ix
RfORMZMXoA6lL9Nhrq8KMkORsygqcHbAqI5xiPJmoIytJhqgD2wTdFHdA76JGDOvZXdGWtY8LKPX
gJM+yiYRiNVQGUeSAvQ2t+ZgZlaQcpV250PxvM5OjUJfPeHb/CVpaTOWARcFP18UkY++PbaPYpiH
s7nyRdwoECNqp1kCrF8rZB7MP087q9ghrMMjKFBAzBCmv/ZL7kXpIrpAFybb4RCI89qy2FPESroe
rbhbOw8xxfIcd0KmpLZG/4V6BQzU56z64sv2GQXf/0XdeSxHriZZ+olQBi22kKFJBnVuYEzmTWit
8fT9xa3uupkxZNJ6FmM2m1pkVTECCMB/9+NHdG9cFvQr3ZzhkEQFCSbQHy+PKg+52Yl4Sciaw4Mo
3vSSpN0WQm8cEgD7FzPHB82+HD03NC/xlrFcPU6ZJvNNBSEwwNDvWo3rtLMZZNTOytUc/GLJ+9rW
IZ5rF+F7t4kFqVfcOQ/zJ+wxZr+S5/QVyt4MZUae/SZCNGAD9si3qWyuR9ap1EkIMI9SocwIgJdc
e6nSTjoUuGq5Y1oPZ2Fm954tQ/3GBHmjgmndNV3JIlzvZXdksc8dlmpofI36kFVVeg+LaN2Zg6I9
ZomxPIhQoL1pyHKsMaLEAWidnZoe2+tEubgnylDcpTHD9lAWq52KHYw9xdS0yWlAjjJPw1w/tteq
XeGbkpKcNZa2G2PRdONW1FtXWOk79TBmQGHe18g4W8tadqlZsVtPsLDlEUeZtdXep9E8J3JtAtNI
cImEpWZusW5rDD3sValAPVULdkarJ2CfIwFaOIHfz9NM9GUrNt/rsGXIxWZA30vWON1pgm7uCmqI
PUXpW9K3q60UiCNMBle7a8OlCKC7MqxbdTywZ1/1GzTWlm2UY2xHel+qNgZa4kOjaT0yPEhH1mAI
fWApXfjDiLvuJqxh8hiG+L1vJcNwZR3mnFIUimel4uJnUZdsEPkV8x5zodiXlFbmRiyjxz74qe7q
TT9oo5NLZSBZWr4pexmKZdxbz5qUeVE63U4U3NM8K4jEh8MIXaCa89uW5meKBrzg+v7bUmGqosyl
vAe1nRpHUAmTmTV+rbTOO8IgzAh+oFoujplqwyP27pu0QbzVmQvleEqlhzFWvbRIZkeSpHpykIxF
edAkczLRhixGd2oj0YT/IgJ44U4+QvHN9a7vGUW7kC1UngmiM7XwTZxs5UlwqxW0/DbpaLkR6/WW
tVsQjITIOcQejmekQDesxAnCBRzj7sLwF7vM7ZTMKPZEYwzZNlFS82fUx+O0qwa2qKupAXOGDczF
rHPXtmUOLA1Y8HNnT0n2PJVq4iawjAtrSpxZxbOrVr5n0hr3uP43EI2RjhWHGLxqmeXdPAtuncx+
ohlPQprh4D+9dOuo71VC7Jxs0LqDWyZT58zwWux+VHXIYsVNxzHKsiO3a9KvDmkfRo4i9rEbWozE
ZgrBMF7+WnrrqMjhnkf/qYzzYJziQ1uhHBKEMvRD3F+cWCtooOdz2ChsuqEcEIB5rxRda7PVeCMN
EE972M1FxY+mzup9t1pbKU5LT6ktgSYoB+XpQ91ZMRZjAkTmQRroKS7071VtBumc5m5sqWkgNum5
aYSHXhuoWNlxMouDTFQPqJi1PiPa3BpZFDqdlOyKrvwBDQN+WBgPh8q0fAYkVmyphBtwnxfOIg6l
3XecaE1R7TsKjie27LaboY2YEWjkxQjmQrosL4KJqYXa6DXaNrA5vyz1btpZ9fSeSA2pR2C9opdI
c82hbIYHI2/1XaqB/anQ6awEoCcUuaEy/uWGQR9dS89dat3jaiMHJAHLTxGmwFA79OMIMfw8VEK6
HxUUNElBbYEJnL3VRZ1ExKyYgu5C6csGJ9cUixV+jOvdHvAkfQbYrpafUiY21uMSpuF7haorcmlW
u/g0dcwadjZI6ojjeTkPzM4Wd3zhMFx8CUeFH6lQJys8vqoabtUyMfo3FEBp6WLKmwv7pVZBK2wI
kHMfCG3KDYg0KRacnihg3W4KESoyGVtZDY1gfmw7nPhj4VYyhycgfKdqU2mj5m0GCSiOXU45vrtm
PsQ1NrNjaBi+OKT1C82P6Ufi9ESLmPldC8o4VsbZEAQwO1Vsj7nQHeIx0m71acmVIFr7UbQtrRHs
sOCYs/toKO7aiCZ8nlXJ8gZ5Ep+Bb3njZGtS0fPGerqJirA9pBrEd8K/xRagJkrPkVFeri+WvyFg
42etMlRRjp4b/VkbuyqkQqnWThY7QaGnj4atGJMKT8Gh2+xyMAm77ZJmoxb6cy8jltwPWUg8vdUX
6qOYhH8BOI+n0JiNXVhDWHLyUZQbX4qiofRqBnrmJCMCxxWnF1PE3GSmGJ4NZRj8SOnrLbYZGr9R
HvnAM+lpzY3xbJREIaVTo/mdJvOey+37UqTDVs+F+DWk3rNRFHA4y4YMP8GuFoGlxUwzA5G0j5u8
7ndN3i5Auw2Qftp3GXzSvCpOSYRGboKcw4swks46dNkra+U1MAYJD6aV9D3YPJWbj9Ur9XHeCcxI
m4ITyxaWKEp52/voIIejTI62xXJhYEN2U0aR5bSQVHdWLAEp5C0E6mJckt1qDbU/IkXfhhq/sk00
G97di6E/lkDfTzDsU782w8ZrYxpfKS9oOsyudBrSuQO48RyAVQ4PW64Sl+DlNXNx2jN5QONpp3DC
ubJSqn5sDOAWtcFCSChymDiRHPWllyazZEcKyWFCMuoHDffT1zlZh/ummd+aueo9IQq1u0HBGDkr
l+hhnhJEdkN6zss5PyhrOZ/TvEgl26rxSGphWATdXCg/yJzJMdFHhTuCvB/Xkf9WTEB2p9kadzlO
iv6QRNHPTl9jvNyq+k3g7LPjapwPQje8jwCgd2EhHDOj3EMtpQOz+oxmEAvE+KxSpH2RRYibk7u1
MVHiOpnei3CfEUDibUePLLmzlD4Rbr5OgKZwQdNeW4Kcs/Qkkxj41CPPsccmq13sq0lxKk2Y+iYo
PFedvJDdNqNijEWgC0vypDz7CxdnyUs0Pd6q3fSwrLO4qfVWv0sEawnkfrV+TGHVPMtWLeCGUIZB
lWsWVCBdAZEANK1rA9KpQFu4N1pF/y7o0XxnZJPoRKGQPLJV0Px4rPg9qqp3zDiXgEdl3V6ToT1b
odlQAnv1Z0s8BCTkBqPJTlMJ8BOmLe2R6Ra0Kk/aOtYEm0CSNut8dmKrUoN4HBO3r/XLgqHPHht9
zGwJXelLPCprMFpz5SqFOjmoXIujgULkkEltdl7y5l4e9TgYej3FdCHVPV0h5RKHh+JbqRTpDb/2
dDb1RnmYupQYBkE2x8eRJY7qiJUsGKfW1BKvaRMAMLZQNr6xDOhFGc45x/rK5KHI1bueDYzLbZ3D
qRq1pHf1JG+Z/xiUXTWNGTYqRbbsYlHb2U2VsXsXWRqJjtCG+mmqmxmcphbq7zNeNc+lbCUnjqgS
XD4u3pdGllvWmZZ8rsdKjVyrqKXCLdMZBteg1el2GIFMWeVFnrZMvY++s2L1NoY3OfiwF8r0SprU
CVsr03EgN8wkeR3l2lJISYwmwZ7YnRTulKuZn8+Nfldn88ILZTSgkIZ8TLjuYjuR+LrXI2GAjFah
z81KcwjKRYoeOaYEN5nwWShIkUPC2jRPbDSWs9SppSsKFmdVYfaPaTVlaJkG4ajhlOmn+qDJdpMM
pq/IF6J/gTUrthHfF3lhQjZ60rJBPQ91PWHcPWHLruXt6itmtzhSvUy2PBGNyYCGs0NYwbXP6aPM
VWPcCNmWlvUg3XfcdCcrBOMGLFn1jHTsUURbyUaFF2qrWszSWkTOxRtsuENbPM9mmryj3DASZ6kA
yOKpxqloNLDe1tZ1W4R5dCtXVuXrpE1KTTpuWNABMBLXSYsYDRvQGt2daYgcpmpQ0dFK/ETITYeQ
zPGlbsvhqCequMvXYg4AFARHZnxyLSHLNpiXxtu1zJjhIgOAawzNO1hQq6MaY4JULo6P8OgNN0d4
8NzFIsREU+8uEKpZvRijbnHvh3f6Kgmxsl69pPhtSWx6SUirV+nEeKn9TGOkzGWiay4eg/0GzgUP
oT6Yb4RhL5Ts4SmdDMMrzRjHjIknIchDpeelMx+wSQGKNYtXpTAkf1nmAjm3/oNFFmpVxjx7tpCR
I+RRbaYjKGFC/KBq5WXNRIRda1bDy9BFzJMshfe5TFu89hw4bPfSh1iZLbapOahZkSvFTxJF8fXO
GWI7nBe2XSrSdGjzVDGaSKUP90NxMoTiDu1OO2zndU0fc2CS1W2kImLM1JuN1IfL7TLAarEXXPcb
LiLtPLUGoPakWGP5sdZtHjpjVpbbISzqb3PfFcA4MGHwqOrF45i0a0r7WkwxtPNxRfO0woiYSRX2
6J1eCnXotn3XGXSJQxTeJKj6HVx9ljsN4GcrIl16qrOBi5TXqV89BrKkt1kA6HbRRLLo6hFD/s80
jcxoYw2mFgWTiZ8JXukh7jAgWqqDV8O0HxQl3vekm/7Ip84CeGoyZWvyHJG2qq+FTXrJwqk0mz9F
MVoeEQuiaCQaaieF0mVX3cOOTgR+FLsRUvGlhxAXen2TR29VVgCiV5F8U6qGeBcrBfLx3spwHdGz
yO2jej1bOs6NeCty/22pjnVei66T7cLKDQpsxxZeSVCbkUAyxJuZR/RFb8P4PVOn2pPZjNss/t9i
I35fDAksGt17ioA9Fe1O0Tm65WgQqIkwipNUmHdTi/sNjYDWBPIyyagyM+uxVC8eOYagaK+lVJu3
cV/gJFfHtbobq1Xdh7nARBQXxnelKAFpiwi5pJAujPMjhiYTFSaz81gd9nLTyhsxYtXa5xFLCqWJ
BX6eSn82mk50aCamCOVBF95LjdE/KEom3IoZ9PxWjnBqX8qiRzrWG+sWPn7vrty72M6EckBOcoGC
5i5VNlIljICrZs/cZPC/ryiC2yiHEQCMl1v71pRiB2cpqXVUWq3nJA3NmmWKUdyUXdSBxC8YU+vZ
gq36LFU4FC6aNe2lulxRfpguCiZQT5DLwExATgJVVQpy2djqKt6aCQo2b3KXPRnppavCvS0mqCc0
Nm3O79jo8ojyJCL4RoS/DBK06DL90EhWB8Sd1cwckUVnoA7pjRgni5eX5uiGkYlQN1wvGHdc35um
RYcrmKW02l1TmHerhXnACQRM2HeG1I4ArppyP0xREshF0dLeJwSlDMVQPHRhCkxqqGqMW9E8uxiG
tYRn4Vlg2JzI1noDP4AXPen1xYbLt4JSGE3j14mI0ENY+vlxTAxlZLBBEsiagrRDA0OwJVBYIrIZ
L6Ny14dsGe2iWGSn63LrfsTDy4kbGZC6lShRrrlyqNUUm87FAFVhz96wFInkalvhPtL6Slya0nkc
5OE7HtrJXTrrxuIyGaIKZrduaDZRcslNldAPdVm1EnsCccrWhJFFeRuWMurJpscEthnr2EtXyFyY
oynBPHfrWSi6eaNbwtzbWh5x98elnCDeiHLQpEi3ZAYnwqwVfcLpQmlceEK8ZXkq9BmwQR8xow/J
qRuhCohNEgYYl3BdKBjQ8PbP2TRpr4U166hRjYkxTIijDa3Kuo/JIREdFd8+3U2HGffLxCp73gRQ
k0hZ5ZdVWlJvlZWjKQCs8diXTjZpyalhomES5SwB9BiNxmOVgrsE9JbF6XTlrBdF55Zcy5MR6rmf
sRrwoQ3AN6mk5a4Q19hfJ+VHkeg92G9P5m9TdW49d7E/8HQqsXmfmlK4mZcR/IYsukO99n7Tt+/G
LDIN1MW9pi/JY02ze5cqrORESRnOsmqyq48z3aAbLBohCdYon5YdAy+rCjIo9HlXRGyRPOYAED57
zPsZwqA+qnAw2pKmYGOR7dl6edxCW8nNMZFwNDbC6TxJCf+imY2hboeyEqZHgi2X7Pnf/1LEC3AX
/tNi+RhZYjPeqjCpEWrNtJvgh00Od0gWM/60MHZQUIU8ubAWs9lC1FSM+l+SGtbUjDAc4S+tBbD5
lhDN+VZKmrTaLRrvoz1nFkwocaEq20OnNvM33m2l+S7EM6wg3RDqV1POhNaLhSKeHwVelu4ksB7C
NaUra21fjx2VblVqPdz/m0+SW6mhbrqBjsA1ZrKu3FHMOzYLkpaWY2Kz0NI5LDIGx7OUZg2dZxma
mJv/TUQSZ30sgyKqY4hrF2qeV0omDDI0ES0/gTUvAz6/PLI3BWeSfHOJAGGXNqRy/ToIOodW03Mb
oCaJYNBmMfPYovIAGY9KWOadLtohu6HD1Gvae0VDDuYhzdYmUgSqaGT1hC5JxkmZ6oI1Sd0PXrsi
JbRhLMqncGjFc6xzQsIOi6ctQwKusbXRRO9S3k8PTJPHnq0Ki6AhSyevbXUZihxOFIHSleJLncjW
uZv65JSknH0hbctDlVTZVtXocEdzjU9SNyeOENNem3WS/1XPaobZZYL7mD1VtONFhIYtGevFhw2g
vk2Dln3HK6d7HIqEEb2TjcvoSQ67wV5sVb9PiFZvQ9SpN6qhRrR8S7rPUnk66WOxsK7v5+doKv06
NPE1rVReD9ziuFXNIJzjKrtdBZ11vyGlzZZ5hxRvWNn1k0y0b18ADifq3BzGHkQYRRrWOSSWe2h8
QIYwekZ3EAbGWJgPkzKqrmCM2cMyTfoTy27ZY+hUYaQY9Sahq/w2yLJBpgidS19L6BSpnN1B7k04
TLKe7JJEqI7FzOCeVNY5iw3kqAvsM3Pu21cQ2rd8GIp9k+XZIefNfo2LmBwxLT9IovrShdEaeSo9
ntOtMvrbTIQCNUON05PKcNeVJk0cLui1Ve/1PJVcC3q2r425fEjlonVi0epELHiE+d+uLP/PBCu/
WZX8/2ROcsmO+YOq5S2Z3n53M7n8H/5b0yLL/0IuJSLoxGkENRuirX9rWlhO/cuSdf7xMtAposr/
5380Lfq/FBP2PuOGLhNueonP+G9NC3IXzdQsHc6xKaF/wJ7xf+FMciUpE5BOGOrFMuVKbzxG1Clx
FjlYDtLNfDBvi418C51L3/ePgv/L3fhAoMJ1/MKg/uczrkQaatTiU5BF0kG/G07xkw0t7PXPf/lK
B/LPn7585C/6QHZ4iSCs/GnlYJyRBT5Xh8oXv0c/1S8c/q/53/98xIWG/8tH0DQY/QpZ+dDGY3bb
G0voGVHaegi0oZMZ+Hy5hdXOu3wSNovcddthScLN1ImznyMMAGpvkPoPQBkCSxwny6GHNVpnuE2Y
JbCgFRPkotA2S9PqmEo2EguzOvehC5vepMpsUeS09oZLUxyxrAosTF9cQ1cNT6f+2fCR2QXHcRxI
rW4+m1Ku+RQgarvYVz8nsA0HCy11UzZD4QoJKm7W0kSjMMfYC2JPsP28xtDEKI5lXIqOFJ3RuW+o
07UHFI8GN2d8Kc3MtLNRaLY62yUPAV5+K+biO7xnXAnSeEjv5QS81mQbfx+1iPmjSWJSrqLmL7Ea
2MqnahFAsyOHHjuqlyY1lT04eB2wdyo91FPZKexyAWOaAoPMjO3KPAkBXsUgn30nHcdYLx/A0VRQ
y2TawzytDxnNqy2EkeJES2fxET3RSEVhvhsZxAVgcGzGIL+zIxaibSYaZZAoWrPHJ2Zy5HBabEth
M1SkkWRXSlt7eSgp21RpXgspGY+pLJgc40UT/PlZ/V3K8M9zdJFO/fIcDWplDMPCo6oek43uUsuV
QHYz8QtJ1IdBC5c3+Vp6BcoO/Ze/D0OTLax+TAdvvqXfsIVhZ41ueo7LPXtSO7yAcXbkXiiQyY7k
tHU8//kSrxRy/1zjlTIzxaw/bGeojQbhUVynsW/XTQzhfe5MTtK9rt9Nyda0thEm0X/+zM9uq/z7
bbXCUosrIVcOhTJNThSPstMvWeq0JHPCmWjkACbF6Amx9FW2wod5Q5c7fSW/tXSz0SxcqQ8kT3vE
Wz9MmC6uneXGTXpU1cQrC+tUVgpMmjRzM8N4RTWVenG7Vrt2JXoehEgj3UJ6jqXLQjxycgHnWWbm
10mo91SUL+7N78qsf36OK7GO0fd6TvrZesgvxKDxjpHFVl0DIiJWD9qPQd78+Tf4+8r/0cj854Ou
c1B0M1L0GOj9kI4w6B5GMkpz0IPBfsGPodN9BUgyMz1sdYzdlDsJ8B6M8UdDuO2HTVvc19ntn7/J
J0/DdVZK13eVsC7CclAhgbvDhFT9oNffLanyrGn758+4nNgfnWfX9gCSdFEjIWk8KHbvZvsbMI0D
kL2rnbLjuGVpZSdOsUUi77B79SJbtUV/dk6NawXWXePfIzTeLt496VGnHeJ6m8y4L07ai2nah1/t
6rAyWf5eYi+Xg8QyTPQsuM/6sRgw+unc6ifEwlVHfrOD2sui3G6+//mOfNZF/P11fqltMxZGrHjT
9RDhL8muubM7bHwqvKi07lQ9lvay7nUz/d8p0f953K5KXTcIRX8Z1Q5mEG1iRyLvNnMw0XeVXeR/
dS8/K6jXJhxsY/Hox43zoAdhMDyV2/bAwtdBzHAP8rYZd6ZfO7Auj6EnbNMvBG9/5+J89Cpd1zMN
4bOo9+sB2rW9am8JnqOK15o+TO2ehTf6BEN7gNGsJHCMAAFY/jFuqPIXT/ffFuIffYGr6gb1tSpD
0MNDaQD6DvkTcocT7h6+iU0KPHUnNbYjWF31rYtgaTY5NC949xoZw1h+uil2Bwm/izZtxZSJqlUQ
jWnIE7J9Vr5aBNrj+O2T1nWoEYBg70LrixoEpyPctpWx9xDGmUzLpGNVZ7N8kLHfbjBkXhXInDuh
furE8wC5uVTuEu05XQY7WtmrwFgy72S+IQovaO4i653oLC03Ct7Wgp65S/JuLLlzyUZfXwYzyDMZ
39TqNiWtG1YvyWgofIzeU1i8IjkwFTxCUbWp/XbuJsy3DF9KtlF37EsdLHe05+lMuzPNx4ndWx2K
W61K+KHUxdH0e+Db594avs0jxxzsGk/pNYbz+D2WhmNTr18oUD8ru9dpMJaZ5P2wUnbNINmzNRKP
+V7aZPshccpbadN765v5Lh7mR1b3x+lePnRfFPzP6szFMfHXZiYZlnHA240XXriVV6efbIg9drvF
FUV/wlzd6SLgnN3lTi3NUVS+zfLdn2uN9kmJF696DJA8y+yLdj3MuPWvaE4gTXnWhV0/xBP7lPEW
/vzWmipbHZ9KtASWgNGDKTvwA9ThIeqal846r/O+bLtvaBpRG63ebDxoWoU8OfRFqfHBOTBXW+wO
/yOccYvIrlseyDF0Z3UM6gbf4xYq5TR6ZoSocEqP1Nxd2mR2K9TQ8tiTZKc1OkjhLmpbO8xe2/kg
6tAsvVq5R3RhF9VmURtPh8QzyDSswNRAJn++RZ/9On9PS7+UY9GEZzj21JChqyATjMEsuTH89alk
uYChYfHaIxqgalj6DhEAQVoT7w2eicUX9q2fHEPXMUjhVCQt3JH10OGVUmC3MeFI81WW0JW/0H/K
/3VSYsb5W3dWIx+SthG/4QC8btoqibx+BFBMW2v0jTHU0HqKF0ty1p9GrEi7HCUqV8uCM1GTS8Es
cEJas8SXQt3YdOFAzoSKUrSOJvZBNX6N3QiauFr64E291J1lxZx5hMBK3zPIYtMXv9blaP6g3l6H
M66oC80+4l7RsCwjhAeFGADwvPn9i6fhsw+46glmUi1KteWFWXbTyfIrR/MER3Ba6oPk/RR+JH68
K786vi4F4KOruTq+lqSWVMjayyGOgkEKv6Gr9sSCHMUgbCkT59JCjtK7o2Wr7b5Kb2C8/vkyP7vK
q2MLJZME+5TOpymDEn63ADAo3LTzV720crmCj67sqpmGO35RhqErLbzmm+iZr+/ddnK3kq0/+cXO
2Kc+fEN79sxNad/iQ+nI7rvk9AEb9O/Zd07tH3++0L+hmf/zi2jXoU76WPeWGBoLVA4I9O9L5UvV
prGN5Fvx1N2Nia8Hxl6VIb7bbSDsitFPHtKjIAYtOAR4IByan8XrGG1YVsa74QvzrL/nzI++1qVe
/1J0xqiN8FxNl0MqRRjrfMvMpz71i3UMVkwK0bNFs2M178qpmQKt3q2Di22njFwntBjit93sat1u
jb3FOJLtU2hfNYuX3+ej73UFEZGBpSBf5XdbfeqB8EYYiFe48rNO1/bFL/LxQw8o9/uly5a+XnYX
PPSHzsPv/Nwdm4DGo9ynbrmxjvpLc5tuoMM5gy0HMHlcxY586YuZ5+KX8+EVXiELAIhimS9UkCV/
tuKgR8BToc2Bi5fMjMABqXGcSa4CU5IlaVy/5xtEPOsMt91Wt2bIqvJOTV4tQ3Nb3e6+mw2b1sPw
Ra+gfHZ3Lv/+y4OhQQMrZtxRDmEoeppw7G96rUfbtkc8PI6PObEtiqe0CFxQyhHdi5IKwg7En0BM
Tgoao9hHkzOXT8igNWVHOpdwybwpxW0+HjttNxUZstvbrjzFSGVRxH9Ryz5547XrkJrSKC0B+vxy
aP3ZNT2IUjbbVdtwDXt1qWFuZ6PsskO3twsn2uKhu9XdAFK0szo4ezqh3Tv5F+jRpz/yVWEdpU5b
4J/T9uA51upzYJivxboVjLtE3CwwzQbl1FaWXbLrrWHpL+2h6XC9RE7FXpP9dO9H6bd14HRZsLCE
lhSHNdY8TBSjuyp3E5x1cRS+8ob/exj+6LW7qseZgJkrnAVeO3oP6C++xJgMw/17c0pddngYJQEp
lifReISK0ZAhMO/+/Dpe2eT9T3+A683vD1xR5404rIJ0qAp32EASg4G9kwu3wiMPOQKb7ABmihM+
dc/ZSd2k8ORslOIFeM0NxhvLplj99EXaR7033y+efl/cFT/Dky7c1umz0kme+cUT9kmjpl3njRXK
KJmhyTc1A8Vd3Whj+AmjrLLjO99kbrmLva9Cmj9BrbRrHzsVZDYt8ZM8JKd+q+7wIX6oD6guaAUE
p3go7SRQbWMX3Wbb6KF2hL3lGu6ff5GPcSgUUr//IKNQ56zE+Wh9R5zHHiaYl27Wo/FFt/kJ/KBd
O4gmTQgPsuHvW/AqH+Z7YzM+C39B/JKOmQDK8uer+PTXuqqzCfsYAw8v6YJy6Ej+CAdsnzpbOM6b
YfXkLboS4gQ2LepA3fvzZ36Yh3Jxrr8qnvooo+ktIvmgYX2B4cjLgoCq8Jdg+CnXZL54jKIeFmPN
vYno5fWNacO8aR956ZF5sth/Su31VGPsS2Ob2PNBNTBnd6Ls4c/f7+8c9w9ec1P5/act1iE2NIl7
Mg9BDPuN1CRv7PCjZ0dKS1SrDhx2/X41H7OA+6LNz6A1pKr8FbHu3kzbSqFM3VX6jTA4+qn8CsW4
Mlz+Tw24Tr+SSEjpEpnvFY8BYlJ1vpOpeveaggemBh55k6AO37OP7ZABZt//fDeuDET/+dSroofv
mggTIZQO027BHbyS/Q5KSRS9TIOnSPyD8j6Mt4lWYsG9R3CJQPJ22EIknwq/+qIRu6waP2oHrgOy
YiUrhVnn0ivINE1QNqQyOhL+wYFVu3VvV0y73iL8lG9FX8scYXRxHMGoVAtUyWuP6ehb409Rvp0y
V1e9xLqDc9gUu7pGMMWYiETL7mN0/fAU7PX1izv3SZd2nbzVY089yZfqpNyEj7U7vEmb5RXabHlK
v3iVPilC1/5NCCYG1p98gnknuQ+zrd5AbPmylH+CFmrXblxGK8xYlvPn0y2e+fOh2ufB7I9bLECO
CdRPv7cB7aiv2+VW8uBvF188dMql/HzwCl57noWtMclWxicvuR2dkicsRc61ixdOsGxqt92ufvGW
30p7OApPwlG/rQKSk5zxydqRsXfi6XcnPzoC322r+y9Ptkt9+uhLXdXKvrQWoh74UtY90UkG0MqJ
xACsWmz9RXSrLcfMzVcd5idbYO06wgtrtkqsLvW/A8NoXd2xzvWTUriSlx6/stP7rNJdJ1Nhuyig
D+RDRjfzip3ly14V5H7tl64ZrK7u6nZ8Xrb9XnWbA3SuYx+Ie+12Cb6RxvH4f/maXHWBctQSpj7x
JRQfzbD3lxGgCQ6E7Vddwmdtm3FVwSZZHPLuUs+hmdmX6+oC/PsfEoe8CxdeFt2v4P+Iv3gnPyuY
xlWrFuXQ2KzLLxeH3zHBX7sjEE7idK7cO/T6CqZTu164j4OcVyix46OwBtYXXcknULumXyrFL4NJ
LGTlVF/6xOipepvO63b6OR+MjX4vvlcPUKz99Wm4z//680/3CWqFk9zvnxaF3WK2Kp8mO2ag7x7O
q4P03D6r/MfqSv4NzNYb3M9s2S3cznuCaeWYX9znT44E/aoBS8maXK2WzyYL3iPcxO69r7oi5WPg
BWu836+rXzoS/y6PZO9jA6UGq28CfYg2qqYtWXTn3O2cyMeC3dE2ii/ZMCd4ZW51u32T3coPabq1
47xnRcbY6n4Vq/1fnJ3JcqzI0q2fCDOaoJvSQ5KtUqlmgknaW/R9z9P/i7Q70OaI5FqZ1ehUHUUC
ER4R7su/xa2E+6WTHuHCCfgY/CxobvXMGNz2Bh9Ph1FQeLBB0lEinZjwlYv1+gZPZmX4zl04xBmp
O+iNaSEDYbMaOi+MEbtEbwW2b4j2xlSYV+svwVFYHOqmJK5iMi+yyvCtzm311pysQo9NGvVCQAf2
1SE8kddKTfaBKZiSGhqPR74bi/028uK4ViRhAJQDjpO0fJiZKZHqSVoZwRpGGSglC3F13BdgircG
i93/KFd7Kj/16INEmubG9gCf6ZANAP2Q3dDaxp4HBthtAMd0sQSNjdJq4OhSg0RvJfCTkBBHCsef
JlSoZGuoLQjlS0Hx57r439ZDlwJMY/obz2lpe/IbiEKO/iUvdYlT0QD++InvJejfnngRMSERzfiO
x7tuVd5IjqXJGCgQ6e2zr78gS2cOJjFog3Hq3dZKX8sbCIsYOksNxJjGkGjLs3MYetwYfGd0vWis
GmATDAzIBZS/DKrBEPvqklKYpd5oz4NemOhRsQPlaePhf6+VwM/s37VZoMMefsr4JcxxcntdMAEV
OZYq+ucU1q41X+1t8Vyein204WCwFlP5RUyNqYFKvXnEwp8UWjxGlDMpJ84zA3C4ac2vPxjMvFSF
o5QuEah0toL5yoHjXi76EcxprvC6Yf7OUB3p6SF2ctXmzzroBfrT1sJdS2XxizgatOEkMAAuuKxJ
oYC0n2qF/0pa4Er0CV8YWIv+RB06e4jgQ6KBAzlZ3aVTwf5FCz97Y9CNBcdyDfVI+gR6WY2Waxyn
D1J/anEub7bm/Mpnv6/+H+9C7HzgjweJcacv6nW6orCFLFD1B9exjw5yhGORotlVGW3uqbfJZ/ny
32bb/xgOynTRVPO3r7T0Mn5PWoGgFsyhnlGhUcO2FiEBClLf1mTjf4+j/CKORmmDjJ8IrdGEXfuv
xz215RmoTUT1Mw9jCK1AuQEQCo0EmnzdeMi1MRcRlEUPTJSg/cwdz/IRl/K0NoI/XaMOSgusYqNw
7yCDKjFagIR9GG4ksdcGXQSxnuIqb6h5aMeGd4a/ySHMQtGuufFIc1z6JUTyi3jVgKwgVh1eI88o
qaCwe/8CTOOePNGv4Bkxt8fDrE3KRSwa0CaQC4mABTomIi7kFBTiAdTlDV2rsuSbACpiJxmijeHW
zltLJx1P5JHRizBeeRNbJTy0B+9W7qNjjHOt1l4rq3YnB/wxJfyuLViMOKyBkpXWPAc4tz9+5LVo
uMSTcyHwUVSLydJ/85q3x8WQe41OUaZMJggxxTfnFJfqEJyFy38ccBGg0LSRCOiXxJH2IH/J3rXt
FQwkoOtdVvi/7Av7FLZaEKnCH98rNObt8bBruUWyOAPCIBs8JQkz6Ng95Zdmfsf1c3LstdSevmXH
f8pM8BDYXa7HkyLgZloei+fcejz6yuIg8//+I9qBr05aLyEQHUIp33eXoLy1aP98/MfX7vVkEWPK
Xi6bIcc0AnrXaexQz1Wom+aUMpL+wcfHB21N+qTPZ8RCezwmWUmGkEWMSTLBHztwHly8S7BQXAIR
JZqrcbf3d+wpfS+JgiSt2h/pF+9FdBpJzYpbaPOXvrfQTgHFDXhqSPfBQnA/fHO3BExYR/oseK1/
EdBFuAvO6cYUX3v5i8iUR5M/jCJ+KgQoenwNN/aSldP7XXr345tSbSvL6OzBW+dfvcJIRDShXnx4
mcOfQ2VG8/GLXiul3j/Aj2GAxkip/h75vsILe2BszmB5JbIjqGT17MqxinDl99IRFszPggZ68Zw/
C2CfjKRrs88NCvXVaKNssXb1vt9kfvyYSaYCUtaYaaMOgTDmV6DSamLwJthf2l9OrY+BHhrlxqpZ
EQ/x9+rJj+GoMaylocBwogJ4JC4ekxEYAsT5gnZC06ra6TjEaGDiangVe39jbq8doe5Zyx/DJmNN
KHHEl22d+aLBKixthaEaH4JOCXfypdvBQGDHvrFXah+eKI2cq696F7wXZ1zIkAEQDJ430KvrpPvq
OOjeDsa6j2fDHCN/2QbvF9wfv4zUHUBSYYNtsHlNJNyRIfthIbeLaBqVsWBjlPud+7dhFuGqRYug
H9EM4yYCJHJB3AGaRO1rKtRj8csTJkWMpD092DyU6w1V6hH02lKD3Ej+VnVPDfxtWEgspfkU2Vp0
iMkKAXETf4opGpDBb5OAemSaA2ALTfQMZrASSvWZgpiJiyVAND8JnJN4X81w/fMGMDdLsCkYvrci
yZDJWxfrfSbZHs1+JCjCJh2aAKzIvwH+JUDEC+nhML5X0bViHE8AOKlnTPQZKlPbFYrMOjHjwXTw
JS6PcTBDl3C/n7lipEOaGc3Xjz/UXYH52ytcxORCCGim7UFWY74IQb+bRn0C/1Q9NQ7bmikYEurU
6/lGKFpdl4tonLYJurGoCcda6nOotIQa4LBWKCNqpUmtD9lJGKx6D7QzhZx1abcUyLj4V9BZROzG
vX3eR3974EWUpRuY7uYefkILLtkQY08wRFa0mjLbGGDtmswtzoBACKBzbcQrrYxOG/XYinACbKzu
k9KJ/RVd5ltpYrI7QKq2hE9r9bS7C97PBQd+QJX5LU615qjXh2HH7KIn3wk0xoFprYlekXGXbYX6
lUPustEpCRJQzkS0JvTseOVHz+b8AaSX0OhHcCaiOQERHcDiNhlw1qeR0wcvVBjuzwibKK7hrKIH
+BoXt6Z6JxCHhgLS5WhfeTyjV2o2ZFn+ENiGT4oMUTGSbEDEePYbDq0haLqxDnIjeNDQO/BzO40C
eKdSEoedLDq2QebKe6VKHLT5V6kWV26IDDsPPCzFODnwDNykeJEIgpJWQhDVliNaYl1oPaLmjXAf
AI3XKFOVxevjx2BXTgP33PmPL5pmpCTtyCHPiDPSnnsTLe6pO0aoAQJD8y7krojioOoFLn61x+vt
E5TFjJFS6vTsQTUPQWKvpBvrdg4Gv6wZVvz3WFhmTRS3HmaXNH5U0rWFvfXjp1w5m9wvHD8eMpQA
ZhzQpOyC0+MxToXKJZPdOt6u5Wc+zPV0y9Rm5cZ0f8s/Bkoj5AmbAU9Qh2jVmQ0cOUqPxF0zwnQ6
ALX5+/EDrcXTZevQhO5fcCSwNlCsOeYfpdM/+2f0tX5Ir9Ote483vgg7h6vfPskikkJIDigCjzdH
TMAK3cQO1ESTtEmVcdoQIKfBzahTBIXeAYptIUnysnXsWIs195/04112qIimTIChqxNHVLhAzUlh
/128ZNbgsF/cB1r4PXglbsyRtcLG/dT1YzymCoeInx+1V6kjbrr6pA1WYCTIvI1GYYbam6j66qBv
lafW5sridi234dh7I8YDWM+WlSuAFu5Wa9lafe2+afx4GCLBCjih8ccB9tDGg4/ukcgadICaN06F
85r8ZWIs23aCvGPQroUJmCTvXP+HP5d2T2tBt5E+WTvr3rf2Hw8QkrzpAaRDMcDIncGqjqlTOpEW
GUjW7bpdo+daf5Qs9Gg5BMX4XVRunPbue9lvTzbv6D9GBmGvbyIOERFf5TUxQPXjWWXyzJhXGB4m
iRbFoB1dSSyKUnjkq2AAXyj+m98rfquPOw4BWisbVHJnqreoilp45E4by37lVHFfKz9+m9jDh97r
8dZhR88Ygopj358Q+JILutd28hlE2n1nplrVbHzltZPUXazxY8CyKiqpZGjca2+TG79zGjiSiSHu
J9N7gkZFtlHiEw6NGb6lW+ealav0PeT9GHLEfSNm5iFL3TvH1vy1wQBy0LfxH4PavRfyxwhlzMI5
icUIiY3EY39u7NThXiAJ0mIXDcJWYY1apfIO/BCRI6BN8bqVjl5dl4tDmxiKPeAqOBby4Njm19z0
AarglWI3RE6wCzYupisb6X30Hw9Ix6NHySWSO/HAAqzJqUm/cQddS3Qs+wSiiWKbKMSxJ0+06M2f
1PjCMWp19Li3dDQBj41yre2A9FZ5AKKqJ59cZOaMm4r43PVX1gK9Izm0R3RZtuDInJnGhEMTyIN/
QTCDO0voGdAaOaDm1BY/QAP1tLFyVmbVsgOB+B4MuOZoW+rIdCm+CTi+Db2vKV3+4wiL00sacUUB
2t6c1PqCXwPhCiUFZDsDSBoAjLqFmOS22Zq8tjDpRZRKSiDEpbzHd0Afq969ikdc5S6NnRmxPZ2D
m/fUHCAmLT7yjXW5sl3Ri0swMC7xKNDRnOsoHSZTeJ2HaObvZh505bS/7E8iVAdkD3YVIAcwpV4C
lJmLPa0hqCl/Nr7Qyp617EOKvJBkhEJk7xitwFIHhLubgcsm8EtKgUyh7LJPIDuyQOoCvEdOoOSg
TGpVG8tybfzlnbCLCV0yPmpRuBh8J0+d4yVqt1VaWdkb6EVoYXx6DIqSgr/wcTh6H509M+ZOwnN/
8Z0evDNzgKdMDq8SVfh8/EJXjtX04gTjAZkJFChG7FoVhjYNjoJObjcwfjlt9Sj8fj2BXeO/mzFQ
SklAFXhluLZ/JruAbOzyv78sIs+z/EeElEYelKQKf9frYSbT1UpHHYISCOytjXNtgEU0KGi5kItB
AoMCTKFDdpXOPrI3rnzuVM9lHMrM9PRIXb0tpevvIZ8sGxrq1mfDEd5YbgKmTT2cS67UekFvhAM4
PaynTSjnM+j5POTXgL9m7fnxFPh9SpN7S+qP98gAJhjy83uEuukZC2Zfbt7/VzTCBLiUf74RJfEs
7PbwCv3DeItO+Y1DeZIb1ekjPm5d41fiKMzj/x0kqWQmgrQeciab6Ohv34mvgx07LGhyJdLHcLsL
duUR+6fkK0iYPX5rv8dSIi8CAWAkUwu+IU7nAPor+TNjJlb7CVTu4z+/9lEWkWD0umiAXxN2Ihkp
Nho+Eujd+mzFjT9/P4n97wmZLNX6NThgA5B+c0F1rBSmVbtencD12MnKNF08o0yMltHaZqNgsaIM
Bijv328ET5CyjEFicUVqz3zy+x4N+PAnsAMwiVGRRxbUhTRxY7SViLMU3Y+A33d0jX1ovv5BUrZx
cFr5JktBvUQPdQWQKqKzUCvNeKMKmL7deFjhyRua+nvi75fPstTU52lXyX0sYntxCuhVePS4hU5z
zU7iDhoahz9nWnGsoSUD+1el0e0iGKEWQGAGZf9N2tV6q4j2ln7tnlv57dcszguoMkm9HM1VA+jI
MoN2WDNGYtK7FrvWRUlGRWLLaJzgAIcQq7UA3tUg+oZyin97vApWIvBShx96vNQwPW6Q1XgS0GwT
otI46hTWxOO/v7KIlzr6oo8AWacA+JMVzqUOgKQo1Mm7PP7jK1wWslTDt3nXYAPBX5+S99ANmt0A
xNl7V948VguQ5YdUB9jCrbLaSrKFSMuQQQlUBYojrkTo85l06RxFBfiS9hSoqEGGOF7GsB5CD5Wa
3IKtSu1aIFnq3qlGoON6rpqW/ecHVxk9a3SCUdoR3CbR72u11Yv3juv943e60u9IlnryBhaOXC7i
ISN3gvZxkJX8IhrAEGnVrjcGpbiiKIrMlnAavv234SM81qDS3Oqt2/vv5yXIXP6NY4M/wCYYWCh3
MOhbe2sPvsMdUKrUeD13IwcZ1y8BgrLsQmvJfzsVkqXUXKhlWRDnPMosaIO3tSMa8bnYhShRNir1
Ru+ac2N6+sYbnnfNXxa9uFj0rFjKUtEheDLGrTNwlt8319KMLuGe/xxcz87dwMptyA1R+zF9NTr8
f3Rm/X7DAxzt37crw5lzIiF2cnRoWUyH3DkQ1LaYwD0HQFs9BT6pHP/TSZ4sleUMqKgyk+C0FXDq
EOrdk5e8DfKNfXn8Hlc2C5H991GKsvXEusZE8XpYSSqjDKrHBT1341bhdC06L0XjYEyBkFbx+FAa
eZ5s9pmOldT0TtzLfDpFBgkK9RHqcfTaYV040fyxzPcMV4d2YzWuHFiXOnKKF8ouanLiwsISVnKz
Z2ndbWyFK1kKYPL+fYGpB2cSnsfjSXkAsx47u9KsgTsRsTkZXrdwYHn2ypMAvHumTeimK/TyAgfr
rHzJy5sEDjX8tKXIhkNG65UoTfIqKh3Z5HTId+A2xbuAu4bEHsxeVnzKYlFDhMFOURkw85bLbmOW
rewwS/15LmQh7j84Z03Hxn/mmssINklocOCjRBtfYe2QvdSZCwXVc0wYMi59C66c1SAJNuBarCR7
nAu2Uusr83kpOM9roRXrtsEhuxVhX0G+mOCZRbl+NhVSh/GbyDHovIGOgsZbHaYXWCaARH2Cu64q
8PmxkLe21bvs85cAtdSYw7GcDwANx+PGO35EKxVtdPm1bC/leBQ8VgGPVhVfyJFFh1cYAbVmVuNk
5AehMDkIGOAyw07gA8Ntejw2WJmQkNJWdEzJ3yJKDKD6ogh/E4LpwZAlPc1pEMbdiXppZSUiZshA
6tjAog5mLqpPdIH9S6OHlQG+mCT7SETerA8VjjhZuK/KQWt9Dd0OOosmV6lxafL+OLys7ENLMXsC
0yO+KFA5ptXqSXD+dk7mdGZkPv7rKwtbWNyoRjICtuVViMP8F93A/GVjUa+c54RFUARJEE5XPj7d
lB6RiM8DS87h7rCJqFrZP5Ya8EmIWD4juG7Capf3tPS5cziH0XFiH3Cwe/xu1k48S3l3OwB9LQLm
i7IGmCdKrBQ2Y6V2ZHgGsnXyKdlYciu3mKWoGwbxLVORGC+LQ5NK8iZWsLJt7cdPsVIVJEvltpzD
Vh6zCBMI178jMztHo0sF78yqbKiSdkif65jxlZXdoFt2mltlxtdN1dVKWFxKulmpauBfEiD1qcA9
C6c4cst2khuij38uTMgq4Nl6AENHRX4T3x4/8ooulCwF2jmsRhE7MKsTuzPAKTc7N7qGu1QHWtiU
DKB4pK/RFf/jPFkKs8eRRlYlwxLtneEoOfEekiJyoi6Jwqj0i3waL4+fa2WxLvXYQZV3USph0hNw
+DlIpiL++vgvr2VW+EUcgAVFw0k+gj7TtvuYq5FJDaB/8Y4iB5oYP+hcDc8973mgBdgSo4TscRpP
obMkhW1A3rgF4XTSfW/8mnnUXwI/v4geHpir/BThPtVovV5f2n26/wsEPPqeJKvbBxvH7bWpubhG
xUFZ5DWLz1YxsUuznVoPud6BV58OsVaB05/Vw8YiXLsh8nMc+5F66wnNzuX5mURAHDSpOND9KC5l
5mjR4jcGWZGHwALy30HYnGVkWH3MxVBWr815EF+P9+wb0aA4NNEtVO3QRm/6T4kZPYsnyg5g3oIr
hbzxC1YqZmQpyIYCCEKH+TGh2UBfWqmGEBygG1Xdisnzo/wyM8h8aPnxHkcp6mjYm6JYVhlg8Pvw
UINjosGgzadx2mBjV1xLYi0F19UEYq444E1SFkx1758MPTUO2tnAHhm1+Lilm1p7nsUdbKKmBE5O
CM5NrUO3ATcO5CbCU3XekumsnOaW+mre81I/FjGA4NQKTsfnYb8lDF/704uY0XQwiIxy/GlOfObI
rfMMLkZH+bEINvLVKwuULMIATPZakRowwMiY7cUDU0WGIqtEBxvMQzf23hVlHllKoYcpiyjcr/Dy
Ux1gvTb/CBJVQo7U4WA3NR4YXDBq4IZ8xc/AnSi/WVkDDTmUgYUyHse7tVzH/Wb0Y1azPAcPEQa/
IUYlFuY76VFMXMgeRfDuYqWnb5KWU7ccRqQR+unq13S0BBAF0r1kdCi34+5T7CkX8Kk/j3/QWrha
aqVHL/TToscPmp46jdrlB1YPzyZj8vDuPWx2J69M/qVEugoEKqR7XJma8YXP7Wrc0TkQ0+AJTsJ7
KY0KgbNVALd2dDahfglXxFyyRmonDlf6I+uVMN7SSq60IZClbJrKRNFnZeQI+J49tX5lhG8hXEdl
UbA63gi5fh9x+5A7j5Ei4FAR3UD3SxmbbnCV2Kc0OjB3HozTHr/+lYW1VEq3RR7IXokfQ42Z2jZo
d2KBORfR1wkUZ7Ah2lk5oXOLyIPbatqJAUJcIVrThHIXfykD5Ho2toKVM+1dn/5jSrdTDNx3gWfI
4KNIGDg8go4b8FsVtJUTwp3n8uPPZ2VHNfK80aDx2SzcSel23KFT0eWsQ+aC9MfjL7E2QxcRiAKd
uoEZ9nwDaD9Allbm9gTa3SporZ3Nl7JgaEc7wsyXOxZArpP/BJv4Y+wImviafnQv7KsI3AzwTv6e
UZPZoFuBnT0IK1vFobU5sDiVhAycA9tufjzIQuIBFiJ7OUi1Itooz6wE8P8RBUcc1cOHfu7nFJzy
gOOAKqH0vLFM1g6tSzlsPfmU0FA45sPiEkYA/S0zpCeg33WpV1ptchpVvI5IYfLnxHo8H1Z0h2Sp
em2nYMrz+b7M9pqEwGAxVk4pCbpPI2VAjYa1qgj+akiYxqfZ6Pwwboy8orEj9+TgjxnPZg0d5ixG
Hr7Qb5dUGgMxF6rFum+SY2JQanQDFQNPKu/jK2yW8U+nbx1TVjp5yFIrK4e+PMYgV6Bc5b/n+JqT
QeA8q8KO2PK08S02x327h7hUQ/NOdqHOU6WAgr2PdoKRW60KxV/wd+MbzOfzX86ASzmtD0/ngOUQ
uXo10zKj203n2uDUwqydLejL6nee486Pt10xJJYCHtq99CC/Zh3eptq5WIo3TytV4JJdz+B1YqDJ
mIf6aWO5rMTMpYiWzaaajoaJc6WQ/aYaiPbgTY7es+zr8ZtbWe73qfXjoUZk/INcwIuTjwGaMWt3
S+q4doC5b6s//nLcgwMbEVzYMpf9QBIcK+Ol+eIM5MsKtzuV+/AZU1QPzfyUu2xlJaGaOPwb644b
r27txLLU0IolKMF3QXAFxsEHaMGwrUD3QU0pcJVRh78S3IG3EvJr+YWlnnaspzKoeFROOoholahT
C6ju/9AnsVYmZ0Ke6wuk7Pqld3oH/q+PP97aneQeBX+840GkaG+cp2Tzmt5KtHHgOPolaJzm2Y1O
72Jjs612Dv+/LLD7Y/8YqSs4ZioHKB7aCwVIiiKaA3bWbF8izG3cvVdSGUttbCuNHTOFDWqxUtrC
47yf1BquXxvb9to9dKmElUoBND4G89H/ACMKnuEqGG6++sxsqTbWwvE9Z/jjHcHtBdbHbUm74pN/
Qfk1uvbf5AYpD2wKwhCt1+glZE6jk+17LUmUUcv2m5458+njt++zOJXEJPp/eqgJlwCnMibxmJqy
ngFEEBsivLa0cmNZrUSMeyHix1PWzBAlE2khVEIyfKJrZRQOUssoFAygH0/rlRPWUv0qRmLlj+xc
OvcMQLsrShsD8G3hsxbAe60CFjLauE2uTYqlGnaEmdAEg18oU/qnIdS86qMViSoCgN/6b9QrNbyG
W2zTlYPP/whYPZlPiA8BaxZqHDpNC7tJ/7SyMYjGUCfa41e38nGWZGuSMhJPeyXnekzAfAhwK1ST
IQILqOrhyl2kcrfxjdbi3VK/2gWs5zNFO7mBGvXQ48KwOqxfE09roSVMNaC/NQ4gT/jT5ZlNJq3r
3rIq0Lit1ba2HS/1rKIk1QlslCe385w+37UjrWTgumQ6jUZBQH/hzT6BJe+EA8yS7fELYb/1/6aJ
W6T0xvS5JwR+WXVLzavXiKkMLj9wtdUVfYLwpI20fnqjRT3g3GjQJw8ENmk6tMUhbt5HuHLGIVGZ
/DUNDa/M4e5aPvdDphIanZtlphajCAN4iwOZWR58vWpLPeVKNfUsZDoAb01wJTMFwIaZdMcWhZ5G
Hz0qURkLRCCts+G1Fv+MrfF4Lq1+4sWBJ6S5sBxivGFq5znsd3aFusIR1dFIDpXFnPNrFitP0fPG
aCurnl5EsFDuM9jzwfujVX0LVtC7Xkfd1/BneBbodcEHcr1AfINqrWwslhVqEFkqbnMGZoYwoAIm
Gd3f7LWukUnKsiPrA1OYPNfwkGb8E+EB1pquWcSbgYDu9CzWkzBzBXE6luUVWBIYFWAJAEgsCLrP
Qa0QKGk0qABstqNWwKi9YzI4IgyKGOikPYyNsLEG78Wg36bf4q4miXEziVwPDyCvAW4C5ZSJGBMP
+0oRmYirhNaXusa6RIqmZUeTDf7E1KHIqz+Agyt+8jXFH23OmKP/V4LXO4OElt0TSqmI1UQvVHRs
QQcHM1p+8mIzRlY/BMmCj/pdilUugO0Ne0vOS2B0/SKgkANP3CPJzaKgFIo+c8FfUE7UIgBYLqBg
U/86VMm+o8xE1msYZYz4cyDiyFy2F2VJFStdQAtvn2+USFcKddxSeEyFYhk3PGDINHIBjEZdGCvT
kLC9lXYAwRq1UdT8PapzSx1yBA/PtuTJ6EpQohOAqBUfNhh+jtbs8Sp3b48Xx0qzKifPaaEfm26I
CZX0PLjYndbv4ZsiG/F3ZUK8yVusib23VlAfnBhJbc3IFV87RoejFQ/3VzXvC4V1YyQvjQs1Wx/V
VheobY1kJjga3aEBMUTamJArEQNWdf/+zJZhCLwhsKAQkOPsEyj2HTlOOj2jiOJXUW0aNMKjyURl
Im3rorHS78UtJcy8JzS0P0Q0UsIFhPL1mUwoLqDXTziGL4Wk+cVxYq598dXWBn0uPXWUlEF6Jcyg
1E3+wqI3Ea1fX603aRyqVnRodP1+HNUg0VIk/fh9BC/4x99x5UoCH95/X1DEoh+a4nBEZGqn9CdD
hid9AzohMAuMXvtvMrr2oZSu3uhyKyWyNkMXUXwqmmKIaQwJHt8lMXxbsOrT1vV05ZbHLZXQ0ZjV
cTbr+zt0Jpi4fbMHvsAbtrtPckWaHBB8ECR3446/yufsu7tUiTqdGKDHzXy3VeVaSdhz8pwW+LE8
RoGTc1gHY7GfBSd6g9eQGe0Zm9Fip9slx3SPzAcF9lv6h+CnPP6WPKyc8ef/N/6C+f/vsLVEIOto
WJgQpNGV0PKZHl8LKv7Muvacc0IjQhUSMAoTQ1U0gVHAtK8ccwl536nCWqvqbJ+XvsYiCmbn0TtJ
oZFX5y5/inj46GWxWqLsAOtEhYPrkz8MJw9s5zAd/wRe6zT+eKj41JJyVOejAu4/EcDLLADccY0D
UIXLpuypaQkbyrDaTV6DLEyv+4mv9yB8JoHOeeiRpZsLxcijUskC8CO5IbOMVg5Eg3+AIrF2lrpJ
W+57+alElyRH29C06U0mBeh5OzKe3gySSrEf2PK0xuuNVso/2tCm+U5l8Li89BZFBJIceE7ATbn9
TPMpVpPkbZQLNRO//Vq2pKFW44ktNWw3cWMUwwudGlSDnHouVRFMhIFFiGEGzY6ngMBemWOKg58G
gGmOPXROYV8YUxPrTTs4OCxJlQ27LAfV/3fPT3bw7XzpokST4+yZDwazIOQtkBN1qNPPYOiPzRDY
jGy2BbinTUZbTSMr6BRg68gtwgogJYJVOLJRBoISCbNWqXMegYsT9GyCnwMQV+xbHJsp60T+H5jH
awQEIFoicEaWEH0zRezQ40o6tHK0Bd2cy154ryXuIFdyZFZiK6S6mArRV5ey5WeblymwLCUcIjJ5
wBsETQumTtSQaT7cFW3Kh6NHWtaigrc4Kl0l4r/sWEEfSafwHIIXOuT1TAbimqpeA6HyX/k8e4nS
9yZpOpePeZMZeC3vYslKyPjO1GNi5RxfvwYBmNQyyb6nvDSnvgZfUo+aJy849u1zJRyDoFYpWGkU
xggSRdlZ8BLAiV7MglNQqbEn65xvxowaec6YpbCIgEd4KcktKjR2FcCw9RyXI3q0/nhEYcMThz7c
YBf5dhpZTeEM1bHGUTiIPZVrC80D7mlQwMwL4CjfaGDTYuoGiMOCllLmAE51E7qkdelRbckZYPEE
5ucQUo+KRF26wQ1qSFoEk69UJLBFHU6+nOrFN3raw2Mj7aGSrGitYhSPGncJXe49QENS1FGAQjvB
V/siw7BxRCdHXhz6+KnAvBVfRxoWYyVcPJ94qXXz6m9a/h2w5kgFUxH2oxgwSbjuUjeBKcXkBeU6
tFaJuJJQgxaSCHI/OgDms1VxS4fpfHVmimtGTpN3zXs2t8WMPgI2ckwqZl+xlV7C5cseG/+lZSTD
F5BPnC4xc0jRETb071Oc7/AYY4/aJAVwT33zyknt5GY30j5YE7LTc55sNxn7xI3kAk9b7ip5fW2l
sMKlAo3ihmTHR0hKYPEWaQbDpgwgK0wNggJWBdYT/MxzWiXJC1cG2jBGV0BK+xHfPIA1bSkaeXno
pqlUJZG2RU5Pu1QfYhitVAZ8t1+6Ep3dsHrrZApnUWXwD+1bMgp4qemx6+GhS4EnFXRIlcNtPoc1
DOWjkNXoFKYKn4QGrmfotoSRTn8dmMioxEnLeU7NxRofiS5tptQyVqfnJilQX3I3ozIf/NI9JWod
sio0kNE6XKPgC04rBK6Qg5vxcAlgZTMKedko6Tq3uAD0Dlko3sqCnAp29NzUf+r7Y1v+baJKgfNw
M5pxeZXw1YUQ2aJGg2AfqyMVclVsabXmdgJlhVLmaVl7mIBwlcLSpYLETpHs9+k4VatQvnowF9Y6
7IYcJTyxTQ2/ACp28IJ7s0z2yDzJvg4MZeWKiGxHGqlr8dQ1YJii5SdIznSnUMk72osl+QmOK3T3
Kcger1CQa7wnskmPFpxH0KYbCWqTqMwn/p/lZEeNWsCQRFKYXmUgZURBgFM6EPmF8NDDvyh36Unx
00vOnEIwrzK9wQXGLw2J2TXemZq+gxS9bdkXk4J7Ac8QEbDauPWfuyqwqCixhSB5bqISQNo4Z806
dQIUOso6NaUuEA0O7Wu8DAfgQTBr7FctxwJ2H6t1Ww1qDAIvEKU8tjQeUXBGOe587opIHo6wUxqB
LHrnUUrw+Z2M+xXJerAbxELleSugp0bN8gIj+E2zLzMx/GSeqtAYeN1L0CQnqOxcnoXeMjU5UTTR
RQWA9iCqjBAqmDy6/38knddy48gSRL8IETAN90o4elKk/AtCGknw3uPr7+Hep42YHSOC6K6qzKzM
TjhShQIlYYEnuk666q5mv5EsohTNU0dAkRVxia674i9fMUVhX+JWk2WRkZ6w643M6Ssy6tJy+hDd
cJl7oiFIpAD6WLwyPxIll6nYlZFkN3qDsq81T4q9RoMzxtWm59+1bCeekh47GZ7aV5KdO+xoM8ai
ieXFU7nutIxZUvxqMiv6wl2qcyq/FKu0qUAC+r1peEoHxdK+YB0V6N0xEm4Us1DXDE96da5Hr8Oy
SwAEEIxaEIvV39enEYFP2t/YYSzDluS80iOUxTK9ISFdQLwsC/dROfsGO9udOjj9MhNY7Q7yp5X+
mCR79IwxfvI7WFwSrKBW3FMIXhDNkoah7Cpbc1TVVxTPbp/b6EWv9trjqtgY46kqD7BRUXE2Fq/F
bBuEWmwq06lr7rkPab4X63PF0CIGdwx3KstgQ1D2W5vkTzC+9zU6wD8KDscaf5G+5VuqfbSN5kSX
R27vBJJvKr03NAX3ULrc6kXfRXyjdSRfBFNoXif9MSXuqGxb6CjoOUc0q2ev8z7FtcOL5I4Ss2QX
wwI3UmIvNYwv6zNuvaRceWlTRzPUbdTlB6yo9uPj4YPoWlPmDySENitRGpU/ctHXfBcgN/087zG8
cJRmcMvlnMPSj415bXvH7vd53Lvq3ATLMJZO0zZHHRzAIElbaM2l6Y+qdA+1/NCpXwRIl0vIWns/
XrVEurJy4jQYhOIy+TyYYErS3pCIP22wmJwnZSNmJ7XS0zQ3GtdTaZDRWbWHQTUrx14XOitlq0bv
gwlkNAiTpkruaPZoymLV9JdiLr7XkYKfmpqbFj7iZcyQ7SoQkeEvYsCFqXOHVdsMoP+AlvLJrDm/
2Y4iYAq2r6t1LxbLV0vGStUI4ma6zNM7fPGmEZ0j4x3YFpOrksG4VMKJ9aOd6+iyy+Vgrw3xxHhx
UNgS415Pnc9GIvmRpMmCBdhSQXyyHL+XoRlI4ZcMZADatlntvW0+kXIa2JFK8OnjZWYRKCzFxnpq
20Avwn1tW3+LFmnumErXotyFtfylpORXJXzV+tgEaj3xxEDmX3popzWw7gjJdd3a2OYBwXdDF7K2
n8syB3aLP9L4Wtifqvzar69ioa3z6vxpJW9F6f2F4A783cNdjGclrYCjGultUrXfkcUoRyYIBd+3
AVVacWmS+lSNtrrRSmln1LyxUrs1R1+tArlI/wmz8WK7x0L3QStWK+HxhLO2peFNuZFuWDufyZmK
Dk1ZTMfJ6AgTLPt4Fy/zfsRwe8MW7G2slJPRL/FWk8ePihq+ZWnRDqr2S1lTr0zt33kmY7VKndF4
TQ3adyT74OzJlWh3QjmV4jtLGUzGgtDACauUsXG7HPnWMuzpZndNKB1KJd3GdRgQM/qKfd9BCClY
JlqcsUz+NBtL5YiMPp1Qe9P6lBeTJo3XziCFndsSlURVninOBw11cdce1/QzsT9knavibGZ2vMk4
8OVIqCcRBZlXAzJ1eudJDVfJOONPA9196NaZeGdWsTaJPcTHube2bahdarM96pBuUV0c1tnGroth
oA39PErdSil5fLW8FX0FUb4uxzkq/GRNHH15k4XxWc+MaUp5KBQOFIhrqv+m3UdMh9QXNXHqbAJ4
ja5769Bd1KR3ZM2P1e8OrtfSyruk3GpcR9rphUzUYyHy69xHbBpY/E0EJZ0H/gW1W3B7zxeaNu2t
a6uPRbO3VZe9lvH0qoLPzOq1GY5zGf+Se0FmKIlxZIuNS0hdhL8pJHxpNmH9HJEoqvAG3nuyRDgL
mZfVZ27YqvLU7pBBQiv+YgdFfrcZB+g1HmdX1PveVrdKSeYb1b+ZeEtIEH82h2bXJFy7je4uEspQ
5WuSn43FHVI2h4Tyq+bDuz798BK6zGPcH05YFF4bp26YzW7Y/DNM4sa132r0VrM5LjRy3ZQcFU3e
SP2vYUkbhVTq8kWznorELUwcyYG6K/wbZrBUrfzQ9PRqhwqZTlK2W1gnaYyFOw4Kdapc1Xhf43y/
WNVLk6Ae6IqtKjuFjKE1SzS57pr23qRP1P6lkcvd2mefwuQhOQlrGClPbtjWiSeS55C11PI91lwL
5wtZOlrytviGYGx1J8IyvPyYtHfd2tElrHOQdSAZyj6ZCE/q4r1p+3pDpWZMOejzcF0n6xThNMG+
kdyVrgTd2/e0tBimjoYzYgPVZ3im0hP1P/NKJhbpZtp7uAQpYQ0te9ZJEXlqehbNl8H6kjWmBEoy
2o2+bJwykFtMMMlp6zO/MfdGdeb2bKkwY3rU8KWTn1SMJWfOT927lkzSExmPwnJt6zPCi6YlGVvd
6XCQ4dfyEiNMaB7+w4Xqm+vrzEpflzs9oBMpI8qu5kA151Dz9fBk2QQUOUw6NR1fL7mDee61grvo
kPe43a722aILFlnjKRgpAQgPbeYq2UByEVc2XXZXRLuIiUuzMy9iWlAzjrUMp3ZbSkDf3q2X6IRD
XND1TBRzv5f62LcVPDOTB5CQEBLVeFH/G5LGmuSL34wVd1y1SdpgjIJWz3GCfGkF5jRBoXhmHvIh
2kOaR26VavTGiWvI82WqzJ0ewbcL7UeOcHEq2i2l/SpNwpdyP8RhcX4P2d9oy3y3yJ5m7Kviz+Tq
mUvGDk8BLg3TnYqycmOx7wyTsxuaT1PsRsT11fLV1VfB1ke5gV/qSfrhBsg3dN/Z6OXLpvwl6WHT
VMZr0e3U+NxL76R7B9JE3pvFdj0ubDx9q3fJv7Xsk5LTGYUHm1I7ViyppXUFTlbpyc/DGpJp2TSH
p7iapg+9kecPETYdUKU1iL0kVb42zUFa9h74ROPEceYbpEOHPZOvyq50Wv1ZnLWobDFkn8Q+b+f9
FCWBahMdYazXVVHZmMr8fhl3pdL+rIaRnGiBn205KrdITRysjp57rb41xfQXRQxuAh+CMIzNoI/L
W22xPxVa9k1ebGMzGzHTyxKS/is9VeridMRR87lceRm+rXyMgyhU/iRL8aoh/FmmW9ac186pP7Xm
HxzhwOoHM8/garmT/zNw5krH1luGRwNn9ofqTVLJwcHGDW83K3iQLRYTmTjVCQt+nimRluUq02Yp
PWX2++qrSvjpN0J5Ft0mr51YPNYTdpxYUXlJvrcUX+8iJ2x9QuWAGJbiHX9KGsESya/bywcFxK5u
CIPfkTdg29eiwhryz/hWLuJV+5AWn3BvJVAGVzHcuvPz5D6kp0HvHJhj/dpTrPXIBaxgk7XTMRIM
surc8qs5H28Gbdt0+WlIdyXWm6NTpkGD46V90dLAIDwbUXFpeg05bkzB0V6i0aleDNyYwtvYqN5Q
bMbsX2L4IapzZSdOGkrEasWm8NtMs00eQnm+NmytddtUOxRFvUuNgBB4Vl2n/jseXDXZhemvFH+F
63PU/xuzdVcrfouNU+0y+pXAhFGLSfCGJN+u8ez6Upkr1ylytggMLNvTyK115afWlz2m51zHU9jg
t3E8dIIOanKGRenMKa9GtsvuWh0xgd6a1KOWLKmrlnhHpfEJNXHQdPFRWEfjotdHHDMtHGiQzdSu
/U8aG6ZsLzJfC5CJ8tKNO2UlET6DqsdvqzGYww9tuqdNkNh3l8k5YKnSfinsXa2/xwoLiPl0M8Q/
E4PeFICJkPqJy6x8Fy2ZmJLhieZYlG4s/3Qqdr/lt41+rvirx6sO+6+xW155OGQqOgDHSS0+wJn6
+BLWu0a/l9mp1Y8VTqFIwAucQhE3yZJH0VvanaLuaAjW6qcMvZzc8rxwTUC73sMOdaOCVaVz/1hD
xBE+Hg03/qMkhUQ0zuKl7ATXrD9IAC1kNw8n2pGaLbN/9HhuU28VvMzeimpjfVNUutfqV2/8qHnO
jZ3Af5Sce2J1ejY7sDTuNXu8hEX1RPLrRqt5mATVyzc7DAj+jK0XPotZPZV3Eb9G8wWvYWl9aTU6
mzhx0qQ81z1zPEO1ERdImYbAkPlw6yl8K6WVlWkSk/SdwGQtq0FuDrmdB2aZcuLx1rNdJb5Ke4GH
dIlz+LFoqleDKpnThKkxw2z+qlfXaNlUxVPY88qfDMaZUvANIAmUBfbP5JUuTmRdl+xurytt3wlm
fWwvyNU2pnlcqmupvTThWaehrWDBcl8L3VHdFvkhYc960AAPMx/cKi133a3iHsScuVN5ZZlr7nXp
m8bnsO4LCYw3aD67bDux+Gt+aUTkyBRN1gbnTz6XGQeTTKaj8q8UW8DNTV7t9cTHvYQIEtv0h19O
mWR7vdjCgE50IOs1MV/q8nfIv4ymewJvR4Wgdce6d0TGd/fOz1qmH7PWbpoWytC8IRa1+fo6W97G
YBF19TQXH0tyXrHWiN67MtoU2lMaBiXzeLQx7Rcxu8Bu9jltwcG0QCt3qLMck5tqZBADBMrJPzHf
lOZgIDvK4sNIK8s9Yjhtx/t+TKn7g8E4r3CnrJILNERL0ZY7OiCG5YTzSPgQ70I4s1G9wZkd1Mtm
kc32Q2pd9CWqf1P+3rWOYKcI9xb7Ulalg0WvAVaiHLoKHMW4IGIYS0KNAjO9MjuVKmXTyDem9mrR
VoROtToyitjuqcGEsaB4/GX6VauuRe4YURBpP7qdu7rxnEVOnu7iNhjEFpKDMjyazkScQ/2Cb3Ca
4/clnZby3pFBXp+H9Bp3b3oJgHvopMkb2RlI88/Z3mnyHx1dI0WOQZei0sfEh2xlhS1zpRkNjtM0
pGJsSt55uheZfmQTt9ZuCsW9ryL4Ez4fDifE2eqb7meqtpyUOnbTNrDSbdvSvDx3JG920W9oHIxw
vyKCjV0zD8afJqVVw/qINX3di19n8otnV+0u7A3TC3YMeOqzDeJ+1IiPthhRAJdkznJCCQwMUBIp
3TVR7ubta2aQIl9AeBzSgabR3End12qZjpHsC4wCu8qRzW2JxJmkDZVyGpjnbPaE+rr+asmbShS9
xPD7FrImz71slI5c8O2TH+VGpWtyYxUnpCSS/tMBtz4vwgLb3hSYxrfcozmBwr0vsTBJihOMwPwz
C68/4Ea+KEiAgBefqUBmiPWbulWNf9n83l4rCku8TTA8oU0Lf438bUIJDJSVc9UKR+tDF43OaNCe
AzuCf2ymbregltTNj0g7dQKrmcyfYh7S/KJOB96EvAEjdDTW8RrX7s5yj7QTsNdVxVsC+GBex9nF
NkljjlReJfhuAZIsNYY7zkBiiDHMjdn8VuF5wlba3okPAzwnpm3eLtalIldr2BgWvgOvk1S56B43
6/LzwAM/kP2a8lGen2YkRYz+dRUsnVenvjw5leSGndf1O2yr5eTTGndZWrrzBBMmD0/aGG5W0wqi
CJ/57qmcOWGMnzrJBqj0Lml9i0avrbfNtG9fGkJAcZj/Y/YMkUKKtwi1ouWF9wFB+Yf5N2RurDiV
jEP9VrU3bPlY03bc9/AHg6dSo3+1dK/8FgLnflz4olB4Q/Rp9e+z8iSeNWwI1PGpe9eWoOIn0rx1
WYEqb2WkbOlBSCxzmOLD5HPVZEdDsoV5gl6aO0oyuAzTAs8hyB6QHVfvJdK/lISb0uuLA2C9rf7G
kZt330kegLSSLG7NL4p06Fo3m7ehHDDwGX8iM532IxU/9fAFyEvU9ib9VGmp71lp8ZLVD02DVgUF
yHt+Dudm1xoneOxNvhwFVVcaQGH9WgMfnImY/RpwALCe5L+qujFK5MZWRNWmmQ96RZmemVt3Zvav
UX40/fbA/3FQ4mZTi+t/wNLjlROb9JjEW6xjbEevtvADqLhkgKF4/TbSnUyCtfyS85VP/OGVBens
Dt68gWs1w7t8hzfpyLQ25qCZX/T8nvJOxTUu3Hi8Tjex6+tzrQXm4oazD1qCIIwwANyrC9SNzDKc
LoyBglbeNYrP+2bOnwNlITr2umeGzhAFYV26RMJW032NsTw42M0dqHj6N0SNU70Lcedrlzs3x+Lb
CMbWB6qeWHn4Xo1DGhJrQDQzLn8NTY3U8K0trzr0TPLaSb9r66i8OOYC73F4BBGIh47NsaPC0WrP
Vip3KH5wezAjL72u7ZsmwFcUKiHW+++YrEnZli66XrwRvZRE+Q9agQSAzOv2m/haWz/kepBm21xx
bHpXInIsbLn6wLK4o/2c0ZdbiLh5qdhmQ8DRNAofhFsinw84Kfdl+zX+Wnom9QJuSnXGeKubZwWZ
n3rqm62t/pv4xXU3mrs625TSW1i/1F+lGu7D9AXm5DH02AMi/RZ/rO69Owkg/XbWHC1/ao2DMlLM
FdaWX+zwbY4RhVQOXwK9mkKjvepuCiXGTdzRORsw5ONGHh9m74mbVWi7+a+90lHVz2IuDrPB0Cb8
iXcrYw11Iz0bLDsUv0JTPiqF3dscLG+GyGC7qlU1KsdhKd3eqE/m/8s7iQ0VCVDLNDkxKU1V9SXI
P2BzxXgyG/VdAoDYSPrw4LCrwulaWHvKkAXyrBcZKBFpNVH33GrNvlvinVpWjjHU27YO/+S0/rRH
61tSk6CBWt5kRuKIbmtkmV9MwjMtTzVGCsumjHzBNHtFyISAdGMpbhX/qPG3ihpBPYRWwAhO2GCr
7ZT68IDhYlc2/qDsix9b0raJhls1O3vVpbkPTeQNy98wai4KlI7CBea8FfzNsuYpqzYEc9/EDr5n
/qh7reKvll9CtehD8jcbexXqZLaGj1J4DONN5whrOmUN5sX9eFh6DnEBJqayXgNIrSbn6mZ3H5Eu
++mEH1qT+ZGZPQEB+NnwiO9Sb+P4GOwBamcicuv20SfL+OJTguZ29qKG67VeT2Bq4Tp+KNY90dKn
Ktyl/G5dl25CumPK2WaUCRzir3F8om5Oi7/a9FhH/S+afieU1hEIwIYGHwsK01XEYUK6qJEMEJEe
4HDVPppemOH+gT4sAN/9dYq25bhfQGIhq6AStOjJLuEv4Hl2unJYDSB31aszbsF1Xy3ARLt1hY07
UYWTwbEMX8z3EqPqdhMaXsWCZkiKSTDK3a5aztWPieYqM8cr4DIoxThepWEv3db+SJwFO5Sj+aFb
EU/XzdWgMLd2HaFt+DWwSqku6n3WdkWG6d2OkLtNRmwjt944+Azcon0W9g21Cz7MyAkk9a7y6tMn
8x1Nwp2jQ0qXIdMg4Ndi4UEGYRRhJEUG38hvBLzuvnPzY5i2prpbcCoirmv+GdEEFhB4l5G7XAx0
a4WXQROHM0bdWrztxkuRvtrGaZnOGSwrQK++Fz16O8Dd5hECODd+PiSg/e9Y48Ce3GnyaFEUjA1f
xuXSKPf+z/7JE2MzJJ4R/qtnAKwkuc/G8KFQGRb+8BC/VfVXjhLMng7jf8HqU+JDimq9K7He1Y+O
dWxGhVbiI6N7pI3MffA7bd7YW5ukqvCSZ0Fe3u3x2I6elF9kuOUhO5Bcb2nW2/LegHr+ysza4J5B
/VOFv7rlZDZDP1rlTHZ47rJ+XmdX53nPDpazhrMIGlenfE0m0pKUwouTj7o5yd8Wv2fIvLn4CavX
AStUkV0ZASEhYY+EOK1V6vaC+snGYKfso6o7iBYOEEciKMZC3q0jkwTIMVCfz1nu6Z1ORv6ardDp
yFkGxAF55wseb/6G9c0slkNDH6cart0fV+WSN8484ZYcYLThi0NoPiJOhbc0H7MMz+8I7Xd5yClQ
1Nge04eGbKWh2XjMN5lKY4GKJHcqED9aBpQ+Nou+6Uf3rDCa1E6vbefV0272dWxfm7fUdngfAEEB
K5QIckv6y8tPXMnqwrc/ShpN5b0FZonSrVza7lJuIhSyhauZmzqWXfWalNDh7qN3+1gWPwy3bALJ
1ndD3uoF9JwVa5iii005qBQe+hSIfl8PTDQ2oRnqoRm+Wck9mphli9WXoDHX73BELVE+Tx/Swwmm
P0qoNNqaFNveT7g05N3MqFStOOSdIg1V7KPOwCqotRcOpzU6Z8tHk7xHsWfLnzIUXSLejMwO9OMs
e7MB93jIQeBt6B8SL+TEeLEV+XsopEPUUGlCHBJfLbB9qX43Uq5ZNybRHffw8Quv+ThzmTVKVIbW
cdGxuDL4chDqi9853BepFMjw13G4kyceUHofxsa3iyxoTDgciLv1UqOliyBAEWKPxzrknohcg6Nd
V//S+JyATEeR0yIiidqt1RbOQjobA0PcfuvSs1ZMiIMmNPmse3JCIpPmHeljGfvpWtJDgGsbVKnG
8Mxs8hYdPU4eATxo2aXPp02tmKcBRh9jZMnR1KchuhMxCdcd2QikNvTbo9ky3me3uMYRYMz1Fg0U
iIlabzODcBuLKbzI/ZhZEeYZxKR/s+ovSwl4LxnGgRSl6dRWX7nNO5EAuNCdWnF1VizVKa0nqXMf
j3p8Ev2l4B+M8i/+NjNFxmg95eInrLGZfktl5PkKA7j6LBGzG+v+vPbYHDHs0ieHqMK5Koqt8qcC
2tuxDzLSLCtyyFAVbmm8STUP5VBzFa5flf3dRdHjjxx4/1NUMUbEmHASJn134qjiNs0xyq/ig5Jt
KcCJprEZkWgXZvbZGUCo+YynzRs4CGs6CMggBt7l7ljGfx08/MK0O/6tonP/E6pcVv08QK1HzGgN
d6JsWe8VLVHSvo95ttcsNFlxulf5wSPLPBCLeShm5T7gSTDtS/EcZleBljEKX+Vu6tzVVi5DP4Ze
qz66zeojztOgOEjzh62AXyN0cwY+yvCa2DdVHf0533crPFX4VEYgStpTH+0rFebwpkhb3fJWO3SN
8betvBh2xTB3hLvS7erlLpFeEnWk0/5nVN8CiCnpd7qAbtmkLYmTJch7hpVqceun/pwW6i3HeHlD
fFlc7HVsFIt/okUu0S8yrHMB07l+TR2FNLbv+D9z5ub225iTF8mGa69X3S+VEf4J5aPWVrtm4IT3
g869Zv4bepASKrAySdZ2yKyvMF725PQ9R8N+Vl9MZMUVKwRJ86ZL0VMHqN0yYCSmNJ4S2H3gNEt2
ygRiN6Np8XVNjv1a1W+mESV3TSAQaiJ6+nKtdsKO7pVJ6o1AOFr9U6PMU3VtJzWoGYv1bZUfEBBX
TiTb6P7PeQyTixBKhA9lIHOjsNu3wiZKT7LGvZhGdgHwVduIUt0Odhw6TWpmziA3YxD34jtqzciH
CUW1sMQnK0RAIrSR7FCF7r68hJLf51uh2Oy3uewdTNr0KlHfQ/26jM+Mn216sC12J5rELVEkld+6
IVyTBIF1o7eMUxku9BabME4b/SXSTSPdhyGUVRlbm57INoKEUxA2ZAo7ZnOvERPYVLfckg6NIk2O
JWmeji+HykG1Xau/D3riKuV20b50C/5LDfKet0H9amdG/AI1RV3ClcBZWg+CDvveSnNMjIzWujm3
cf1mGAqR2yNMlOohZhf7VNEvI8abwAQLXawFhEXoMW3wNjHgCrQPEeNRGcfjru2K4zgNAlYrhO3C
mTe2gqaR+TJZmHNMqwidUOrEpm2E4sURz9u0oUkGNV1cCJ5TV7bXQrUdi1tEmuuz1n3aqbUvMBpp
xqEi+kh3Zxsdqq7VP7p0NKtil0QDu3FDAr5fBHJ40Uc/JT7EZi1LIwd+kS6ahRMsTgHlOdVonB26
SFPZkt6gUS3m6MSeUkLXuRQvi7GXWl+195UeRPN9tA6CNFPWAzhtfd0/8VpHfk/SBXSWWMHqUwk8
UkMDpiDNUrx01sD9FfMF61TKfIlJU7J+dnO7B19hGq16p2ifa+ImIqabC/S2ZB5EfDN0r8NqonPt
BJwJojehsgxMFvm6ZQKwWZBipdWyvIGNBs1D/uBXhHUNi+lqER+33kWNtRuW2B9QIAwqg2XzGk9e
MwzbJtd2jegF3BstU4rmENEz9+9rc6uAUwfrn8m9TfPbj195b2NYo33U7Q/AWdiW5z5Kzkq1zdXp
uNq/wgLsLphQWnW/6J2/GDyHWtpZ8bcmSDuRXNbPcIva50pXO3Ypf8l2QOSj29bIX+w2/GrLhuSZ
NEREghpvVoQrVcZXYiornQ/BgN3w1ivyVk3j+xJmTthYpN0JRw8TlBCVhA537Jaga03sPudqsH/G
tpa9QV4sV1KixFP08Fep0KNyqLWhI1Cy7pENpzJBBYWuVfwP6IO4ppKvhYyksyNKy4zsAxJszYUB
5HR0Q+FnabodGvsQzzNMHqkxqJgmCPlqjsDGan124q7ygdqqSiA5G4FvrLFMD+ncgEvF14altgZ4
ZMjKkwQZp43KdkWJOA/Vx6TYfmJlF+S55yxJn8LHgqIG7jTQ3q/srRSobgzDkD15KAffqB8KsfOs
H2SRWrcVaWc1GbZfPkS76NydKcZfPox3xrhZrWJrI/XXaagE00nKblKFSkG79xz5BnopLFpatl72
jPFrXD9Fs1WZOzXkZC1Km5j2hB09yY2MW6eeZ9Om16ldkq1DVd+oPT/iX1dj/RcaxwwFQkujXJp0
6cZXJjVMMJLhzsVbWWcvirUYlwWaGywhZzR/qLeVTHPz8WLWVyN+lVpQ6r1cVo8DVyb4ThbGd23w
omnvaFr8IWMdTUZBHGvNX42UP3NG6z2JokBLICsaULhMFraz9NaOvB0ii/46FR3WTI9j35FwtONl
LH+y8DsegTs5wtbyi8hgosMuUvbxe1CKRVa81vDXwe/YjpCvowjM8ClUzlrYx9eMzU0NFeJdn9ef
pB6nfdq9WnnQ58avXiTkk4yBjlyMLD8fpXylXYwJw/0xh1hx+9rJ+ufEUB0Df1hzcnLUuJnWb/uH
8g6jaLQhs43m1/KSPgdiuFbNaYkRPKFetdQClr9wjbjdGjFKbA97O3MhAoG3azNhLvVoakv4CRlm
T9raucTy5DvFF9kJEq4WFYjM1F1/Jjj7FQrXq/Dacjqv0y4JD6p16fTUibhisvF1bG+QTlDLUwGR
6tslyBuiU5u1XEdSdH+UKWswNPGYfY5SfMnoxkV7mKXPYbJ9Lu2nRDS+NL0ITWC9OrGboLllJulP
Or1ekSNnGDtu2vwpMix927crHiC0/14VDvCmyhN//6jGDiImGmQObZX1x4RJrCjWU6SQSghOoQEC
9WMKrbpcrNx4qJiUoJC3efW1Ljh+zMJpV9VRlI8+rPb2nPM52ILNvkwT7RR/sHvAgfCQyl8xIIBV
u40JJt+zq1FpeeIChq+LwcopSEe+7m3yq9XVLeoYgoTQwsKKJnQFjL2p9FtYBgpS1I0I7ZM0iCO/
xh+mAsDOku1YLxbz3a6xxussL2y3jF1SY6oKoV3mENeiZ/xsMEQxugXMQfPH8S9uTOuGMqDZjHE5
XIcYRJ9rf4bXimJlcWWZPQ8boCo9ykPaOGMtXk1kKCx4VIZ+rUstSNhz2bdsJbO4IpVbqyAHUaLx
HhaLA7siopzVMHYfjk7vdY3v77K+ZesoId7YKr1cUgBBR9qkD9ToNBOBVJvC2jRqeiklL0cgMlQY
zGka46IpwSzIFluPebtVRwlJ6wwGSCP2NEjRPRpzd5k169jPy9csgRtquty6lop6uDLtW6OQOWbP
NxDXrH1rH5Ny9z/OzmO5cWRb10+EuPBI3CEJetHJljRBSKoSvPd4+vOhzkSbpyhG7FF3KLoBIoHM
XPm7pXpfmU08e6CcNApRPe+ieWZbJ7WCVY6PqvuISj1eROFbQaeO/qUp2TTz4sEVZ40Aa/SEjUwE
v3juo0+Xw1dZvPjdq8Li5ovH2nzpDVBd5UkGNAwnRdBLqEMWa9zH4bM52B3eAdcvijtrgGRyjVhZ
W4Gvvru4VROIU2+Ek8tc17EpruR2qU2Huwbi3B0LGyTV2nRlpL/XY7Ho1AJDs/vYB+1acy0niXrl
URa/3Uaasy0YRRA8I5GioYGJIKPUcgtFcCd9lLKHAyV8r6rkjzf6oGQv+VhtitB9loAX5OYx6IFk
fRPBTWXE0dq3epXpg6o3k52Ez2/GOiQMS8EI4N3p5jqWPwef7nxCQ1esfSaB2ANeNKOQoZOpTbDl
IH1jHTcyFkxrlaZfWmpCMNZEEvVKs5N7XyEs+DPrXswGnxCYPBGL7HfRqhqStQmK5zXvGSnpjf+I
Ewu5OyrEluFmeeiemg5pqC6nnFZCxwBRUUfYIUsP1jVlNAg62FQ3PU1YLtPiDC0bc5K3xWtlyfde
ar8leUIBDX5pDomEtmAKd0D0uEqS8rk2Ke8A3EKz3RNIHEpLdONe3a8sDFEomHUIEeGUJaedMpxk
6vSWmPkS9AaEdqKhejFM5N95aLi/AH5ZwIo/ppp/tLxZdByKj3SUsL3oRJAxMIl0LzUHQT+XecX5
whmKF3IdUbNo3jzpQDlJS26wdSkN6ySHuSQzzgn/VKJxUbf1ppERgYxiR3vQGbbiXkHUUop5XAer
wB3oYww8I70MHm+sUPa5dQcEuS9bgG9hnhQvWyOfTryu/NXTRzZtMvxDqNVIeLZq/j2F/eCwPIwr
mgZsqpKJZRBtmH91LkBe1tu/mqiEevY5dUs4nBNTB5fR8yXmhJ6M0wOy9mJTxbZYj3YB/Orrd2kI
2kctJDteZhd7rUFpJpQSsbG8dVWK4bBywtDgVOfxFVZyS12KE6Uy0Kb7Nmyh7p7NzgRAsoyDZIkH
KyrminvIhvLOpKLXhL+sBGCxmLOM7SKbegUCzKteighxStevM1070k0P6u4JHnLAY7Hquj9qYe2S
0F7ogjcM/8X9HkF3y6Rbe22xCfhZSoWGv33KlG5phG8s/OshS3aBba3dasXh2G/2xpOLZifP6e2N
aqXKlLkLtjta7RwZ9tZ3X92S1ZEPBXGNH4x3uWcsa9htve+BYsVTTkRc1tHOxTyZSL2xW0M9y/Ni
/KOj1KrdZlOkbzZNjIh/mCqnDm1c+ttuXiT9obF+owPzg3dPhkhBx9Y4gfTekdOtmzaPCqJR0iY3
GpwubzGRhajH4dyA+CP9pIWvbneiPM1qMKycWYzoQrKWci09qFm5tn1tWRIfPx8mLkbrvQ2n9JUm
UMAP2bqVXroiWpkk2drBTu2fc8xIaktDNF2ei6CaaA5Tict53EqAkdOk71jYQwJbmk/b6Py1rrqb
yLDefBrDtkW86i2dtuIY3lKMNwmCPDUyUZkhTDCVXUAdpGPedCtvX7UPXRes8gHrn5lvNSwEmAIX
BCpOPvhGZ6SkFrIT2ZWlzzgjt9jnM9Ayjkme0W8j1B4GKF3iP5TmhxQ8yKaDvwj52uugfqj5pwUv
rxSkujavWTriAQ27z6HP8Nbn6auShac8IMS20uqT0ltP/iiTX5CM89wedlK8y20i5irawomNAioW
cqqcxsHz+ZkWFsSS94ShRfb834iS2I93YMfMLVbPzIpWXob8PILK3Df5yXcfOMz4GaTwLvEm2+Sy
aMJFbYSfBsBp9zBIT9T7QeGeWgPqqicAQPY6xNZuzXkDSJ7z/7aO0IEbXXeWkaSOKG3toV3XHE6E
COKZKtKDWgzOaCTbwTfUexpNoYnVajyTQd0vRIMCV1E81u5YWeXG8KkK6yNV3634NIpmHpcSAhe1
QpKV2N5BGP07CvYssheti4xPwbjThNZG06x412RTlZS5yZNSgupzFHa8sG74PtKJEZ9SHqhw+nzg
zEv8hpZCaQ2cjXPPWstiqZR0KQxQmaYHGs4sa7WcW8xqMvJ1oe2iBJK5Fu62j7QHPfSXkaE5nt1j
yFjl4UqRUJgicW90Ry1XaXiQhHuPKaIOPrvOOnvDL8P7jeUXSp/TqGlIjurfK8Y5lLRTBd5eWvlB
6uW5qYtlZsrmvdVHKKJ8S1tymCPIKemWWBLfgg73VUdSWyJC/d1yI1Jn24JumnH3v2W7FCMuVSKO
KaKQINAKLMFNw/sy+uXooz3CONmnL0K8owActc8c0kBD+tA6vUQtw8KSPwtzfOTstDHZfVIFjsT2
5EOLGUqqP/oxOjDWQwHj4WVOkMZYLCzEQ8M66oeVL7yDhOag6MO9EeZb1TPwyvTGsslV1cEHtIiN
AvRJ3hYu6EGQ+89lJC90lG04bWkfj3I4q5Z10h28yp170CzZOKDPH0NHE5YTZx1auqpQ3vPRNn0g
FqJepZfKKueNzcq6ppMDAPZGReTW0RXAxLXmxB5g7VHrXlmAG+VFDBvd5aXNsVtS9N+PPjEuqNfv
KbRz74HvQ7fP6LpFtbE5OrviMU9NWJmH0Vz22V1NRaEUgAd6veqE+8A8S2Vi9aQ/GWJ5rY/mpd4w
W+IcgaKdI5kKc8lRNFHPA69igJU02cZVRyYdYG8YOiUneC9wCnibouu2Vm7e070qdyojO1fVw+Cv
NM3RA22XgxQr2lNdZJTSHgeCRRa72qwosKZlSxn2VRP9PJ5SmDi1aOkx7BsM5C9Y2za2nK48JVJX
ozJ+9uZ9R42Wjydb+p30L9DiHNUnZyjNcQjoNcQ4d7NwCW0bDwb6TbEtUECIai37ykdb5YiNk20P
IKOmW9H+9rQRGXrwaakxmLjEHmiTD/ZcZ8G+Jwycjm7iwx85tLnauNNh8kdqiqY/4nsBTRkWAxv6
cJSY4K1sYElQZkHT/8I6VNu/A+1LMddjVZ0S4wijCV084DuWioNfpo6GMz80yn08nko9XtE0dVHC
IWnJuUxfrfB5KNkP8ZyLXdyhaS+RjWuHkoyqqBSAlRNvscwsLFSBE09qRHhag+IVNVo1WvtS+tKI
zo3xD5sldphJrNQEOR59scBJ5JNPV9Vr+g3Nk8BfQPUOtBxUcd4uEUGrpph7betk40E3U/5jmDkX
YiRgj5UKIEYEqVgT03g95HeJeqdS58iretySHQvAPxvJQ7J6jK3j80SAeYss3+DUDUAnjQ3Aka6v
6vZYNPMEuMt70L1FkVJso9LW/xRTcykAEhE9Sag80EugWPLvEJXPIu1DcI6GVUBnJbUQsCVOXenQ
+EhS6B8bIcqzOZyrGu8IliA4wmxKBtssCovCTeZBlS67obvLK0iOfdDsquF10J3QNOZqtKvDc9Xv
TYSjanDMZYlP049e80TfWEIwep92fiqldGtasL2ljToTi6T0Qfmx4XgO7IdhGzxpUcW+M9Zim9k2
ffUwcHHUzWr47d54lvUvI0nRd5nbwBufwuLdVpoE/wqWh6JTHFyqzqDWyCCilRQilBU7b3qi5oPj
Om8e3RQoNRbARncXaZ0/yW1zF0DLNBYB0uVOaj3sYtLCL71HL5y+iuBs2MG2YKRVV1nCvsy1stnU
2l7Ig0EyKqVs6FW0y4vWcl0dMB1T5D0KL/uFYQMhAMTAkj5mi1DduBGBya2BuGQYU2doPwxDAzZq
gAm8fEU+FrhqCQLQNSSWW3PVHjaKPAxO0elEc6Z3WRiT0OJTjaVtDcpitl6/dEVNs7KC42/RN6sx
A4iISlyeIFBNXz0FZcZsrzyZFnEGWSt6raonT1LMpym/T3ZMzvmO1xrNxlYAEDwbTEG30W+KHrko
ViisKdLwUoxHJJ6R8isqs/lYkViALr6Ag3612OJ776GADDIwUNjl0g3Ld70+lSamiQFfWNcnf9IK
0/NQudSqDQp/pXi26NlbJg1lWFd/+pp6VxbKVkyZEHlyyskwMjMRrLP2XAIgw62NSjTzAMMEBLKl
sC1inekNY1mYv2lyRN5R2G/c7o+HVdn2Ocj57tluKZdSMeTHtESshs++5QRKA1cDj1+nHN3pFJlD
iWjya6wYv4hAkrJmk8Thq+bhy02T4d6ip8AD6OmaErTWwb7aUxcjgFJwNywq5lrZ3Atie5DvB/7n
UG/UQFrI6kJYzQaWZZUT+JTHyYNPbhb104hkjYxBSnU6NKDyG/Q3LzomieMh00YdGgyoHIZTQLr5
jHqbHAEkwL5knZJxnGudOw+rhV9Vn2qdr5hLTlv5u4YTlBZJcwMW0oqhsAt3pYIQ+f2DPlCgmQ8C
9NWp3GGcW0lMqU1KlpS0X8n0wQVL2petNPMO4U7hPnQ6XQ1Fscqn8gL0rcjfsP423VIEuNroU2WC
lfOsWBAKdYmYSGSw1eQaZdZRRssXcs5QIkKdTXzIbtn3lBJY3/Ax+kHsjGnKPj5WB6uTJm/kGZQn
Cx+LYokBF0/+KYAUHTjFPaEbJUdA5ql7T8U/Btiw9JJH0Szc4V4hm0XaMC2xtub2spTeuhqBTbhs
jHlfvqH/9miQK99X7tbvHgdl07rryJOcPji54V2MBtV2evUhLpZD9ztNFnb6HsDOm2+BAUn1XMOm
Bq8+a0X3LMcLi2ZU3V4F6JRSYmpSzrVjxTk/OfUJyLlQJrFncOdZFDbHiEXDbs+m4aT9QW2fU/1B
tOZR8oy3nL0zFgdqYUduD1CUldw8Ff62sV80iuYcPDxu3WxR2aZ7FE03VyteWoDXo1Exg3FoKWhR
0jXW0S4IPaxQ22expe+0yVxbFILoT+jxeUnWeaJUVKLVwTaQ+IwhS9SYgDUm2rEuUWVp2bBuJAEj
lVVb18pYFppBXbUIseYF9isleSnkzzgcVgWekiGnzW05jgThtAH/kbEbNHejhOWmzIt1LOGaiqWV
ghlAkAyT3PlTX5h+4Y+/fTEXbniUs9oGaja3uSJzAlFQUYNubmzI/wp4L+9e/YhO8KlKAWPCcSgr
8rUe2owqHlnwrjQoiAZseUXyRv7cnS9zmM7wBof+ubVSlt9hJcjK6ZNVbR419ahqGwE0BBMpW3cx
R/Zq2AtDmRlFUW51y3ed0Dd+wVEQPALdXfpESUEw+rzxVtE/PVWsQ7xe0QizHaHEh+3wW40prs1M
FW8WQVly+JEI1K8+FM2g6itg3FynqBXjttSifaJVD4GO9FeKnyQv2LloNAzJOxhVoM1EjhmtDte2
8NfqiDGCpLU+GxwiN1qIwPRMBtBMK5/zEF9Dt8ikO7chOnpIjHk+2ZAi2OJzw6fasrhqk2PZjFjo
isJE5W1qGs9Z34NyQ9FnM5dTo6/2mAaCKpk1hfxLKtxXKYQehqEyTVIPfOO3yWZdxgsFgb5dbfpg
aQaUK/7w5YXhLrVRsmNYoIIyMsC6YVJ4pqvGbhYWcjZfSReuefa9YF+j0TFk0IqpPo9x4qamvVVK
wp0eVYs4OQtNUATAC8NWF06IN54m4AYuw0p69tTSsWEI6thHuHH2+EXIu0OjcMYRjjcdfhc2chAJ
aobwl3bAGCWSOwv0sERo2gRIi1AHzjR4wSROF5Ve3LtZejRj/0T/5E2fiFPe7MOOcKWm+YOgJpTW
Qjp6keEQvfFLcf2dm5jyPPIxKVDlQ0faM7CsfeSidQp7hMU/x1IpU67XP0KpLpvtRl46JpbdYbuZ
yfOP8QXj82yKTjx3M7yDN6IT/x1LrV022c2jsDVk1UDJpy996TGv72v3+cYD/DvLm7PXf6ZqFbov
D7GmKjtZ7vJJKKqW+0H1QySJBiyRMuTFaxN1WGSN0qCi9+Fe/zSegF7SRx8Vwo3f8e8sVbat//wd
Ua2mZWuj0hn7wxSjG+Nrhwpcjg46L/xK6qKI5zQch/t0pX0I7iDfuLV1bQimYf+WZ1bWmjmaFjtD
rxOwS4aX6bkyxrx+AaaHavohok0nHA4226SJd6226ZSN2bz3NYEHFR+YVKxqG88irpCg/lXE6iKU
7N/sYpW/Zv4C0KWMpjkrwB706qwaw1wdqNRsHqq494eXlGW4etcKZR2gA5FtzOahZ7773RN7KCYo
rJlzgdPMzXtaUDTr0JC2sV4hsycBfmyoaDHQ82FrePKTmek90pnEKkk6K5jZ73KLvTJdF025VqJ6
m/oSmiSdZq1Uhb9jzgdqsVX5Wx/jwNNgc39+pVe6ZmqXzVQ7P6lazy+0nd9VEorwuHY1ki1T6TXI
ZJzlAcjD705FNaK3FsdMU5XBXA3iePQ6xmho6f1nGcUTiB/nG5P0R7J60ird1R3y3CJSy3NvUbGo
mVs9drYZwsR3CliejUALS1IAMRiP+EwbUbk3Jrw2zYt/TfiLTME2j+IsSeWRLpP+3dFJtu4pWwWz
D+e5Wkf1TF6hm5FnL9Ic3yBC4Nm2mz00jpiBvM+91Zc3/8RgtZcRei9uDfO1qXOROegLSa0ky9Pu
PLVdE8AlI2CRil/k5/8qLXWW2xrYq7cAl5wYPiS7SGKDsMN+pXHYIJsSaiauKTm3DVxcSz29Lkjz
/wirl4ADR0Jcq3Eq/JOtxGsLGXvjESk/QKF1pLPKhnpAw3vqPuX8KTZ2/ZcxTDewSCMb10l6H2rP
EhGQ+QKpjneUfSK5Ju3DQe0E7q2XFvFham4x8+rNAi3nmT7UC+sByH30nwZjKZP9EZGFupeo0hrH
oq6FXmeebL3XWkHujtYJ5+Vi1DGUL9MOPH9F+uL95BUFhP7qLIQ8+CrntK2R99on+Xr5qWveNTYb
NmS++CTaxbBZY36EUO5zQgykLWrTUvSzjoS2duYSdJUC6gCVdc/WC9y0od1p7M0UwU27hpfBzVd1
G5NQpCY6TBFkifbYkxSMRk79XeXMbA72LloJmqqNiEG6D0NHbO03yyAZD/gv2TZ9X53Jssns9U5x
6WF40p9jVT8F4d7LEPzYxwRtJWkLIbhXtaiHTaXqiFQfhHpo3D906qn7o9YXC6P4GNMdfilo+OcS
g5lJ15KcVYeUKCw/CvCc+hCxTijFQ6kHDbHi4kHN21PZpB9qZDk2BzmFOiZJObgSwkfwxbCLDHvO
8SgoFz0xCJygKUtnIvxQXfqk9/nSh0CmA3burRP3vZIPKacDsIhcFwTzkuulEtWCZmsdxSyl2oGN
eYR60NAVp/yqqFshnUVzOIaEtORUvhod4LSXAacDdrSweiqHbZPuVOQTJUJuBIJFiKc9CNkUjOZL
kEjnyng59W5uqF/mCMRBF0AMGlZ/avR9kpyJuFG8jW2S/xMsqH87+rxXmOwibH/ea6UGv4TvP0fp
OpXndv4U1ec8VR2l9e4litmkbfFz0+csFXO/wTZTaf6qz6IZyu4cfWeTZA8/z2ft3+H/2mVX6EZR
w1AmZ21vNibZQxZ1ZbbMiJBCFD6n1TEgI1CUnL9JKHkMke2HgMSC4ehpwYQ5wVFVwZ+0SR7yeFjp
yK8SiH6fzlqC/kgeGpqybNZdCSSF66YrcwAIgqqsgJ7P5o1WvP9Ol9Yug95rqUw9KwhY5770hXQw
MWvke4ThN7oLTGvtP9bg/xPujgLOU4CseXIVZcZHXN2qhq6Uc/JFNeTaVWbGVRbvDXWWHTh0cPYj
jaChlP8aHnUOG4bjvng3OkBdG6aLmkfKSBgMBp4j4ljzXD5K97BEU3Zq9l/e4KKy6UXZpTrZG3tU
SCOavYP5qj6ijR/fjRtZydcKYPliP4wKSRFayC289/4z/Yy+9K/qLN1zoqmVlfis98qtO6lX3vrF
NpcooaVqKM733Rdd2tjnoBTRMd+rOhHh83Lr/2luBAdfq7enX/CtIGxId43pDKXeuREgdyCxibJu
oxDKCA38eZaLK9+wuAjRTeWpSIml/g6aCNcSgYAlQXFIZImtNbxwJlCuJl68RPWyT9Fy5NGdFHy6
pKRL7oisrHeS9jCiWJb+RAU4eBBtvAryqZSWIt36EausAjqdo4WvQB2T1jES29EQ8QaT66BIVy5U
JOdA8v6iStz78aeiPPhh64DbzdlTS2VfEVumVYC1UfDapIcMKTm5HnbMlqG8lfTrbPqlLT3n/qcS
yedyhIIME6f10QoqpELbIZSB1NBT77nQzy2dv+vkgPCjz2nI0L/lARHq9GZooG8GeyvZaI6ouO+6
9LMfn9QS2shPDmWPmYaTKIxtCGkWxLk1//kV/F1Q/7GMiItAYfbiVthDjjGATC/MjuT/Su17UIGS
oHlvsUOY6EZ8jvtjrJwl/cgnuCrIH0ZN1fnlDKlkr+Ffj0DMY3ffFdaXpOOSSerJ0vee8+3IgJKg
QC1NO/wz9hVidnY+thgcelGDDN4s57gBCouzMHVItFGqCtJ/30nbOt5LYtsmW9tUEOk9xug2YiSW
cXXOh/UQVqcWOiG2IXzzpl7F0H4zw/fPRmB/Zq4xz8Tvyt25iEZlTGJJ/QCjuMjr/hz13Yfmtmu9
H+YaKSx9TOi86h308a1PN1q9t8bxRrGsXDlZWdPC920iyTWQi2FWkEj1ypeIMsR9/UvSvSfdw7K0
dROShYk9aG+cOK6sp9aUHP3tdpQc3YCIRt7VXm4+WGVUHWEiMY4kWWaTt5+mhMXEloPMLiIoT1jG
6edP6VoUu3Wxb8jSKLM0DdpOqkpY3NFNl9FgPkgNhWGKOjC1eg/L5NGQazDQP0khL1qpQtfbAZs0
oNwZ4KktB+LW8nKtiLhYlnvddmU1sjOSpjq4MAQ8c/ndfSfeOoRrIHNFaFgNxdrQQKccNJg5wvA/
xkN+Dtr37kniLABp+NEdeHukA63GnYQ2ihmPkJ2Kgh4npPJ8mCUZH2srfAcUJc1Wndkv9VcU36Fm
53H/xHSCB71hR3sp6RlCKfBJ7Sgh7xhm5h/0S1K1iLYViQVYqWl+t0KyXqckss2KNxzUpTxLToRi
Cn0RVWdSUUbfQ5C4A7NPbzQuMK99MhebijooRTaSInVHOvxSW0dbeJA7JJwzn7bV0uxR0HNMn5tb
mrfO/aWN+nIm0fQsX5r0fzI510WOO6OyXAPkTf+Xk8xxWzrkssx1oKB3bYGbbhXPsTUe8U8c4hXF
7h0xy6hyV7CPm3jVrJudvxBLPFw35t3VEvJiAzOF55ZmxlPRvnmO13+lruQzHliCpmkz3jnkNS3M
DcM862e6Q0jq/M/rk+dES+qQHfby4sZGqlw5Lf+FXL7NyGBsop7lW6VTHDSng21lPg2ROUOmOydR
YBYs/acbc3B6uH8s59bFcl6CAETRdC93Lz2kG/ohnIZPkr3n6eK/BOL+fkXfHseuUZ6U6mDduTbq
9CI6CBUZYNpH6o03d+Uob16sYLXcFqKPOutOkSbPZUOLnSLMCGaXlnZc3Ow1c2V1MC+Wq1SzS3Le
R0AM6NW8axx9eGL7QedgLTuTdgnVTlBW27eqnSuzzLwodJusaws3Rm3fNmTXE4kpFdsEpJc0O1Jb
OidXaXWS3vgQrlRv5vT3by9Jg8rV4xiKDmxoNcrvGgZz89bQXSnbzIt11dPNfIh0jS49nnVuC7yA
pDL+/AFfg5bMi7XIshKRmX4DBFpmRCVFJRR+5NtmPce4Qb52b47GQrbw6ebIeY5KD7UcGKRb0TXA
XySGT/FII1nStTXCCpqiBrnIbG/Wj3KDMFkljWRAhUmTHDLZZSnYmZUqb2Lhy7uGqAqnr/HNtFjI
SblKxauuEg5Ji18XdVsw2tadSBSCRV2X7K1Ytn83pNvO47zHMxDrGYEJZOD9PBLX6gbtsjg2O9do
dCXZD+cQVSQNAf4k+VKFRZjk/XOkVzDXP9/rytfydwn99rVYrp83qcStstBXNiItl2h4NaefJK0/
3+HanL5YjCGPyxGZJu0yKpKEiChnRZwTxjBTjRu72LVDmHkxXkFpmPiTuIWvRcGqRGhIqLlvLFoL
3Z6hWPKi661qr7a5ewz8stnGCQY98mlDnGH56IQs0zeO/lfG07xYhf0hga23zJ6vsKBMDbYCHdgQ
FDde15XBNC4qSsnUzFDuveFOKvY0g1D7pbAJvrnVZeTfW4hxsfxWratnvUZfgyAuAdqJsq32rSov
/qsPwbhYdeU6SOICSe+dKQjA0WX7rSLdVa26j7gNb02dK0u7MQ3ct+8Zp6w/qqPMTQbq/iZE8J5k
7TZMdAAifyfs8ThqgzUjsN1RdTQ0Pz/blXXRuFh0C4JxisJVe4x7T03ymoU3EIxp5P+xqRsX662w
IIzLgut6yjZKpwRABOUKBlF/YY7Of/fbL9ZdM6ibIs2m3y5Bp4tlEKU3pv61UbmY+iUxGlaZcOUp
4q2OHjr5RiOsa9PgYsI3tD5NXEnhwrFDOvKgOIiiCfz7eUCuzGHjYg6XVed5ksrVDcuf0anDVcm0
X/187SsvVL+YwOiIei+cfrmNPVXG5DQZ6tN7oc/Ref58iyuD87eB0Lcp4CeuN7Yx6htdxaOuwXSb
pER8ctD++fpXqhn9Yh4HaTd6pPVmexNVuyeP7kyxLHWjtyQB0sZP8KGy9toxAoBMJbL057tOV//H
TNAvJrYfow0b9TTbN0HzkUWaAU6vJasoJgkiixrsGcT//nyrK406Nf1iNptNk2ESGsM9lqHoID+N
CS7quXTun7TZLRD32lua5sy3t5QHgchpmBruay3jyJEWAXG3hfgILeSqOUb/W82Cr31xF9M77gNb
0dyKxFj091iC4uDZ6nfSgH+u+tX6+Q3w4cpc1y/mepFIsa4jSd23sgieCl78zrUzd/3zK7kyJfWL
Ce97oWd7eRnudW/ZBo9he5TzGzPy2qUvZjtkdy25ehzuJeJEE6sn2ndRlDd21CtzRbuY7p1Ffaq0
jEryTKB7ivmLUDaF9MP5SKbsrXX22l2mV//tWzK0sEVBOo09pFu7Kn/DyIQ0lnBnPXkgf35+Bddm
xd+6/dtdBqHU7RBzl5A4rtIJW7o3EPQww7TXSFsXl0NxYwW79jwXcz0K6ogOytwJ7THifXBUjL6i
WhBPX9JN4sYDXXnx2vT3b89j0yDXjTIiKAf7pY1f47giqePz58G6du2L2V0nhu32QZKQsnBqMeYS
4e3XwY3huTKjtYsZjVes0lSU73t9T558gxcOAPwkFws9u7ECXpnMf3uYfhsavW7atk25Q1M/E5mG
lfDGT78yLurFfBjSXOR+J+GqGHtCgD8rzKX1jRXoylejXsyCVCq7EElOtA9Vh7AMmfgKcucmL4NT
EMZ3qxfwlbFRL7Y/Pc6HVFhjtM8Id5PUoxZvfv5mruwIf3Uk3wYd7ZlemkETYUhM+FwAHi0dUgCF
qZGqzz/f49pRSb346DUFBEeEQbTvvJDMcTNth6MipQ3iYJYjxQedHL0p79nOwgVSvW5hj6m2pmL5
iGohrRWv7W6sjdcGcvr7t+e1DddvUjOP91V/lPQ7miHd+MiunZ/ViwlS+UMsijiJ9zl5Eza8AdYB
XPaz5tP9VWG2pYPZLfnJtYdQ//Mh8lFpfJEU8T5ElV5Yz3V1YwW59jVc7HiNko6jb9rRXozSSidL
pgQrD+gGYN3aU69UVOrFxtfEeinlKXdoJFoL1IS0nFzpqy6JZdVC5+fv7cpT/O2h+e0dD16AJMmA
CQ/xaTf6Q+QiYEB7kY23+rdfeQF/O3Z/u0NkZoOp9D50kZo8x1WNxFh6/fnHXxmgv6jut0v7oSbZ
5RjF+/GzfVQ+8i/3F77Zn6997WdPA/bt2rVWtzFm8HhfD6ZBWJz6UurSDQzi2u++mOM1WTL/Kz9o
kB/QO/LZXPrnn3/2tUtPj/PtZ/cyOsUi9JhZ9L6AtkQRqepE2oyhSW84YpLd2P4vR+hiElt5YjZe
zQhhz6GzV0OyxM/PcGX7VC6mbFrQtI24PL6YGnnPLl3KJzvd5e+39qFr17+YuXZTGanw+OZp/qk8
wtFP3bhLrMkz6M6fH0G59vlczN02zwJfnhQmjTFLDtV7fpLu2TC0N23uvYr13F2gIf75XlduJV8M
VyjJpixcOdpLKSI1a2Fr0o0rX3sK+WKk/M5Vh3jaSn2JJJzMo2NbZXCqI2EOFWQl4+EO6FGRJgC/
Hd45R6qtfCHMqjnUVaavsrjOtiyU7uLnR73y5uSLUdXNKqu1XIn2Bf1k0af98p6MSTw2w2fw8x2u
FNHkf/znBKrkDgc7TQ336Seeb9SGsZjFL+qndXZ/cST4+S7/fmXqZZ9wu8gsmdYK8d7ygVlBsbOy
vPEA1y49LQzfFgA/lzs07/x+GZA9sWhtGro3fvW/a0P1sp+3nGhDif+HeTPymaUSDn+tzXsSI7vC
+Xlgrt3iYmXMZIuYiLGN9i2pXvjlifYwQfRvncOuXX4atG+DkzTpQF9d6o4kgR7bDcGq82+ALv9e
eFX7YjVMZK2mtSSX7s5Ed9NYp3T69+Th52G5UjCp9sUc74vAkESH1Ibejf1je0LzMnWFPtZv1bF9
qz5u3GaaR/8Xw1Hti/keFwExGBEPQZ83esgMUw+JGXFmyiqADKN5s3bjK/33RFbti4ncB67tBuhW
92gPyOIyakIHV507Cz7zWxv4tZl8aX2YmljrpN5RHfi0uaXxCo4flvqFVS6RW5P1L27Rh1fm3KX/
oWiSivbLDFtBU0JXWjcs+j+/kSsf7KX7IZSVfnQLAP9WItKN9srSa0Zg1s8Xv/azL0ocrZOa0cYB
fVfnNJhgB3SV+79X/n+f/f/3/oe681iSG8sS7K+U5XqQgycBmHXVIlyGlswguYFRBKG1xr6/bH5s
jmdmd5NBNjm9HLNSWcEg3IGHJ64456W6+2vIdP/6N/75UwVeLYni/tU//uupKvjXv51+5z//zLe/
8a/r5FNbddWX/vWf+uaX+Iv/vvD2Q//hm3+gezbpl/vhpV0eXroh7/+8AB/x9Cf/X3/4j5c//5an
pX7552+fqqGkPe3hJUqq8re/f3T++Z+/yVM49X9//ff//cObDwW/92b9+JIlXf/h+196+dD1//zN
U79LoT3raWNdo+1psEwvp58Y83sA+9K4WhgXfbyVv/2jrNo+/udv2vxu+D+8QFg0ykJ4/KirhtOP
lPe78IUJfEu3lXJdior+48N983z+63n9g9rauyop+45P882LbwPf01yZSymj+ISvZ7G+g6cUKxih
RZhQ0Ob0zWF2mukQeUu2KyHKPU2RGu6+ukN/f4ivL/ptPOB0UcuX9gQXRGYIYebbWZmdduCl2qOM
fyhImjS02dCI1Vu8bZXIEBDkVPZfZ0pGFgNy3MG2jfNZ/GLJ+XYq+utTSGWFUULzkF+XZ6BPm5oq
d9NjE8PRpPcslFQARKs86RKK94VcnwLsAj//6sIG399yykI9aT3Xd4UR7qslL2kXZ3FMVx0cGHxv
sIZdLRDjloeRkkIaFEI139t+CPPL0Lbmc1LVnYZlUGGeFjAuz7J0Xj61/Tzp99Af5XOUekCDk3RV
9s0clymBflpmcI9ZU7bH2KQyfzSZHeSVmEfgfQ3d4aouypsxaIfkkKsAVYYz2DsPKXPTZeD7Q+HO
cltJU02XYZL1G2cZ1HNJiffGgHerQMNgy+LZNTjMigBpWzpPPny5aNVUb1cph+LK7SPaHHKZvYF2
XL5kLDNUrToat4g9XyHhwXGaopfAuiEdzwp6/ES3HMn+4CDX7K4Ohrtgip+zBaOVl/fOPUy18KTb
6B9p/G3OFyHrW3fNaJu0pfslR01ytozlIyXG9jHSuXMM61OvvoumbQy5SOqlkuBNiZGoWfJ9N6+3
tllp6oqxiYim/diE4VsnV+xsCysPQa3cLV0s7ZlcTjzoHsb4lPU5DGSHhshRFtTcW0pbjcrtx37x
L6KCzt+GZqaNXUX5UvvWfPLHuqYtfh7dhzHSz4WXnuy26nI29ZDuJ8cGdpc0MziSkm6t45Crkhjf
UFa32kPtsRQIa0XjLC9rU/eoVQOrZ9o0RgHQHkZWfjfMTodrlna1W/oozZcqN7QNW8xjgHetnm4n
1RvwTvECgIyTuX47xwt9NrEP3wab7jB5t7EpIMT2WYZdAkWro9+1s6D6Bo5T0TzIZJ3aR8ODmo95
NkYfh8Dpxuum8ZAJmzKQFzbTC+VlAeCAXc+L5gN6wy68WeeJ7hViZd61MwPK2hgWn+EyAtP6RCpi
eIizFNulcFa6bZxwAGBcQfDZxdINEBzLpIj5nKksD16c0PZBkbD3ILPYqqNH1295Po9wwPYZzf2f
gtkb3uRrCcs5KhxK+YAn+IJaIjoVEXgM+QToIoW9RweDsLd68hcg60onIGP9Il6xzOkMasJAmIoi
WzUU8G2yxoew1AxmH8qsx0A6mSnfLXFVP2S9rs0W4W/53mN+PZEZ69wBAlun4qCTGCKfJY9xnlel
qJ/GnqZG+jIWO26KPINPyWQPj70Z6QfeeK0PQX3sHCp7Uz+25X7uU7TfYuD8A3c7i+kmc0pEjgSG
aP0omFm2ubYROb40ObUEYt0E60dOZtmruoXtk1qcd3Gfn9q+i9wfLuiehfLvkiaseX0jB/1bNNLZ
PXYFrUaF8sOTRU/2u1H6AORa3+rlXTrEtruaxip4M9tM5Y9wDrFyJan0n5oynCCxWPUYGHdubtJy
mHMoL03GjY4TZNxT2SbZO95q4ClRJg29VarBTZMsDjanro394FhkqrymWh++TJRy9mSmTzv7CIxg
TD7TB8mvusUyexcskard6VwOxWXg6u58lN4MAt4r4foPyypzQsyBGNFByOVTMnV1fAn9jiMdscBy
PYGKJZiupW8xn8XBuk/zabpUXRk/mLmYDKXPPjRE7QRwhEnxl5/WPIMWULqhwpLeJ3AQ2D8Mbxaw
MP6uSOXwGPQN1c6VgGJ/3gaQvwruZFpe8uaqEE5/G2Y7k87rg577KcfkHWHCSNrYg6PYAkzagOwY
xW414AA3Y+AML4FbGAwiYLphgRozHhydm3W7MA19ckc9ZIcK1/R7UabLBw/8DgghaewNOmTgE26N
l7W2QXNPZ2ML5NOqydshMAvesjNBWBmGQSs2p5DRSXFBNbb1Qjsfs4nGqq3IM7QAIMuLT57Kg/tK
eB3+JhcJwgZb0ol55M0fQF7W/dkCRWXnkBUC2OnSjOB5vvNkxCrvnNKdIQzrGKSdXxQxMKGUjkdl
FgAyoB8tDOEJ3M/YIYzUqYzptMuXuT20EVChe7Bcc3Ut6mxar9swxO2n6yhOjl2TAGiVtktuvWUq
84PTeJiDysU5sQqsQju29KnWN1lL8fmZoaP7LjN5fev0Fdnbqq5JChgqXFgtXJvhIpgZSFv6QKmp
cSpJsz1ZbOK5vZkbFAQK+0icui3mjqqN7volAS4C65haJj7IeybTCE6Co2mjbVZ6anGVw/Xuu7e6
WmFUFUTOq4hFDShMX76FMjeT9Ge4XNqxpSvPjEn1lEaqXmBKIXcLpsHcJHHp3CajHNtjn4uGceF1
a3sAKeM/9AOUlRND9i5X7pWUor2Br1GPz0EqgWrKtnbiPcCR4U0GQeKunt2B1vWot3fDFGaYT+LY
d1GyFGhaG9u5GuPBQlZGOsuSb9Qy0FGYmGW4YZFlN4QAQQ5Xbtyn7r5pFkfvpgiRxkFnMw5BirbW
UxlG/tnkLB9A69aiPBhmHCqRNYG289YVbnvp+iX+5Bn4Gj9ElzL5mdxmbu74N41Y5oeggVt+6ftt
Fu+nkQDsXmcatEiFpvtQLVB70PuJtr2uoHogay5bH1kuW8PuvAPmymZB6+rzMLvjlZ86y3wcKLkd
t6tozDXL+BSgDBq8D3XWxzWuj7WDlpWLFeQYzuEXmtfc4nJIKojScL/gedsW6j3s6yCamC7E9JIC
hILo4YJMOI4Ai3GnDuxqz5aYCDqrUZSD0G6pd8js9IK3HGFUN4yfes/cxjXOs2rw2x0tQv77oEMO
v4jnXmNuNE5/4dYcvxI5APEM2n6fkXWB9QFlOyzio+g7xN1Ng7nMejn0tk5Z1knXKamTz+M6vVrz
zv/g8wqfTYEavsg4CC+yKUYFOVX6OPorXdU9zsyqmVCpOT1E5zJDyO0VoB4ofX3jBHn2LhJAfmDW
CBBg1Ep5G88dsytiSeJzHxfNhaPsfFEHDcs3VidA1Wny3quN+yY19cPU+hJbdTY7+yJk4zCJ8WHF
xscutdw3dX4VKvW+0i3e1+L0xjl1ez5mfQcgARV5utBDmuquhxPeR4dcLhdNN7rHIYq87WJdzgBj
vxxjatQuvV6kO8c6BakjJ90lEHFucr+4ZW9UbfsTPVW7/kPbZ2wLOqY5lAkbXwbXTUDtQOhnF0aU
hyyO6v0CXm7r5+VxwHI0agPgHibioKe3vtKwOZMJ/3xFSyv5VtRDRZfu1NwG1wW2lL0YvfHI9PBl
CKrsYLz2fQfbsY/S8Oh6wR9uUyCAw9U+i7G6zUJqK8mCXPBnQixPbQ35I3tbRY274agmD9lC7ZuR
xzbugG8X9+yaaap13PuQpgYdOOYYFR213BbiJBSM9GJdAkKHvStR3AOKMQu1m3wIpGqJvQgrGvKT
AsijoEIq7ivnmieIy8GK9CFeFQVkjTQx6dEpvO6BVG510t7McQyBPitLlJe0OqUGSvualvfB5PGC
w3qswfPDZC0Aah3XspZf5NqkH2B7+Ne56T+kTRncE54VlzMvByitMruQJr/PEGYBD/Lj5zn1bqp1
gvzujBDXVRW96frwMbKL+6B7rPdVECP2DLaROE3EorqOexqPWK+NmbZqptWjMpBPguhlStGAtBKj
gkL2PdRrfejT6UYyerrUc7FATh/DomF4iBs/7Gm3V96Hyp9uWx2cE7UEkEWFitKk1wL3sy8xHwli
jYUTH2sxPNWtZZ0LMMp3xL43ni5urKUXvPPFMxuZxQGqxuAri9m+7VvvDxRjYjeD6zRAEA6gX+fd
ACmHVQih0cAoX/pL6ojoLpdg3lReqAddFBXscX2/rN6Dig0g31XaGyzw/kczgTGcoBCDt2wuGaLD
k22RHbvqqi7D8ioGmbJM6XWpNEShrCYyRHj2DMAIbdd9Zs8NXIOdojk4h702UBcC2Hnau4E4Af8z
2ryo2Z8udNAetNYPjlwOWTKWxw6kIDCbxvu0LEX81p9G0GSKpmZVB/nbpfTkDZzlvN7RyKRv4ngI
YSu2ILAKK+7zk+jGCaGyDwD4NkmaQIUQXYm8b1GfQwXpuUjYWrkRUtmhHMOtE+DlDelaz8eC7q+g
ri/Mml9UbsoAVeFwX4Mou5ji9ckNEKm4VeO9m4U6JWoIC9ReRRh69Pp9WCwXGuACpMmcP28ncdnU
Tbs3GjTYPARfqiUuPqy1+7jAN3saFGvd5BNOCJn6AfTYp9YT0cOYEoIsspwdsPTybejCsyxVUm2X
LPwjle1lQ0pnvxQpsPGqnMCtWk2gYFl6+y6SNrxemb0vFXXoGe4H5GVJkFwXQ5vsnUEdJh7Mxp0q
GMCxcrGuD9tKgJDLYqdlRabofVWluBU6YJ6vegSnlRMekiDD4jToBBO2oChbgHO7EEuoBO8F7YBe
EPX3aVRD2wdResZiGZ5p2tYv9ZI2Jz3HJUfQZGuW2XkKeZszzjKl+eh5832Q9MEHbeo15rgJMiVF
gFr7SJnYBY9ANIdzYd2LSqC96lowF3Pguhu3bcyzx0O+hokBktbrS7JD9UBfkefDtVdRAVXLGQ64
UQD5mah/KtOcpkkaYucsPzXhZ3q7whK7WNcwe2gHC6WvAMVUNf5zWxPIwCZXwFZSoz0W6OQ3i+F8
UAA4u4zj5LlvZtwGA3sHSYsi5KcQWlPcT1eqUvIsa5IOCrD9NFgmyvFk+sTGXCJGXvGyzjg9YI2M
bbALg7W+ACEjL/KSwdoBRVq3btmgyvJy1aMVGIsseIzNOHc1eAhfzXdaub7qQK2FccqB1FWdfUj6
MQpArs9rrGE9WOaGUyN/ayGztZ2MyJVJWM8OO0PTIU4JA9NEuAUWyqfO1jBh74xqQsYCpRcsm49+
EA4jbCUnNxpp/NzjQNDOamt/7ypCiqzkHYQztU/7yK2WT2ISUXCnu+ZNP5XYAhKZGNAN6cqf8pH3
uoP0gWCM7XAf1ESTkc4H1F9waEqq0Xsbzaks2g/ZkJamPM6119n+1EHb+uyOkrZMYIVZo9V8WFcj
RiSCVhUoj5tBLeO6l01HIvVitkunUuh96+jSjcGRcVbOPuZ84VNYMDVYL0VevacBmM6yRsu9gqsF
gCRvfaS1NEA2NFRsOh11mzpsD0EhP7Hi9psgT9vHtqF6Du6xEjudOPD29TzhiiiQVgTVl6oecTrl
3NPOa94AldqtPnyeyVa3LVVvaUM3SEpLMkAzzWl2TcGvVIALG+YAFIKuejfD8d41M0OzSch7uKYZ
ji15A3g1YhSnlsKJOhw8AYXpigtexXYfxZl3n6jCuSbryQFyyCFQTxSYgCjwcV26IE4m46Aj7u0l
3RVJf1wbl/dpWQuIrawjve3vk6FTfJ1urp/9NUWAHfZthPp7Bv0X1g0Hp1k46W1QLtk74YQpQGSb
7RvtVc2uxSULTntOUNe5UjBeoy5O8y2CrZxGv0gTnliamMPwajzy24Qg2UiIoJbnU8wiaxIZjdt6
8dRznIgQ37PJ4gvJo92mPUgwDVme0/SUIwkAWpjE7XzVdJMFWLPczJ3OzvuhfWnwKKTIKzamHfe6
0HD1cn8Xz0tzrsoO9UWYIrKAE3mv1yk8Vl0b3ZZh279xYnfjtLnelzli80xw5ADNVn0RzgITs5tk
d9X2o7hyHFr1E6UOjgjMtmMa2uNluZ78wtm3OMla4ZYXeZznh2BkX0selfbZZDjR9aEXeA+ccw2Q
U9I/Ed1Aj42a7QfHiTjvWkxA3Wjpc5gicSgtCswukc+1CupzcVJ5EZh9Y1FuoPZBuDGs8JbdtLlX
EypsM6zqyl3HL305ABzvo+q893D+0KjenWu9HNNSzPfVBM094VW/jZPGnidZIDmP10u/c6qKg7an
lHM9dEDwtxNRjbtw8vp4UzIqnonXYBUTbnN0ihJ5pHa9rZN6kE21hzHXyBSaS8Kgl05114zywWqQ
87nIivsqkN65iMP5AgyscPaqSgBV2aLeOhEu3UThkgYODlQ3zXvGMxTSiJhn7F2jKAYcnY9reCHh
ohzQo03LDkeaR2puADqYdQ4QjpQuXJCPaK27lO83ti3gy2rqt3E7vnONV/+xZvyKSQO6IXAZmW5n
JqrxHNqZi4HNcBuMzaMWxPSmhTbCIIlp7IwFKkrmA5qhXUDXOia/mU5C7AsoeLVt9m3Q9x8HV2Nn
Jnx7TIeKk4FTrFszYzQWnA8/p5wvwMehLh9cEx96GAY3WsCIG/ow3zuYeWlYW4ZnjusGYFhcRMaC
hifQC7kGcpN7zDJh27fJDHxHEl7ehV7dYWcR7VXA538isDHvDMf7970lTLkx0fyHKTN62LIB/q/T
5PSmzTNrYRw3O6eHhyuITY+TaC9CU6JLCGzk/LG45crdRdrW5SB6aWjXB0w9cOdDYB691sObvuPk
S7OU+CzX9kvUoTIiflwazCzF+Ah//2FBFbqhgX3ZLjSVX4fVCverd5j6LVuJcgKZHi3RPtEq36Wp
fksKAmzZ2lg8RVrvBTEBdnGswH4CQLypRnlVdD2KrRlRhCx7qMhrWZ23uTvvC88Mt3OkLO0n8NOJ
2gV/UDqW3ND+8jLMYXmnErDInhVsQ+KZLO7Yg/xVTnsz5jPwcreDuFRCBzO9Gx0licX7KezfzmkL
PdTZDgF7OpyzF/qERHaHcdqGZXvO2CofDLUm52RUHYHPig3MWTtBW+bMgwvM1Lzepd83Dz1Uc3oA
vHI3J+D8u6yga3jt3xWyncFr+/EVAVOEtnWssMln9Z07YNTCVgJ3Hd3MyTc9nAWLh2jFUPaCiM6r
M4BOrfpopXEORSsQMFaVAqkTBVX3mTjU+inLjL1ovRH/dZkv7HtkveniDm6otc5tCsL/3MkdOhSI
XUHUmvr4iRhAuZfkHjZrXMOgaocr1Ea4ogs0yH2hj0lf+gR/puvWCuRvSAa82FnO+6ab79IQKXm5
hNGzz34DBnXlY6mixhEG+Gytd7+ETcmGNGc6rRYAmnPTnRfMo80sHwHElxt4uW/ohfL2ccndmeR8
swzugGq7ObRlSVZCm/vZnRjRsVmhbA25213HYJ0+NrKM17PMCto4VSm7bG+9IN3z6+57wgfd+H7h
nJgf2ITUR6L+3nnjhk67cYIC/zd7dRB+hIcvbJWW0bnxIiHfornYrp6p6Leto89sLJYPgwlYs9xT
3ikwsgDFancwvJ/HtOAYTkORl3cIciSMC4DnV5Uy+c43GkxWZ9gIL6oiHjkjTriF4+VEey+Itw0t
hhxwJDYyQG8Uw0n3o4ySck+btPeyqKJjLa7mLRHN8qZxYcCGQ6AvvCHk7JQqXKlTg78p7OCVZyWa
loYw29k8jhVbOPYC1BaM7Xnm82KaOo7hQqbLI+fjmmGzivvKzP2u8xwW4KQCMVeMKudD6j590M7s
59somQIqudP+SNMz6KhgIsmFOQ/Cgauru9nJq2fB+nYma97Gs6Kh2SUZYrU7Aex2vUAnWPYqfiL4
MuwBkHSbyVHhZbJwAOuKuHpGKeJdk2IKLpZcyoeldM3DKVx0T3DHXMi0azDY5bY/oc4GVD8qOOR+
oO9HVrUn6HWkPQo6stHvLTXgTEq1wZzPD9SpvO9smb2zvqwxEncj3XzCP92Wol3E+9Ui0oBIXrKs
8Ik4rPRmed+P7fosMt+eibGGrlusbfFpsQnZuNH3GR8cTv11IJGTdurICdtvzqIq0ReDipwrUecN
FkY9XmUpzPlwzgeaVUt361I8xMGJvvGnfvBOGjIIgiHxyyNjMUAXP8FGyKhjIzbsrQtwksKqJfpg
kopKcX/jOAvS7zJpqDWMM0uACbSKAzeVyIGue4Kd1bAeEgfY5LPbuzPqA0KB4abloPxlmHsONxt2
0wTefNfvL2fX1+O+UHUGpn6VjrikIe7kJGpc2GdtQCaCDJsFGRYlRbkbRFs/EoRfjzl2esJABhpd
q7x0bysvv1kmBCqqlugmWX+ZmWbVyNsmcz+SjPPGrfUrtQ/mVt4QqWX773psDpnWWvUOM0P8x+S0
S6tJxKCEc1KBRN71xgswqAf8YI676+u5f/HLIHYfgEAT06VF96nNcFRN6SmwLm2wnbR7CKrmcXQT
BgpCPpzyN+mJ3TgGD/VAIjNMg228lk9J670P2g9roOprvHJHPw6piAkZ4dt+1pfMjZvcRSXbg/sw
80g+YSX8S+b34BMMJayHU5JUBGbd8GpJyUfbyHDmHS75wvjIpNli7LlvZbPsU3ep9nad+g0+B8zn
p9ROhQk1Le+MU5LAgCCz9PFNVFf7YQaWNw+zOo6DfJhhsaGGAx5LGQxM3ha0XZe+KwhbbTPLUpHA
HjEr+UgiFUefgH9UxDDb62E/BTk/599BTYyb5PK5BNerHcqk4oCzh0PffZGE005lsffocQrcpfF8
6zqU3/pw6EBYg9/Nxq2e6pvEHW7G0AO7N3RfAhAwKycJcMxxeu+QO8Z6dC5Nep2PxsdG3BA2jzdN
PWfHdnG9OzwplyIfRpSE9Tvh5h+hs96aRRKetDfAZBtwSd4XlVLKMJwcQVlSRPfFgvKqmD/lUTtt
cAmfVRN3u1beoahBIzZ+gDw1KWPasHGKw6ZFKF1y4j1VuF0mhjYsTu4Re/fY25Ikjq+jIAaH2yh0
BuVUb1XY5PsCP3a0DleEqvEX9JGiwZG4e+ZcZ2V6XyiiL23LDjYkQ32WsKHHGe2i8q1A/xZF98z9
OS5jfCnA7KkgruON1siOWqaQAzu+kDWF1FM6z8m1P7XTMy8CiBpRYoPpRkboqmeSG72dELA35tRh
IGZexdyPeJUXdcv5lYKqVC9EGonRQjaupaeirZcJ90azsSHgi8e2LqqU+ooSMbkYwg9OXcjdKT5x
RtL7/aAH9eU0f20Gt8g+haRf2ousdgLOU1RcV3dxGrf9dUhWbCasSGDqvNUTB7upkVbfevkCipmy
qvhRZ26wsLkbbJGQbWDyuujKKomuSBAlxSYyo/tlYD49+1994c6JTx3mMa7ZSL2Tshz3IRjX+u3P
a1NecVGpiPED3NrKEPcMePv+rFz5qloyzZqgrdw4Oqo+iDFb5/3DJBoOTy7HiXk7+6XrIdUZuePt
QrB3x9FlBcuIN/UdUi55S/WCdjBQ5DlQLU0I96EkTd7RKUEc4wybKsDzlnb2dDdiDYOZHZTJQG3C
3FwppDDvykUTVxrUSL0IxBixq3n6f6NM/kc1av9tAdo3RWu39UuJSvzlpb/+UP9/UKpGLZfwFTVl
Qvnwl5U+lUD+96Vr/+ff4Z5//sd5d/qv7uuatx/+RX+Vs0nxuxCuL3w4/sGfdWv/Uc4mgt+VoCAt
kFay1oEB+89yNuv+bozvM6ysFkKoUyfY3+VsJvjd96QQeBeJZmmqwf4n5WzfdrVQQ30qKJPasNz5
XiD1q3pf3WaNSMZk3Uqsb5RLDNOxAw3fpC3UVG3n/Vf36weFbD+6HKV7hkM4t0O8buzubaN9E8Tw
KgIBWrTyYar3bPVatwDAn5If+/n1vi2c++vr8Y5KhQ1ckQQ7lZZ99YJmnTJMbbm79Rz+Y5pEf22W
fLhz85lppesIYYUVmogg5lyKbEMcf379bwtH/7p+YJTV1IL5Hi7FV9cvhkSgyEDsEdeW7X5Dwjc1
+eHnV/m29vXPq0hXBdRKenxF+7qxPGujWshR8BDrqdymqFL3p7Y0uvOTZffzS/3ghkomL47CxlPU
B59qBL+6oW1NRIMs/LrNtI+aNkB3V5gmwJVboQVNYrExQWB2/eSsLHJT9Ytv+me31X/VXf/1VRn8
NLRzdU+87nzRfrWWjZmogVybdUQal4sHy0fCdTfwsnEmK9pD0w4QfN2mpmlZE/4+PeOhOcl+4sfZ
TmrYZJnO3qxTBT4lGtmubYvBie5WqZfPSTh4kJCL5FdjUfzoMUlJ6MlIS8PJnz//6t6lwRoPResy
+Is62Nn4pHcYqN7CWe7cFWyHCZg712FJd3V8Cp/bMTXgbgOSTpWT3/LeJEfpkwEnvO6c//y5np7b
6/tKXatLvoIKT2ajb58r62Vf1mG4klLETTY1Xk0dBcnmMeRI1nmU2CQU4bSN/BVl5gczglQBz1NS
4iDc10CuSidlSIx13Ya1N+w9CAnETYFJTUP7haKXX7QHnN63b74mdTt8QUMsNNCWieHbr0nrCvuf
fNbbxZX+fpzMcy3My5LlSBUmHMYxsvPNz+/sd0/9z0sy6A1+Vm1fj1jJ0bAIxhVIWzBdACHObwex
HlopvV8AVr67k1zoz4nOugQPlFTffrc1rLVFt8e5uCfDVaOFvSasQwFo3UJNWJG6/fyL/fh6rBlM
CKxhr7mxjhi6dGzB6Y4VhklqjJrrURMnDJiPtn4puqefX+9Vawfv/ukLaqa5IPBoyXv98IpsmHVj
uWBScGTM65KqO7bOW5aZZNuTAuCsP18OtukfC14u0OWd2jlEH38xqf/4g+Dm8pSnKE93X91pY4lY
k8DXW7M66xGxaXMd5Z4iS0XErRD1KQfiIMjpKHdZKYA4b7OJA+zI4vrzW/L9cBbannYI/mlaEa8b
OGxd13FTUAVcY8RCUMb5kPTmztc5B7yEEw1VrtGvpuDvpgpiEiw07D8k+xKe/LfjzJYKC4IX4Fd0
BsBmfki+piImWcqFMto03qlJo7gDpoGaN6IakaKEjIdKSou9rw3T8jhOjbtFqXijcMBQdQuuywtM
/4sB84O7E7Cv49MqZflfrz7o0GiSFlqjjBnyB2vz9T5SYfGQ1/Zd1Sf0CXHUiX9xze/WR0KO6nQu
ON0c5b5eirVNIsSawt1WWdNcjh20TJZTdOHMrk9uPH8iSE5Fk9+E+0gjl/75ePh+eeTymomNb4uY
h13tq2cjq3gpO4pdY7fzjn3dSBxNgd2k3ggnrqUkmBlE7pKcWHHiZ5hWZVVsKQSsDgu5ACrDtdmZ
GYH1QPPqtp1Y1bOqHnY2wDgc1GTLfv6Jf3S/tKe1T3U90dDXxLxlqWps75jPUiXh7k7Ew9eKyLoY
x3qbVcn5yfdbdPkL+8bsF137PxjIAW0MgfAswkB0aN/erJE1PplWnpUp/PwqC0FpZRLgvF9IKr2i
bB+xKD6VQzb/Yub8fkngKdGpQiuFtBwMXg3Mrl4G2TdQowck4Lgi2apR7EHJVrl8+Pnt/dErYFzB
JkH/uQV9NR6ayhSiWQd3O2N9gglTs7WYPX8XCUGGU8oENfOqfzEKf/RMv77oq/sasMj2pcdFEx+8
kdCoj6nI+bS6+s4iiT/zM2o65mj0Lgnw/6Jh/PtFiaVdWQaL4CDBC/jtMx0Gr0tpiOH9q3F1QjRr
r4zrludZSayxdOHo/vwG/+hRshWlP4cOIw4Zr663kPDNG+m5W12UlAMSOz2Emf3o8TtnP7/SD1Yd
vhrbM598nDy1M3371Qh1rVXrGTJXRdFvE1DM25IaSo4xujgEC+nGhkjoYfbHEoWsiXdpMFD948by
F/f4FXnjtBDzSdDpsIn1pGtfvziUBRdVSc/BtvW79owOV2rxE1KvZZnhZ6tq/9YZRhoKCr3sc1OS
hWxMSK6ucvda9jMFM8I9/8XdOb0z3+7sGOWWO8NplsnvdettvFAAlFIBsR1NBAUnluetjzKDOvez
NlzXs2QppvOY0o+tZ0JCYy2uXoI3SGGFmn7xfv9oEFo2B5a4AmPw1Kb29SFJ5W1b2GoAkgRVHJcl
JsBwpS8GanOPtc+mb37+5X/0ln99vVf7kZRXuKEYFN8mlSCQzKENRWWNbcjWCYWjjgfZfel/sd38
0VtOTUegfZeanu8mMTuMsUdej2x0ChSg0aN/tMUCkYD4rnHzZFfS+nE2UGKyE02f/WoX8qN77AH4
1nSG0b3xukHcT5BS57QCYpsv7bnkUHolXAftIJUPZ6Sw4p3JR4rTTkdDqjTai16F8w1/bCUXRVKt
VnW9H+scuXKHmLXksPiLafBHn5DGPR24zAyGOOG3o0B66NzyjJ6oUmTmZQxyd4MvgPrdsZr2C/0i
vxh1/5e6M1mS20jW9ROhDXMA20xkZhVYxbkoURsYJVKY5xlPfz6w+/SpDGYVrrC7NJk2EhHIQHiE
h/s//Hqc6ewLgBEFkGpbl6NyJBWagRVoHijV4Jh1kM/UpgDG2YBopLP36NoFRrJa+OX11bducdeR
x7hUOLjfGC45h7Tdm4EOK6zk0kpRPf4YumqJNo3hbHzwX5cbo7g6wW2iBsCOKs1mrVSWGVia11Nl
ee9UtjgC5E6PUWZ2IFVnvLnKKL+rrOC7Q39+Y5v/9Vuuo68Zisn10ZBz3p7e6kj3TPNcJaKDIyDr
RKkTPmUFXuthjXf563N661saGgVDLjx0pWWNhaClgx1krY75a06NvgZ/aIEnJtPOEw9jZHqahWsc
lxHu5esj3/qaJtmJTfnRXgmn1/NsBDoKeBEjq4U5PoakL16b0kF8fZT1KfKasTg9KJmT+f1kDD/f
IXvLCJ22wEjT5a4AagGY6lzP/X2SOVuaoDeH0kjvIDyxfn7hziZjHADC44NVyexpeTVckFPucDf/
59VN6rjrLZ/yFJkdecX13LUh4thmNuseGD8cPrL0z2gIQi+2OypiUCP2TCJlDDDJOim07M2w2MHS
DZAFvXpt5LY1d1EYByCeUv71+vf6WaWQPxhZlama1Mu5/Um6B7pS1W7elTifjir0UKdyjiGn51np
Rpya0sk98UsjL1aMP2yu47+v1xOPDlp5hI9ibb3NOtqvbwNMyxaOsH655gCqp29rDbo3kZ2fx6Ac
UMdWyHI1wDHzSOtlcVzxPi3KCo8+rMHAlOl4NSu4tr0+Mb8evTphr5kGK8uhqC1tfiUYw4FyhOaN
uTPclQWsUBo3WaI+JrlI7/Is6Da2+Vvr2dVYYFzzTLjo639/VkUsktyN68DVPMy4adxVLWy3AYyj
U7M1vP7jbu1C7lorU02yvF/2gtjW0EENzHVnn0MgeUoFtzIaLrT7mw90Dga6iZF6sWvH2ZjWW/st
WxC/0OD2QlXy+kfWkdEDuwaDnlS6e4SrMZ/yUVv9yJANHsJia33fnFTHBi+ocRfl5nA93ggK3BwV
zrBVZvRk5BBYY6uIzppgyb8+qbdWDMn7/w4ly2s7czppccBQ/RzH94Y6BSdWCcl7CocnpbhPFTiO
NuZTsm9YU3ZdU7HxAn9HCPM9r38gTW0VPJZOetwaykPuzmBCtHShlGbX91My4fa6tN25MhTzHASG
dR5arIuSBBdPylsIHdRGf8k6aBRDMxRv6jlCkL4e7PPrk3PjO1y9prTNoNiop8vEigOXm3p2pbcf
KEaUDBUup9eHurHEGMo0NYM5EbRNrmckwIk4heVI5FKv8Z1sRXM06ZeOch+byQJkfsd4wqXuz/3E
YrO4Hk8V4UqqJ4Epc835kKtjd9cCdUdLLtSBjqOG8/p4N6eSlWwZXIdIm/Tr8ZSwcMBWK5rXAsx7
TOYMsxYKq6ehnaeNoW4safZgxyBSOR24gV0PtRgCWnyNnSuFpOYuLWwcVPv4ZPS15sFxgPtPI25j
Op1bv8/UQGVDFtc4B6RB2zbABDseKaLkkP6PcLaUj5M1jOGxVpLk0wQC6lEf+89jOuGclabxnREo
7ts4q6vfgfmDadR/JH2rPTaTi4tgBRDhYRnKDv9Yo7F8Y0kc4QUdIpZ+VU14eQRlREWq6mATqY2n
TC50LHryMPmWfKJVEgRgLY+THQz6oVOKBbR8XYkvUGR0jsgosPxAqSf82JXcWdAjbcf3kxs3vpuh
Dkazx+g/gc40hwPlSvE2REAJ8PeSRe+yTIc2lcGf+WZlxoS5lWVogzdaZYbWgSgK6xwBagIO6Gr4
jVhzuIofibT76gZZ+vdKCZ3B/FhIgtXQ938zdQpbnijs+XeY+/CgTVUHL2r1pX50lE7/LYcinZ3d
0Wp6NsSqxahNSbo/xqSuP+HNoZ0BZ/DXWi0z31aFqL66c6xBuSWvOoxImVGAWbDfBU0C9Ns24Ajl
YdR+Dy2ksYCWuWYBhHme2oMYyvY3Ryhktk7TDk//PAJMCmyIydAwQLDlelnCaVZaB49dUtl+uTca
5DMNiB1AubBweH2oWxFg0uala6M5iNZIwW2hnO/oQ0fZqWczKSpscM0YNPFkgTUyO+Vh5YZs7JU/
D0EpC0IOhb6ZyZaigRy+/n16xO/qq0H1WhfPT8PtrDdqHul3KII8tKXo33V5Xhwr1anP7hxqAEmg
CpnUwPzZUYojtBRkovFvu0+YROjcUXf557NCHizW5judEn2dtWepyuLAOuY7q14Q5itFrFkpu7C5
y26VhghS3GQSsZEb6mvcS7OyZvlgJlAQWi+k14PmetfVlRaoXrrEPZyXYYLqUEFvLbyWwHjLuRZD
Q9ENevHKlCVvI8MgMmgfxL8XUdX8bdlF/hDGdrUyRkz17TI16UEXov0aoQf0ATIYUl+BHY5/1kor
nqYqNr/D9Wm2pO9uHFBcd4Whcak3aCdIs2c5RB7YTgosihBnEc9/tFUPSstR47PbWvrGx7pR1dMB
BZsmGzjbKgW+64kbe1NHFaHVcHjX9YdULP1fY9yDZM0zgFqA35L0CQR6HwH7msKnIXGmL3Agg09j
DbcV1GWI5xCN460vuo77ywclJzOJLsd1ZMwI/6sWzPmiedAPMIoUE3yAUA3pJEX2e4j38QHc9RbO
4cbpohNTtFHX6rkjKxk3izOgndJxh0Hxjaol0MmFtgu9aUgsr0fJrbsVzSIk3tablSEcKY6FgFqw
xPxA8CFAnecQVoXDFi7GTjsYih54omyDkzsu3Gty5800qsVZqefkD9GW00b83KizsNTIiOizrpMu
dQySdnSbwMrIwAq3ZmdRosOA2otfxcV8SNSxeDM4SY0d8xh7lZVsdct/BUnYLHqVEr4wKLX8UlYc
RWLpXURZ0Whs8T3X+vjTYi7WmzYYU2hvlvEBEWcKvGnePDlO2n+C19z4VVcxVZE9HqoOEw0rtrk1
tOq8seXeCkl6e+sVmDuRJSv1LpOLq2hJ8UfJa+1SqYj5N9NFVxyAoGEyb6Q4Nyr+rApysjVpXLuJ
0gHm5g10ypl6wtQGFTIUKuzNaqkvsZq3xzQy+QLUUA6iMw44HHtFrZke5bgtr7T18JICcN1/HM5S
9lXwE9cbg25VeQgIVPfCdeuJ4WIe4nHQ714PgxsLz+CGItA3E/yRR4G1MGhtNuoeMHsYAbM+e1UI
SwNZg+lsOTqYYxUOQWHG4X1fj9nGCX5rsgEIkaryD8qdchmTXkmUYchpwLylJBUs04KUDQyqJMhT
zEAziEVqH56zqP59qh0aWF3/vdMUfSP+bgWAwW6A34hBI0XI9aooS4UK71H3UFDBZa/O7De9Orje
7Gj5uRuc+W6tWlOUm5yTk6EOaQkstPsg1GGD2dGprLLUM2LoCxVA49e/0c/+sbwUQO/RXgFzYOpg
D69OdNxG9dEqYspArTI9Vl1932FDhgElQl55jaOqolXnbC4gyGru41yp7kOjO0+qUykwYbXkIaxb
8652utUlHR4znG6BWANwd6DPZ2OZkruRnslFzUrbG4z4SQ1C4w6qmvakK0v0Jq669Gx1/NZCdcZL
gEYWSrsuSLQWCAJoWx6OzPI9WnTNG2uEjTKLzjmEhrZlH3fjVOJixSysaoAUY6SZiFdITxkaOlJD
1QCmX9few5A3742WjlNqwJCfl2WrTHFrUNJMWo10FajSrvvTs4Rq6nXAUnZEJM6nvmnStzDVl3Ms
jPgu6xfxZu7+easPVCzpB5J//NpfmhiJ6UbDVDGiOxou2L4iOesIFlHuauqHSETG2nREZgMRnMsy
Q98YEnf6nMJtyNwEDROEoTbW4I09eAVcaw7Im7X9I018lkPAKetKR+wibj4pwu4vUA6eWvQoLnqO
69frS/5GIsCEkwCAiuMiLaSsKMWmPDAgwHuxZuWnpLK4wPWk1bbbOxuhf+vrUqYRKiVF9nz5vlIl
nZV1qHV4MPzRQZiX8dD0DZTEUnmHClAFXqUaNsaUtF9/FobWe4uhseuB6dHXzf/ZkrLY97LQzQy0
NLIO6kJF9wYZo+M4aQmFRQht5dhax6RRKJnnmO9UMPg3jtWbPxxABCcrMoZgAa/fIQ6tti1U3gH6
KbqWQ5lh3SaecNhuDo2WYJ2dlH++/llvDklhR/uJFaAbfz1koiFjNJmINlpL1L0tNNTGbGjXBzd0
Ss81LXQju9FtN9buzc0d8PYKX9VcmpJSAJeNGTepFrB4UyO4r7O0okoyN37jlpXv1BDn0qF0Tnwx
lHiDLoH8D6TvEHZF49lz4Z7UBOr7aAi8nAQf6PVJuRVa3Ddsay30WyhxXk9Kly1cl/PI8MxZw3Gz
Mf6KnTL0XCtW3pjJ5G5tLuvakk8TgNGq4wIFJ52SZsOwRGsuKToufATnXkupk9iJht6JU1aXwKh+
xDauhmmYh++qtGzvg5w9qBqc4rGYrPHgBuGBLH28f30WbkU8vVlV02lOrc3b61mAMdsXlK+Q4DCb
70uAmCJAvtnrhLGlhnxrEZJv0CgSYFFp2l6PFLptjAC+AKeCy9yDMLOU2vYiLp055RBzLPVNaMTG
xke+9fMQZxJ8Y3pVtmyuihxLGAU19Ek7Q0YlRsICUm1verlmt6fXZ/LW73s+lPT7EiDayGUzFLpv
aMRN4WXpmvTMnV0HOlJ+1i3n8+sj3vxxsBm4Ogh+obq+0bPdDJZSlhQNChZVKLLjWEPE6tsaVmMb
b1qz3OiOcPYTyiD+uDKv7I3nY8VGFFpaMxoUF1W6XuEQ34GTfdMnYX90EStFwgTZk4h78qURmX6c
SG8eilVv07H6joBChgJCQHWP0GtzKhYt84qBFGoutywd1xUrxxmKxRyX/JtWqPwdwjZM07YzPEeZ
BVCA8FvRw7ePYJcdgyFN/d6C96eVkXYCD7iV0d6cJ0oKKzNh/TTrLvDsmxSliXROGZpcH2Yo7x27
e9+qw8epb9GBAt3xqObJZ9uZ5h2BvKIh2WZJ035pX0Uj9UYryBg4sqh+qU74Rky4A3FX7DaG+nlM
/jLFDrFMK3YdT5riyMmgYEyEEfKN7Vut6nsQ81D6sRf5M3KK+nGK4GyqhfhmtL1F0mTNR2txp0u2
oE8KH16FZHoJHCv0OsfIzhUlYS1r1INNvQe0Uja+CTktLghUqKgjoeegKLW5I15JAbj8Q1HgkJJ2
vrlRsiVMBnPt/U/nqMnB8hZm7deibo592KJIODXaRoJ1KwMx6U9xIlKotehkX68PA63kFCkUpg55
wzd0wIxDHgBemUQZe02nzp6RmV8gFIaXsuyyN0NZahtZ0I1tgx3DVMlAyHKBkl6/QkSXL0gFG1Wl
jC1wpbx6Vzniazzl8Ybd561r5tVQ0kKxzH7o1YA5ht2R3oPGMY4iKJ3DYI1Qr1p3eW+bqfJAlQTD
LzjgXmahPZPHoXF+fau8sSnQzRcrUgh49EojuwrLqdPo4gOn87radb6iePsUIh50ttOyuwhUh48I
rlCFsRUFBJuxZexzq+i1NpUpd5FTo9glTXmZz4hupRQsCqNX70CiVMdR7yyv4Nw/WAPKSQYJ2mmk
wn2fGSjKVnBuj9xEUN7JZ3NjMtZZl8IXyUOesO7m6KtL54YbCSRVQ95Gq4LibtHYKpYZTUDw7MpB
xFm+Md6tBaepsGUdavekvVI7to4ntRlAyHsZvZiDoyvpfRJhtjM2RrprKC7sAJeoJMsGCS3C9MWo
N6bXqDC9SytiF7QwNp1qRd/YBddIlWdRU/9vKKl2WIzZTJeMMEpQKTzAsFFPervpfHKrUE3XVqVY
DdyG3yQNI5xAtM5IgjYXc/fNpgx3tDQVUSQcAlAsStkbNa24V0OjuDjGDEhCoVQd9yA+2y6LLk6f
Jlub2A1EytqFcUHGQOjkXnodTREyr/W0njW8rw1gCzRhZFSUafSmPut23vwVBzNGk0uxPI5lVd5H
TRtdkrHTT6+H9a2VTI2O4gx9fgsg7PWLJMbYR0oJw0lDz/QQiFx4jQE1n5J5fK8YZEWvj3f7a6xN
NgqVbBdyH7YyLKjVE/ymSkX+LcOqpJj+CJXRuvQz6kdJsxRQ6QP3kgyLfRZILt2PTeSe46lNv0TN
GG3gUm9OAPsZre+1/SO/jzXDXGxKQjlKqpHWbJ08Gn1lH1FjxrIlSq2NW8zN8QB4gq1QIezK+2iF
znq2lFgOJEsfH93AXi5tVtde3YrybEWizzbW2q29g8obdybqsWye0vLH9ras2nIwPNUIQz/PitGD
49ocRVxvnc0/i41yRCOw6ZC36Q6kBemQEOYSjriqgHGkBn9SIT4do6qdToiiNDjfhC2ihHQI3LRz
vXImdcz6XDuCwEd8TFFrj3ZCeNJTTfhWV1X3BeqBD44JF9PJwIandaF46NohYm7qxd0YWcg7h6Nx
nM2svNQWatjFhJ13pIj6XQar84xSig4yR2wVNm/kqKZOs8FZsfWgWdeP/CxHXUynSHpzMby8zGNP
p9Dv6VFkX2oqWV6VdRT502i+b/ql816Pn1vLh84WR48D1JPb4PXIMKdcpzGRle0d0V76qmzfh7ZS
Hno9CbgoqOqO8KDUoq4XF7hR8upJB1vEOkp/XtSK+ajHk42KZgi8tAq0Qxkb9t3rv+/WzD4fT9qP
jEpdLDTxye6Quz90Q2OcGiV6oHLb3bfmmL5FQAoBGW1uNmymbuU3NhQQCnfrxcOQrmf4eNA9VcG/
AE9O/3YwtPOTmTzWWebxiRZ5+pizmo5xLcLzmLhbCLZb3XkcW4Ara8KijiD3oRMtYUXNtU4ZQU/u
7KH4bkz1fALP2F4oglfHSuAAEsyoNpX9pJ+djr4KLGr1odXtVfhNJI9jXRlv1ZCL+WAJ7dPrX+Zm
KgpUfP2zQndkwqjWosIiGJXGkRIXeIpm6N/k+vd4QXRxbKrFA2Di/JYhwn82FKq5trCzd2oQNRtn
1q1PRVWMK4dA/Y5L9XUMWGmndZMF68vUuJ8iHJcecyU1750lCH27t+1LP5hfl05VsUKY6Iy+PhG3
NtTnw0srJY+sZkahlDYbso1PAdfx01JQkkLiUX16faifTXt5QyXlXmUb4J0JmbYQD4nqWlEJ6iwN
UdjVEaXuRxVmtWmV9z38lI+hg7SjXmE6U9fJfEFGPrqvnCXFIiSwPpKdf8/15JPLFc23UsWC/4Bg
kDlGzQONrfmbktlA4RM7OOam0R50HFgeon7Rvvaz6SAbNnTHpBSc0lZaXiZ3qC61HhYPAU3fM4II
zrkucuMB8THVt3q9PvcYSJywQh838oZbOA3mD+wsfU30U+Q+F9NgFujFaB6nQP8hiiDyurEmABgj
GWU5pvGAkJBAcHOuH0kdqrMTVeObJe7sY2yYy7tSJPi/C7U8GLUQXo8uz5d6tPV3YV8VFwOfEe0Q
J/jApLZ+sgax2Rq5tbM9/wHSslGaRslTfpu3JD26OnHkePRx0ZftBJqfmaa8L6mw3UeFg7hPq3d3
+WQG59Hs9Lsa3ta3wLTqQ5u74Rnx2Z6WaiuO49hkb4c4LTZ24VtL3AHNT4mfjiJ7xXWE0WAeNaRL
Na8LmGf0uFAVxNbhQsmo2ThgbhT9TMr4yOEA+6FhJB2llhkPTj/Qv5zzND1r4I0OStLnbyuK+Acx
9YU3QxzeMMy++fugWq3AFfIU+UqAdkKOxhtNIUtk/dkYrPwLYn7fNKBzGxf42yPB8GVnt+iASom+
lguuUQojNc3Y3au26YPD1t+nwtjKDG6N5NKf0EkMVsyu9M2g4tYQhjlAxi6r7vW8KE/LoAUnXYzK
RjDeHIpzEjUciATcGq6Xx1JTPwNUyDfDjgMSMOJUoiURYk3XG+nyjeWxEoW4+0JuQe5SygdypKob
jEqYvzbs7hG9Ci+WhoAakGRI4CmtbKSxtzprN34fBCzc3yhrQVv86d76LL1zzTZ0isrFVH103FOF
Hhk4OGs6mJm7VWu9VQmESuyulSwDpRL5at+ieuIGM00U7MKKy2wDNY3B75zUSLVXW4jmNEFMPytK
M/6RREV9iJxVNMGJUo8GLCmgnY8e0OQRXQOEcvg91nmpFfTg48z50NAUp6VulD/w6qJIkQU4NQxl
eInb6o/Xz6pbmHEgJSpNMgYGhyJ9Kq3S43+jXaA+lXcxLItDpbThQ5M1oT8EFTkyotgH0WbJuU7n
+WJPavqQklSgvA/3Th2Tzmvy0Xg04KCdhIO5R5hlW9jLGx8XCxrqyzRS2N9kb0lniJNRRdkcRk+k
+FGUJUeTus0dqvFbbI8bBY6roaQZoXKnrexi4A8zeHRTTI2fRGqwscXcqohSsTZX8QKG4wtch2M2
5rHVUaQFe4LGbyjS4dKU/XudFs0FjjhC0E2kPpDfJh/dwqjuQSnnG2F6a1K5CPHpodth+qdfv4La
zwiezegyTE2DeUQZ46dhdn8pY9NeXl9mt0ciYmjZrCoN0gVI67AUC1dMVYR78ic8KMZL00eUzw3j
P0an/0jI7P83iTLdYt9/WZLsS/yjK77lz7XIfv6Nf2uPUYz7FzShFZ5ioXPwk0fzbytNio//oudK
nWTl8NL8Z5/+j5WmbvzLoO+50m5oEWrQ5v6rPeb8a+3jUCUFnkR+xkP+ifbYdTQpq8knzRlHZsCg
1jGXS1ZOflDYwGe+KbOxke688GS5dTvFttZkVTb6uB38ZaTpX0odbuyKLz16zQafHSFVMlHaVIrJ
7xKUKCm1fEwNaAfPvh3pHh49xXOfz5cevh6azx5OqLkguZLRF1aUe1OZv8vSYKvg/9LDpcPdrZTU
GfVo9C3RP2AGhahz5g4bd6iXHr5G97M3d6A4l6htjb5T2sHZSJXiVK76oPvmZR312dMnNHvVWm8H
v8Rk/ZA4LsCQWd8S5nrp3aWdJ4yjhF5bPvgoNg4nu2owy0rncee7SzvoHMwxBE27R+0WaIeTnSJX
nF+flusbyH8DaN0hnk/LiBHNBOV58DO9VPW7oYjb9rLoyFF+64ZlmY79HOgJLPgB3EZh6ns/tnQu
TXgw4FM59X4Rjz8iq/A0ZL5f/0kvfAu59ajreZW1udH7k1a5wQfIztl9rFN93LidvPR86WtwI2kg
Tka9b9Rqd3G7EuYMZMJ9USCDpt2uCUTSVUxMpzy2mn1qp+HzvomRtgatxx2MIk5PE1ZAckdGu3hv
wvvdOS/S5tAqKEP2dd37fVglH/GmMO9mUs6d8yLtDiHc/EhVSl6+Rnq2LezQy4Llw76ZWT/1s82h
qpbQXkJevUGRCRmUQKv+RAAk/fb649cZ+L+KzX+DTC59RwLr2EoNOl8PFVzdlQy/gN7I84/14mJg
E1jxlobJS2tTCmd97hqdFdT5U2Ohh6kbeNb1s/f6z3jp4VLM2lmgZXNgdr49xPH7PM/rx8YyN+QR
Xni4jKKrUsQYYr3o/Vy4j0Gjln6ahtNGIfelh0snroNsZ2/32Pko+eR+TLKo/6wo+b5MQSbXTCqk
xdZqmZYkSt5oCPWe8xlTzF2TLsP8EFNcgDcbOBFVQRxf6iSO302xoKa37/lSXI2zE2Cy8tPpqNFP
+BIPh67u/9r38PV7PIurTHEFtlF551fgwL8qijb/jn+CvnF2vfRVpUO3c4ckxiyMp0d9f4RsMh7j
on7/+quvm+KNmJU5r3pWz9UYitZPGmv8G1qS/qaoFvFeoQ6PGn0fzKDPCsPaN1M/SwHPZqqgoKLj
Qdr4RSbeISr/VDra5fVf8sI0ybX5iZReSaql8ZWOZlCu2p8pBe08x+XWyGhXNcRIjit1CO+jKfp7
WpItuaoXXlwu6za4JhUdRU4/c3ALdp3Ppl592jcn0u177MekqSqn890hekjU4X7Ot8QNX3jrVW75
+ZoH04B6exWSrGHsiB2h8pWewH+unyhghz/K//fsXqZBRsIth0plN+h6NX2Edj9dylGvfts3K9IJ
3mtBNuGh2Po4FaIaQzcvPe57srTLYKE0pWqHXruC8Xfa4jgTC2/fo6V0DE0yTCGarvFrxX00srZD
KCp72vds6Tg1wxDjGQGoOsPezw4m1Me2CO8vLRPpMO2SVgecRdVnKdrfaLeclK7dKLy88Gi5Lorh
cjkaMW8N+e0x77JL0pj7zjqZtWZFOGwgPND52GN8H9P5QVfGnW8tZaeL6FKlzyCxI3F1jPH/CWFM
7fqMMqIydtVg0TAL9ENRfnO17mON38S+8/knTP/Zxl01eD2WIbzBKTIx/Ear80LJKT3te/P1Ez9/
OsAlzB6YFMOqj6aG23qyRZZ7aZVIp+cAgqHJi7TxLXj3ni2U765Y/t732lJMIn6VdRQC+Zb4EEdz
+QFfk32HvtwLxzyjtJHLgqepYykY/gBKs/NLShFZUUJtnXWuIwWmivEXxYJ9X1GVThunFcjMVGxR
ogi/R31kHTC2+3PXVKvScTMDo016o2x8fZqyFX7/I9C2VDhfWCIylNExQ4BAGe4YYtYvndBOuLXu
S0rk1p7dVmjtmlnj47/yHtuN34McN4rXp2Q9rm6kbjLXtXIUDW9NNqkJdhd+dHBjQtwt8/pHjhxF
7pmJs4UQeWmGpPicC/jr8Fwbf5inR6vV/wAO/fH1X/HSo6X4dMN0rqZ2tSap7BlxpjLETNzcgmW9
9HQpQsO2REykA7mvuMW97bTv5qHdV96Um43j4pqJm5PKLjN+Tk6OvWOb99XGx33pxaUoLZMJiRTU
T/xZm09h1B+MINsVpr8o5eXwasIl5piohJodJteEg1rqX/Z8zl/QGiRufWv37FtQEY/t9Imk0Nv3
ZOngBOetAC3jyU0FhbLCLVlstMRvzzWSytenT6gOoF21gLm2bdx0bfEZv9NwY7u1bkYpPYDrh6uD
ARppGls/0Oq0Q1reqN2PhV1Y5RcMrMTTvslZf9qzA9RtaiAUCZOTTOFdaiOZ6QQ7510KUD3KuDQI
F4M0lHOHCSly8tp9by1FZ9qyb3U6DXO1/d6qCJwkO1ehlNCqi92q2M3XPuS8h9pM7+LVhXTfS0uR
afYJCoKlYKqLSBxGJKoOabIvhftFHA8BybFscT/3Ba7Cd/UsWm8uky3hkhcWutz37d3YDUyU1H0H
5eWsR2R+Sfd9Shkzr+jDNEYlMz45ybmvFS+egvtdEy5DLZjcDvYv4dkV1qXLjAeNq9u+R0vBicaW
PU4YwfrOZIO8BSNm75yP9RM8C0htDFFHQPTAb9FnqBznXEDK3ffSckBiKGaoMfNh5PNx9SCiHr3z
0VJAqj07EvD02u9RRJh0tqtwizj00tqTQhIAR5Z2MwvEYPvu9ewBpvTOBSJFJGCGukhsA6/cJdE/
mtCDDw1O3PueLmuGavS3UFWG02UaWORojfjcYkvy+qdcz65fU7hfgOliaqMl7CkciiHDjtjsKQrP
kwafx5yE+33AUnI6TqqZt/s2L5mb3yxBlPZFTiwhNjqa7Z+B1m2h7V/4wjI3Nw3quS7nEbO6ZklO
C66Eh6VJ9pX3kFK/Dqi61xS7ceLaH6fZz50abwZz56RIsTonGqIiJo8GVfwBU45PbmxvAFRemhMp
VnNUPrQ+1ZjvpfbtrDgEmIy/vnZeerQUq06aI5MekpO7IuxSTNJd94z55bQlqvXS86WAHctmDKYO
F1cnX/CZiLnS2cPeKZdDtgFMprgp7tRLYuLWnbaeyA3L2zU1MqOn0UQdGHlV+9YSCFiRkCTUZF/h
E8X664Vo9ss0iYgQKlvHB02Pi8yU/zPY1P+20BDrvX44l/1UB7m7Shz2oLsXtWm0i5uV5bRvrcu0
DZQfdTPJ+apcjY51bByqcktn8oUFI9PklaAV9pIQRmJIj3Qs3nf1sG8Pttchn52mQV8l4ewmNdNS
v0mQXqUJe9q3VqQIbRExB3THSmxRQ8ZX5xwW+Yd9j5YidIIGpIdq3vgjfuPHsMoqNOEyvfhr3+Ol
AE0AY8DVnoFK5GhJTpE13bWLY/3Y93QpQh09cPMI+Up/SlD9bKLfFcfZ100RMuhoXjpb7zU8l9M2
+GZjYNPG/d5nS+EZR5lSjharMGvcH1paHyu9r/YFj6z3pw69XZowE32Y54F+cie3mr2pspxh34qR
ZQfqzhkL3WXjSmO8Y7Uhvwxtsm+5WNIBis44soAlMWS349slD+7N2t7V1BYywrtEDTKMtJAUSdF/
ayzH74ete4VLhN/IkGSuYGTgmh1UDbf+bG6tD/hi1MnZMXBLoeekYQ5SR4v1JRk6kZwcq4JJGxlt
O+z7YTJKZVja2WjrnnxYJMiUk4bl3bCv5Y2esrSptVVQp0VH2aGN3gMO/hqpxs5zRJa9Uun9R0VV
cng79l0fFE9Lp++rlsjSQzYQMxyQIzYGozhNcKMRF/y4a8+RdS86ZYmrFLdKUCMJYj7hAM2x31ls
kNEpBZbChtKsaZiKvTgHat5uKV+9cPLJas5tFWZJKrg2xar1uz6IM/YPO1egtMm7COssijaS9obm
HYoH+XEuom7ffiZLnGdUdQFhCVIZPXzf5MFjmzq7oCgw1K4Xd2a2EG4hkPtLPuAm2tc2wjnqn7vW
iWxrCPDKyJyM1R2P9d+pKJajIep9GEe8Eq7fHCXspoOMs+II3PhYVNp9tJg76zuWfKq6yujqDTGf
1/OXwnC+cOX7fdekyHhA3OCmfKioGLvlov49xKPwlqZUtuqYL6xx2SePPMYslvX+7rrlH5lb5/0R
96ByPu56exldZE6zJcaCekk3BR9inOODUduXPP4CLap1DUk0MgIkEsxD0xrZQZj7wBtIc12vFlML
bHMwOLFbYwwOkN1/5Da+YvsmRUp70bjqeqNRa18X6cfAmB6LKt0Zn8b1e8PK1opQ8Oipif0qIFlv
w327uAwpypxmwN8iqHy3C77oU/JRH4ydj5Zjc5yNsUM8wXf65CHo2y8wBXeWL2QYzoTzFILy7LTW
0Hxn332o82JfLq1Lm2Grp6nmNuyz3RRfbCV8g8nsviqADMMp49YREybhvr2kJ5Hlb/ux/LRr9ckg
nAl3iwRtucpXk+771CCwv5g78xNZLLpzJit2F17bdAd/CRVsxvY+WopIpesi6q1EpFYMH0QVfXRd
5W7fjEjx6FSzoS94NPgI8DxFpvqw2DvjUUavle6gGsuQV76o1adaVVAH16udmeZPYvGz63M36WOS
rkkE7BV81Hh4N+o7+yG6FJOWVWKjkzbcWUpHOcGbdn9XxNjuO9V06cDUAgtKTMO5gJXZZRrddxEd
111fU8YP5UYNKDysK39Swq+Do34qsAzf92jpEjpY02C4C0eObrXxAVeF6RAOc7Qv5n+yEJ99TrOa
7G6IdHJCBQGkvoBLXbVbKhQvnPMyiIicTTPixKpQESg+OZ37uYumr/tmRYrMiK0pilF68cfBbo+J
A6/ZboJ9uaxMWBW9njjhyDKsliE+mG7aH+x8y0nqpUmRTkuhZENZrMVnZYpObap7EMN3fkz9+iBO
4DHNClJIvtWO84HmItKLKiiofVMuBecYdGOXWnPtB2nWHqzJfb/aXu6ccik2C2T52iBkO+x7A4g8
ElFxrO4D5QgZTGTHCDqoPd9zaieMn5OnJtyytn/ha8pYIuQbi8GNySJsM6rwqbA/aeGwCxUiZCxR
iAKRbfXcMpPRHQ/wUiG9ql29b8ZlOBEm1FGAAUz1P5xdWY+euBL9RUgsNuBX+DZ6STpLZ3uxJpMJ
BgzGLDbw6+/p+zTtmVFLfogURUq129hV5apT59w1uDc2FH9SG70VN1McuH+ptLhwIlBqgF5TABe2
brb5Ag+2ftwiVd+BXU7356UGy8fJ51CCx/X1kZ/AbyP3sAXcNEvwEFIf4zD4w8/0yyf/m2tM9jVI
dIojSQhe+FnQROWM9p3XbcLo7Wvrkg2H6cSLG4DQ0NQtzyajz34Ld9wAXg+guE8hF6cb9smMWaWt
/uJjOnMFl9kWEy5GMt5xrq/Zbj6DaMevveUqENheLGn/0k0ItOiLRaw1VJ504rXdoEp7vd1gzMoO
EBjrO6EpNKmTCqrknqYdvwi4TBJIiTHDTSVtoUfxq4Fmx9lvwx2/yDcyp0u2IZeb5HkOzBO4cryi
BeRTXm/JQFoNdmBgt8wUB4UIIY4b7NSrspe6TDtHZpYgV9iUULYP+TG9k6L1eoOnL7PTf7+XaCQE
dNDspR4J0Q+p5nsFQQcvr/gPIes63VdMOSDIrcvanjKpnw7K/NqgmAx/vfIJCkAD8KwT/OBQDJEq
O5N7nRNMlb823YJ+Rh8ErSfZA1aZ2zC6DGAl8tsVV2eTBSOzobTj3RoHV0wl/LUE2VefA46B9NcL
3160uvsAB7yF3M48NGXQbn574uKIwOaPOdalRlF8yVS5CfC714v2c7IukigKVbctMaKDCeV3SFY+
kJp4xf3U5cOd9jDne4CSJEv6Exv7j+bgXu+UNHdiWqxbaMeBFPQObWf5MxE9Pceq6TytOzEt4rMF
kRdq7kl+RJc+0+/2aaF+7spllsQsekx6g4y/jj+wWFzJLD0tO9cyIyuLWgOH0unR3sZ5AdfaCyWG
3wF3biarI0ivjTgoDFoZgznut0hfvUy7cCIurW6nDAfloO2FxuEH1jGvtzIEHl9fy2PYU2CpATZh
rfq9bd1lYH41PVBovjbdKzAjJgbpSdZCBH455uPaTb25+e1J+tp6TeNRsQEtpWmjD9EY3I2y/uxn
mr423TABnKMGWgO0uEVKGtAL+Q0JQTrvtWkeQoqvnnFzJkEKyVB+E29Rxb6Y+GcuDmGv16aRwQ5g
1MQhqdP0hjL7PX+LVu+/LDs5FQYD6mEM8CH3Zvnes2g8yYa8JbrzX8adSwlqWbWMA677IcJSJfKB
hG+BQF8O2r/tiHMjUS6UGBtFH/jQLCU/euBjf0gVjc1tWXmYXlg+h097SEB77XVwXAwRqu085w02
KmfkSdfxo4qUn8t1EUSCgcCMcDbeDSrvS2AWf0g6viWc8h/fwEUQcSKX+IhQfc9SfpaDfJdku1fP
AEIYr08lQsXK1Yx1z/N0CudMFywZ/LAV/xDZyJZmBUMu9ntZm9+DSZ4X/aam88tl/5fD48KHaiGY
tYKouzEUpRzS6aNJ2vQr362fU0+d+4oJkz5mWzbiYTgkBVnUH61p3yqz/MfRd4mlUFBo9j1CrbzP
4qE4Ern8BQrlGHKkPF9EWXc6eOJKeXqIf4h08GlqlQGsCLIMX6M9fszWxassCsGY1wdoWQewyK6o
LR5sxJhPP8liaIzfrA+IbF9bV83U8Bmn8m6wafJbhOEKDJBd/ercqUuYGCUTeiAodN/tdN2hsra1
3xPoPZy83I0LLUqkTiGGNmBrbKqqOAraQvWtffKy7mI2BgVysjq1rJp0e9r2+jQ2v7wsu4ilLRg3
eRj0EamZB/S2WF8aMNj7PRtdzNLRYfBsIXjDQFINI1z0KUiMnzNzMUsMb1wL5RdURm0ESr6FaDMV
qTjeeGrE/+FzXODSQJO6HRqm7uy6RB0sd/u7BZCTBpy5xsxFnq3qM8q9+uMkovB5aJctQILSZ79y
0nf3Ykmy9jKAJfx+InXwDEUKDZVORO8PzdKp710up6nQTbj9WgIajBeE25k/REiK7w1Es4PCjIa/
QNU3P8wuCKJf36+ohhqxqUdWkbAvNn6f937DxZAreW2Zt3ZkKVesGuZzEMoyW/2GXaHa9tpyLEDX
uM2wTJPxvM/5gwX2wuvkEyfZsclA9apgOmLtBRqGJ5ST/Pyki8sR0EfGJIbBflDoMdc1enX50duz
18JdaA7d56aOY82qroaCbmiGJzPkfoW11IWJtHw9hjSDcRJMRUYvKRv86hkuQqQWMpk3jBhVGaQF
aa4L23722xAnr6HHFEO+d8CX7NoSFCUFs9/9LL84h7+Vo9t2s7mZVVpBakmWxzK3ZTRwv7Zu6sKg
Bj2PpI+O4e5I9P2kx0eIiLxRCnx5Mv5LxuSCoGZ7DCAp1d2dQgovyqap64etntj9YWMNdLeR6iNG
jXlTiFRJvxvlgqNi3cfR3kyogaul/UbSY0e60+nW75XpAqSazRpiJW4VnoB/CTaWSgV/en1nFycq
mRom1sE0iR8xWDMdfjviQkRBU7eYZoLdeoMQvECYko3f+8ZFiBoeNemM2k8VtiL/8JJsf0Ilpf/h
tSGJEyvIwgOZ9W0GkHE4n/JViOIQm/RLC1xBU4DFeR2wKa1aShto81ABMTjdvBG6X9b4L2ffxS9t
NAtSmY1pxZake4yV5J+13ny9rxM2GDSEyLyltMptDwmr6KLbtwRt/mvhTnrdQvJsO4yhVRSaU6x+
NNPhd3VcAFMDCmE7R0taLdNYKP4LKoV+Xt3FLxG+QkiXS1he2AjNlOhjG425X5HQRTCB7kt2E0jj
q9aa99CnfpytXw85dQFMe3K0OqoprUItalCJ8b6wKvV8yvw/qfxb3KiHtCH0sLSCevunfWmfppl+
9LqZLgNXlGNEJOxgGg6rmqL6biJ+GbULYbKmHXPAJCjyir25RfO63rgUfvA8iLm9DqVTnLURkC60
gl8RlywIl9OieuEFs4ak8Gvr894ms+lxdQzDjGdGIb7jh+wCN/Vr09YCtEiHlVajZScesLIhfo7K
BTDVRLfR0ey02qO8P+ftGp5ZRPzA4WDXfr3uMQsY71ZYzy0dzxJCN2WIB4DfvXcxTAGKp3NscQwx
t/Sg1varOohfdHARTAukgcTc49bPa97+gYddZks7t8Hs51VcKqRusRpkpRGWPo7imuA5dpuWyPOb
OoHzEHnahCKgVQP+ppYPS0mG1PMO/V+Y7G9uJZcGfe8YxlWtSREB2VVaYlLPT+rcUAZZ8xbs6LSy
dQtGFKI52OSXpm79IOgQUHt9IjF4maEFNpGqP8aTOaYyjplfNvR/fvm/7QwqybkOoSRUzZyXUcSr
xMZ+OZwLZNoBsraYawmrxmDicoPKXczOXr7cBTKN4MWTw1yHlQ70pzGWn3UfeCE7UhfH1A8C2qnC
HFDRiL+ApgOEjZ31OyguiilNzLhkR75XYKY2xdGwrzbbPvhtCX19RqALbA7di6PimI2MUWVpzOe5
6/3IAKBa8dq8tpuWOzhWK0EziPIFp3pKPVfu3Pyha7c4abOtgnzTYzr055mFfs9QF6azi5GCn+PY
KqbCm5jjcpFvqR/8R87pYnQODtWpiW9YtQYNpN3ZZ0xD+2WdLsPScExQFY3WrdroKM5jV+vLwjPl
V7N3JSMwasnAgNZu1RpmxbrI8yC4V4SAEMjrU5IyG82IybYaRlT60NTsimkn33xOOHVROirFWzxs
mK0waw3EC31Uqx+lAHVROjweF3HMwVqhB3DKZlF1GfHabcBvXm/JOsp1bowwVTPvBdT9ioB61bap
iyZU4LPbsoivVZtu5zbnF8P/8ttp50a2ZB+FWsmKE2Ltx5Rm9JaPid/kEIgCXu+IVEm/JSJcKxPp
7CRAhHBOrB9JAWVOLAZ5QBI3rVkraempp9Fj7TlORV1AVNqSrclVbaoxWd/NqzoBdeUVdKA9+3pL
TKJrKHwpU+l+lgXUKKpA5r+9PqaLWcoZtJt5g2OyETAeyGEfLiJcAq+ck7qwJbq10TKF0QrYZmLO
AWO0qNkSnfzW7lyeXrcgOg23tWqG4OPR2kvTpT/9TDvxMgPrwUbDdq0iCCrzePiQH/KLn2nn+uwE
c09Q5Vkr8GQ98Zh9iQc/PD51FXBA5WlWPCHWauzkVdr9lnkytlAXsjS3Yt9sgFXLOKyLIYuhIp95
lQlp7iSwkWw5JsHGtYrTb3Voz9HQeGWCkJF7fXOGRS4vysawjJH4o18hBfsWR9HLIftnOQyiOK9N
x4Mk0OSwa5WpcWfnrJ+y5mz4FH+v0ehOIWZFWr86E3URBhCi0SGw4UtVB6gqr1PzPIrpLRnCf09V
MIrp/CKzTRi4fuYqZ/2lzbJbu1Gv8gF1AQZCZG1j6n6pjkh+auPpROXm9+qBENzrZQdbAnp26K5U
vYl/R230Q62R3xsfEKjXttMln/JWLnMVq7/o1p061vi5LBdFQOWqY75gs7k6SjQ/Lxh89jvrLsxt
W2wYKrYiLCfNfQxu1WUMvF4m1IW5QX6WCVBjLBXrxpJj8CScYk/Tjg/nRzLusSJLtbeWP8/h2Dzw
PvOj9UEm4nzIVGdIJ4KlSnoRFiCYzu6TTe1+yZuLdMuEadeWNnj1DC8sG+zU1Y3XqweKg68XnkDG
0SYgv6/skl4TNj+APvTiFX9eRLn+3nxTaKODeDyYq2NmRTbx29hlpZ9px5EfHdoniRVLlf7IzTlR
nmYdL56lW8tG2SxVZIKSZm21rfzZa8UunI1lLUIkamDVGmSg9GlvIIISfkfbxbMlZDOhkNiNJlv4
vcUtugVpO/ulVi6grd/S0ULLaq6mlj4ne94XA5tXz6U7O273PR6nl7XW/Wxv6dpNZ5ovbwn2/Tty
i7qIJBZArjcDEwZCZ5vcWSCW/9BjD4HCo2s0OS+QhoygxQt6Zb9fx8UohTtUEsw8zpWow6MY81WX
ULN5oyf8H/HThSj1iyZBbuRcDQG0hce0HU/Z0A9+ub8LJOqCZevTCaEIIlPhg4wyOODJkzyYukAi
gYFwEc/TVLEICnqi77/RRfpRiFEXSkSHGITqsZ4qxbJ3Q/uhqdNPXrfWBRHVm14IptmmKulMYVny
qxPKr4zgggcW0WzT0ML0pDAzg8SrSO361izhfx0Vxz/aebPtCLbmqodo62lSU3hKpR/NPHVhAlZG
qjlGMlVRBPIhqL8vs/LzNS5EAFKbuTWrmqp8hzR1xovhTen0/9gSFyJgWQhyFtJPVaP45Rj/ikPu
lw+5IIFwy8G3HYIRE1LPJzAHlPni+c5yQQLp0cQiAP9VNXVDsbKtyMfBL9a5kMS9Vx3Gkw5d9aqu
v+V2a56OsI5/el0cF6vGFCSCIUamqxpkLFTyot88o50LVsuXXQxrB9M2F8up29e2zMZx8zyBsZO0
rCoAmy2s66i9dmq9ARruVU6FFulr0+Dwq2tWyx6xLl5O0HwZbmIFjNhvx51IOr7MmyXHUFcRgGqI
0h/y0a+hR13AWmN72vBwa4GiioAW5oO0X/r56P0IlamLWYM74XwWsG8WG5300f1YA+lZ5nNha0Tk
Cbj2A3ozM7tb9qTIwBzoteUusZFo+mMypMluKlhPNt4gnyBBbuRn3HlR7CAjWYORpDcyJ8UBUFwa
+d1NFxsULg3RumnMTTeGXHJRH9dlz43fw9PFBgExNWU1rc2tC9KHQIgzM+OT35a4dzOfI7qg0nyD
zKYtwok9xrzx655SV2FMWjvHwHuZWzPtnyfIkUA5nHnWEFxuIxb0eHDOL5uy1pCQy/IK1OSeK3fB
QQlkwIjd2HpjNZhZ89imJdbv9z508UE9FyaQWwbjnH8Ch81Xbv0SThccNPXjMO9DYm6BHMuoFafM
ZH4X0wUHRULvgbDxigqTOJk4Bz7oD68j6AKD1inqDUl3cwtp+10G/cV2k+d+vCQuf2uBI0juk1DW
3Kje7kfTXNjhR71IXWTQiF5bLIQ2N9P2/MLqICoMUbFf8c1FBkG/JGrRhzC3actOOmyf+aGf/bbb
CZmm7/Bk1qu5LUv0GNc1WHzjyA9zgFHP1xuO3NvIYTU4gFS/YyxTqDZPfq7KhQZlQ9goLTpzs/NR
4gddk8z4nRMXFzRPYUebDh/z6MOgyGJ1DujhWSX7ByzItHzUoTQ3NaPNsXdHegYd/i+vr+kCg6BR
YeiKeeSb2vT16NMCm+QXdVxMUJgvCnVymM5oV8q5KcfaT3+FusRGfIp2nXUwvW3HhZkX1gfm+SmT
1ydwWnUIhnHcHCi6LoUa2uc8nFq/BCJyoqXGqBedtsHchjYsabKeh9Qzp3KBQC0NaxPhz41Z/hvN
q1Lo9C+/M+Jcyoaw9hgWXJzkIBcVKlPkKKT6bYkLBRr6fZ7aVphbr9pPcfdTBZnXxAh1kUB6UCye
FTY7CTfEBHqt9eKX2LtIoBBcvKq12OxmBgOLFFdMFPk9dlwgkCJgA4vQ74Ue+1Ck0AVJwa/h9R1d
NqMpwk3p+tbc6uY4dVm1jMovuLt0OjI2KjZBsN42ATn3VRRQLParWLs4nVBPuw4HeL/6RYCzyTHt
fHgKsFAXqcPqNu2iGutmbPopD/rJyL313G0nTmYyDICTh22RPKxRXobH4WnZuY8yEkca4qFwW8e9
2PlfY/7V54AQF6Oz1CKly4YDAtDLCUjuwkrtFQwgqPTarYZjKqZ5yNeb3mgKMhCgFJduDjytvxSb
/5anibxL6/Ul3Z6jaD0BQfKVGLl5bTdxYTovD+zMTlj6nOzXcduvVvlR0REXpxNlcbxlEFi7oXmn
C/VCHcNqv0tJGHm9KXOTcRQ3kvU2kY6Va3/oDxuz8xvZ1P9j7T974MTF6rDlwHNJhfMtREU2vIW7
mIJ3YmQrL2lkJP8k26jN0WCarLiCs2GCag+1ZrpObFPtVYZ9Q4pwZ1v3Thybtg2UMSXxmwMjLvcM
lYhXxsr5NkYcnHNR9Buiaj+9rolLPmO6gPIeKoe3Y+y/E1q3KEP7aWQRF8VhVEJEFnfzLZ+bWyPz
poi0H3aLuDCO4+h1lwMHftvMGBdam70Aq2XueU2c3IYbmiJkbfMtksk9bbcTyK28wgtx4VW5CfOp
ZTNMMxsXlgZVB8ICT9/heNOmr6lpAjvfunA9by1+ADh+/ZiyiIuNTetkFT2f5ls9DP2Jmr0/Q6w+
8cpwiIvf4jwLe6CsXp4dmUay2hNbY/554V65MHERXG3biy4KB6weX7ZqWi0e2GJTv2yYuNRTK7M1
ZFqb+abNM5izHru19Xr+EhdUpMK62Y4IlgEH74osS17GxA8/JhriAotWo9W8aNz/FXGhqCOuyiWn
v72ciwstWltuwJqOpXMqvoWLrZIp8IIsEBckYuLmEIZwrDuuT2RLbizzmz4kLkhk6ZfepjPcVhwp
UkJoKioPKHv6bYkDEwntKGmDC3/ji/qutvoJN+oNV04RC/8liLkYEWPTuM5ziaoUI8M92IWGu5Ul
e4iR5znzmvsENfPrOBxhEC5cQgqXPmR5YYf5T25Gv5I0+QdWpIGwrBxjeC/aXuP5+zbkfn7RhYog
ugcYIIXlkO112SZhGUJLwS9YZE5yXC9jNA4HjItMP3It0XrRXi15kjn+PN06pSgG+m8pGYNTn3bv
g5r7FR6ICxnpwaYwhTaZb/KldwtKgh9903lmsS5mZEnsMTUjmW972zySqS+nRfo5RBcwwjX4crIk
whmsmwaFUsFLULn5KSgSF6IopkQdKsKu5ONyG0Rywpveq0FHXIBiqoK2DwBQvLFGXnk6lHmfeg0h
QXL89b0M1dakO2jboBAWYNjBFKLx6y0QF59ItzmXYCHAMdmiAnCQPPWqdRMXnBink+6mAIYNJKAe
g5o1xdymfpRNxAUotmzNwyRe51vGe1ufllEPdTGKEVMsXp7cJTuKwe6Zg5fw5WuO5UjX5yTxm+El
/8AV0VHvjUb6Kbc+PsViu9mVCT935WKI9JSNEJBGAtpLcrULKwQL/Q64iyAKIom5LwnTiczuUEI5
idFPaJO48CEOiqPDJAYHPGDiseM99lyiNer1LV340AtsG/Se4XAjSR3diWAVlz5fcr/L6eKHjp6w
KdIa1hvRhIWSs+rLra+1H3UKcWFENNiHlspxuPGhl4VGDjfutV/Ed3FE/RJPmnd6vq3TUQAYdt81
4tlv153AKdqZzTrq9Q0qmOvFCnqUQQjlAD/rTuzcUR9cJsm2W8NQAKfqKW0Xv7DswoiOJKBTNx7b
zWxBcwIn1nTeVOj5iHORRIBxziKd9u2mZP6lRtm3GOjmFztdLBHvIGwQxXq/QdFvBv2Uia8z6/zI
gYgLJ5piMqHjyrdbn+1LXwDTkfQl07v9y+uTupgiMSgQ02z4pAGWvNr2nOq3MCL/DuUkLqBIddHa
bAafFI1X85vh85JzPdjpT6WJBKcXGK7bL8GR9bNfHcCFGR1bOO4ZC7dbunwM5gDsL75fwSleHENf
E+BEtxuFRsayymKhfvoExIUYBTsBt3+OXRJ2ft9m0TXyFMghLidWth9BvzTRdsMTAySO6pBFM3k+
RF2EUU046Mjnabtx0nTPqB0Fa7FPcfLWqy4K/1+n+JfXlwsyanuNMdmOjbcBw8/kMzSKxZ1JTUAf
xIIp14/gcIrGz3PdNRDl3Y9uVn9sqU12kC/xUZq+aND1GjSEmIk67iBbA0qd7ajF9CnqU6rvo0mu
zd1k9L68m/e6YecuxAx0tYDfZzoNMqZrtS+pzR8JBB2i88CTuj8ZWoPloeCU1d9IQOO8lAdcwEly
rabTTFPobCYskPa2NCgAPJF4DeilW0JSX9MNuKknO+akPOi+bWd0Ku9MH5MvSKLWnyRUyyP9Mn4Y
zuIjnvhirvPLDLTznyt+2l5SqIakN7DvgXgrycP8d4B+JChx4DZqkB40WX1JdkXUp6iNze9jA8cS
yKZ6nUAfBXoGldoS2v+KhgNdLxrIXt1Em7XHl3YUcrsseRrslwyzoVOFESaZ3wczM/qR9nRIfoAW
fV9vCbj/mzJPl/Z5rndal5wCkliukRpl1de2nt71YA3dP6eQHm1OncKAX9nVbEhLUOVTflmig893
L5rq4hQO3U7eo8Pc2ILxOGA/d2z6VNF4XiHCJ1nSfm3ajYdVYDE/eNpSsfSXPO3jumQJ+gPnNNuC
95YegpzBz7DnJSErT9/vTTN8tHHbqnMt1oF8UKCcwGqWYXhhylN5WOp6lnmxLe3QXUIw3iTvOxFP
stTglUd/6jBgaRVDj8mKrLMYHrJkrYOSDZlaTscGFHoZ2iUC07rmKSibIqLUNWcA2BWasOOLnQHX
KtokH4PShl1NimNfs+4CwumQnft5rdsy36b16yplBF5PEdr1mtA0yP46QK6W3BI+RvU1iSDgXqxj
AuGfAPRNa8l1YO+ykGcg7wZkpi4PPcZ/4MfMoBjLpLnDQ39MC7A0jvO3tc3nrkBZN2O3hs6hARFR
jEr6RnCLimVI0vVpZWTnopjj2hxF26tkP9GNB8Nl7fK9KecaPMJQwTkOXqpBYbjZJlk+n6cxBmyW
yJA3ZZyLrr5IPpPtFAHE/Idt680UQagUhCKGduWnPOyY+axXkn1F4YCL02gpm4qeW26vM/5Z3tY8
WY6ikZrk79E6SOcCtMhWXXmf4+9abBkVRZBquciiA8HPdprWVezfop0J4PjAfd+qv7KGTewUNv2a
PEgQVv4VH80WXoM82P6coOnxY6+7+HOUD12KmkUTTB953R0hCGZSe9xTYcHSVrZkGqPzwuOUPNl+
p+FlrXs5VPvKY3UVNut0MdPVvNdmlcMFdytZS0Wn8ZdtCOq4HBTa6w1CQkF7DXZTf2Up5qzHNSQa
RJNTnz1bqoK7zuBfigasLtnXZcx7OZ7BaClVd7azIfJDk3I5/EY3L0rPoJWJ8xVYYp6kd9uSgFeu
GExNxVB2aAuNSZGGSbOX+GX36d2YhsRcdUDi/GG048sZCLIabqkea3wuvAv5J0woNdGnbg2aAYqx
M490MeoaVbS07cfnIQrD5leuk77+NUPDRZ/CiSPFbhqZ9vcN6Lu3akijQ74/pjb9IrcuSMouNJZe
JiXW+R28abCVpFlVekHnNIsLcLJ1/TPGRxL2XKuI3+Uj+vqYW+ZzfTemW/pbrnEP9C7JBvs4DAPS
hbg381fQ1q6QXxNr+3uRZnlSYuNZ0Y+4UUE5H3HXf2rXI+Cn6ECOUYA80CanBvmSvoYjzkQYpCJ/
tzFeh9cuWHV9bpGqBaXOszo5Zxggqk9z3gSqENlMg3MbBPaPdMgHXanuOCUHfEdh0e982d6PMTOI
NTkSSMFJIfgOeuHp/VHP57GZP3TBxI4zXEKGFdYdh3ceck7CyyJ5GFUBiugqOiWYcPmid4p6WZTO
7I8pSrL7PFH2MZ2CVt2xrOmTK4XGRXwhuATLIwLgXb+PpQb73Lo1j8ymDUZWWnI85umgH1DWQnRP
gBuJyz0beHtRXWZFsRPU/wtcUPYDNH77OyaIzEpQO3+PW81+Uabrn/EYjsOHMWsOnIQmElGZhk1+
2nTUISCCQQ/UazsHnWYMOaxONj+JyS+GdOvdMIT6jHaIOIHcZzirhV+bbbuRsFUnKtA6mrPkOiVR
WLBof8/7bSoSfvQFAzlcIUDxhHPZfkAasRYSk7jlugW2OEAc0LHsOPEsXQuuMvXQxvHjFnUnmk3f
uA3MJQ7b5rRCoecEufKHI5t2lPK6PDgtkHc78d6wUqjAsCICj951q8F/Be8ss0eWy8/rPq3w59vP
jPPlAsZGckpNZz9nplYn3YKyG+P/ky4ZRABXHNu8hvuh23YHRru4gCrQ547gBRHAwyO0Dc97HsAf
1poVBB+3BIYiKki0P0Y7v0bt9sjMFJ5Be79BSLUX5ZJ1TbnP4TuZrt+xjelZg1T0hkLWT0H4cU4S
ewKslZ/6vf0NPZLmHKzoKOdQPEMCsMmL2MR177kuaxYuZTiuCCtr9BT2+ft1z+6SEVjBhgLiQ7N8
KLJ6vfZEs4eRyMdabPaUpvsHOUxjd2m24DuBdFXR1d39Yo7HqOaq4NH8rGyX381pPp1rm/7uGvOO
d2gXlwP2kEq14CaordRh/oAn5/ESAUDLvhkFFzQES9QUMZ+QbSU0mS8iSbsi34QpYymCkoz6Y53x
7BYvHJzoKvxAMEQCrhJZJiIei26dinYM8X+yAVMIBrjfs6Skq1CsSOsispgx6VB0LqZB0icI12eI
NPUJvxAfTgfEPUUxZsf8FPMo/W3TeqlPzDTx50Yl637SRqLRE8Vt1z5ENKKoHZg12t9B/iY72XDg
4spzKboSv18UlzTo6+iSoTK13YUqiR7TMBCqIBxjhsU2qfxPtdPhNLZJkFe5rNOvY9/TrUj2ZfsG
wcg0vLBJ11+tlHZGzoeRvzsWk3zDyZzMVPCxOZ4ZQffpnIOztuz3If4KeRg1FVPbTF+zUfPfE0cf
777vV+zO2uFO4TrpDGrfTXsggKBQ9i4NNrl/nAbGh7uMh3l8mWIeAnHdBws5j9HUk1MuBw6002Dr
dzOt5/UqE9L96I+le0GsCzIAiCxwrOJx3i26hTtbT3yRWCvBuIz8kLAm+nPOoDL3LFQo1yIeUWxF
jdTqb6Hs9YqkKm/kranH4YtadjJ+V0tmfy8pUEvFlCZA8k/IiNGJtENETiAFj/MnI3qlzvEqwVPX
Dfv/qPu23shxNcm/0ujnUR+KokRpMH0edMmbr2m7XC6/CHbZlkRSpCRS11+/kT09e+b0YIDdwb4s
0Ch0Ie2sTIkivy8ivgglDxz5Zo/EZ5UsOlNjQfZjjNHwsnHIUq1HPty5eS43lCaDkwhGWkZ93/Vd
KbJ21IGPjUUQlwJhDe0usXrz00GWa59hntW/62H1Lx972E3Yu8ES0u86Mtp6J/wKtWESYKA0mxeK
QU98C+12UxeInBlCDiiaabLmaAWvYfNmoX/2/RO8Nyy/gkM7RT0WbttQKOwz3wkNtuUjXCvIPc3U
e24/dHDPzjHyKcqzRExpcOyDmFW4FCIK0mny6zojnLbYV6JySWfcT3UI4YYNA9NFYrIvLIXozp5e
tLjz/Ug3eYiS10+dgS3UPfoWRLQzu7G4QG19D6/FBlNNJMZRuk3ruuUjr6MrsbCwPsV+6aCvifhY
QwZo4yqdxNY/LmM8vLEepnh7BR29l0UCmfUZk/X8Zby4pmkNn4FvevVgw6n7SJUHePijKokWDFHk
k0PtnnomHq6cMF4hcZC/sTEIn2zvyVPEEzQUQi8nbIV+fRsGjk2plNPCTkldCoYWYIJxN9u2LzmF
9hldXcxT1Q1VkA2UHGhV1oUn59blkxf3bB8wb1kyMzF/OTtfuDULjJpy7HXxyzbKCn7eiCfWeMY6
/eIRHi9Fq1ALXPfYebc7iXI1HZG+uKsibcg7cTbYMjQ7Qu+dt0pTbIlfPrCYJU2xed7kn/jCWHJV
duP6hAjK+gs6j6nMbG90s+9RbgnwSXPv5xtT125qZ3qn5KUw0ohfnw/wSjQfCRUsuucl24pu1ZZn
YP8OCyw9l9QifNOklcduwmFL0CEiOEYjyqRaLYA2FrB8jFhJsrqREvUYgrXPfdN5D3KYapxETvJz
PPN6vNtC2w33s7+273rWC4VHgam9dK0pjidrgwFm0N1Gb0NdT/eNld1Oqrl5qcW69C+VH5kpCyqM
mQVJ7Hk5HgAMgZfKXnb4tR8S7PaxG7Jlm4dmP8uNnqbYNQLudRtbMmvQCxMYLKkXFHUqSjWjAkn2
+CCPW5KIz7Cu5zPg8uBbw8PZFPXm6qNFEi6KJBetCg9k5JFTA+VPLhZ/Kiru6kMNpi6tl42KHdHj
Ul3JyS7lbTOQ8ls/hXcIzWapoRiapLWrC+75c5DNDSR8RRQsjbyyXTDDOU0FDj575Yopl7JL6sIt
rBS3owg2b08mSa5pPMzfqznwbrTHmcuDSBlACBhJ4odtQF9R+H0QDDeVpfX7InQtU4JKdi6G0B/j
q8hv+WFNpIKaik49eG4/qruiC3vveZU+SwEi8EzHodqPQdtfZDY/u4ncsrFDjocXRxtqCsW9XHM/
KPdl1VuRTuWWnJNZbW8mNOXJn8vpVtboBNNkaX1xE+MMX98RQ7tOxbbiDNw7PXWHxd+q106Pqyn6
mWucNvXSTTtd+aS7AyaHpnyiKA8RQ1p+oIdWj9I6KG2bLTr08TQ9Dtgsj3QNquiKLK6R94Dx288y
bpM+6+rV5bRf2lMQVqhv5DDcuqSESxrMgLGNdQkLXnrotlhK4Zq4Ff2ymVvXCVcWVTjzOx/xqu5Q
lQ5tabuS8Cee7AtYQ/jqPQz9okY0tEl3rdXSHUI6shcLPWaL+iqZ5qL1zYBVhUNRpNI2yTGCjSpL
V8GNly1JP9GrUoZlkvdcX44E1Tz6jbmVEwtyKbeT2NY+FWFHHpAPuF13BOGdNzSIl6cNZ0VfqHLG
iPkAU5Wi9w2Pjt24LPSky5E/1RaxZbjodSszJOv4r7hqLDg1gdQbgbS/p9pi17HrkldzP91HjGMf
bXzPnus6rhA9XLfJlVHzJ0Sf0fZmMd/+qekEN1+AeDKV9bpmiwcj2P1critJV4LpQ83dFdmWImTK
b4q2rZebiorDUrX3a2vZDHCC8iMOf0jO4BBIdJh5mIf6WMvYP0zrZh8bn44yw8QRQkR85dv+yNoY
6RaxZduDt+nRT0fF6Bu08/LHRMeAHUiLMymbgnDpd2LFIJRUSGYoVzrf2HEaUH5J4+3HEHhHNg/z
Vp8IvKXHq9WClM3YQGl37UkS4+LPNXmSFZnsbRKyhO8oVKD9I2TSxmbtvLbjk2tM8wWSwZkcR/AE
GMZUHd5lw/QOLCDHUFx7C64/DZboPjStUTvTbwj+ZeOwhocQClKalgkM9dO58dmdiKkJswkb+w0x
5fxWN6rley47iH6wCwm4bMOw0c9F1ZhuB98i+4PVC1hehN5ht3GwUJCZYT5OPuS74VnuxppGh47r
SR6bFc/4EbMo3SOXiR9edUOjsKiZafJJMy3SFgdanaKU75LTGozUpOB5RhS4pB3r7/ElljbHmYFY
l3BF/NiOyZbZfBjaRO14oG1zaypTouuhU9QVo6undwc7LpL5EwXPONXxGGd+38SPcCwTZdZ7Udhc
kwCIxhOagGQ9BmOw+k+0QoDxB6+h0r+dY+nGUwhpFd33U6WG+7htu+Bzq7Ss93DhK78mN/rNlY9u
fcOTK4fwzm8AEOT10DTefUU32A2lfg0iAk+6jQccoj7Ge/NxbdFOLzU8158R0MRh8uFoeBsA3aRt
6mHXYfc01OREtOBTPvO+DdKR4GJcCQzHBHtBk17uWIsr+Dy30tJiqZaV5RNHKkgmZ9fql9Gt2N1A
cfXLXbcApEzHMNAqLWNJqgzu6a7MYQM7PbZBg2g7U+oIkp0Z/XSKU6T+Ho3CDrux9AAdjG7sUO1G
1u9uJXLfaF7OnDePiyZel2G+ksxZN2yLu+ej6ItWj+gb0YO0clfGjZ98AUYK50JzFfagrVBppxaA
VPcAeevUwUcTv3BUMYmoTCsz1tOu5AAyX3q/qpmfAr/AdAeessC7642Hnba1dQx/FE8nzZpy1trp
WqLKqpc0migt36ogSeo0IUwOqUMY1lst8f8okUQ4p2274Xsg8mF4A+odIbQeZKjLKjHgDrWab8Nh
xj+gcrMQTO0JFNPRGzGIoDmoLrThQzK3c1lEFRZ5Sldu7okiTv6MBw+GPp0SlcjFSmoOSQHFzIfN
W6YX9mrDzUt+BpPpgDxM/SgKSH899E+tdCzjxpIkXVCLr/8zUeNfh4NdUEvRlKY7WARqHnQyxHcA
y9j/kI7564Dw4He+Ie3QHWJHllxpadJN13+mtvzt5/Kv1ae5/3fywv793/D3n7D4Gpqqdn/569+f
TIv//u3yO//7Z/75N/6+/zS3b+2n/esP/dPv4H3//HfzN/f2T38ptGvceh4/h/Xh047K/fH++ISX
n/w/ffGXzz/e5WntPn//9acZtbu8G7ZE/eufLx0/fv+VXiYU//af3//PFy9f4PdfH+fGbZ+DetMf
/+W3Pt+s+/1Xn/wG5S4kU2j2aZDwC9M5f15eCX9LQg7FRoLYLhJSenlFm8HVv//K+G8xCQOS0ATm
ZIxe7DetwVaIl8LfYhoikTcOaRgkeMp+/Y9P90/35x/36xc9tvem0c7+/mv8h179HyQUJ34URITg
U0DQH+Pt/sJ9B41Ft9VQmlK21S+SJTIjVFSA2pkAIkAQ2pBhyxxQUjk0VBCu5f7s8fu2V+Wx3npS
dFCFABiqcABa1z3WwfLaYQjz6MrRv2sXk1xJT1XXyaqnmwrTcSqnVpgbjUS9FCUZu5kSWO0ASj1i
TizagP/a6bQ0G4AHCfgRSdhE4Ljx56sw8MY9iBB5EoNzO9+a7cfChQ+YLowtPFfMelXhUL8CPPWo
E9PcLPhtDDwOsOrU0xykFZrrF1eGS3G5XjvadWcVAq9LFg2bUzVNcea1dYVsbFDGygYoqtjYqHRY
E7TbdRPuexogR6xt1HIGmsNSzDEkQKwMveRGXZo3gbw95+a9qnSwa3Fe/JzVMu6GgH0OtqEFMQ0S
EVFFZlQm4hQBDUVbrFzhBcN042M0++QDvOuQMOzDWHiiHOLpOsbO6weVyxZlIZBFs/pOvQ3jKl0i
06lFURn6zXpa4HbuUu4DAINlLn1HGckxsQpyKzVRn/yofCdPQ7N2j3YMqnzFvAjcCKT6WipaHaSe
dksZuMzW43qAgb8+1gZy61zrYA9TS32I2677Ng+AxsYhrG6qYONXtg77MGXSYpqythana6PCK+Cb
fjbinDkqmXi3MK1skjRqzR7GwyJfjQCv2gQtlFabh8n5Xpk6NSuyD8cw/AICEF1NwwjUFKZx521i
4ZlqZB9FXRsfzRgke9Atwx5oh72atiZMx0ACs5GT2qlp0Qc+t3Fa4aZ+o8qb89L6cudTH8WBtl22
VLFAblAZ5n3g+U8+I4qiv1YpbVElAe8o027h+xVxXBmaZ5QXbbe3aETfcZDip6C0xKVTJIcJ+feE
tv0OlmWIg+alTYno+YlVM7vRtgwzQvw6VTinc17CMV+2MItukeB0rNveHbokFCnC2PbtNJHnwA/i
JxYBvIU/lA9WDuRmAcVlXLgxmoraCPZi1FjDY96r+jSsqL4qEZYqUmLXMWtNvJmMoUJ9AR6z7Vcx
TT+ria1ZWQW0TzF5TXOLVNhjbEPXp0Q3mFBRQ4k/QlfMGmaOdAPWkKKBLbNkhVo3oDIoRgPP3nTF
vQRFEFFQSMsMCBvGhq90AMlk0Qe9a1qHT9M2v0rPHzKFaYhbf5iuVDW1WRT6/h5KGP8OE9plYdXq
7eeonQrT1WSnW1wiN0X+DeDzMMPEQHcA9AKYFQsNmKNFTcvTblXjM2iCDWU6JUCDwvHFi9z2jU5D
l5fI89lBK7Ujy2IO2rN+Tr2BYIpQvhjkgRYz4+V3PKrjtRCxOqPLeOZlwg9j6AVFRC+rcWsxobAw
8aAaJVMAnc3OAyRxX44g+ph0yJmS8zLe9gA6xyIxYpKo5Hv5HFGQA7ALGu9cMPHPfqn9qzUeWdaC
BQkyQV2TBX0515m/EHfdMrJ4xVx59IaOrkWXWKHNAAuc6NsaGUdXNXKdyxTs7d5Atp4iR+vdm4f1
5qJI/Oi5UU2KIgdDWZ2tM3Cey87G6JnBWiWfCFDxcow79XsPZCKs2tv5iqJiwSzQuuuU/CY9FnZ5
MyN5OA3R9s6neGym5K4xCDLJ4PAjv/d41G8NJ0RkAmLos/H0TVwNLA+A5R5xlNVlSpe+VMhSMFih
nOmnxUB3fCTQJezrUtouF3QpcN7U6GW9E+XVjLDBBnRXiO1O9VO35Q3K/QL81DMsiqOrDSOaT3SM
dm0yx9fVPGCgfDA0d8gnS6WpxX6Jyrw0ZWWBkyXVERND43U1kQiIJmN7zO6xHMFLP4Pe4cQaRYs2
YU120DCN6bJiBdUw387gHpfABUiJrBnEdgMF1VRMTbs3rYXNAdM/Izn8ULY98mR64UrdMlI/Rl4D
xWldiXEXaWRwphTzdtlUoYF3snubymC98VZTXYfIDkglYJQDaZQtxsAFHRrTyj90G3ZKsdlboM/B
i1f6VVFhSvxUx+jtEDDbPcmGr69N38aFWAHW9nIEaz9O1qVsMz+o6l+Sab2Vc3IXO2xQQNk/3NAP
O0fH0WBjLLBbzDtgWsvt5jGWVbitRxXaK8dpna0sPgeg5HfUm4GeeeV3Z7s6R2vf5JXeNhzbic7s
3AgMmyYjNrN6ZMdS4Gz0gjh5qEpa3an4AtZNMj4r1cToCuQ18EjVZyEOYJNiEbYQLibksZu4fGs3
I0Sq4opnS9OUx2nW/d424YLdblTf11IupyH2t30cAcUmtimzEjTiy9gZzXLhjyjPOQLTfNoF76WP
sOkLPNylG/IQr6B0Dz9MregdssfIeejgu5p6+Kh3wNdXlUX2RGOxnmZelc9mWkJxBRsEdb+U5U9/
ntVpKHGIRWY5VwCkHr2Ackwzb2ZXWRemPe84jD+bOY9dWP+AxDZM0r4LvB/Sqzpk8ZWLLoBEHDnA
qhz7cow/wnCPhUlyYaDBC+kS3cmVrHNWKb87V8vG3zRV95MfkWmHsgr4fd1afYNbXPag+Vd9P4P6
fQ4k+Y757adliaHGuMSrxekGnkCAq9iZoasKH2jdN1p65lABIqwzjdKTp5KRPu8HFBHAqDwF39ku
eumaGOdgFwyIje7Lm4iq7rYexPQwgLc7+haAa+31W7a2MVhYiGBweieL9xOfUSEW5GIolrVTzG+h
B/Gvqjr24NmxoiFkLqPhQAsoh8rrrY6Cfa08kBQzVXJJZQJCcOxLuBSAp/Qs8F4ztTdzLPxUcpVU
pwmcYuZNNfFTsW4R2DGG1GwH1NFMoDWKuRzZK8aLYgmW11tSLXyZxX7EPzSFOCvWIH1NidCVrYq3
0zL4w5OY4hFHCHJq08mPQXf4pL8HSQFxvuJRmEP3LkIog6IAoBW8EF9jCtQgrWJ/hnagjfcGdvo7
XsbeowQXmcKdLYKaZI66Z4gB+h9DEMWwI4zn8lMF/eg/1qVewrQGK7czqgrKbGv469BMYKz9pWEU
iGQDJp/3eh9GIv7GjP0aAu/LuCh4nJMyzqHqt2mNY79NQ9e1b0nQOZKDUen3MnTJ7cD4iAqkjZ+B
p3kix6veiVOI6WKAaDh3zSNjdthztAy7fpLbAyYQMQsXNxs++JSJ0Q07KCdEjFqruozK0TZn4eJ2
Djf8LvSi7wy15A6+3+WurXhdbMsiPuN243kc0+A4rjhJeSTlgYCWLnAneoxRbts3vWyumNrXntEQ
PlZaZkhl+qzWVlzrBJVYuwmUquHeb39wLZuUN801cqweEZLh0s5505tw4a2A7vbeKlkdUaecB9bv
VNTdDkP9SU1SxKt+6EnyqdX20CzsZyDp3jOEH2az0WuYdz3NCFZQCpbiCsKWZfWPy9Za8KudTEHO
YOeso+OAtFsErVZLgY1QZkOImn4muWL1nq5qA9ZdgiaTQOpynjghdmUd2QdQBn5yKBszd0cxmtY7
G+5CfvZk85Ojgj1TL3BP3GfBmNYOs4GartXZq4AXcqLmzHCqIKgK2seyDUS6JQuoqh46cWlVVczb
vN0l4QUDjZJhQpnblNFVvEUeTLSHqsrDypvPMxmrdZdgoj6Hylc8VCN+BGO9kIivN2TuvINNRIPp
kw3dQg2zWIDMrD56lfLu+WaiOENLud0yNTWfhA0VWi5jsiYczG1dViBDeBPeY7JnKHgHIEkDVyfY
jINoP6LKWZplr5TluJ4KQoAairwaipqhLgKmsAu3XX2Qc6kBKYupQXpzcx022H9w9iKDUjg6Z8js
WG6Q2putoGHAluJCWL14R9ChqCDaaD+U45IFY8svqRjCv+9WHK6Cxg9qczrX4wtYyQyHyfgI8B5g
/Li1hygoh10cg1GqQn7SrZtPdRC4/YxEqnPd02uAJvdRP26Fjar+O/GG4KGXQMVHCmRUw+v2Juq3
umBzrzMuVLsfBK8gzvPKvSFQuawowe94E9Ob2l/orm8jBs3K2F9A+P4sWizvDXlVx9G2MyqL5QZC
vzMPJ/+audk7zt2mboC1tykhOgFNU69A1lwztQ+bWz5GYXzMaJA5X304JaRgIRCM1oyevg7x2M0p
gqvDrAFe+43TGY8shtkf/HWW36GRkBTyralixTwT+zTECeipqE3Y5Q1afl01DH/Ipjo38O/H4Hmk
EXUL5Q4yJbAjeOBssqpuhwyk+EsVsOTW9xhW21R50zVI2djmVee9gP4XAOLhO2ZLRUCrQmW6TRsa
VhUcJHwf7xGQzNFGiup+m0sYwfe6fQDX73b1QGAyFHU8a3W0vA+Tv+XCeVh2K+n6j65rzffQhWoG
+4t9KK0uogPTmDqbwzJ4XvrY3xu4UzxO/UqApYbhzm2DOi58kzeNYE9YDCh+AJeS0wY/prYYEHya
mcXrj24sm4LD+Bbns8D9BQUM/Q02lst3gcQO0TR37erix6HqUBNSSCpeWiyMKzvHDnhH192MASdZ
MKzrU7yFHSSVi/debmAtLGDrL6Qexi/QkoqjJHZ5+hcTtv3mkphCluLXl6fLZjWUbAfg0D5IHvLm
x2K++pcRWlQBoCNMSYABA9KD/F6rZLntRHQrGjgH8CipUC00Z7Sd4tZf/PX+D1Tq/zUwd9P8HIw1
X+6vyNw/gXn/H8F3Pry0gJ399wDenXWDmX7B4hjG7pe//VI4Mxg3/nK0f8X0/nyrP1E9Fv8WJ5T7
IYN7JvEvQ0b/juoB6vsNvueYBgxDygNofP6B6oW/hcCxoDQmAfN5chmj/A9Uj/3GILvkSRAkwOIi
+AH9X6B60R+T3v8J1UsgQEJJE6JHg+yc0b8a8XVrqwfjqegb2NsPPSnkiRPorAZRyxuzJbSgkfiq
e10eJYq7zW83HHvttYMWKG386QZ4P/uYWV9pQHSJyhZHz3NJ+7NFFPBtu8bLkS+DeygF1XsWqPCO
iDa8Qyg41GJbe20nWePcWGy+jStanSRZr8at/KlIcObQR+at7l/aGqgM5ejbOKk+Vr+pwA6WcZrE
3WO7Vkcr4h/+FJy7jjUH8BkdMAqgCS0Cw9KwDc6VEu+jUa9lC2XJGjcC2uX4aTA4sgCfaAAUQDlK
tUELRVCTIfHhFUjmM+2rb7RuXw0ewZR3MXLNvLcaWBsb1ddYghUXhN0226VXCuC3bBzkfdR+X9Fk
pHTo/Bcoj98bP36yKzuAkPJSgoSdbLHRbcm8Exm5VwQa2lWw6FcQjV7oMBrnZQ/vY1/E2N2R1Lwn
bup2Y41PJ3yY/y8LeS4rfExEKT+NEQQG/gUX0wEuVq/VFxKZSO4S8gwUf92vk4VSZ/UdBHj4Y2bi
g2M7TFEraGC2TXeHfi3KIKeO8yHU9xZDJIA0iIJyytQfVUBIujR6PDB0H69zF5YvleD1bkSSyr2a
VH0/KagQKwOdhN+1qVnUnCcjWEs7VBC2YFM+Jj2DjhpIZeFHSZiJBv8+30j3HoXGRxeHFQDl/gae
U3W7fhtsDv3lh6fYOeEeyH58aQ7j0swz9Zf26i9UqF9NN1PQsvrarEucyw6XqIKoFPMdY3kky+od
mslbCiyTJnNJRQ7V3D1wCc8o2/nhYYXEPB1hmoFVy/oT4lviHM9CncIV5QaBySu07+gt4drUpxVd
n6e4BuEIERA6hmk4QmsjT7EmcoftPviuVihDcTq/llVp9xuZnxFlvGbcTnUe+vxsWYlsnzIM9hWJ
bj07hbeYY+5/ag98fwfvjgsycYZQH70598/SiI9ZLM+ix+eWwHJuOsihvrVjL1JE3nppBQVnBrjx
KQIvVozKaw4cdV/aNeZeD8EZTvGLTRcMJqQscDZPgN6muiqfyl68Y97uUaOKgJ0OroHsAHP8cc11
Z6cUG9jZ8/WEzsCJFIYWV7Ps7sk83UyRuvYb3+TbpmGzLvAkccPDTGosduuwOsMl3DMKdFYYLN3w
Yo8JITHwfCCxiSZY3AYFAWrJ84bjjOJuopbrXryFqtSbImgGTXgwDtI3gNYHtNivvd2eK74CUiT0
uXRYJ+usxxQtmMsbp6/VoNmuAX6x7xqNZcegs4HYG08EKpQnSyQvYowKPHUO+4u40K0sDgvlDZhM
x3cfyAieQV1vHT4vRwydpd09IADYeMOUvd/wnQhiBFLAbB0QD7Id/MrNOadugtpdfHkd2khlbB7Q
qkVMI0UfRUp0goMHIWPUl69/7H/GwjaQQThaYMQGPqcEq0iV27MXrTQjrjRFiJuURX0NNbSPe9xj
Hi1jBI9KBLGxpexMPJRANI7MHczzWRZvfIHGH5BLEwdeQTxiEQkAS1Ko3MPMDP6CFTVBZZfGJS6J
8fF6ZZw6bg6C2DbB5sH74UX7w8vF5TXlI7b8NemheV71Ix+6HkgTsw/QJIVZG0a7kCy08Jo2zrGn
PkswtKm28RMI/CAl+DDopIaXscZJ0ZVvLKq/2nCGtb2CdId3kyv+eG8NjDjHrNdxgoShlFtVDCNB
fswm39cJGDlQWZvbCvZ5sNXqdvWsgfbOwV7X6zOUnl/UNjzboCI/Qf9y0/ueyeYKj6zSYZMB4bnu
V3ndt/h9nJ6gmOaboCyXYhtwLMVMvGo2vAxjS08urv2UeNtzZyO4Lk5YiDSMoZ6bxx4gCcDfYacT
T0DxwT2Nmk5sw00ySqw1gkYMTEsDqW98G3TBeZrx3JGqe0xa/dp74pvoob6oaqwF2UNXz0fcWlZi
AgmipSYLN4itpYpufRiDHhRsAx8D2fGCOtEBW8C9BIaVLqN9gepdnmZffHRAyKEAdTSbR2/N4MgR
nBQseQ4VZUsB+g+8BKeQecxBmLmNnedAJuhDvOTI46SANY0F/Nrh3pbRE+JKW7DRHa7xxcIWwMDX
NunHjZl7gJ6vCz5Wtlb4YRE27xX0eTAv1deiX589F91Opu+hUpj4oUEubBow3FAHnqwFoJw1AlfC
xd4nhAQyVxU/6kS9Yh286AWLmjP+lLTJz9KrP0jMl4LSDbt3M5M0WLfyAUDZvZLrM9w6XkoLvUu3
iOEm0D3kWRYO1UnkfeKksYB4my8PlvXotzRC2dr21ffK09pFQJnr6sOrLpfeRNiBkMSXNpp66bzY
l2XuRNpU+Iw+LvO0lsnR4+vzYubyJJFBXZilFejaQWhqZARECNR9wqyGLAYGoCwM5Qfimb7WpYJI
r/qQI3YZiHPHg9cpc1g7MDhBjU8Xzzjr5qYGjQiR856RjRY9BGF4PnFjcWDVWC0zy1sIh3LlQeDe
4GkbPNw7f8YZ2ER4ZjA3+j4F3gkcUJglrfc0htjKxzEBwBdeLgjGz1IA1zV6kQaCJrSX1YzdQK8A
8Qg8EECIXK5gDYHN5KoI6xujSEPGwnK9QavFnv0aV6Ny2HTDGUI2CHyb9zDAyes8dd9poLeE+Nkf
GGEi0IUE3gI9KlrbEC6uaacptiNZPtWMnB0Gq9JkGwD6hHgwNqQK7Qe1QYrhfARZqrq+UwlUr5ed
Mhvt8txgIORtmCJ8GWVfLvWdbVqbNXLWe7Fh5oKgtspijaKmo9hyaNMnO94YkhuLfbYkJaBmFIIF
Veratv6bWWWYi8m8tqYZd6ib9252tJh09dFIi+WH7UpK7P7kf5F3XsuNY1u2/ZX7A6gLb14JgCTo
RJmUe0FIqRS89/j6HlBlnZOpkEq3zkNHd9y3tCIJAnuvvdacY2ICwmxA5ahg/t9qk14jjDKUNapO
2Q3RdGxoDOcrGoQ54m5uTUMd01WMZcQV+ro/DVXZIsgXL8XYWCuBLB0ig6cGUd9Kz/0J/3B57ml1
sGFxkAz1IqFh07MZNKyRUcjlxqT0XGcsO2nGxju2Gvroif9pcva1kZ42zADD616Qu/VUc6MmBOWQ
Wczn1pXgpSiTx2CwJrtfSuwwzfRjq4CKYMlKnBDZjO2P2eCEvnmD95dyGmEvjk/JC+qytrV+Mz8T
wtbjy2MsHIhsZmqJBrMReNBTH0vT22IYAaB36ePvslB7RUg5uHHBcJCi57Yv/XaLNq3ZWL6SuBG2
EcfSUmvdt9zBMq6PfZCzvy0LC/GR+EbGAMT8ZNzMDfXyOIcoPiNddSJ5xGtSsxPFaFwPhBMqOzEM
2z9RTv/oOPv/dlb99F/9D9SaSIhD/lZt8vOwuu/ypyaMao6rf/0y+ujA+ueP++vAqv9BiqaJJU/U
VbgPEBT+OrBqfyCwEhWZbFCYYIuf/S8ZivoHdayiGAZ/b8joVP59YFX+0PkhkinBKkEdDmr7HxxY
ORZDnfn1wCpbynLqVVQ2CRrY7wN+q8LUZUGK629aH18lLWLxStIFV9fiZ47rJU9xxKGxq8rnNm6t
dYJh1WHrJh4ZDccT/ZjJbat8XrODaSf8ozN+HarwHEnlUeWAuqLnd6sq1Dvkl3Trrm5Z48OayicL
pk0/KtF2RrHm0ghX95M1FAdpGqMNQilrMxPW5gSNejk1s74epORJMfIJWVvEqyAvXWc923ymM08r
EIE4hhCncA04RszN0DhDzb6MMqFEt0qWXFmyLsxFuKcmNh3Jwok7LafTgEKjocqx5ig6mYlWs8+n
z9KkXJp5dmBa+ZLN0XOElmW1/IHli7e0uLCjNniHEcI0zPpWDHSuOys9CKJJ7RjPEdZs6t1eKB5D
k4N4XwD8obVVIjHglDqrekLiD0UIQsNX2fR3aN989CvCjLE2eQ6nzkIMUlwHRn8cy+WAF3GmZl7M
RIZOEgt//GwsO2kYTNHGDHn/ZS3GNxXljRdlUbgMK1u8HsU87X2tnTZoXimPKUzeTrYofSmcRsPc
ZBZfElZW6TCW+qlLKg65+nguq0ex5dWaNMfpxxFFHZbNcOAqLH9U6OnjMNXX+RTs/bktXTnnH6Po
yVZDFbN598L3t+ONKYk9dLP2GE6sbXUWGi7sg3RlhvpNl3Ms1dmKmzp9xAxXro10GndNig9glkdR
4+SMS6/oRkYeNcUaAzsWvUhkm+HrkS1qpVEM2dfwgtp1Er8ubYBkWt5jlz5aFp5wK5BS2vPF+e38
EcVhtyavvXwsY4vTkUStWs2KdFByzOuDqamnabl1RqU5EiArrCzcXAfsFN3B0AO1opVLNbNqjEy+
SimtniVmXZfR3N3jP97IUWc6s6Vsiyp6LiV2ZG0srkO9peM45o+NX1/7apzZSpxfN7zbuGI3FbOz
1KDwmocxXDe1kLixnD0bXfIyMf9AwJ2GTqQqTOWVZtzlRaqu1aXHYYVsYlko7MKaanniVpAXD3yb
Jy+olKlhpUvKEyZgpPysoR4ia0/Y6ZopQQcscjQoZI1xbZZot10UU5T6dF1XfsK+GU/pWa61bTsK
gaME+TUzgpIDDQaVSbrsFwfX0KXcdlH+qpXM6rDhpTaqXG5CXcw3kaBOaz/j1NbEmC6sbDjGUfg4
63RShIBKIY25tGNp9DkdcUnZQnksHF+YgoM+a3ikfE1322A+Dhr3zKjxfYoRZUUKYZZr0UqHkiHJ
RSQ3+WZuGg7kCZoIRKeBW1i1bMcBm+cgcdgSE36AplSDgw1pXs8zx888rO6xQJV2N+mBU4q0GKoi
CF/aAtkpuSg7X4hefZPZw1LwSgbuTZXaKegr7WywLCqyqHiEw6tO2tBOsgIuQGemjQPaT7PpMVPs
cRjiSuquaonHlK7WtkBP7CAJohGiyTO6ofClj4YjotZXc0z72zSm5pGR6NpqRT0VRby1xgoze4jb
fNMFMn2/NMYAKdf3iRk817L4ZDIrdgSlijaIkikIfYybEm2rN0kYY+lCts2JGsaEA7rpcZu5RWQK
q9ik9Csnrdp1cNu3CR2zC9NU5q05+tV9x8nPJaotP2R9Xj+XBYKjPuK85eNneLtvtJaDNQ8bcnqT
Jc6qZxkPRT1tRYmbjPok2gom5zo1ijg3qd2fQJ//z0sQwAsLQv/zfvl1WT+16fSz3Gh+Fb3+/L8/
6w1J/0M1gHWI2Nh/9rp/1huS9Ae+ARnjvgSdWVrIMD/rDf4GtpvIfxIlE/v0Atf62SDX/0CBgZdO
p0KwVAwryj+pN6RF1frvckOQJXiUuqkqvMCvxOw6JJN7UjvDU+pdo+XfYSE4mezDBZA2Qo16rsSl
Plx0gfUFTpJK6cMXfEfbywDxp3LDYzOLilP11kbuRKR4c3SLCPMLmqf0exH170+1/PkvHHAxkIYw
xU/nJd3VMKuOmrfOAG+cYC+3H599rMM4hfe1MnNuqe2WDVn1v0I3Swss6KNr+g4ilOqZNEVqInhi
PKCj4vzrC3Sr5pXUMFKnzajSqJmjFY0+WxizQ559gWJ7C3n46JXfUcGg0eAjrUgyFVgmzQKJauRp
PfCSgGmD2J+Hytgbie7UQsUJ6it+76c30TvJdMJYpNLMqvAmGjUX3Sm9aO+wuWIOPrOP//J0nf/8
EL8JtD++qO8HOALmnLaZC9/Le8UpVYtCcUCQesHMwukKywlpOP39K31297zPVYqmQbSqYRy9QTc3
80Tv3KQJ5MsITKNzqlFu+vOGZZizyA2+dyrm+guw1Wdf4PvgJTQtIxiQofXwfm168dwOxkarA/Il
6Dsn6L8arqi6r0yCOnXpi0vLtO2j+/V9JJOJvgkRydx6iSyuysFyFHHcCL26QYvvqCPmRDJsokH9
88z6mzXi12/y0w/5bs2hrzCZKD9Mr7wvr6MfEICG0Wa+49/VRz9bzV/el8tt/8HjIL9baxIfnY+S
KJVnCcaqUG4yiQ7PZL3dPjMrGobjSujWUqx8E79c4KQ3C8lHL/tu9dEGKqbBrxH8r3XDjm6l+/xY
hMfwOqrMdXjOPXk3dOjTZrt3+u++vqO3e8qPABrHfeSvvvvxXsK1it32kJw09E638VkTnvqDsII6
tDID5Vg9FafiKu1ctDtutdG0o+ByMIHJciou49hrj2Yp3aUVg8o7uoCr7+aqknHZYgHctsquUW1L
pqv+0F71V415lFzJLg5maxubxovdaat5wt6fvHE9Oqqt+OtpU+8KtxXXuPm9fFvna7/5Hh7rU7ON
sl27rU/Wlc5PBKS4Gm+yK2HdXVTnykAFc6n6z/Gdcgg2JqiabbAvtjHWNneGzvIC/IZGYe30z6rK
gnESdgPAuE29yTdGvCdq4T9cGTmd/7YjSENGvKMwyR6VHw4xy6F/ucVERrRrH5+N5eDpKw4x8iuT
X9P//uLZeks5+uhmeLckC8pQVckoyl63PL6ijBfBYgKJf1F+DH1cCIuxvH6MJMIbWVb6tjxnkbyZ
mKS1Xz7hbzzlj97F+xVaH1k85d73THUvKrhYMpIgyHEdMFw0sz9DUcAKkt6lg7j34Yi5hRbs5hBn
KVW8hnN6GSeK7uK7HFFnjSqMAArraJmaTgPG0KC3vCqqrsC11AEODCrjfjeYUrSmSHerqHbYEzun
ktMLQcD6Ogg06GVODNnQQZsBNKA1fbyqTTtOgztjirjZpm9xgIItMsM1nRfF7rvpIcrDi2YMadKl
gMMC9TxK2nHKNceM02qtZMbKrGZnordpGNkp7MFpxZnDufsaK8Y2kBqcEVK2FUE7radY7TjAaKe8
QDWbD3ZbPgfmo9R+4WD7bCN5nzSGld9Ce1X6nh9tY+TKVvBsCiK6y+5slFzB2W318moyj+YM5YRv
nHX4i03skzX9fRJZR8h1ryXIGSS/eg4VyclNWEkKJQDulSgw9gW3YlsrX63pn1Rc78PJ1NpETSpm
voe2k4+m+Rz+ucmXXXNVFFdhP62a6IrwP5b3YGsYxhef87PaQ1rqzF9KvZkOVjYGgu/pSwsFamNe
MnYEUxEy3bHicq/O+167zIur/6w6eB9npiqgqhStjne5V1rWLm3qbwLcguVLjYvATYRjX6dnTWKn
1uX9HOysLxKh0Mt8tJu9DzubBKJ1m1KPd71p7ZGZMhnt9421aCGnfcnvlzLoiw/5ybHg7Y7+5aoW
4pCayANkr5jEc+ijedNulqlzFzTfTD2nMooQraKN5lD6xUsuK/EHS9RbNf3LS45zU+eIgSSv99u9
gDrPH65MOCxkT7gA+PYRq6E/GRdvHQDeSjIZXy3S8lv0yUcv/m6VVptJhxxAyTf2exwFW/Sza5PN
IS7aDO2y5TO0p72YskQlSXsABrHPUusiq4llqU/5PO7nFOVt5T+USnFQZHqEyQaOzqpSYltoEeus
zWadKLuqWRfFfppZijZJvQa7EUprofXtEJrkJG/xnDBxmqFAscrCCmHRCvlmfVzfY8fMNlw2bhub
4Wq4Uub9UD6rDLIoEsNN3xOp4+XmFjXFuDAstsa4Fke3oPW6Emh8UtAJSAv8/ZTcKzIerr2v3mvq
VSffWONdqb626m2WX0v9JlE2vfHat1uj8foGh8talDYZmudsI43LmwakU48bEkeEfhsiVtY8LWRE
uKZFBltwVfo094RSPvTmxEGkj0fbyIVtrEBfrLubWK4PCtHqnT8zIE72FpnOxC1ssT24dFRsJerX
SWd5feCEfXUaJ5hQsXKt1+2mm/DUIOE17xT9G4a8TTRN2zRgD+Vxb0t1H6faOrSiTWiOLxKRPIY5
XVsp45hGAaOZS1dTg/C8PYGV8JRUv7GU/Jgr2ffWCvcG2DdJBabUhN7U6C4eayfIgL+BiZIswZWm
5vsgmGuLKidraqeM86dZtGAQReFlZNKgnSfWHPUbUtHNjJo2IjqFfjS+9RilvBgmN5jhvClGifUj
jCo4PgW6bBqQr1GwheOcWk5KNsyqVoZj2GF80eqNWMCMSnNATYO+rQIOdagmxjl3tMTcDYrsBULp
ZvJ8Jh/NNtG29OXAZH5CYr+ronRvlualFNbbvB3dqlMcq4pwqNozsV5CKGN2LK7TMb/AG4fFBPum
JHq+VQwrY+OP1XJpLjhT3rTJnZJMdENR/jHsZ0ywjCWy4XuZM8/LoV/NJRnUnZeWzVFPRXeKsViq
eG+myPyhyuN1Vx4r4BWL6XpVJPVgG0z1+mkri9FuCNSrZFSPdP6uh8B4BpO7IjfESUR5G6bpetK0
Q7tK9OlcJXD7Ku2yF4cDbgUAnrqHLHyjLYa6DLqaX3j4hxF6mVs9PMMbwUmr7c0WBXaXuKH8IJQ+
z+94GQZQmSi3EWsjH0qiJ8ai6yCkI4BKVhHvWVmxZoBwic6SHn21T362yr0rxGBY1vT/us6rJm9u
8G1UPeNxhDqh6WjLcfM1g/DQ+pRUOijbr07Pb3jtDxY45JS/bZN4LWfVaJTeM8FKI986Bi0PeNav
i1g8KZ3G/UynGG9VVwINKzBGXIPsxAklM2i/Rntsm4ZpG0HllKluiyUpIG3nGPnieajswt/GwJID
CQKBMjupGeP9TBAD3TT5gyhS7bxEg+xavsa0SGWPhPlmCpsFNNlToqEDcTsZ1691GfSM5a8So0P0
iHPgJhu+Sst7O85+dAmWffWXDWYO+xnVW5B4SsjUG6doukvlm1x8YIdZaZw6zbFjtg9NKkApPp0b
hEkWNatIH1nEfD96Ym6PA84GvWTzixxLVg5Ubqes0t3LMAm+2HzfAuU+eqPG72+UDmE4q1pSe9mk
eCGbsCG0DmqKDeKjVr0SscHMiW0wD0/ky5rhPOMvkGrtQcYpmw2GXUc53+M5ko89wjZuMnmfitWu
KrnMIV7UxO46mDfpvdJyuz0zRLQxr28aMVglFfhdYq8ayD9Bkju6n69hh9uLxG9eIHoVbEDBhfm7
YhSJUlNdVcVNFriRNduZgt1X+Z5mr8sRQNPBrYJoasYE1JGxkiZQK2q2MrGh+qxTZfskDI9SMNiD
fCg1xurCdNmCpZUTEVnpZdJ6aejJ8YWKcE7H5io13IXARqU8OhR3Y9muC9lcm6iPiKSyscLaUwyY
nR9f48EZ/dQNMh2640PeiqvMuFHZvRcaJItuh3//7+sWbflWPvq23hWggpEHStJInJsPuLk2BWig
TSrr56ktNkGyTCA9rb3u4ttggHA3PlThpZb19iKOmfTOnWG7pG1zA3Z4bab7mPEC2Mg6fjtk4dab
rjXyLkcEW0GNTshP3C5ZZk4dcx9/Eyf1hZUwJCKtl6Vvlemyt3hlZTLjmW86CjboBZQ4tImdJ4hC
+nmrVokd6xqqlGwHf3ObyJUTZ+yrWu7OVeHGEY66PHBQZ6/A231xEH5LIvroOr3r+mDclUqTUZun
pQ9+IyMb049s3nsRHLEaYEkzx1MVWZcAoF5KIbrpxE1oiEeZLw5L5UmpK6/Xq0up9lRu83gSLmYd
a3adfGtC9U7OGg8EpIt+DHFxYSMUsbV8OUT3AWeSB72pD8SM7U1MgopM4GD61OHvtNhL5yBBDyhs
zFh0Q+7GKRcuhLS6KAfdC0pUJlWN77TbStMjhjUnm+tVPxYu08NjaQAOj8otUWsbkgBdVI6bStQZ
iuobMeycGIM2hpflxFxc+zHM2noRsK10nOWzmOBpQ64G+Nlnfvb3t+Pbueejy6z+vngUgczQgGHT
Lqp0x7Rq6vTmsqOBaULdm9qLUeCPU3NTBpj9G+tb5gOBQOaUSu25mqzN123FtxnCR2/lXR9snnqf
4bQkeCahfSxeyl6cLpoJu0/UMO9LAKErSJtSY7ih/PaU+br1gsTco5Zm/WXGW7WX9cqAdDvLqmhP
092UfpuRhIU6bYUhA+Ywe7T1d7K1gltHDWq2VzMs6p2CEE+2toPmtcnpiwv7yQlXXHb0X7YPo1Q1
ox1S3asQRMCVu1foaJW600rAyJ0+1vd5G9wyg9wX415XBGdu0ZH9hy/+7nySzCBJzLpnTENDeJJk
FPDmviitp0zt9ni8kMT1ewU9w/I1WnG6B3S+wtj+1et/ch4U35UtaY72RK7ROsaZcQGAda9UmsNc
8+zH9PjxvL/1rgbtjMX59u8/88cdDAQ5v1/vOsE6LI2T5kkca3OGRaZ5Xs71S+ckpTQBM7ZC2vL3
L/ZJqwbg4e+vJkYiVHzkOF6sV9901mbNB1CovcihtdfMmywqnUIzHDWsz4I27Y0QiDjnoL9/9Y9P
9jBxfn/xvsolxB6y5unI8wdsgHN3mjDoxnzMJvE3MhyVv3+lT9JakRj9/lJyP09wGDknVtMF5EQn
NrNvIp9xubKwsjb1a1OZ9ihhVFcbxUGcyD5AaRorX91KHzflUSn+/g5grdatosyml7BbwgwDNqXY
UkKvnOuJhNRpW2kjp6aNvhBepfLFNf5k6qC8j8FN016qB3UyvcYCzWbcL89u5d82skGBM+8lLr2e
C85YJueq+PJ6f/bVvlsDIemiPWOC641ACWz6gE1+uwz/sdTIKwGksS6huqDktBz87LvcVC/H4B6k
/CPZ4ueAfrQCZyLwvxpuffZUvVvF0kqJOtIlLK9M5Seck26javtI1DaQcyn6xT1ynr3ka1/dbx8v
HLRvfv+2K4V83KIvLW+Q42fimZ1Mr3fV8LZemUroypHmFMVdxGH4izv8s/vr3VIF8TjQBJM7XOPJ
iVTRkcF7KMO9H5hOKDfnYaJZXN5XxkYUgv9srXof75qFnTYO+J6o2Pt9MGv7mGlZxxO8LIvEPe5F
hpUSu+4Xn/GTq/o+8LXTkATXiSp4Aa2/ZcEoeE7HGeYAv5drceWreEBwqmua/+dr/iOZx83XRLP/
TTJTQ7YsReTJ/FzlcRNlRS0cwJT9+FXh8a//+VPjIRt/YGQEQ2VqpmnqBk/XT42HrP4hqvRG3gQe
oi6z6v3UeAgmSg7JMiyIZ4aogSfmTv4p8hCsRf+hKSLDRUk02ZbUf6LyQB/C4/bvUkw3ZRYbhZ8o
o1LlTb5P9lNltct6pSz33dhPd2auwgCMECm9pikWuzcJI4p4FTMIbjALtCAOvVFAHRmXCB+jEt12
GZuJ66Nx9OaiDu9Ef4a1MXeNtc5B++I/8EOMkpxorEQGMglgeWGChbFL0meag0RN+9luszA8t3Ht
7yJAyhUjQBkfDfkTxxy4Uoh3pwnPhWFwWskN/bse+9mpEzrZzlSwGKpspGu5q+2BsIhVqqr1paaQ
8y6O2HmHDrmc1mFryC2leNIG3oVfhOjCBzAghV0pQB/40AF/QoXq1y7H7PliALrxEmmy+ePtvTS+
kcCUUTQk4jTDSzsNxflygiFij2MfAT+ohJuqGUWvt9KEn2pCUXX9oKMBWmfkC2hJNB8NwkpILTBG
HGfAm1/ETuLDFT0KsIwJ271SIjcVdSaOTUKKykqomgre21wdY9JCQOjHybSOx8omPUsOyEmJ5Ks5
qfUDUJbsps3k8iECFPyAQXrESoBvZrQBY+QaUPySxAgV04cVg7ef1UAFVKrlnYsGBplZwJdoTguB
rCzGHZ5runKEO1d3klz4TP1k/6YdDRDc5BKI24nSr1pJfQcMQqySK60fEmWFrlC99fssPA+JnDK4
rxWop1gJGuD4pvYIDs7YAtUJz+HYNzeS5At3vZ8w/pkby0v6IHd9y1Q80cqQ2DajbIM7wsSmz48a
JdhLNMUarMlIaS5IpliLgGQfRLQJp3EI5/XUqcOFkSN+1QgFodNuZmdVxMtpJkvRKA7ygypKyXmE
4P8wdIkCv3xC2BsYSAKxMKPg99/6hv2aQWd4GqPYPMJ+L+7HoBXvqzCcvkU0EM5iD3mrNvknaqIm
t/2MIrDzRQHPHUSRTqxbtxgkwRXCTKY3YpobNZ1qr4rn3p4EPXGtse6/jXl+EcXg3CY6Xm5EQtNT
uNgv0tAHVM1Iad42Dc8DsBDUjVVC4oNEUuMDJi2MV4yujxpBQecs6YLHmekAeAesL3LLs8khnREJ
mSjY9YPkqCDTvUyJX9pNEb41aW6jjRrSJWk1JXEqvdP2Aa7CTZMx+U+tkO5WnMMWSPl5Pfjoax3q
5nqSOyY/nVGfQ5msFPh+orM4y6xFuYgFejoq8pS9LpaXk95O4dEXDePFJ192oyd4OZo4FrdREiXH
dEqA2k2KeptOEVTRWdDT9ZC2JCMBWwPjFwZ1VzmZWBNTFTR0ARbLm+T3jHmTgUYVsKwRq0XUGudg
GGNgXXwRL1YlcwvLJbcOh14HWIdIB7UgnCCbjvrciq4/EF5ak+rY5IwSrmB3unGTrzPDZ5DR2Li9
MLA5LcALaIcQkVOnL/mxmPz2pv5iSBdJwFyFCIy+20Y6E6cIYNWTAA1JWik6Bo/4KlYQeN00dPkL
/xv2PF1hsI87r9nmo7FCbm5bvt0LuFWf8vFbpeTumHlycRGPz1MabqGJx9Ee9teqsySnHy57eW9F
J9IORpalEjnFIY+jhTJD4Nm6BuSErHNNq5HIsYuuZHC0DiZ8N2XXn4qyQATlAo3C0+Yl2RoEbC7v
DaO5Cp5LYyt127a4InMkLwY7sQg5WqniOck1oFKk6Kx967spb2MW547ALNqEKoPriE8WdDgrn/wq
WtfGZIcQnWt5b4Z3fs3x/VFSxo2P7LnsPRLQwRMyl9eJviHIaNOp3csYNzcth1G2P2wB4yoetF1f
KXvMgWTvSAy7riLtFUjdKiL0VCas3a6uzGSnhkX3WBuWymBXaGU69DKpL2A+tqUZtkx//NKtwWRh
EXRKS9kppnQQ+ozUIwxguVoqtpIIN6HIPCRQ1NWYlc6CmciRiUG7d+Hlr/y8voEe7DaVfqnJxCFK
bfNdxsM2zeppjqa7oW2Paa3fEn5ASZWP95bWH7p0dhq2PDkeKseM1KORloB7laleRbLySqoNNEr5
uxIyvtCuct18SDQLtJNyU9LbVCLztoqeRP51Ux1ZQexexyGRd93FBCxRz4/LVTTgnGig91GhbeWh
2oNnYVrf4AfLIMahU8a6vEvSi14gC4PutelnpBdLNhlcjgZF1GDXCgdjRUUqMdoZt2n1oyQ/vs+f
ibBajyFyHEHblQNCRGtekU7Mjr7TJI+bZO42SZ+dIum5jCInbX2sjMmhzOkktcVLqE3ulOruPDzj
PUbzfzTkfDtm19AB5nyvqs9E1Li6doX7AcOXXZoPkxZtJBReHQobNA8WAL+xng7aPOSofWQ+mSFP
tTtnkcZTZBJCVjG6NLOIax4r0G3VCsRgdlkTDuWb06ktlHUkx8d4tp5lkqCr7iETowo9i7AdJMCf
SD9kAiiN67RjkIr6KNuRHJIUTtTk9mQ+K8YNkiMZhKWpHIph3cff67o8RNlFr9zkUPZDGND3GTBx
P3DJvls1WXBRdTvTP3AXbi2Alc9ktti1SQMIAv9raEirQiidetjp9VW39NetdarEHopb7IfmC4SX
NdN7Mno8Kb7NtPsAe63GrJaOrZXtDf86Ug6tACtaWUsG5mC3kGsKeFvQCvHRisXpIYPB06Hc0fID
3rQVeFRtvotq2Jt0oCo7nM41xhzThZziSCPA1kBz1fEiENmslsZ754xQp3IJ1J47/hD8V4C0s/9a
tXd66cnic9Xtu+omUm9xWdAkDnugOCF9f1ABWBJa5iT3yrdJOiNyX3WNp/DDuvTGLB2CAcRmK2lk
+ewz8WpKb1pxgV46JV+b6qlsbjowovmHleyFxRDqzA05Pz/8eFd3OcN1aSvHV2S7gEJUmCrtZaE6
xArCLNpaUfggJwtTQCBCzh1jt9ccdjeVYZEmdjiZmS4srb4HZUBU4lJsenpzasddz1I1y+t+3ukI
lQbMRZrvgmACcH0qsuPMklubB7F7HbrbnidIaDZZsav7ByJ1pXQ7DA3lTOAUA+JEZpXIr20hRYmf
kT+0eJmMjSCcEsLZopi0tmon6j/CMXdEjpUmb7aYwJgFN1p9TgLTRu1oD9TUJCSvsjiHWdi6aX2I
htFp+86JKqbl5eAa/c1MkKMIPyINL2fzFSD6yujcqNtmJXwGPgRTk9jrpBjf9ims1txmOTPCJiF/
RFkNyDSHIb8Tq2srI740Sm0a1XYY4OJnWtW7KEjskgszcYcSeDZ2F2kGPVS41JNHsJaI1F2gjwuz
XB1e0/JbpW7lWUdmtRX1oxw+VfHjnERup7u/nKXOf54/flOCKktX+t25hDOYJYm6aRAHsByPfm2u
QgsqA0Uq0v1Y+NyxcT2kjgpwLXUiq+LeAlI9AQCW2/yiVqcMmaoh9o/IymBXiqN+wP9ZrntdwTqU
S/19KVvmhhzd7l6LowHfS9uzSaXyHVLlE35XfBKCLl/zk4OI1V4wL/RUKi7aLqq3bd6ou3CAR6XA
KcICFSN+7GO+Uyvt9yWGCoc+4aPZXkPj3JUZz+C8FGtEs9QDHDlLPxlS9hI147VJPOmKIno15WAF
401KDqhC5hbXvjByg6geskAYmi56EtEOen/rU5isRsDBSgboDNK9gBM9lV+NZm43mZ6T7Sd383AK
S6FYi7NnEI8VLE/5Uci6o85UYnqcxG9y+QKndsmeOrbZFRC6/VRj2k5BGotJzCJSdi7roWbx7IQ3
KUzVvrxI0/xIjxdSS8+KtwmaAXJ+vZqsPPYs9hDdggvX599avgkDF5DbTiyJl3PbvMzRiZCe86Q+
ZWHr8ahdgmRFz9rlnhBOd/Al102WbJabqev1TZ/k25K8s65q97NpXEsNBvcZ23jIDhjfgJBd9bP/
GBblXkGRUb3qM05u0zGKb765Fg0KUIsd+YubcGl9/fseNCGISwbHbwVzBoBjcg9/vweJO6jTWqv6
fWwMd1YPx1cr0wPx2o/Um/MxIYFuM+djRGpjUFI7GapDrSGuYZokfzYp/9uaLP9b6VSWoRnyMjH8
vBNz/SNPnpK/eFTN/3UifO9d+xT9n8suf3kqfm3P/OvH/dWewb4LjhlnLxxCzC40af9qzyh/ML5R
FF2VNRowv7RnZKj0MmZfS4QeZer0Tf7VneGvEOtyp8k0ZkBO6f+oOYNH+Lcb8E+3CsBY8V1PnkJI
NUgHVY6xF+2rXXNi/rilokZftDKP8m75rXoyT7prMEFcNzbBQzvpGveddOFfRifyJtz8yHRsyxa5
ztz4giVvJ9uEFO/iQ/KUerjjAb6zaZYefcl97AbOuNZtae3biSM7uqvvei9x+61qd/x6dORN6SRX
/g6ow2bcQ8u1qy1cOFe1UZPvEVd6wpYN1mGUt609rMZrcaPugHRuQJm7wrrY6rvyOtgpjuQkp2YT
ER5ylJzSK9flWltnpwDIxkpaK067VR3huIzGo5V5SI7GtjrJO+NC31QnCM+O7qnOvPsv7s50OW5j
29Kvcl8ACsxDRMf9gRk1kFWcRPIPgqLIwliYp3r6+4HysSXdY7vVHd1x7rHsMMUakEhk7tzD2msV
V2k0hrWPmxsUvuoJIe7YpjrGB+EKNaONdVXty7BZkehe6uBHRdTLPWGvBShaRSZoJmQ69zA0UGul
/AqK7z4+kECw5y/A1yMgKV7G1yp+Z79FXufG/l1qW44U6G7qyV78rjvMqw8P98cwVE8K+Qa3CRSX
FJVdRZ3viYd4N29we4Pcg+WUOxuCs5v4k99EqD0G7XZwpQDd1ad2SxnZVxzdVTb5zvAm3wjySAqm
wzkc+dR0Ux4T/xJYR5j1u4imgSN0PE4e4Miqdh6MDqzgweKODkQIdrZJNtnG9JV3aZMf6DJ9tZ77
sGIciMzYw51zciYXDnxn9LRNt5t8/bqKVB/FRS8P6lD0SzcJ6aM9xtfLDuFEV/RFFy0zu3H16+xG
3JVfLw/4YjgfcGQijNCMTnslumgUXME/s++i/La+P3tNNL8j7eVAAuyWfEl6SLZjQEgZaPQU9J7k
5X62R/TMLYIYYMvg1oga3hoHIyJiY7bTAGlZ/5IfzhtE79wsSF3xM4RiG3k7fSa37gINYbCwv7+m
/Mw5HKo35VaJhpCDbJEc80q9kQ6sxCD2Ur/wGvYJils3X4dtcS8d0i/sH96ZHcHgBSlnzUYNBD+9
zm+JJnbyptjp+2pr3mR7gx3Q7rIo2Zw36rbbfmex/om/A1/An2z1n/ycqUIdSK8aaQ/BjQekBjFu
F7J2h6PShtKdMbTu+3sfpL7BriyiOrq4qgeazuld4Y4aud155QsJN6dwRJuA2J88used3H5I3dRH
D8khiwZbjp2GkttG7DA/DyU6HezsFTJIj1XkwJ/moE3rGz4JFJ63wirvt+ppUwbIufCnt2lOdctg
Dqsj2hEhtAPuKTgFaZC+QaNRECrCe/Z2+VLej2G/Bcdwb9JhGqbBcl2HFqufjOi4vREcwxEeVLfl
d30YPyW+HhVbNcqd2K3uzafTXo4kFIR3Jmtpr1+zIKNTJN/B2ntjeJ0/bow9KmunaNycdsX2chX7
na9ea4FSHUzeHdsnBxaZ/RzAKsPyntf94I+OaUv8/p3UsPPyVNivNKx49LjbBA1u54kbxN7sr+8Z
n59c9iTvjR0aD5zFLl2+yesibTPtsnAMMgyredWEPY0wmg99OKIT7uQRYzqpj27YElqsR2F7+syK
c2vnRbfFKHUg0rbXwX3Fhu/UgIeyF7bn3cUf3cEDA+kNW+tQOBp/y68ufu+bnnkD3KYIaE5i6cmB
5pKUcWkd9Arv7Gg2jtT1slmvW+yXL6drBFKhIqRN2sm8yk88tkDUhJWnBrh43uzmNjxLLkptDjG8
o3utOzmqI21hnXFgNPRzf7Inu6WxB613FhXxlT3Y7ydOhNHF6tuze440lx4phIiijHc1oXjThBmY
POOJtBrLL31s+XbNVSKBE0hgGWfcGihBN74xIkCUNvTEYc2XJJv6/uQOzl9vI7yyH+OGP47M9fff
gTHQecplhWbbfePp+wtHGZFqACOZ24QlWRKeSete/NY1He6AqRwcY5fwJND2ZnKQUHMF9xZEmT94
Gj+mzMYDpD/+4pX217Nzdsh52YkTByMzabh1UGyWkAiZbUgbvL9uWQIsd3afzQB/1udopjcr86mn
ciqiEuzD6Loum/WQ5AWXiN6BHcIb+bQeSH4bmZsYQwVzL6Y89gq2sPg8bIpo/cIu1FljolNezX7D
TwlGs/E6/gxeC4gpoPHLNp31V6ygl3U9dyGFVP4O+C3Kb1S+qAH5bbEkZC6TRZMzc7PrlzeeFGUs
lt79diMZjsLI6gYd65ouJM2syiziU3tq8I5hNw8DdyezfHRuhqV1xaRxiCs+1os7Z2/41Ut2x/cz
r0ioObGne2LQ+yTpPcktvZQ/uoNXseH7mG7WlHAo7mPP9BqGtLzzWBwUEpzlCw1Fp9v4ZCf33bZh
7ajBxQWN6NBQ7+gRxLYOqGJs5+yfeZwoTrmWT5uSRJsaXfUB9Qp8FRa6K3qju7BxFmftmltfW+cM
WCkP8+SfODuAB3IwwkXARqAhid3IpovQWffXpVx5Fp+TXPRZ7DP3UNKhtJNsRKdd0qLczuoq9T4K
eCGWgKeHqkjABPEOwV6XHrQVTN45ujya+2mzMB0dozZ59vgTQRzUO9QwN826UF09EK7XJ224Swhz
AQsWYiK/DQqvdW7pk+IeIF2yz847mQrbYrgJVgG194+5IPXCoKEF+5jknsHn/CdyDoh4NMBlLixY
hhPK2z7QQz3sOZVTN/asUNhig7bCYaLTDi4Cf72Wipe37pGTm3mIWXAZhJE5Z1oeUB20uiNEpA25
muwZ7Lx1SZx32KawWFcy1kVkiSUYj9hrAxIfLn6HQwHN6bzL4+UxidYo1U3oBazC7oQNMjjqDda3
GqC/XrDyRE7l5gsV/Kj1ZfasHCTBFArs4nWlQgYT0BvpC2Hrh7Ezba2IJolg3Q49b6E7wlawwKNH
74ib4Opioh0hTKL+VcUMW7vVVqHKyZTKLOn1VlHecc/MKDkULmGwqmTmcvGY0YAtdTTvp6N6hU3j
WZeutC/ddb5rBqM6eYj76/Jtdu6izobVix18JJ/8mX0O0Lq2gcHyHig+2JCY+mDiuUxX5PuxJSaL
kn6JaGAnxNgihVGNHBTsC9xo2Mf32qvO9hWPS2ByxFCzdOsXIagwayhWsv2rh4ntWOIGzBieCRts
sqRB+XJlyzZ8+PRwJPBfHdy2MHYRsfYt7hO4KYbA9Cy3cnHmnIJJ7n0m1hU3yodtEz9W+OxLWKz1
5Fl36+JIqxkSedTsVEfB/6y5dYqeuw5wN+dIwpw2zmjHLsl9T/JBAE987OPUYyjjLsG3GG2SE3Z+
k3ytrtapbjYaAy2YBqwnr9eehUtuBtldjItdX5cBUg4u8hzYJ6Lw7UXfn6/L4/I2h6ujAOurl+Ku
tCGWg60eBxJvs66s0h63RCUeanhBvj9tKEBnPogbt9pQCNrkm9OmCoplRw9ycj1vm323796oCdlk
XwIqPg5OENjhewpWQRoyFp88kAN81GeB2Yk7BY0z2yndt6MNcx1eUhXUPtRJeFA4t/g5GSEF8lhO
i1e0ul0C8Qnp2vWP39viV8E5ETNYTu2tfkvt8YD8ZT9czTvdyXx6WmiUtYIeR22m8mF3fD0iE0Ql
cYTAgnVVh0qA5iouOzplUb3VruI7UtY9P4i3xn2j35Nb13c4Yl7il+DzA/IojhboikMUYKdMC31y
nn43YkyifhtH1T3zy0IhvXE9EIWct/JhEmwTcbJ7NZLx4JRn9SvCTIc0YHp4b3Z7Yjj6U/oGNH2r
H0geeYVPajFFEJGCs4MQgCd4bVgGHJG4masfKl1szTsFgtdwnyWeIjlr7p5BOoVNXdWlE7oPczwp
LeAXduN09gHf9AUusArNTi/fpbtTRVwDF14w+bWHmxfCYq02IRK4aWQ9a4hR8LFH+TamNsg64Yfq
jjfj862Pl1YSHy4GjS4uVjKZJbeK1jjM+nhuFl/Y+dmLOm+FZ9xTFqDQ7eIQNVH7dEcqV45SQBBB
4lfO2c2ekC9xX2ceYvw6uZM/ey80W2EUWtu0TXYiYzQcw1Nt3dZZXZ1bs3Z7/ra4qxs64narH14j
1JRcIgFPT4MLMRfhpehClIF0T8BvF3Qc+ney9BB8OUuFBCrDkV/LKI1aL0Hg3p/fF7/1Yi63erc0
GSP14DVcAf1MW2bbmlyJUdhWcDJD4Sj7uk87LMOAOdnNIFH9WtwUV8spUP2Kw21163CCMGsxa7oO
CUT3hsdqx6yffKjxXZ39QKeEL/GeGtvAmcODY+06L72jcNAyeGfdNDVXr3G7V6c79Vdne13c0Ok7
9+9ZsPqz63StIQiaKgxnIMxbTw/xs4CN0u1xQy+A3XJkr4MaHP6PAZKZ6AyDhHdOICDzO4lzh2/m
XDSw/0Db8KRXr07YZg6HGsEomu90xHOmUj5b74NJJwwNzh5CLv7gXhgI/L8Y+dUdpC8LVzfzTL+5
qzD+VlQEtKl/tLEDmuSdHL/OfK1xA2pobVhHd03EfHEoUaN4uPi0RGOUTc5eihiBGcLbZHOQBmv+
pQ+S1Qx76ywTAmCUcQt2aEhU7x0eo+BDmOtl3sTZguNi8wEGjCPlJxH62VdZtPrYpsGEyjYRiOrO
3Az9xV79RqjNCbOGiwJexV/737DM/EkYu/7+O/ebenRaLlUt7XFS8TRLaN9ILHGue1/xU1B4cBbO
kDMCCZzkBhfWOGRHckFkjrBpORYQBgKOOrqxcVQu7iksDqu/hQTPei4EUGtxKkjkkvBM7ct1fB/v
4327s67bCMbLCDQdGQ4Lj7VzyDHhVE8bjZxR91DcLR7l8SjG35scHYstYv1J1ITlptsXPtLz4Zn/
6GJbD419v9Wj1SIOvnk7rmEbIxw/z59n+2BwCJVBdw8i57rbZ7fd23oMSHfr+QZPJcwLWijZFUdA
dzS2s/06srnRTv8wVZat8QcRd8Ltke3WYx208JLYF14e2UarVSudzE1oO8fPXM8VqMm3AtZQcs2N
/i7h+JI/QuMGo03Fh8kjsUSSbj1SLgSWEy4q13fInDiLX3CJzO1Wp9VfDyXgUP7kYiZ4z+qjxcfZ
X70b1GlWr9mWHy7u6hus6TvZq/0OQ7ZOBGdpIAS6T53u43bgqMEpbDBTPBEqkp7K6UztcHNWjp3O
drcrUlkjFr2n+sSRibqVk8GNRYKo8/Vbbh0zADLAGx+E44WNpnizh4o2ob7GqT2GHMzBgr1UPDYH
cVbqZ/hKZjDj/7T+6kcCAMdDXH1sogXugXKBo/XX1qHei5+zI/p4qYirl+0ntvdqRMDWnhynxAmr
HZqhUpZg665rcuLnllBrC/zHv8/wFIeotSlyYiOK46w7yaZdDUi4hrYE1+zZieeIY26zAa9XF3HA
/1ldPMVr4MNI7HpTeEDRndUxnJm4IeJoxZbUWI3Vpatxy8jk4NTVym4NSgz2Y/ZhubBjOzQArk6H
yZ2xSWvKocTMnPHGzL+LlrU/261r4eO73VrmtZYXiWns4zfpGq76yiYNsfp79+LN5RYBbPrE/Iu7
OrImpnF1LSX/fBCuJ7LM/ZMWpbfaodqSVTteXqFSvJ7e8yvDV0LOeM/c0EviJ9cIJ3ir9xAfQDHf
UijbSoGyubxX5DfpDnMunkyWc/HTSMcx7HcE0LgxhMbRiEtMEOe34XJd4Gvoh3Zr3F825PfcLuLQ
9PJNxRJJd8goEGLunzgcMf2ueIVaAuvKo2YayQf5qd+UO04hHFqZsyz2B5KcDakJPewi62ie3OkV
HoImanwodLbWdRFh37HipM/JvCnX8lW3NSJCb28N8LPACj8M5v+3ss56od8lhP815IAtA5kWjUrG
n1ds3Cr/WkHNeveSv8HSWr78WKL57fO/lWgU6ZNJCc5CL0Re1Xf/QNCur+iqJIuqCQ2AqZLy+Q1B
qxifZFUxoFXTNKpHH3Wd3wC060sIf6gm9TxwtHzhr+BnPzgI/igRGhRnNHXF0JqQvyoavGw/7iQZ
NaRK0IrqeCrfafOexZb+s86FzgJtr7NXtZTaIeEzCkwKSY4zhdXvZu6fZI5/6k/57yP4CU8PWDBX
rJYRQCtCzRQeUDr1kCdyp/0SaW3umtBeDs+l3jsrfYwlfP31Jfyn2O7vl+d//puBxGHgFVe6ve+e
1yqu/YP49eFFKFLhNUlfoMUZvl/mf3z62zo3rE+6rJuITEt0CaOrx3P8VorkFa5kytAOfgN8f7fO
lU8rt7BhGQo4wm9Vyn+sc/kTS5/KtSGx1Kmimr+0zqlcfl8L/yOv+tPysuSlzuqzkIVVpaZBrFtw
xAopOTX50j5bIBTsWUaaXluFLdFtplGHVkMvXlIOVLmQa6SIQaflppm+GGMLoEacTw+aWmkblFwe
s6l7noemA4JhkHk6l3d6O86OZraQ9XNE2VqCGCrQ5doB4orTm2RFgFryJkkK4wYdbYF8nIX8RtWZ
10I8TLvC6vMHLc/VxxbBCFjgIRmyRwa/RyIGmRKaa80LXcldXMe+KoM/0hTtVtJewCuj4C0tZGnS
jpReozpneepcqesAgCkictxxsoRVHdNvDM6Q3pgzo1x4d6h1wvSqpef4NslaiX5x1AR206LrzycM
2uaUXwyvbozGRWUHt6lb0BEqKvbpGY4RFEbj6k3JVGiwoDoPK8Fot/VyPr9e5Dj224t+uovpMHgw
ekmHs1dEXDXP242AAnKIfqJybBCm9fC8Ln5R5MMmkUCSSMZCQGqJ/JgjCGvDNik5unG2IM0wL2io
9eDKZZAtNh0Kp6vphD7hWVLHKNZiHMupHl47uO9NaJM0BJ0TU2xsWQTP1jCZG/qCdE+zOiVQYVLM
3H4usv1Yn+s9+GaQdXF7Rhlw5e4v8l70Ex3sp9JW573a63JYZ2J2pdO9+BkBVjQ1hdi40bPEul7m
QtidT9V4v1QFAqSVRqabblsI9cri+lJX+ZU1N6SYoPbZqQi4uXotjbpd9nFs90hW21OVJPuhBpHc
ZyOJNJ1GeV3GwZnpkEEE5SJ5othcoJdPMphPxVbsIH7sHXNW7ksB6H9nmcvDNCrZlxN0vXstHY9m
WVMMAdsDyCQ1r402BmCV0dgb9zwuRaYTMF66N62MSYSrCZJ5iTz9HzgK/zdW9l/QUZA00BZ/7iTs
q/PL6w/gjY8P/GYtP8GUBeX6R8cK0ByFcupv1vITvXMijM+GaWqGSh/N716BqnwyNOlHE/ubtVxf
kiFjBdahGqIB7+qvWEsoWn+wlgYErfgWIEdkBaQI4mI/uQVGImpLPC7kqORjB28CKfUjgujOxYeo
zB3D/UIFSqRcd0tqdjN51BOopRrXl8W/ZKiWLPb2gVY/ekKcAF152sft5XFu7c3gJ4QD/vS4hKCm
vR6ilJB+ZxEwJ6nAqwdSsXYZluSRTP/S7hYUMWrFK/VQLh/EJYTRmuCRNIJzgbAGWcabGlgWA1so
Bo2uiUSoDxzi9EwRwDkOjOI44AyT7AgS3OCEAjzys9vkqBBJL7thC1nfYD8g8LkTr+RjEcECstGA
pICD2+lULWtXe9qSXOdLhI/afUtsJH9J8cGH8GFyhFtlzY9zhRhumOvcsJVd7CvUhwxbvBmfZBIK
g32kHu5J1wQmmv2wOT48WPZ+u/6F0G9XRJ33rDrk/Ug5tzv0IgFCM6ptSRL60b+7O9lfZoJjUvJe
eQO+1s4fGoA0BmLOhr0VaS21eRww1VuWPTwkPnrPCH/zdc+pDeijIiKhyPdRBDBe15yE7him/aV9
Ivy+6d3KhoHZPiFbTQn4XpLPN2gdpUHWQ51yAqWB8Akm+vUSkIylNq5mLv1PIJYlLsLndtoxPZAC
o8Q3AN/pUZA/oSVK+v465d67Df/q5vVkHNpHDDwFOZKcEevgYfbW8rX+XGwaWCzRfi4I7nE8z9Oh
cYvikKaAWJ38CCMUuXbVHt7qaySC1TeEcI9g8YPC7V91QMq5vT2nPDZFi57pe9DAvTcueAgXdP7l
bdzDCwR3lZ11QW5bn891Q/JVvFe4GyZuPzoxkgHPp2gu3DyJZrtKosM5iZ7aOUreab0CD6urH6XQ
fitGiqvs2qfleQLWKNsdfA0Vff1hAi4adqeeSJMUuugaOyTpx/Hz5YQW+ZV1RLqaOp35ud4nO3mv
3ELeEAz3unEQvlhfqguSwGbqjBb5FYUfxE1+lbjCNbyGCLTvJwosEGHvUCWBuYo0tIjwK4Kqsk3+
W6+DaUeZb4bOBAfDU8kOnj1Z2itdNOj0hdnD+5kzl5wwVRLNr++GlwTCpl1/3fEdVTRR6hrcKgkV
N94khwzeD23gQ+RXqOR9uTBbh8Nus+KfHfGWnDEmoJptmnySR6Gy6zvglYriAFjv3vVnfV9uE1J+
4BqRDUcmb0P5kQUG2j5FfOGVNhXWgBSQ3TASsk4xgtzHCjHj0dYnOrbt+ZFV14CQ/Qw2u3O0J1dY
7PhWfM18EkJne6R0r+5HMjQu+rfaKzdGQZNwe/APkC/BnAABFyc3s6MCA3VPVwrZNsHPqdOKn0Uw
35+T3O1Eu/vCuIiXz079qGE3wBM9xsfscNrOX3Uylm/CFxDuKNrIK9eW38yhFpxPn+GLkZc7mSRd
uOzPvupQEyarRzMB0JZrwGDbL4Ld7dk2dNd8za/0Db1c+suZJEH+Fp+ZEnFyzKfiSynYbSg/HU57
60UBa4sC9kG+UQ6pdQ/SfpSfLksEDPeo7OUnc1e3CFmTGx/sVzGSaIW7JgkFNvsxtoV9uRupztRf
5EOk3ASUIq6Sd+XKPKAA7C23yuaqifCAfalBwwgxvaimn/ZBbbmh9qoG2B3mVBYz7+WFDp7WsSLR
vk3C6rDJPMX57NHQZF8trqcd5cR7lclFnJzuq7zjJ1t01cfzy5OCMa8gbaDMtKa4Jz95GdwziW/w
8A5qfl4RamRMpt3Vmje/OtvtQ5e46vVlwy2gNuGUUUWmg6oQUK41644CGok48peugRvIe6wAQt3i
ChyLy4D49/NOIv1fVCGd1tAcqOS99/pTDpnKpn+nUMKPxfuTEXyM4qp/AE7VbYuAHqQHUv3YxdFG
RqDbNQDIEKKn+EVR5j2TN0gII+8NCJocpI6AF//rvTLix50VQK2laBxV/Ya2qRi4uUuaUoLFjQw7
n/mo7Wg+4uwXSAdYnuJefT0RVdfAC7zTQQuehL3EPViqSzGFIl3AqnSNQCJL9aK8kMDLNrdO+I6E
Ms1DWySj/Xvo+GxasWDr117Q7aMo0oMjkkDdO8uBFi138NdiokJJcT1shaOBEMkzZyzDN2AkoJpy
fslLKJCCbsegzEe69K6mnQjxE2oQdrK3mmdaW4SvI0KdOJzQiKnXsXe0XG0tJRfBkl6Pp1CliMl5
WDBkWnIUoOSmXwPsHMEMSb3oqNVGh2Ps1+Pz/43I+3+SYu23wBuX78+9x9uX8+mfhNt85vdwWwW/
C35I1xVxVaP93YE0Vy8RZg9QvLLK/78LtyHfh/ODf+i9VrQPSdt/hNvSJ2R5dLC/cJAoOkH8rziQ
0prV+g56/ke4/ZPjOMUnlUxNSrlanh/HdAATcOobaNtj2CFPkBZmNDt4mp6CiLzQeFOLHNjVmXaD
4ZS2AXdDQ8dp5dCBZ9htlozjpqxQLlfOz3S0S/aIMNumMevypT3FY5QKcelL6FJ7s6jiQJmdHs4w
TznQ+s0U/TsV9yfX7vUqfW0KAxTTSa6viDLZx7kFCNua6PsUoW1b5jj16wbuKNto9enLMvUiXVYw
O0N8L27ODS1v7YBPO8mytan1UfXMpm4hxLZkCm6lCuGwWGWEdJoowf9t6kcrp0VhNiqdBjl5WBuk
a5ggRbyO6VLRITeRaJBi8upWSfUFzs0oRVXBHsf6s5BZPQS/amwnMhp+qTXDM5smyxsxwOBbrUF1
z4Tg9yxCXid3Cr5ingGTrM6r9mSNzp7Uo83Z1DZAcIajD2tHlzEGo4roxiLS0KVJwOzoJrk7FYtp
G7E5UJ8y8NlombgpVC3xEpgkp8tgcRMNFMN4g0UIac4MA9mFgmpfl89FdjJuTBTUAr2aLntNXkZX
6FsaQNJu8nOjEhByH7sNPbbhWZcfzTlPPKlLKJSpQ+fUvQiANVYhRFSxHnAf1rKdt7nhD/MFZNE0
3yVNFpjz0tqoy4AkUtv9RzcuHPIJymejAFfmDOfybAaKQYcqveB3F3P29CmLo8U44fUMGhgUs8dX
rdE+bEZDQE9kPoVNKR9LXRnsMp3a3YCezRFCzg+GaOqjfWE9d0pP5aMelM1pJjupXio1HGOxfhiN
qb4dxxJOstNgbJvc1KngKH1MczIU5cU0U3We0/ZhGLohMC4TQHNBL0OrlIvPv24f/90i628G8i/D
691L3ScvxT+xkXzsm400xU9EsDLqJNBNrBnE71OS6JBBZ/Ebq8V3QbYifjLp2ELujDS+rGMKf++O
4CWkvXXJIimvS7Iiar9mI38Msr/ZSF1Tf2ay7ugby8emEQIZ0VhH6Wqao+kPPudpdK4pONZz8nRm
2aiL9DSTu7eHcto1cx1pY4fjlkNPSd/kk4TYZVfOT3p1elwotA8IG8PAvnSAI4ej3MJvMErle1xe
7gR5eUwu010vZWeCjIt7EWm9Vftad04d/cmdklxVMRGQUNgVCuK+1VtXA11BtmXkART4OEfGOUfL
p/MnYXlRiR/gUCQ1B3PDpcZzlQYynMW7ldHaWKU7cgfPRS+FNcSPMKzeyZ1uOYoUA34xxVBnk5He
ujm3480JKduk01/nXn1axPRtgLWWTn0UyGT5M73b4QBhx9CbX4pGmNE6yOA3nWG6GYzrzCRgBLpf
1cntjCnGHdHtbkRPgE5m4hn6bArp7oSaobto7VunTDdFFYNUr7xz0lNXhppvxssyL/SqVWW1Xywg
Q2nSQzZ7pqQpJ7q/NOOVSC8fBh54T5qevtZo29ArdXHpKgyaOoWVTCBBfLmAsWwoLBe9rfAddivd
aBgNor/po2H0aF4qcI76lSXkUqRDSCyIRnKfwzJppdYTZOkTCgngMQ3ol1PR9OBtstwLDaDesiy0
P+h9eFpy0Oxif4e2xYRepjyCmzhVOH4QUATpkM67ROvTsOnyQBxLoCbWMF5fTq32dTabk50pr8nc
mCH2V/BOsyKEVoxIQDoCp6jFg4UomFPLfVrSIQm0Y2nOXmYUFCsRrQzV3CSh3ef6e5JX3pgt1jeq
sl8qJv67WTKsx587efZL0r6k5x9s2O8enoYhkmXJIA+oW2vp8HfrxStQ3ci6tVoiTaeE+HuKUEZE
idc40k2yiCbcfL9bL3q7MIFkCCWkkTTL0n8pRfhz2U6hKoleGuZ1rfhI1DFxAL8rwWuCprA0Fjpq
EnPwYYV+r8osfcnwMneXhvhHyYbGybMZiHrMYTtUje7LSXvyRTKL5AsmNfpu7v5JJfGnbjPjY0hI
aVNRpfykyyoHwQ9Dqs+TAI4Hj7G+DANU1YO1seixJ/isBrJScxq/CGozkv3ux9K51AWMFzWks2cx
pl0Ghp1nDVKPA27dFz2FqB2yR+U2Xi6XwcnrSX2QIF92hJMqPA3QjC72gJL9BccMY5ReS5d6foTC
qkBAwqqNB/mEK9sZoxAsRp9C9pgKrWVnui4YpPpja5XaM26XiwbGPc4mp9PzVEUSW1Yw+KPa2ENy
znunNYzxrTDrXrUlUYU5Rdan5Z2EMmzX57zExx2tRX9e2t6yS0HM/q6J9EMb6LsK8cesrsJcsLpx
AcKHH2cVccciEyAbchsat6VS9mTuepmtAgpWOtyFeD+WX6UacZ9i9JTu+VzSqJzcNCNU1uLJr4zb
GEC04ac1VB/ZHDUFuaUBjg5+nXadE+cpeVv0ZlUzVCvhm4bbn0ry/Fj2+7Ym2BFwcajrmb42SH6/
Ji5N3lenrGtdNT+dXFPv4WHJ03Pw10tv/Zaf5wjVVYsy/pqhV3/qd5QMXPOSXlvXWM608mk803N8
HEqYQMvnizGBoW/S6m/gL/KP/gP3BvXWKr+mcXuipisrOua7LXhC9Tmr9R7w0LkpvVotxd1ULqTl
xlScXzQ5U4gWVHgPLelUHdVSgSK3zcTkta7KcqelS7UrKALQNSjSfw5/lbATMzn7nDVSfp8sEBU2
7ZQHs75o4ArNk/o3pf8Phasfpo0bwLxZCn3vdKiaP90AluWiLae8dWHQmt1WmWi1y0eY3C8AyORM
r/x2UMDjjzGwfHEo/HRR2IBibTiVZM6R1iU0OQgoNsy0oEEjUndIvArksiYNWFXRbjS9O5ZFT3qp
gZ2/pFV2L1XCRDbaokesFm/6y3K+zrPT2R0gxvmbG8R2/7gsNFTuMN6GYlLjxlL++IC0UVAY9gQZ
8UiuTW6hUEJ4CyIy9V1Clc40Ln/HRbwutB9mlCui1WzKXA36cvGn5V6gqQl9FVes2/ZuaeC6WTBS
bi5Q8eyUvyM5+G8LkKup4FMo0Zv4xNJPZ0CV52LbqW3jaqIO5bPW+/TAk79XUwH+ZQVo6VJCvH7A
4zNhqUnn97/edh8W/afb5SyTuFuRZYTe4I8TPMRCC2nWqXFPunUKiqqkS2hAsqUwLjGM3BrQx0Wm
peDcGvbQNJZTKQ2WRiM/1g0tavMzBLTiaAFVNXrfUvq7y5gvnkotF6HJHqbFRCWgz9cSCJpohI0J
rXJnHc2BrukgexK1u3I+qmY22j2MWYfynDd2omuaN43W6abLBPNuTAa6JuI694yMgvuFGNDT5mQp
7b43q3sJHiqwNmyCiWRbK2R6NFNcf0gTCFqkqgZZCc29N+dIcnxM3/8Df+u6fjvf9u3bW79/qf/X
D7XY//zxr/8aGC5Z/Eu/6xanq/+Pbdr33X+8nL/+x9XbmHbfe2Efn/8WRMKa8QmYFTrsoqKbOhVR
Vvm3Uu360upuSLoOyYcIhIEs2D90Lo1PbENRZjea+EmiyU79LdUmGZ9Ei1NCRMFBRaNS/KVUm/zj
ltc0U9ehZtREUGKyjD/4UwNuVqcLTMow4GVCn0GYoeY3ylkRaRUyTvIhA4WCckiVbDTALdCg62eD
JH09NM/SknR+2U/z2yT0c0kbufQKU2GKwoqUP0BkTo+9WWnLFaJW7Zlw6NIguaxa7aY1pB7QOvAi
sOQJ5OsGnskbLP+D+9cb/Ccv8+PmDCJkFMoN3FbL+MnCWMS2yFjNYIPPTfzYVIZ2PWQpvI612H4t
xJzQyhJQ0rKtsxQJuqrcWmZJvkts4/MXtTZfqolk1LeD95f2zf+0HfHXgEZnqdvhhx2wvv/bBlCg
mGB9QWWD5/lb0vjb+lfkTwQhsE+YEgIklr6Stv4DwKh90i0Vt4Q8MzBGQ/9j+a/fh3Mu8ikCFWnN
T/+CrPzPTpDM0WKaqsgJKwFTsH6m460sdZS6mOJ3OV7a1i6sCS47McuhzRvNYrhttXE8Ihos7awa
3b4JPw2+SlVqvyAKAa+R0XZyaJRqfZ9J89Q4vWD2L5Wm148QZsI51AySQatJ1tetY4xp8l/snUlv
3Uiarv/KRa8vCySDZJCL3pxJ52iepfSGkGWbY3AKzr/+PnRVV0nHbqlduws0UCgg02mFIhjDN7xD
sStwM3J2H2/0owCSWSD6ThzEerk+wfZRJNRUcijNxrDWrjXBrEoaqDwac/N0dgBdSUi4Chh42v31
58MKugGS/xMOidz79zMYKxcEV2CtpwivEifEqAJQlamu5nE+rfr+Ymg8/UlQtNxHb97sn1N9OyZ3
5tuodURWGAzHMqYJNyKs6KINuPHVtf3l48nZy086HonVBL5CmY9mx1F0YDZoMxpVCuyJRJYQsETe
k1pHtnQhit64b6fAOVPx4rpVdjVdfoPS/Dh30MvGJPLODKN099y8A4p7mY0/SBULkFhD0kGpKm3r
xXQVTcBRkG2uwjworyuhAWNUVp/ln92E7vt7Xi7rZhHjg9Tz6dxQgXy/blZXOHZRpvNiYBjlWJpI
rH5MNPE2gbCscUvBHvHB2p8qyDdzbjhI69XzMy5GMjkZBhe1gaG3LsKwmIddY3Xc+G1U999jZ+LE
ZJOXwnWURlht8s4pgXLkFY5d1s8p2stsUYrLcB+oMOWYu5zl8BFahRW5rNKwrFcQDTMkLRbRKRDl
Rgh0WVq9rHKyrHeN3RJaCz8/w2AM0GNNP4QT4vB6gf8Q2M/3sXK+T2lJmWvm6ihPXeGXVPjGbkSa
sCuNjTXP4w9nrKJhHTOIhSqgQ341t4H4kVXJbKwGZbU+yYABBbK3Q6deV6IPR9zdByc913Ez8sPV
WLRrHK/AfGCt4AFEcQTlTkSgbGuL1k7Md52o528yG8+tO+pop3WUjtvUKhYbyAJLI8ubR3db0IWr
VqpW41PhyjLBwcZWxJJRd5s33Xyb4rJwH6dljPSLJWt9jS8rBck2zNUtmUl5QEl26nfurIf5mzsr
RZN8TBOa3zIYEYal2hut3MFI4M/2erot/RJICarYAftat2F04qGU5qIZnDbZesKOBsPI1pUGjjiN
BSQKE8xD54IlXakowb0FB6p5p5Nxsne6aAlFYwoKq0T35QT0RLrZejDc4d4Op+YUJysFsCvT7BA0
tex5XbeKhjFVC31HJSMa1zqM7B9xOAbDiqtYfC8T14WqmtqChCzruxew58NjZZUD9PKED51HtaJ/
npbgQEfyWtzkLBFsxr6vmzPFV8MtDbTktA3jaghPMvCiC57Ww5OJGtKzXu5nbOKREPaWW9tb7u/h
51VeLLd6qW0ueH+568Pl1tfL/S8FhjX/V00u5YC6oWgTGMG2iipvO0ZmYq08NGMxszdHw9942gQP
LLwsuEcrdP4s6bV+uf88AHq8fQSTVNC8Bfn39v4bgOMPMaEZYn7yCjOyb35Kz0z51G/KLjkfu4ZH
ybZ/VB0g3qDVm5kau+OiCxdG/e00T/saYP7HV+WSiL67KfmdCFZ5RCnw8J4e3ZT/WphES2Zs/5y8
n4ETRYuONXF/rk/eGjE3zLJs07KAP3+HP4qq/mfV3//fYi+CEgdk/JtP8gvO/qzUaGS/TUH++Zf+
HoXZ1t8kyE9oIj4R1c+o6R9ZiG0Cr3fQa4Vjggg6Ta1/RmGgQsnOhfgZIkmPsOufSYgD98QlzuBt
sOl2WdSQ/yAKIyBfIvG3WwikvsNpNX92zbxgiR/fbus8DTksZMprs0DofNRiOi2tXB1ip5KrcNbZ
psw3cYE1bjSV5q63NTAct/oWlfmXfhKnNopoqVkEW3fiCqx4xVay7MWKUAwS5SzFTVTycPfaAZKo
wvsRJd1dq4eXrqLz449BhNb4cBWl7bwTRfg4SJBfHhDVvAmvC2moPe5RxnqoKV5WUbA2I+vK7sZr
ZU7g7voSKqphXfhNYt8BEi9963RMm+i0MeKHMWm/2ymoQXgD3WVhT/PKKHpOZwf+0rNcFCySBoxg
HH7Fwn0fe/VlMbrno8yeYTicOr2KziKnRhlMdQerwlqsD7Lz0AYc3nnVLTmkOinSvNvEZuScJK11
M+vaPoQGT/Ykn21RlpdJ4t50k3NXzKCAzMkr11NQlrs6S690hYKfV3nwzUp9rQxhnDo+4rTNhPax
4Z6QntI3TyG2ZfpElhI6ca2R3YwEAEbvsQUJN3O7oOPYAZaHIRiMqIgJcRdFKFdX/TpwSizaJrwW
YSXWKD7OzQFn0XVRiYNvRue9KbZ+0p0PFVTRGra40tFapWrtptV9nsE3KGr5EGiFfWQoHicJksIy
QOjRZT0JVPNgj/YOvLGxb2cb2TcHiEKKGrmhG0QBBL/MEL1mpHGxnE+qqaXtWMT2Ia4rH2r3fCji
8E411qpQLsZb2SzWEQC/QtPZd51mm6LUL5UE4dHlGPllB6OL9naB/JuLX1fu75IsPSlkDUsQ08QN
DmdnVR1hRBqikJqiMmc0Kl5JWT5bFpVHbOl+IivWjUVDQ8vviY/MMdLSW2pHiOxgELLqErwm0+61
d6zzNMgijN6wyMxsua4QjXSQ1keAOj8x7RYtnhnMXd2na1NML7k5fQkGyKM+tqpTh8BSrh4NnV0r
D/txC4au7u9DDDyBTGyysdha9uJZ27ZbnVonSZXSo0wrBEAc/2uNDDh9ZWfnFbaxNq0C2vsApjbt
SlzYzH1otbdjbx+oe+BdOh48IxtW/QT9I+tMxPocke7YP49hIS/NOV/iL+/W8gsmMpTnBCTRtmjq
fTYKWOVmsZ3mLFonNqqwbhdsFD3eObWXunR0VxUZopL0qKfwCVsCTPns9mudoN43x6+QWB5hi9Sn
IsJArndeZylfGt2eRXb8KnEuXRuje08/O3/tPIibTXgYpXUu3OlcqITItd7bgDBw06o3A8rMqWdd
NUV1IrPxJjBcvEyn4LzMxweQJDdRbSNVL+5qO7qpLOM2gdIdBc0KkE22Drzinqo5rryZhXUdmBZz
TtdOHjyJst50sbh0dPgy12zvWdQ3jV9uUC6+QLF+P6cAlM00oBxt7i2sR1dF4O7Dqvwm2/yQ+t/s
PEJJC2tSyoSnOsxMYk0H1SkgRTu/4ILIOqrfLU3efGiKJbZ59WXT40Aq1a4aH4UZnYW4MGilWOCG
PWUX9j3/gPBtJ7cTPFLUcgEF0HLOM/tSSQd9v7p2Qf0i324Yp5YHe1RgV14TxB68xt2hLX9fz/rB
HhCKtiKUCkYg0iWghNZs1SYkWT0ZAmg4cxU/oNC/8RKkPrLgKUkxr7LLi55AZ+P3yV6dDdkm8B6D
4iH2H5Q/gp0U5a6y4mljDOIGigoX/9wjQA3qcrQfswYlnQAzKH96LeEstQ4cn2CqHXpCQbrX7YjS
CtCmNjJW7phcminsgdBB7lck3hmojQuFsDABk7sWHF1E2OF++/aDK4tr6XLYujnllNjVYg/ceisg
Ugdcgv5KpHvr5LD7bbUHB3eNfchT52q0OYQLbTaiRacarjXlXMaTQB5o7r/pUlQnIlIg/cv0Bp+R
L6qMvJNB40DQNP5DMxQ3QTVAcQhL0FeuehliYAGOam5KCNVqBixpYwa/klP/NHT8k3ZA8ppFmexb
I/g6uOBNu1GcDmZxzVUwrljrJy+z5jscAx61U3z1Iu88KOrXiXZNpPJnrvNDE5qHHDDHKgelnFrd
o9l0e7vTeFF2zUGWGOz2CcudEunn1YTY0gw1wvUKc1WLvlyb03jq1clXwyP29eIeUr0cMENtLybb
f6UjU6Df36Hj0IjHwlNyE3todOP5dzUOzrlPe2VtRcGPgeYw3goKnaLaAr1dYLaYSq8/x1jzyziY
z/jYn86OOmlKzDl42FBQCeTrjC912VVXiTCd1VzgtFz1I1gwbgZExYunwkrrnRcl14mYHpVpfO8t
dNWDAWnLybptJ+y6G0/uw0DeDDK7cMr2WuX1SznzoM5QE0CdXWJfs25JEjetRmLMR1bEz+Qeawuq
KwmQLDUG+1ZCC+kqVJ0SqwIgYX+TqX3N53zg4mrOswxxEGHE6z70q3VVdbcgv7AeNMx5qTKt6b3C
TejG72MEsxzvOApI/VkbVJc8HRl2B6SiU2humxRd+1aDIbbLXYItaN6k42rQPsztMrump3iqsDVO
yozuL4Lzq6DP8xXVH5SBh+irHkEX9oFxJZzsVdv+aRwgKTYVc3pBNEOnNbD4hoF8GhwSqnbWalUP
07aMQd1XSXmbVOrZEnXLm23vYYIhwxxk1Xb2mq1v9ZdL1lm13TkmTA95qX8YWFeXANkA+Ygfqhy3
RuOf9X48H1SlOFsDipQO9soisnAetTvrIsHXg3y7m+N14kG+yPpD60Jnb/FfbOlHgRgcV9KauR6A
ECEFnU8wPeKgPbiYjdKTnb8knv91slSLJ2/nrzrXvJokjPVq/qsM+U6eBT3Fg3dQDSmfJHvRthPj
EIiYa8obYQf9rbARQW9TdSIqH8WDSbOdC3GeaOWsHQNLh6ADpjSWqj8patStA+W+YNwGjSQZLnJs
Tre95/arTCCd7nt67fSIpddz+uD66gAY5rXuISE2QXJRRyO6LIqGZQPcxhPFsLPaGOc3N7s3EvPc
dsP0hIus24a9g7gOqIRtVFIdiHHN2QBwTXeNQwvdz2FXta5zXitqjZPm1kit06lvsE8Po6dhrNEr
mmpxQgJrb2obv1fV0lWP3Zx7MRrQMEUPKHMcoK6pv9ZFeVlI+wVjogoAkoUGxoQxuPDOetGfc5ND
pLAxOPCLF5nzuRLDQSvOx5cnARBE/wBSVwSfoG0NWCbITIDfcLe1zq88gBFo3PsPrT3del3y1zBP
OJkm57BLX2SHGmcjW34b+rdbm5YAZg+Y7YH6JE2vK0KBMJ9IDSSmSZH8XgkU17kXEaDJpquBF9ep
033n1BeQwCFm9MOVAQ93M9Tiph25mK3CvBwaOCeOaM/8sQXAbxh3oD5PprGlagBAs0Q4KOzEt0o6
1pkch7u58h+0g26i4f8YZidYeyOWvHm1a8sQRmeVwZdRcCIwKlz1htzmiieccpNA2Z76U19K4GUm
pIZgGv6a2mjdORI4bjDASjMXXxBu/LaiouhN4SHNw9th6lFo7VLNlZm+ZGN3blkaNJjlD5vZHi49
GvqLi4yzFrGedyoq9pnp8H7X3Q27L8bg1/7W1kiCh8UhnTBbVWJb9aJdO9N8jz0Xyrh5fV8g1r3N
JnGmQfUZEhC1ITJkPUZIKWFzPqbiXoXelZ/Nt7roztjDis863NM1RpjKcr/qoL9oTSAnkTGeijTf
T+5w5sTiECEmverblIhLuvidE1BRCbzuc4ldkDK+22V9oQqCYaAz06pPg6vIBVbboiI/FGW2tmc2
5KTzjdnNiFDmLmpFWbh3jeDaxjCv1dGPUMRYFEmBW4B4TA0LzxINl7pWwxM+DAjKR+pLZ6BD0wQH
wyn8cxPg7olqoQVnsXfp4AS6ZfVW3EW7KEsvqtrdE3ZtRRU/l7hSHQAUdwczV6gw+xJlSsNE6LMK
oDSYsXuIXa7roEy6PQrcRONcq6dTjLMO9bjhVDTF6eyOD3CnzyahMYJOgpe+I3DVeUuAGyz0NExG
OgNAeq4R2u0MhJcI2qFnAC1uA7aqboPTUZjZjq4Fcr/D9KzzCglb072OHaAvk063Ju37tZnpJ9Gq
c7tMHv26OEtCX2zDUkC19rIXauQpqy8RHx2i3dgEUMCChjCwB8QhimaXGnTfjKXDXzf5dT8D40xi
6EXWUCc3TZx+tWwsPZ3OPVWuiNZ9zZUI4u/EKSNw9mlHg9wjFZURbumxuo5j96V1G5RUZXrZGk6+
qptyZ7g1PBlGHNwbCaA0m1EkJopdpS0/BKmYxqi3pl8+2xYF4VBFlEJjiCGpGxREz9MXD56WUskD
x/XV9uVVnCz5RQMnxZ+ab8GCvjLm+M4rXieRP3miQeFGqJ1DbE0GC8V7GrNh2xq52mXZbH2JrbJY
+3EVbz3LBhJfGWI9Zaja24H1Ak6TGM7ib6nEM6m5xHcA1WPu6AWFmlPby/B88iaDBCLY1lZq4b6G
KI53PvnGcxrfKALBNrcg8lsu9kzF/dwq4Box/C0QBCLC8punUyf9N7/czlO6DntCEHEInfa6AvCk
FuEjKBCYjWS3nrjCaAAb78Vrx5aQwCd9qKrp1CnrU8/EH8jw3V0SagQCY6rn5lJut5tn/C/AuNou
l2LnIVFk2JDBZ+emXazo6vBgV86uIMmdlTh4RUe13a+fxn4hCNXzYy09opjpIuT2DofpstSigdom
rmzlrstAngRYq4/lcFNkIQblbXKJv/BZos0L0xUXLSFY7BUPumzuVeXeBVn5aA0WgFHAMa4FxXN2
tviI3VNGgG8W6GtZUT/tA5soyB7Q9rX/CsvWWnUaP/JKdc9peql0/dAo10QlVWd725u+NTPS6prU
1CECC4cljY+htVb0UUw3RuBt9uy1W43rvBkgQ4ritA/SYYXJGpRjzvFKhMnp4n1ihK/Cfhq4EPsZ
mZB+ik/6KH8+U15wUVYQhHvr1ITbvzb78Cpu+hxHZRzJGKfBI2/tevF3LevzCj6lZ6oToyKbNt36
XHZq7cATIMx8ntVL3V271QsNtPXYYiEvjX7XVsQkwO1guCY8pFZ4UO2lbjpIsWGJ+UuHxhbF8w1I
j7tJIA5hDh0sXHfKdnXfE+tL83KSzn2Z+Q90jWAz8x+spqZBh31eQsptLkoaApjkyWK+pJdFwbiD
M9ogcO5ZsPYQcw/7PfXv+yQum10xvbip+yJrKQ/Z+CPNx0NKJUEV5lVddfOlO4OBKY1v8GLiJwdL
Ejq0z0U9l/uuRe4mZBY+nYjLaUJs0XFglXgxpbYaslubQC3JAxNlqCBEOjVTm2iKqdSl/soAn7pG
Bdw4sajxiRFOSllyUIIisX808RCxZAQ6jo3egO2UqCy4voHatkzPvFbA17YoAwwIQmyc0JiB5bh3
/1tXbqfDt//8DwSAPqopn7zML/8H1E5Sva0r//xL/+rsL9CVfyCFQeD9F7KFHr2N0AANeuhlSMS8
7exbf4NsBk0MJgSKLqi2/LOmjJ4RLXjQWDDI2IJAZf6kpiyO27fgm7G1okUCVAa2hndUUS5068mw
igDRujkS1Z0hi8t+0QQByRfC9Tk1QlHk64jIYjk/0cC/ogjekN90wAmtuObZ06hqX+jezs7cOjCm
nTXA+fRcMWsy7pHiqZhAGcZFhJ76SCtzU2Wz2pDQGcaVNnV2CHNjpK9WJC5FQp3Gq7DyLOT47C4i
US1gpOXTrMu/4wH+txnyH6ClPtq0B2wD323X5T//+3b1FrEgwqQFzEsXBM7jf21Xx/kbTREJkMEV
pvTe4rBEQN8EjkxguwC4+OsgK3TZtfF//geAeNMFWR84wEd+/rU/2a7HWE9XAjBYJIxAIZIyHNuQ
k4lLyIq2vcXPEgfHXtvJkpha4X70e4Fya1liWWgXUWv+gyH732KcjzqKYhkarA3VDBPIOJZT71sv
3OFJkjkUGZwuSTdGkU73g9Ojzd6bcbF68zWu/97QeWtsdTxN0KwOuC7COS8AcOkuh/YN5rhXmn4H
3WfQigoLJC2+wZ0bdzPVzSerbqvLOEqH839jTGuB3nk2rKtjdLVrZJgpKomErDOJlRQjzPw2jp6M
KsOxrK5uvcZ3PhlzQVO8aWeJZZ40Z2iskTs7/kIQeztPl+zA1A4cAKeimYDaUCquyLlsZBiLMafd
AKL641n+bkRQVIDcuPNAux19xWEiYsrjcoJyXWdnwqx5ICWGb2YthkfTgA/2x+Mt8HGQydyugIWP
xtN5qlETqtGIFdEZ8eraxxX2sqHkdhAm4dzHo/1m34B5xILKdiESuMfA5EYHOklGGwXEDP2Ecpyu
LCO/SFSHGknh7oUf//3Z/28PxVE/cvmAAXuUziagMCZ5BG2apjGigp9Nm8T2HjS56qk7T+qTNfzd
IJ4pwZ35Fgp/wdEa2saI6p/GP20OLdSw9ICx02ouff/wp6tH0YILjoWzwMybR5Ops6o2PWFNm2ho
sE3zGtUnV8KjjrfrDHSGthUAE7qFKXxA9xPk0fGX41pdmJJAMAWaQBAG3p8Em0YexbJm3vQ9/dM+
qtoHK+7NXagtHPySAqXjgoX+5J45XtllVJrI3M08/3y+IyD7nM2hRHBwBjRehGrjeKGHsJlvRfPu
46X9ZSBuMi5QSa+RvYId1vvptYbXlLF0500rU5wR47i4sZVZX/35KIELgFhAKWX3L4f/zbUpKejn
hhub4Dys6UuWBhpQRRRb3h8eM2kxk5/sVE70MtD7cfraq6K0DOeN23nZN4c7dQsMWV2ZnurOCl6S
NTyONvrkY/18Yd7eluhbQgVbdKd4lk0Aye+H9Ts8cnWaIciCYhIqR1hxS41yrC322gAdRoEmrLoT
k4r4x+v6y+YEWMH3AwTtQLPgjLwf2KGaYhiZxuNJChTrMoECj1/SV/QL+PmRUyZYEkxWe/3xsMcv
LoU60MjWopCFTxr8ovfDyiLoB8i75ib0m8nbOo2YQ5rn4VSTshalkfwpi4nxXOjIsEhMTv/xa6TK
ZjDr0CCDbmprk3tlSeMjSz85Cr/MCiVGajAWEEP0H5BLeD+roYj9sYuUD1sWS+MRkYRHRe/0emjc
8PYPF5ChUH6EpidN4qUlv3h7HozGKUF1Y4Ao4gATjSYYSXPjAefJpOWl+GSX/HLGGY2okEb2EqOh
jfF+tM4ZVZtA3dpoaaKe0lJIneOx+cQD63fL5yHmygGEBxYcY3irJI1dA/PHDVmLfC3Msnx1cOde
TCoNY/Pn68fpgeIJLFRCz3s/I4zsge7mntz0ZkjNedDJBeif5HTux+mTvf7bxQNGBH8OEC0UuvdD
RTKbU29m8ewIP1zwBPgBSaX/9IJcPhHnCctBAnLTt9+PYms3GLo0w6NL9uV9X1TpqYrS4pNPdBxj
wSV4N8rRXDwlai1ctp3ybCyuUhZrEl28meMILTSIZA8ff6Yj/oIE+74MSNYJ4B29AP/oOzWGE+KG
zeI1XktHsUqTuwG+9lmWUAeyUmTF+FN7BzLHPG0EduEgJjHgo9BDZ8TdmVGfnX78Ky0jvruql9+I
EAx94WXrWEfvXZxVUk6KnSN1r3aGZTXnyKrIneb4rxuz+2YOjf348ZjLaf5lTBcUJ8kWVe+lzvD2
tHeqmMtRWXIzChvzmMHFCDA31EkuO+MxEuVthPLpRZuPcv/xwL89kggcE5cDmeSteD9w3IQTyC9X
gvHtxd6q8hnrYfzg88SUnyQMS0Lw6xz/NdRRwuAXc54MNJ6BiQyw8GPr1u4wC4kLl5KwUHtfm/Nd
nRj2rgTP9clH/e0ZBerukep6MKyPBi8RMgVWz0dtQPgA2ZjFyUSt9N+5dP41yjFKtI4mKoK9lJtZ
9COdBUQgioCuuFs5zSdxzG8ntFzZ3AjUmsTRhPJ5MGqCJj4cfV3AWbL8IuEm3X28PX67Lz2XFIGM
ncN6dBYM8MhulLJsI6iI00DM8rQPh+hphIj0UlpucUoq7574tWN/spS/H3lBYFoed8Qx8zX2C3NQ
NiPnQ2ZNeLqU1t4zE2PndlC1xtppNp6XzLuh6bPXjyf9u6Ul2iU+5EgECH+/PxNzYoLrN3qGFom8
m9EYPk3sMfrk5vvdyXs7ytHSTlIPptAzlh4V3t4U1px1bWkY32PQ/V024n+c6S137Nuhjp6OFr95
6YOt3xSy14e0TvFUbLvPcNu/ezqgyeAYQmYJdnv587cRfEHXq7KZEDgA1M5sp0dOjWDMghSUrma/
1J9skd+u4JsBj54OUzQmUh623NRenr8WyP8ihJwnj3roxL9x2qhcoXuzuJWLnxyrN3OroXZ3Y8Cz
2DeNeAV1Nh2aYWw/eeJ/NyEKKdDBIEU7jlz+/O0o2onryOVMZ06ARLZphWd0hRUKAX68/XiP/3Yo
G0C0Q04OKPpoSzQAaeOqTLECLXxMnpQBDA8OxL4L4/bm46F+d5yolAPxdhYQ/fG+gHYxN+QDctMK
B0Ogqq62kIL+YZ/9R3vcJ4GkwgdclyD2/dr5QYZ+ehPRwYQwtQMFXp1P5dAd/p25/GsU8X6UKdOk
MAZfaGpSbvmox9pLlOrfGgV2OpVEh2z4eB+EvpmMPXdfWdOS0tNor6wsTT7ZAr/7Ljhcw42lagjI
/egFyfpwdmbFXEiSnVVgR4q7XXxWmPnNRqPeyqsLAx0lluMehQbD3aVDZW2CNA2A3IzwqhCPdzF5
CUNQ5h9/n19H41QQ9LMFfhYsju6g2XWyjq4t9Bp4e/Y6bmBgIS3uifzcLF1dfBLS/LqErhNQr6c/
ZCE1eJzQWHaCUJwZ2xsA0BhrTxLv5cgXqz+eFHKFSzgKnHSpnb/fdNrvIEZScdyUbQ2qpJaVaFao
uwF1qv0sy/54X3hUySlRUEdzuSGO1rBXNSEFpK5NmZjuN2pbk0N3Zxw+q8T8/L3fB4QLu4JyPPRD
hxLWUexZwWeeKtd3N3M/ZcPXsKi9Wm4taZjTIQumFgV+Xzsie3JoAyNo1YsB/X5lIxGQ2iG5BLkA
f3JLvdtOdqWfAxUMrMyEJhT6SDXzZ1ahdiEiUthv6n7OoTFYjTj508+zyFeYkkCBh++X3DlqoNK2
jSBf6DizCLm4PUgoATBxN2ZFefvxaMevrA8j3qOeCnoAuRZ6Pe83A19sJu9Bt6GARQbbXBnZX10d
Qx2xjBlaQBMKp/rDDciYge1jQyFgtVBGWk7dm3ep01FS5gWqyYGeA/+sGoSAn+cLA6HrrsB89+Mp
Hp8qqF9LMxPDCwo5lI/s98O5QTLWQTaE1HJi8GQzjJq/Gg8c/sfD/LqSC5l44b6yjnRqj4Yx/KJJ
yzYOgWHJOt14eSW/TypFC9YNqy9u1lnD5uMRf52YDzuJ//HGU5M4VjuhCDxQJrYxwm6HZl/pAhc3
AK6fLN/SUGOF3p4s0jl+PKoAvIiUU9FPePfBdDPoggZQuR3svMjgTHhGvZc+wcttYsOj3EW1OcJS
ncLuGb+NYRN3dnaVN8q/inoxwvONZ5GAxg4KnHvLuL2r0wxcv1IGKswGiDZuw/IZOgOUVusePwdn
D4sK4o2ThgLHLRWEl5YiMvc8NVwT6OZIOlF5eYznut1CQk3vwPzoW8MOUDafLVSvzlJzrqqzwUXt
ZiS2igGgjfToMsuagGw2KKm3XqLu3RaMB+gWBwwb1x8y8qn71MNQQEGkni4Nu/5e2UaCHl0344ka
xtY3ldYgKCydougQwF3RMsfd0uJZNcomvhddonZSoHMX8pugkArD13Gnr7BHomTVOVN7h5hTiZBC
PxU2vOLCCld9bUiE0CHMJpsp8iMchrPBi7bmrHwNa6N3jRWiVHiPtc689wbln9WtgaNwLmS+jg1w
hLXbzkB/Ssg3btesjV4j7YmeP9QSsh9EV/uu3MH1yfDOyhApXAkEjNKto3P0oI1QX0wg7tN1kBXm
XzLsx8fUoSICuxYFZBfO0lClKKEacSy+O3Zv92ta9oCI4i7BBbzkYewju92nMfHuY1tJ3NMMy11W
qogieRmnwxCv4dXOaq0iKpE70HBIJflJ7MonIfLBXZVBbT4OpSOfB7RZYBsYVqA2lW+VL3laoP+S
YVX0A5nD4kzzibt7w8pLaJwNegolTa6S7mK08pCkBSEFxnz4rmYZW9caihEWJY3tXcnJCsJTfqym
ODlnDgWD0bOrhXxCZywdAKNd1KKzsf7NAf6EUQ6hqUZ5FYZqCZrXVqHlnUWmSnu0YuK+giTEW34i
lZuY3/pOJdWuCGr5lInYOG0gCyXbzo/Ukz2mt5Azys1UdvrZnmypVpjASMRQyxTHhQjEWb4e+zJ4
na02u0YxZAaDkQPOghCdXQyGHQLoThuQ1WbeTjeNRmaA26xCxJ2iJ6TlGiYABOFiAEC+btETgXWV
eoMLzTr1arfsd4m04nJVZ85UHRyoQArrggDvuBJBxlVWjnqAr6ery1Yz2HpAw9dd1aWf5JvUgzqF
J4DvTxcooGQCYwTSGGotYxRm44PoRmT4cYEpkZvPUdgDhFhP8S0PZJfubHuY3a0M0iq99eBcc7IH
JAQiyF9O3pdXQZ0a6jJqtYEaLstht+vRjcAGzq2PXkGQSRwQEBXSj/Xg1yA0dWBEXwozK8Qe7gLq
tV4awbgp/VZfGVC1F9q6hi+ycqLJRGcf+eJwnZgJ7ZJe6rnfBKUswVLJtucHQ73G6dTXqdx6fjQZ
G3i70KuTrA4QA4LHu3M4q4ism0WKmenkV9cgtxxnF4/5fB0Fs19sQq8vaDGNE6mWqCPvmwobDZ9N
QnXewF4X1k7FLcgWvx7giFTRlBRbgVhVtfFNw/a3QPXmRyMyXGCKIsCfRyZphJBwPsZX8MxQJPch
WSEKYNpX7hgOCRjj2pg2paUd7ExBFp3H1pzAExqG7NBl2hvPqmAKnqHYZMMG1vbsb4BQjgixs61R
xivSIdhgTjN/HdLMFOjy+/1f/Wxn8gRQPP0Vo9TRi4fml7OBgGPSaY2BOKzqNEn5fa0sfvKAoyIl
UA+DsaW7byQ7YOvjyeBKGBxmggbGqh1LDzOC2ayR0xf1dDa1c1+sEZOusFKXKLNuK1OjOgY/Utkj
pqr+mILxRm/hIAdr8C5426nRsgeUdZpamfb3FsKsORQHo0MdKgB7vnGc0X6KozpITiCgjDMCZWGK
1nrRTz9MIBLxoferDMuSeCH2ZP+PvfPYjRzZ0vCrDGbPC3qzTa+UUkq5Kqk2RBmJZARt0PPp56Pu
YKaU0ijR+1k10I0WmWQw4pz//CbhtOqcUicH2R+Mo1mViFINNdVkCDSx99oaMrimarJgliat8+y6
zUSmdaMmRl2DQDBllwj4l22Rs4UUwjZeyj7piLvMnPLZ9Kg9l20w5tUizMvE36Cfa75PQeOjiEkm
JC4Np8Yt9gkmZ0OB4/NSTSnCSyf0gnDZVKF/FTKy+aPJAnppZvQ9eRgVDP9FVIVJuTUIcCLRvvXc
36wvMjB8jmBjbUwGv6C00DNgDisgVBeNnYpt3CnrNi6EcDZxpWX6suqL4U9RCLYf3x0JBmhxQW02
ZDPFYpVHQz8LJz04ycyGAnQEZt0zZLQFpWjNQvhh8RdNWAWQuJGDDVazjlWtPevKtn70aQIA3GWZ
9STsDHkNUjQptwZj5V3teDCejWqYF1OGKdxCL83gynAEDhtJqcKXSrMHNJpOX0BpVLYDndfFO3Yj
wThI33CT9sZHp4ZneKEBYwDa1cXaHu3Ux3/Mwms/j/FZXdXYuD42yQT9WGWWJMPX6pF2OHY//JpC
9ulr14zbx3CSCe7eMu5/2N4kr2ST6qRYJLPnRpNH2YvWsi3imt3EwW3h9qgT/UTL0ZeOdYaGDDen
AkPhIfYXhR5ztHVaxQsMsqBHjNFJj5j1MczwaYSYnG/HYkqKTcvDJpBYjvzEHhWgvhBDirxJMTn/
7RAsZV1WyIZJJc7z0saJ3Z/IL9PHmKT4PoWnzdeFLjAdNGQ7k2SLXabdzNHHpBwNhymN4jruQomx
N+BCQPWQRAGNROCMOzVrwQtVZMbSC3rVPpkhm/xFV0pDrNDvOObPsB2FsZ5ss5bXRT4xpkfzEpfj
Gk+RnjTZKEWKOVXOJInfrAuI756ZJMWfZtDcEOQRR/N0yxnoW/Vj4tdWPv3AXrcnP7sbi4JxP8Yb
vRluOmc2qV+Hg+pLOnnNUDNf3EwdfIXbTOU7JzIwU9waqWW5r4WruXzzqJq65E+SxqZ88rAGmc0/
24x90qMm8RZZOPRiMXgkh23KzB2RPeWJCldOI+t2kUTwxW9CMxV7C1YMUS2yQsAb1nb6wnbdQM6v
VIkffhxP2JHgaxXAtK5QpKikh7gsohC7ZnOo7vUMFtPGdiYCShg0pJuY+SaBJC3/ZsVHbB4ypjqc
qR0vFR47JwJKMOqgg7JNEWzGLFLPNn9bW8Ot17Yoxbp+q2VNU6x8RU26yFpH+uswG/rbVDS2ezn0
UntCNMq3YEeeQRr1hLHMus+kMoJNJZxBMU6KMLG3MmRQ0MXEuMw0H7lrOolor0cVKtS2KIfpUaku
RlrhY9j1PS00hYVO4SU/O1iAE9KwhsNvCrop2EheBPIc5MmE2E6jfz+gy6iWPEGc9eN2kOEmGuI2
Xlomdvb4MKMiXPtmF9xF1Vhdm6UrnEstQaEHX8ZFf9eK+HmUlvUsRF7EDyQFymqLZ7W4iYeaXUtV
SbNXYw812wt8JFBakCJsz0Bpnr10MLOlCVwRbdBaFYLn7dv5Rke8cMyRwbwaMhs9XGbqVl90eF1S
OVu4p65s4Q13qVfmv9gVEfHmxoj2F/FOtJ0sIbwFfAuXeeuEWCXPm/h15lfY20ya7Z9RqwudDsYH
3QyxSdiNokF7DgMO9+2CY59IIwW7W8mmOw6zZ/PCKYzwRZjQrSmaXSr3Cqn2y+BzmqEQrNSV3uGC
uWw1k4O5aFLSA7HJVvs8j6kKu9ryyk3KqbDRJHDRyjIECg8ZWKVNCt1U9Qt9Qvm6Gr0Sjn5olcTJ
q3xWY9X5b8OO7KWIxlfPKuS+Ic+CGLx+ukU0eMyULlep3pYHn9EZpU2tfLSM8OfrY8x3/lD2Q/JK
DJ/ZXsRum2OY2aIJzWJ8vigODFTSKB2x1+3qDbMUbSMkWg2O/yn71aZd9V1o9v1A/xNjVUtRtHDa
xPcW1WBY266rSLjX0V5gE4VnQeyaRAy0kauvKMNpYbqEVN9YhHdZ76PvKTBFvfJD7WISfrzqx8F4
sHWCByapkE03o3/wY6/amGMQfAuYOyLnKMib8XLsgRFfaQ9lkmvPmS3ze6IJUQ6Zyn5QZt/ddn5m
ikUYJD9yvMnoPSeskRaDoGmdX5dalZM/kYloONskRHsVsXq+R37d32eBQwy1OSF0dbIU+S1iz0LD
VgcJ8sM05DujLVFx4+B7ZXZut+wVX/QinsZp2en4o1HxzCZpwv6eVGmyMzBwfiJaErVnI4Ol3Vf5
0gkH/4CwMyGdjG+KIK2Qn1XI8b72OAvjqrX3/Zg0FzHA9WJo9Cvsgi+93N423jguYKWS2BTaBccg
CF/g4v0rewPr4Doxv+t01juvGOS2KAbSjuCiA/yl4luO/g6WdqQTKBdP3UYN/uUwhvnjHM7IvePS
gF+VugztYK8xhHkdu7q66LvkKcjs+NrStWxZIlNalkmKe0TqaN9j3arQ7Tn5g+/Yzd2oNaO76eww
pVHtTX1np2Oz1kdxsKbO2ljSe+7oMhfTqF8wXSq+qxY0d0pzsTZxiFuMXVVf0nsmI9NWPXhOKuHF
qFlCFJ51QGB9pvzdFIloNfZFcgFFz71M62x69X3N2skqpZKWZrIK6J6nXv+BfYd2lwaI5cyo0S5F
Eie7pASFWMRaIpbGEB2LxqmPdmokD0niohrtWnmIh0G7AI4Ydnx87GHd+NJC0Nhw7hgLR7jtEzAU
FgytbBahX8vfoYymfcG08Sp1ip85dRcNheUtcKmyVzVZo5d9lhMGG2XFA0Rfc59rql5X4RwZObou
z9jXUzixVbcRnJ7E4tlaai0cwKaNoJdf1HwyF5CvbqdABZd2B9F1abs5YUpTzgLOZW+uY7dzVyXz
2L2e59oePv2+S/vwwnYLedlK55sdWtpx8o1hQb5neenosc56nIbiuxuX3rXnmndR7novmbA5E9zI
OnoyfG3s+nvLb/hJ11GoZUaq8Y8hDUh1sn1B2qcU9b05Zc0+nRK1s/T+mOatxXfDZoqILiSWDAz8
CAuDkstu+uekwy0DP7hpM7RhgjuWRQPCeWQZ5JaVcJ9RtURFyCrPQtTVo4zpnYDHMBqpsU0xzcYl
mMw2pl1aVhzVySDx+ygSNagtuZ3kxFK7tXcEKbgrelDjrosKfVhz+8gIMbRMi1UbtnJEHJtqaJGA
HO6Gftbo+SolGqoAr0UNbVtPJUJWTGki1/wFBzvbxHZQhxuJfFBbTq0rrgdsNNsFqFAaLggC6KNV
xdvC3oAtggT4FFsvPvjS/22wxUo+PdfZ4nlmElbbDSjNPSmptcJaYu6Gna2LTNDOQyLfY0CeONCy
YPYdsREIar2OrCuLwYcdRXu0yFC6E1mP5Ne4kLnft8vJ4eEttHHQOIHjDgGr1OOuWLllShxeiA58
ScKp55C6a43PmjBHQidx+DIXaJat74U2q84ZSWABgM8YbixYrfaHwq68EX1rFvxRhVb/cpumOaZd
Rk5fqNmYf3fs2r/J/vXlijMtszaNCioWJuy6aOkLz6zX6Mvtx7xE9biERZnIVa+R8rpIqCvLQwt6
Mi5l08ty09EOBat6TCuxFrVb3+ddQdBeAA3DW3DqNmSbSc/8AabV0nFkykOg3TdDCGO2ccDBkBgD
PxmR79w2ox0emtpAW5IzayKQOBH9deBgT8KeHpGSI5FQP3rNCFycT3X43XbkUC51NSbRyqYEe22V
RPaPrr38WciuQuCHTgdmdx+a3kGz5l4ZE3of24sCdd7WtVFg4h8yUkq2lP3kRIRV9Vx2Pr8hGwFL
gw7AaMFOy9MzI1I8cII1MR4xh7IkasyQ/qHLU/9uqrpAbTIRSlSHrhqHlTfQgq88LKD1i6qbogme
geo3+NAyoBhVI8TGaDu2SJxXZk8/cMZZk+i7am+mCg1eodfabgydZ8vJiJtz0kjIdQ/62sBAJnAA
nxc1x4JkEa43Kfv2N7eywpfZ+IkLuFV+5ydJTcgixRxCoXlAA9ST+n9KJpLdOvIanSWIxvIOq2zf
W2qmiQ13AdszW2uJFU5Lm1brMe1CAGwW4Kzg9CM3XkPwKsqFBj5cLfpIYtNhN7bi6zRHC7VviKp6
KhTNWNDV4EalnyGYTfRcGzgz/BJ1fqljfiAzrzUfCh8XolchpCQuL83M+sIAazvkY1S29zo5Q+VW
K/ik6EQq+K/r3OZhbHwaF1wo8qLLVoGjc4DoVuc4ZH+WOEINOfG+SyvstUvPY+SNRpeYU28aUUcZ
SuQ6enzfu65kLn4aQ0AUTEWi1I05jGyALU7liJsmjHjWoe001y2JL8kqtlKNFRlnxkPXepG3bVos
elYw+ci7TEs4uUs7Ild60SnaMYI8DV78qor7EtMVI7RbTp+mHOzHhsGPvFVVnVcHAZ8H1WCM3cRE
+ZYy/PWtPnytxpSmB4PsYtYSl7q7iLKyTWccux0f/SZFbZ2z1wHTup6kv2FgfSzaVKcgrtLBWlTo
UCsyOFu7Xwdun4aHanQ8YwEa6sCyIf273ualrKGrQ543IWSVdd+SAtFPTbIYCYwojl7DPrqwO2fy
l9mUyfI4SkMZB33McckPugarsClTrQ4kbhEL7UK3pg3tK55TiEuMdzF0QV7CpaBS+D6CCnartqc6
3ODA3HaocpEJ6d8GQhUcZzMMzAEuA5wuhj34Zdcc6xpH5zVbvtndO7VPP7VuTYs0tFlHLdxtkYSq
ehCpg79Pm2p9fxuOmAO9qkLPtH0MF6zc+4MDpY+NpVL3fdCZENJKPM1/FbGFT9iSxGsLgauR2NiD
OQyE8ouaKheZZm64JVmsTpZU1wlQH8lrQYk1DG4xGcMjYzGUbV/o6JGLkjzFzHLcVzLWhl9u2DBM
CUA4nHEVACjoatMGri5n0xzHjL+BdOk9W1mmYYezzIPQrQhhjSoNiDytjdp9DAZpDTdTrXnBXZKa
ID9GgltriC9EPEbMhG2LRoBKygj2do/8/QbcPMW0NLZrBPnIuYkJWwhtcuS1NlJHqbVFg6Dhy5Aa
9VVhAhVheVBp9I5O3wUJTeU4uBR6OVOmBaB1PdRI+hxRbcu48Ma17inN2/dhqOHZY41WSWoHNWCU
fcuqoSfXqxo6ym2Ns5yrmEms4fgSF9rwCOFYxNVKF1mTaUuFV1u/rUOnCI6ZaMbxMiyCJLp06e6T
RdR2NspZJgQJg/1OCaJLAWzkTktVU94xlQqxR8ul012nrlkwgA9arM/2MoRIO6G0zv38pmwKr/qZ
Gwy57sdUrzKH827QyvLf4+D/Fyb+5zyI/b+jejbqJf8d/8eROWT+Uic//9Yozv/nvyWKOJXaRCwy
3mUx2g6Mc3hv/20Wj0f2vzxdh45i+PCf0ND9j0+j5v2LuSmz5/9R1cK8+W+VomZ6/wqIkcD9EZ3W
nGPm/xOZ4hsz/H+Hp7MPMkoC2nRkiughMZ1+PzxtxGAg5yb0EBvjcFOxGV42vQDF7GiQpeq7Qzs0
/dowMC5iyjsRgViQJqzjaNwrH+dkZPkrC4xggf2DvsFznSEiLnX7ytVpW4GnHxJS61dMCL6poX2s
xuRnL4b2IZStvdUdvLo0DarxXy9jfuhRkf8tSzxRoPCzoFE68L3IsDRwvDwlWvdVFKCvzIdDSrt8
waBE/1GSBIZcStu+3aju4XdSJ/HRdpNxX1bAqF/fwpsQ6t2T5Q5sD6kp/FuHg493+DePwE3cQFil
oR+muNs8+dWYH/NqEMWuk9o691FJGkOox8yYzOiJU8YFvC1H90k2zaoOwoKcseKhJxcC00t3tPtF
UwTTLpMuE1Oc1POntnAEpnBediM4ePa9VXO05TjoXgxWz7QX2OrCdWr7SqmqKDBaDmoTTEqwq1XI
/TCXSAPs4BpN4GLon4seeWMUnPx+jl1sxGcVKgP6E8qnquJ2NCo1HDIC+e7SqMGHA50Jic6FXVev
RhKb7sKtScrFIMDdOWFg/e5yL8TxLQU+8nRhdefIAvMzf39PaNT5GCEKoMmAXfT+naA/iRil2OYh
tM2KdO88/5OnMc5aXi3DLeNg+9mSvTOuJSrIGxGVwx5LNa1aYkpIsnZdDsVS8/20OHNj77kSLFcP
qonJGkEugkTQOSHhkrkXuFLV/UEl4gdoSwAOwzDu6xVpz3/l/a/3XPYZfj+ce7IO2XH+XpFd6ETK
0arpoOf6sFSqb1h8lCl4bNzLqmr2aJumF3zVtHUMDwVnvlSjmi+b7CFLi4hkYdDA+Z3BxZrm2K4V
OQCIYTNsZCzGZg+NRYOyQFkjrt0aqgASxYZU79y/zQwNF0P4Lz9HTr2IjWEElKwpOe7twc9+eJn6
kTj0B+s4yWZ0Yk6DbnK1msc1cpEguDWR64CeT3Q/f1hucgXbJc3PPKO3jJr3z4hNg43XRcpFjT+n
5f79jBTYfyHiQT9YbdE8mXLErssZ8xn1NyxtSRFeQw3oNvactUQx3Xr3blxlEmwvS4JV/0D7zJH9
5+tX9ybDOLktZ6Ybw+h3wTOs0wVS143smZce8hKWiBZO5gHICzTPtNqLrAcX1yj9Lqai679NU1Ft
RuF4uzGV2dOZO/n4CSFuRTyESnLWfp/Sdo3JRodTavpBGzDBxCfJoemcLF4SA70W0pTlbkRUCAaW
BYY/fHIKH7CaBygHp8CpyuUzos0c3NXXd/aeBoQOgaWNcBPSFjLRWZn6/s01Fs1C2oTdrSfzn6XJ
Y/KdWC4hGVoE+5zjUxnvyZdvl4PPx/X4mPgb+nw7f9HEGG6pCC/z7jYzqyfOAH2r1CEWasScrJMr
wax3FUv0M61dgi49VcEvP7dwzbEm8j0RQBPP5kdnlu/pPsIzQC8OEYrNDduD4IS7hjHqoOze1W/r
waqe7SGNacaZVX39pD+croyWsaSCTubP2kC2rpPfrpkQxqrIuB0ZjTMRSLV1XWXx5RTqqAU7US/0
zPpReiEAYACSLbL+XMTaJ8+fF03IE7E6MJRRrr+/hymgSMDPbMSAMxi2Xp2Xmx6Md+2ZfBux5193
gXeAayN2XohM3wm68OD58jrTPebO+ERWC5plAHM7PMcg/PC1Ej/l2TBEQBCAcqHAndybqB2wsjC9
BbXrgYhCf5n4QNhgsQkQV2Itm9CT6zJunDtpkE6Nhte5qqmizrBbP3lT3AlrASL6W07tyYKwo3wY
Mghpt0aGwbAT4bJsDTUmravrzhGEKDuluHQyGwK+FepnuKKfP4e/rn7yjRBQ0Vqm0NPboc8UkQ61
Tiw3w6IKCTmuanPOQF4ai6Rgohsy5lgmVr7xRRCdW7Af9ga87FmoHjEzfBYfBMmDNOwhH7T41itJ
AwDP8FYliQ87DAKL25xZ35sXFdAvhml5+1w4zXOd040rt3nska0cRZtYB5cYlE0fk831T78nbg/W
KfxFRAPEeZyUJS3+miwIkdxaEerDIfTUbW9NO2dwo0tD9Jw9KPGuhWiCS7drIfxHZXTmHuYl+fcB
g5MGpztMaJ4S+gXz5FX5SS5iq+iTW90Or0FJ9Du4SQUglxde1I1hLArEEtd+5ZXHr3/8Z68GSaTP
X3KQer6t4L/2UZN/HWVTyIUrp95ApSFKGK/JZaAxQXHTKD2zFsy5yvnwS0kHogyZZU+nYu2RgS04
nRC3TpDW+LiK/qJyGWWRQ+FeJA2UwLJWUKipb7Zq8tHP6bCbTGj1m7IwrGUlRLuBuJivHQgHSwDX
ubEv7BUO4eMPjMtceFbNN5p5YxO5VnRG3vTp86KCpXEkDpZC9v3ewgzCmBTRvrdm2yZrTVp4IqTi
CQ9nbWEw9z9zoswM6w9PCxUQR6sxH7EnDGx/0MNWYyx9W8XeA4B/ty0zP97oU/yrEPhoA3GfqYU/
7uxzGhTucgh1eEf2qQLAkaBGTHiSW+Fg8ZmG5pOu6vCiZ25btbUk955wPiWLO20yOWwFjt1Cd9dF
024V7OG1CXORZ/9Plykt+iyD1825WT/VCeSR18VawQ5i4L27ZJLyzTSZajWxgdlHoc49g49vGdEz
agSMSuicqDDev+UJxgvIapPc5uBX6VL1woat50SQNtQwqT92bhyJ0tzgmUrhlZoEsgE3+fUSf/Rp
2wG6NgvT2XXR6Dz6oZP+5IE745m18XYX7xcH3xHkA/pbbBc+aMHpBrKKUb24NekBbroBP1+IIvFF
HKRtBaPEmrKFnRZMBFs/pd6PwxCQEkZrwpoNsx+BaIcrI0DPBkGsJVPO6DBwr93WXpl1bh3yBu+9
yMUeOU8d8+nrN2p/3Ahm4YfPywRq8fACeP+MPR9igZHkEWarRDiElV9hV5hOuzxgXRElZK3oL8xl
1iYmKQByG469dTnW4/jkhkawG3sTcmYhd6oaqoUJdWSlY/q7LPWBEGTPW5i+7PfmfKwNWrOsa2Na
JuymwRCGK1sxC8RJ017Shb9EJBXvHXXnu7m8D50A1p0thxVjvvsIwsdhVFItLYY8u77KiNHMXUYb
TWBewHRptn5LW3Tm2Xz46m0+PWATgCGD8va0wBulHnnDpB1xk27Z+2qC/ZwpOSNTfjtUTtYPugB0
Pnjy4O9yChEEUW0UxpBFt5guYq3klN4FmVYIGzmJVqo1okUpYdDXGtbnAvhqWVcQ7Iqyf8DZdDog
dij2aZBOC8Muf0JZfpxzmJmE2A/uODyHfRavpyhb63XVb6vZcZDc8gIsn1dSqaw6c4TOD+Xk17Bx
zQ08+Xi4rZyc4r5OUhgrSjtatdQWkzLTYzDF4vfXr+ZjSUcHSE4Q+bhYgCDqOEHsQq0E+MLA5Zgk
fFg4jlLTRgMtu5Xf2HVzI0JmCz3EzpWf6QcHKcGZE+jNReX9D+UO+IGuS7liUuC+/3D0BgHcMDrZ
seq8B+iennOthePC+yXseF1hxlx78tKY1kE/bpgBXllVsO2H9lDGrxHmpRBUz/ihGB+rF+7IB2gi
9g9w57QZw5o81CJ9yI5T1Fg7KwQIM8bE3GD6ny57mWeXPvquh66qsnsY5/k2b9xpSfhAscJQeFz3
vapXjUb+DNlt/TGXhb4uCfqi0sKD4usX+HGZzOcIbQsyRGaEpvX+6XlebzMwtbNjR8DieuxhtSeB
PHeCfGhPWSUmJBv0rhYA81uM919lVQpHohkdKzv6cUeIQ4vxZmpY9SocYWV+/YM+nlV4v811NRZb
qKFPl8NMjdKLPhDHKcmilTky6YtCtB+JZ4qltPRzL/uTn/a/1wNCPzkbmTQK1bmJPMLkvyBAmc8f
F/BaBrvYNtalFR9Q+e5TYki0jLmytqu6fNtbI36m1T4azhQG82J//zEA688HCOA+ebCnUlw4m40a
RiyXyzkfCyHmElpovO2LLt4RnEWBmPiYfje46wptONvgfXZ5ewYgwD0sNuqT1eQo5u6VM4hjYtvT
1vWUIqG+8g4QivexJuZxlGkdevuNxWK0wc4a++ss16KrvIPST/BBPu5HSJq7SAeTyENz2GnlGB2C
RiRXjRE+fL1YPn6pnk5hAniA2xzA78nLK0oXyRSg3rGeMO/jDWZLtxPOKsfIggDlnCw6T7sh1e4c
+vnJvvnmbPcmwgQ1ODUu89K8Z32E8RFAcSRzILnrfHt67Drzj+5H0/fGQLFrKZQGIiBKEWArO1Mv
fVy43MG8UvDzs3BwOik4zGpgsNhN8TGo67u8VOYR2UOJAinPzzzlE6MZ0CmTS/GE+SI5xgkdf7/J
jEL0VYl3xDEYih0pTj2wtbQOLZqJS9x6rss8cGFht6tSY15TzurDIF0yNrieCSBnfvcn7xyiCoUz
9QRN11tH9tdeZPaeO7XWmBwtgvbwTpT1te9K59b0p6dE1Tvl5hmc5VScSfz8uNNSvwB8zDWew1l1
8rxxyKsqz4QTYIRooDS058vA7ILV1yv64/bH25xxBfAwLN3e2pm/fl1R29D0rTw+CoXffCAiMuix
1SFMw76vjfGMCPuTNcTObgM4gr8CLc3//a+r2ZUr+4bczyNM/oc0V3KD3Sw0lMDqL77+XR87P/pj
dMqU9ui9qdHeX0mZVT/UMhXHrjf+FA2SHyM01TdsFH9DjtT/OAy91l9f8rMfx0WxhTRIlsTB9P0l
iyrJTCb5yRFKsXblWvW3KHC1XerqL19f6JN3BsLPeBVVBr3LbCr791OMCSqdas7mmyoxuw0ZN+7O
TYaX1uzLy1HXzu09nzRKM1jO2qA6md0TTz5HnIZCQCbTgL+aewfHNNTGj5PpeqprkA6HQT+R8btY
etMVszp/XzG7egracgUZ2btQcWjuVOQQlGUhovjdNs2wbcvh1YoHeScgrcBMkckZf45P3j9b1bzI
KCHwdj15GaR2+KFrF9aNUp69KrtS3GLbctWgHb3JlVavhgA13dfv5dMHheaMkbkDGoQQ7/2LGVEP
5U1boSGT6FH0aN/UD7J9tTTzhYJq18Qd/sohfNpsqXdBsxBoVr1ib4fbOscx3uke/QlNCRFPSzs0
dqJvz+wpH58KmwlwCJm7fIYY/L6/QXiZliU4Po9moR/bNribjW2uK9O/snWV3fV4Y54prz7uYnOL
yucw9xUzm+X9FcuynrSqCqMjCBpaF7hx6zQ1ztm/fsRqkSD/dZlTxCGn2O8L14uOLrR11axkkO47
B2MBppdPbjo9TX6zzSLtSkHv8fiKz2yjZ2/g5Mk6sBetpAuiI6tjQ0gY5O8k0Bf0g5u2NDdkJB60
NHjKwn2I8jgLpvbM4vu4KVCWsNr9GQtxgV/eP+g+RHnaWQW7Dxa7C0wqn7KxfTVwjVxl9fevF/ob
yvi+bOSMBt0BxmNa82GglzaWSBJTj45WJe4I4xv3aYnRPqQypMsmWWn2KNQrTUt0OaPQz4Ze+ZcI
bfKdXbMVSyNGoY0PyVU9Rvormg8XtlYKiWBR+mjCa7Ie4GFU34AW4GxqY7TVIEV7C5SI2aUWxCQi
hkhOMCckgyeJTBSxQ4p41o+DjUkqwbXpE40Tdpn7y4JMt2zKMXzCOjO88nlJZ7aaz949X5Q/b8Y8
FWDZ948+tKo2QG6YHFszCPZuNr34DKr3oaltrM5s947XgbxPCaCWFxVrBtnGY2mVu69fysc6hekq
HTXddTCPEk/O1ka3gXuVER8dluES1elrMFXJtlO9vKLLqVZG0/4hpFl//cfXpYDAuMDD2YTGcN5z
/jrTTWeYorzuomNUkjwtKPRvC1TZd+FoHnWKuIshc+tdLhrvjP/hJ1ArAzyQRvo2Sgpmuu+vXGht
WxHgy95iMrRDp/7ahJlYZcQClssqShLOxj7cB6X2TSe34XZEGb412IxuRBNDxq0JpvZK+0b43u3X
z+STChZIkf0VFBRzKBz73t8aVHg1w0PBjQjMnyUwyLL8bkILeHKB6Bnoynu3kVetS7fZm9m+9eRL
LY3qMEroml/fyyc78Ay2gHKaxNq6p6PGQtWRch0R3CRKDj8D5OgLHTnmmVXwsfhhYsjRQvED8G2c
DoGKNAHvJc71Jivamy6Nh6ta4PPQdwpi+9c/6JNDzAkYTjqgt2x0jvX+2ZrExaA178ObDKRtLYNO
4JER5QvCYrpVZZGwTkSRceain8BGfOA8vTmv2IYZcvJG88pMXAXt9EbPJMxpG/nssi6wBy7s5FmO
JOpknRtv03Zk+xU5ziH9FN5akx/vArtChtAoj8CspiS7Uvda2FK+/lq39revH85nmxGEPbAZvkSM
vE79RGavwW7SZ3eQ3s12hYlYWo5Iaxtltt/ZQKBVWuXV0Iz6nrvyL/xKV0vRxr/P3Me86b0/InAR
4+t0GOYDx54WqYHUNAOtdXlsp7z87jppCo/fFZRiql+NTHZXLs3aznTDR80e+3VHHY+IFT2wRlZj
hiQWVwfnqteIv4QMj0EPNNZFjs7iMk1j7Z+enqAPVIt4CKJ79J1TLNdwAMwLNpOjXg3tUh8UoH8j
HoNpCpbDBLv266fzYQlzOYS17NMUYxTW82H+154paRXCHn41LXQrIC9O2YZkcgQEKk83bpzXWEVa
6Zn98sNGMF8U/ys2AT/AhPykQlAsYTzfuGgPErMEloaa22TjmWPozf/03YsnLmXOswAocANU/Ce/
jb7VLXS9DG7gs2+BSUC0cRsh061tL4LEQ01vrbJo27cvJK0VpFdJ/abrHk0U8xCyLwkoWWG38XtI
+m1RiY1TPuIOjWy845/2mZv9QJiidOGbpupl83LhJp22ibmnT1VWaDcNM4O1l3V33qTEdu6DHqDO
yV2atBoOcsGdN9bOvsvkXKggplnog56D8uveLsFV++Lr9fFxt7F4EzMxh9YFh9vTepaOXPYDJiPH
ljH6JlJhsotoki5Up4h+cyUWCYyBaRmia19Hxx0YfFV2TxwdZHZYbI2PYjhQPLRmTF4iRpG30MCm
7de3Ob/Kd696zpJgy59pkjNgM6+4v5ZxmEcd/j26edc3SbBxuuOU7TF3IDZNGtm5Cnve1t9djJ6K
QoMPlLmXDUD0/mJEYSN1iOjjSs13b1Rh33gJ2d6V6Cgbo9Lbx25tEk1eYPrgEzcRG/qCGcKv2TJo
AU8/2Xz94z92ezi1c9CZ9MVzJsvp7N+fEFgATAbH1q6D7UBIWLyi6QOkhDV01059clBd8OxDj9n2
vq/WXlGZ2spxLN5hNWTbyknIrXOq+sGHC/S7rDTQYD1sVLW2WpIrEbi8wlU2mjO7z4fXxo3Prnvo
9xjCf2hTbVlOk6GH9nGK+/U0EMalmcUtszmOC2Y/Xz+mzy4GZRMsiyJkvuD71wYRCxsa5djHTMrx
ynUI7g5RgS8bl0+nDmLzzPU+7HL8OMAX23GgDtmslffXa/KauW3f8uNyUt4wwEhXXqef2+U+vQqr
0IVyomNleVL0YlNYVr5y7SM+pKRrlv/F2Xn1to2F6/oXEWAv+1JdsmzKJY7jGyKVXOy9/fr90Odc
WJQhYTaQmWDgSRbJ1b7yFtjFqaMVN26ljyrV+ZoHmqeg8UdSN5XoZscT6OgwxrLJOiWK2h5lqW6+
ZZHfrZqqM55sLZWpeiZkGKE1SouqirplDdbSWsP0QwGnURpEFnzdbE+w6TCNHIPB+zdR797sofKe
u6acGBupbOIBT8C6jJHuhT2KnG+6aPvSRnYm8x/Qhom+OV4HiNu0GvsuTXWMGkMvrzapl8I5lQd4
eguikmQflna/8CX+ewmEM//pBO0ulynjLh2vVBFOgdOeLwqzhQ4YtrG6okHicQGCvYxykx2iSGiO
RT0KjYgXFUj5CMT0WytG+o1ry7+xhy8WJzeVygk2gWa5EeexMVkLqju5I590kYo1chrFAvEYnaeK
IbHQaLixOD+kns8mFDi9Cryf0IhgGfrsbHUmWMoiDT66SisfbOuH0mrvCC0cRRCDTy4Xfngo7Pcs
GJ66OFooYLsLLE015C88BzOGcq1q9U6FdipZf6vmX6z/pR9Mm1ilJSwWeRFvahrKwpNWsfoIyQfP
2+AOsQ64UGChpW9IKyHOYCqPTelsMiVdy7G0qrsbrfGLZGB6S/p/Nhh1CodzWkZD8N7B7Rtd6HVk
+mpZHXu/iP8IUNbXT5cvR4IhAWQUdUq6uuffs/MRy7EDfXRbHKu+09++Y2Wn+7Gu4/X1kS6zTV6K
gjJJLpwTiBmzgwwooALlrhjdzOifRKX/ruL40TZBAGZttRNtBoN6qP+hiLININvHIcJ1XMrI36xy
mwK+XNxYTB8h9HwxgYOf4kh1CrimisCn6xf1OCGjwDW6QWVhTtuo+j5T22Bh1TosZ3By+bpUe3Ob
xIp9DFsUKFPzUCWG4mq9hPGjQrWkNXP7wdJyFEu7uLzRa784JdE0AWM9afPzjJzL5w+YySR/iO0o
rjQ64d6wCyLAqDrdmJiLwgejENdOM0OfRJ9rULadU6twJWU3Iu/bKCoSXVydsbHviEUXqEbaPxq4
alrmqDszFj2GnDLmOPBRtqYIICrXeWPdt4H3pwsmMJQQAVMZwfZuJWiJ15/2A3xyPmmoc1IQBdFJ
nsdTn3+TKNRzRQ+kxrVMbkGcQMUWfrGxSZQRR2O5r+KDY0jDvfBjFFb0St6SwQenPi2DV8/XylMM
UW6baKXJKQWQTunTyF+UpVNCi22GZZBXzn5UYES2k4pFJix/C9lVmhxfU14JMu7KkpH2afQs2SIT
v8FDtfodqZXOmpEbb18Ynr9K66FGaChOF7rSwQIaLLGhjKDuWefdOqhDlB8HPDpoPv5NBtFs21yr
n8XQ2RtJBI/2oDgsxFwR710vO26dZ9mGhj56wq3xwK19rLTQ2eI93N3YFeoXiw42ClrJH8knEdr5
B86jUkDUrHsXUizXm2PU/qOPVEHn4yRUe/C5+2p4haHuPdB9t1yh68Md2EFxKsfCdrWcrLNJLLEt
UM1BwsbJ7uomgMtR+f1DDrTkbvAi66+uJNqKgj+SbVJe7RyqrzcW9kUGjc7uFPzzC9AP5Y7zF2nN
PjKGIOjc0ugUNIdIRFi+wDoh1v9ldf0uajRUFvXQ1puoh9R7faVeUKAIXbB/URCvVYhJyeHPx08K
ehyVnLSuiorPqyJVAJ6t3j70HREpAciwVUJRfGsQE3yvJLKUpi9XeAR2kEBtsbr+NB+t9dm+gYcF
2sriwANxOzvsBl9T2yavLRfyXriXzSJmuY6GdTT74Wm0GxllA6tGSyVsNUrtYfUzabLmt9LEwxMN
h+pFaz30AAgO78NSdh6LqMjwxU6tB6lKEheRiWgDISxZ2LmMRZdmhpt6DNu12fvqJnGGhOu1Cuiq
J3pp7FVRm++DVQTPaZ7nzo01fBGWTEBNYPhE59TSLlq/meZT8iztxtWUHG/spApdMDfhFuivgopT
d8vs5zINdqYeM2VIYNTgbrQp9/p0k3Qg63NFTW1X8aRqg5bT+E4C4d8LJ6/cJirlVVgqzYbV3271
fiyWZay3fyDVZz8B4JVrTlRMwQc4ctdn/WIvU0CgAU5fGhzQZaYytFqopz61y7ygydlGmbnP1e6W
49d0DZ0tLbomU7JNr5g0BVOE87fXQOGiPjA6rqPW922mSq+12h3SLFd+XX+drwciU6SACJJi3kgN
k8CI28B03KRt0nvTKrKl5QXVNq/U8EZqfpmdTnZKVF/otn8UyadP+2lK8aPVBluNbVdqh+RPCtD4
kRxU/oHdXuU64Rgc40G8aVJcrPoimwLExHn25QFF0DGp3iVJCgHl5uZuSIaEq0UK38xMancdSXgL
f3wMoQAZzt/rX+jiLv/gBdPaRiYdAzt79tRDE9th1ta2K6dQ93tZqRam0NDB6ru2O0YYeN1LRjp8
G4vols3CRU2OoSe8NguBegZb4fyDtZkRkOhFjosYMab23RNaHvKqQ8KkrM0AuT/vVvXpq5fFA42a
BnVXk7c9H7E0fIF6omS77M4IZXXJXLV56j8wrQ0lsCQKjja9pXphoqO7v/6hL1NLXpcaOsRpUDaI
4s9Sy74MnSDKKttFzFZ5ltOyW2gBpt5jaWf3GDcpMFk9xPRsaPsL37Zx4YtRTki1ysf3pCBs8Iv2
iIAPrbpikN+xa4QfI8yxWAxjk0wiRAGfDtXPFYJN8nE0JFQPwqBdIduDsjHeDOXKCAxzPcLg3CEC
aX3QEfw1i6CGZzTEmxY3Sleq+yXmgghgVaFUt4ssL9N1m0g4tgvHGZGeSsWulIU4BOOIf88IWVi3
vT0a9fk+9Nv6PkSKapkVnQ4XWYWckSCtsDTR3Xu5/k0vgZxsbeDu0BxxH4EKM6sKhGWgiLiJNDeT
NGOBZikkxiKpcAYdkcwxajVa1nzaO2L6bwVqyMsQmexVboC8IVZ8FrUaIv2athBYG3ACHnI/95an
i7WsqLfACpdnEc86SZwDjwGyMffHU1qzkSoR0/1CsOKnZyOYO0Ll9kfxdP2rXF5mNCEwP8JOhI4E
i+58lfejQEoJuT5XGU8Eq95h6CxrV6v5y2AqN0Kmy/uCASbgKHcmYLX5AYv8GqIgsaG5oOXaB6Wq
jWXS9rf86r54Iy5nJolSOhCcOdDH7FU8kHRJc4tBJf5qG3kdJ8GvQG/zheWBPLj+Ab94KWDstPY5
ykHgOOr5ByyUpClsnT4lWnr0Oa3Go6Xmdc2NebqEGE7uDlMaheYDJ+HcOGfIyq4xyQ9c2fffjSYA
Oz94ilhUch0uZDO/E0MfbsY+LlGJSvRHNYier7/pR5xxfhPT05tgIkTw4Jrk2QaK+3rslGLU3HrE
K0NDEGU3psI+1Yb3CJxi+AEVjyvBKLP4VcnNYmlSte8dKN9NOGj3pRp8F8bQ3UNeaO6Koes3Ui3b
W82Oso2Te9UJsS0f0UC9xQq9o3DXVndDjI6yX0LQrtQc3+DkDtOG7CEGq52h9o4OeAl1eVX6Ijgg
J5/d6Mp89dk1pNgIwKhuo4wxbdRPF3UZDEXpOI3u4h+MqLJl9Uf0KQsYE7Hq+pZdfC8l50RFihOP
TgGwBsVqf1z/8BepBtEAxD1CLZJoaKmz724EPkXpRNNcG2bSvjEM9BThVd5lid2skrT+WRt1ugGt
7JrF8N9MOUB7ToPjWcEFCIyAnvn5B8gUNRSdlWtuHBhoO9YqOrCpct/ok07f9ff8YiuReTtY21B8
A/M920qKhXC7FGa2m6Hz+AsZufeiDeQbq/irGWUaiSMnO1UW8XR+fJpRycxlSdIYRUPBa6HGnQTC
kduPjujUQqrCoyW1WYtIj7U1EmSZIyg711/0MrRQKApBpZi0q0gfZ7lbFEqa3WiJ43a+dVT14UEd
kuTRpGq9HIosOTp4RCD7166vD/vF94W/MNV7iKdhQ85S1rGuhE610XEzOkCbHMOJtZ9Lt+L1L0fB
ZoeznsVK4e/8+ya4VQRl4zkuYnDNCfvDo6b08eP1V/kiJ4IZxv6eePlTv2T2CQ00MivYXrabx9qJ
LiG61HB3DlqQ58fc1IsnLdOHe91qX0O/lx+NIDGwkbaqTayn3T6y/PrQGPWNC+5yo6J1R6cSpD4N
DgySz1+9UAZ6RuCy3FYf3nGhqO/CAuag52RtuAxlbAQ0s4MXHpIAHSRPt2/cRZfritvVYXgN3jzf
f7a0S1v2lUghq0ALdTh0aZetqroQCy16LKpVKaWTrq1zC9o0Tej5tQBHgMBq6regjjC/meJAyPZQ
KJZrjdlbjJPQIUbIIuvCJ1q3PzWpbbc3Jn86CGYj4js2NV5xYqYvMJv8qI0UvyqlETeAttkitSq2
uTOKCb5Z3iumj6NBqdxhKILUi9Yla7vByKoDx4BYs9bcqsR88f7QU8gTOLdgm82zIlnKOxJUjmf0
LY21HHJJIXUfJu8RnZW7Kh1yt0ZC+I/s+BLCBc0SSeSV0/dAjWCOa6+6jKKO6o3JutDl4JRrGqUk
jXv9Px+vKix1no9AhYNvzu4NkYaUC5WYUtGFeTKd9D5umuDGFrhEuGBwxBKfiN74rXFlne8BQMdN
qNAtc/0sGeNFEFQoaoq63yRDfRdESbrCrGVYpw3eErgbPFdj3lBJ9Zx/NxbJF9PCdSkDt6N3RDg4
yxg9aWgIYyXF7QYl2vvhmO1zZMuxwsrlsF04Uq6/oyaIkXjaRNu4soaT0Ip9A3PwR+Xn9r2To2BD
zleS1iCImux9NUkOTnMrq748NQgtZOhlVMjBgMxjfZOGbyWFiumOqjT+9SvkkrJWWaFlvBg0axf0
4TdE5cb3DMWrG0vio3hyvpMYm/oh1/zUcJ4ja6QGEfDO6U3XcUIsKaxjXWg5gtsIaUmHcfxdJn+K
tv+Nv+ECgNo+NRsE/+A5og264BhaOva+D++tulq09h2qnIuqDhaV0f6VHGN/fUIvUyLWLioLQGiR
3qJucr6wgiADG+gH+kNg6//SVuQPSeznK0dvgxsjXWYQU/YA/X0Kd6BczuIQ2Q8R+cs77SFXBn1T
TPqtXWxl6wrAxXpK3G+EA5fNK8ZCyArsDVGmA3Pg/NUMuaYhUsfaAyqqNmX+RN9KsYDOK2Lzt5o6
xgGtUZTFp3gfbXz+5QVrSiL6S2wG0ruPouymbAuBgQyyo9c/+4eB5XyJUGCf7A0pRuDOdv5wEqc7
lhu16freA6CAvMzX2RD8DvQ3KVFWAsGlNjLv2jQ9Zkbc416TLSL1V22Mj6Zf3SGwatpoHb1I8I2l
vF848kOp3gv70WxB3KKY3GHcUjr0xpF/6kHh9tWuzrYtZgo3FvsXkR+0C6Jo5J5VQoaP3sSnyI/k
fkxNflFgC16DEudMaUTfvQ6b/NH30OrF68t7a0ylWqJIlW+rXLrBsLk8k8gk0MeiYfCRK85WFsJf
quNjKOSanVCOeSw9Jpqzbjr9XmkL0H6i+3Z99j5yg/nssaoAPgP2Q1pgFhL4Sm2WQe+TDRvJQTfK
dUujIjCyVVRV66h5skH76xKQdFlsPpT5sXHD/WifFNmrL5uoIz/1+C7LxiHwjpnuIXqZu0O/rtEU
tmt1F2tLpKaRSqifrj/5FxcJ32ry7JTxYJuw8+frrpAzKw0iTXVJq/uHIMmiJ7/tQ9fKK2XJXcYF
b7X+2tAleVtVurH2BNz/agSIfv1J9C8OaAo81OHYoOS+8ysNT0TsgYJEdwN1BHeg34W2hEmMeooE
2q/RkxI+Jg2S3lKwK4Z6zyYCKTCskXZeUzM6OcFGDaRTm7/2KJAPa6N8DaVtaZicmb+F/GCgopef
tCh7Mf1iVzjprrPUV5HuTVnif/FdK6zWnffgtWiq1cJf+AFAiBqFddXYFur4CJ3+OUaSnxoWfRDk
rF/TxrmfRANIXW7R9ydZyVnwpZEHf4i5UGGBbHw+LyY6JYaSt7JbosqkSxz7o7cwo+9S3y0bQh9h
nYYQ4fhDRbMxxSJJuK1yDPp/o/a915Sl37pU0/ou2OQ+hHlI1Fkq7xtbex8HoBBWGj92InLHdFPX
3zJEhWRjd31Cv0ge0JWAGUGKifyFZs2WFoIxqMmVzejqgTEeA2SZ90BPzVOSe8lGjEiRh1XW3TeZ
F25lqfQAo2OvgZI2vlySIeM60Mb4RPitfYuscJk8AWAgkuSkRfvL/JDZ+3REdWhhD9jjjG5fi0NY
oRQssDHbKVhyLkYN3wmB3Os7geiwIYhrf9fpiPj5GKIW7GQvGaYpb21Z3ThEvjo4afrCrQXFQOPi
Y4N8fqpe9fQQeyCXWEg5VLr6g/A22Id06R/bJBBbEzestVaqYNSoNB+sQLslrzjdMrNzDK4pAkIw
kfk0c4PYVnJCI8Nuw/W1aKegEABGAMbW3RgEtwKNj9zxYiyKeuQ0+D9eMEYMz8jQXvYGt7KH9oDO
1nFEI/mAtHBx70co4xUdNJkylYMfPmDaGhRQwoJtg/GOWzjB8yzmVsw10dwjiKz8xLHN2mGpbD7K
w2jda8KTb9wrl211SgksabBLHPMqIn7nmxLTLmEXhdO7jZwcoFX0rqhpfC+wwqAeKIxFzAm9MHtL
f6ywU7qTBY1zjED6Q91G/gFhRLFQ7WB4qMqkd5UktB86w1o3uVUfyygo1mRQW9+vEgBpRXRqaumX
b6LJcuOo/Sry0oEjIklGkAdg5Pw1kmbURV812kNY4n6o+N4KGI/bjlqzdPCDun4MXO41oi7y5KmR
Dm9yHtgA3bMDoyi0B9yklGUhYTxbVOXf64NcrltYP7SLOVPIerjQzt8oCocwB4oau54epG5hV0+D
cIx7jND+c+4/DUSLlLqWwaU5q9PBfPdaXa1i1/KldOcU7Z8ydg5hh6VHp0THlNgfo57kP2s4AVfH
2xixRuxlAXXOjtI28yInlJPMFZbjv2qj8QMLhRc9jwCzOHazi4LM21z/pJfzNg0JD0CDNUM+MLuA
PFjZVjLWmSv5tnm0/EI91sYtcNRlpDYhAMlfyTbgi1rq+bzJndZi+RET6wD9WCOkjcmaMRmMmom6
6FW1X0hxG93YxpeBhkmVFaAcdDWSwTng0bJT3xOjlbvpYGApic/QU5XrzUMZ2j9xhDvSHleoQWvD
MfMocdzYD5fcAOby8/DT43065vF/lbBErnJ3lMtFmzx68b0EKgv98rXWNSuKii9e0u504O5Z8yuz
sddCf7Ir0+cirGmUfSuI3aN6OxbH1pIWlNXf7bw8OVj6LBvlKXBuCTV+tRLIt5Bxo2kPgWr6+acH
dvB0ye1BFBSMEY6uPUdd204W3fguXy0FOi7kP1yBHK6znYUtOYFWIOco4ET+PhYBHydKXwcbv2Z0
/MuTNeq34oAvxkS1CPY4x7nNy82mQi0GsxpNI3Gn9r4J+lU3qidDSlZCG9Zh4S3LICfa+oW4xEOY
Y89kP2WttOTyPqhdctK1YJt2t/bE5ekMLmFCG7E0AfLNK7v9mA0NbnmpG2bd99q0Mioisrkf9QRV
DWTib6XFlx8BBB6nM+EQPRgOtvPpzVUs0Xjnxo1bPf0exTHmZ4U9vopBBXKlCrjpsY5/SYRn677W
naeUDf0tFQXRkIXAYOmBMVs4mPY8JXUq9mFujT9xsgperh9IX6QqE4Ceg5f4CN2kSW798zrERhAg
WJmjbE7wsqss1TvWnWZWS92M3nqnPnlptSkxbwCqga3Ut2LE9SUj37hxB1xOEIktNycRLZg0apHn
zxHait/FFehFuUSWVJM6adNUTrHNcoNuoZLdEmm7rDczHkHHdFTSo543pkAcFmEGJcsVLWZqalLk
a6O2w/uk1Dd4mSrHrENXoBG4mt744lM8cx6igUGhIQoGb+qgzB3vVWvUJLu1GjcSsoE9Y4W77WBI
B6+C4YE1pfSIFyaUobxGHQ1K7w/BT8FICMMdgcavMLK6JZfzxWolPwQIBSiKRfCRN306jCKt7DGu
yFs3qVVzRyTrHQwD5ze6dNkPwLbOuo37H9e/w+UByF0BJmYqPBuoZc1u33rwuyITfUshnJTUViJr
OSrInV0f5TKGAan0QRJB55T+4/TzT28WFoYUlnFZuIhlVOAHk2prK7n8OAaOuNFv/eqFJv4Q7FwA
Aszx+VB5HReDjW242wviBg9MCzWhcrxxz350Es+Xz0T9BV7B4cp3mytYwQclnUll7yGs6EKbQ5zu
CaCOaWKYS7USxTrPjF9SFaWPke/UT2kv70uMj1aaRZYdlxHsDToJaylOqiWuzj97oqMNzp74xHDr
oScQI1Gdm8l6kFr993+dDdYWqQmkYfCf1A3PP1Fp1tYAiMJ7wMWDWk0Edy8z02rblZRwrw/1ReJH
IDIFlTLzz7E/m44qQc8XSEzhQvf4WZPpPYmy9dZd5PubRNgOxuw6jCpZooFvj5MUY13dWHzTEJ+n
SlOmXhoWEugnUFiYv27dN1aZGnX9QM1T2nS28Nf48tqvrY2PYBdlYtcaVeW2gXbM2ti/JUB2wfXT
UHOaThmHp+BKniOxxCAskdud9dAg+HzX2WqxF4W/6XGc3KaYyKchOzvQ9JH8PPohGtPbSy0UwJqc
4ymXWnUZxUWwGQL1rffSbpcJpVlfn6b5yYOaKYg4Wm9TRYOLedpUn/an4/vwRgZdnHBV/RN0nUHd
xS73shFlrlYCmsWctHm7PuYF/ngalGIqcSpBJ7/NBvVThNjhlYenRNP9587HLxweOyoyMW1Pu4d/
jZ5qsJO0ydG8ktIj+ukJ9mIjruaBkd9KCuZX38fjqBNcbopQyLjOv0EDnABYni1OneT8wqntDb+g
bWyzI9Mia2+syendztbk9O6fBpttQfJmQcneEicdl887DxFu0AKI5V7/xJevBHlxaucS4BKYX9yu
SuurA56/J7V2khc7xjE4ZJaXZd+bO4Ws8sZunx/zlDoUwIuEMuw01Hlmx7xKTUd4KW/V+cav0dCj
vRHVeN0O0q2r8suRph4OaSq31/yUz3SJHK7pxQm/ENvA5nmgd9u32rgggQyX1z/jR//5fLZ4LyJf
4H/TtSLP3quLYHNyzMMgUOplroUbzZ46WAIZwa7vx+XoNU95BPKIkjhsHGtt+MNOTkZslKP7Adtz
XcGyNiaJIbhZIK2y8TX/iKLMQfjRjcB/HlFNczCRzvUJlMedPntWpPQszNsdccJ1GsM8PcX3rlbT
dd6iRZHJAtPcwfDWet7fyj2/mhOaXQZyjmS09ALPN1Aa2WWZdowsEkNfKE2o3aGji4mgrKf/kXg0
vSTd4ek9QaNwzZ8PJY3mYJQCKa5AWMkSq0RzKTldd2PeLzfptEuB5bHMiBTnrU0viKQa1/bwlMNt
pGEQEYrBJtxcX11fbVKuBlI0lhYiJtPPP529JkKH0BQ7cfIc7yH2vdYtqcseCqnrHwRaavv/y3AT
Vxe1C1xdZhcy4B0cT3L2KFQPdEjNf4SZxdqR7F9qrPbr64Nd3it8QWrk9MrwGyAaO3831FbVPOxl
jrm+xRQ8DP4WcoFcVxN22zixT6Fa/b4+4uUi1JBb4EN+VJlBvp6P2I5qHjR6RytcN8EWx325Qf6z
WbRa0d04XS+qHQRoCuQdCh4csBPU+nysqDUgVaWqAWxD26h4mPZUQle9jdW61dUHqaullR3Yv4zs
WfXVXS/uY/2U9d+C5FSVwA71gwKOWQ0oicbjRki9uiyt9BuWC95C6eqNHWuoSWU3Hvsi1+SxqfFR
r5yk+gD5TMv+04LrcmH2DimmG+GSswgTrVs5Rkb8GuDSHRVG/j1ENXCBJan5oMhte2gVlF5Cy6lv
rPwv5opEB2ou6YdBKDCbK6OsSzOM0OauRa3cTe35XS8JeK0AuG+89PRO5ye4NdkHAFXgcCIVmVX8
0PA3CieRejcNfFSbUA7c9HKZfr+++C638vkosxfK/Dw3S88fKGXa4NM1FfcGW9niFNgtPf//u9v9
7v/H/5ud/t/Tf7YR++gazl/K4p6Dnm4hmPARe3+aSEVCfMcuq8H1U2UjVd5LbqveMqogFga4AhyK
Dj9a/9goxzQ8md0hLJ5E+DqEruEd1f63b7tGeFKjdIFXalO0y9w8AZVz4/xnFf2qykPS/fFrfznK
iPBsVPWPPf4am2NWvxehs6bssmi8Hx3q4oNzcGw0XWq0v9/q/OT3R+H86hwc3M0S1vUulMKlozxr
xqM0vsjymuxW6h5rB82wcGsU/5x23ymv6Oa3lCRx3lhYwT/JWWYGhu7hzpy0hn6l/vcOx8I0/E1P
PQqgsVQ/LfE3Tf8lsORtD4dOpGKrg6J+z50HuwEFpa5S5IQlMNxWvMf0ZHF9ti9yG4JlkGOTkjG1
eUoIs/2PIILosX4fQBA2tCkbR3lFhd/4XTu9f1eogY86fKLsoUzoxwxo3wLtXeuWncuFkxtPQVox
IQaJ3BH4nnbZp1WQRL0Nocvr3LrMcR+QD2G+G4z6J/4RFIuC+C+NwBgnSOO3YodLWfkZDlT70kUD
GKfARU87tGI8xtWb3f8Zlb+OsosxjW+kh0b/KYGuyMb8Psru+noTZtZ3PVMfjeSn1dNBRh1jSenu
xqlwGcAAEyY3peHBlXtB98U/O7A6M9ZcVcDB1oIXierpUkDU2eipkd4h2b/QnMK4MexFS1f7aNWB
CZ384AA6zEJypUiROTP6wW10Jim0qmLbjwhgxoZXb/UQVB76w63yhuvutk7S+DlqNONeZHF+irJW
v6+bxluawGP/84VNaQanQDRHwTVfgCOzKDKCOPRlt0KUNkPAeqO3KabTYbYoJjDa9UV9eVDi8MJZ
QulPcyYU6Plqku3ElweRMRqyt5shbzDSFv0tQMRFg5SPzS3N0T/JaMLtn20dC4ququQq1PZE2nuc
yPUeOPMijp/bJGENtgHtNGPpK5K/DH0QmqPyK/TS32aWa4u0rJ7RG92WUbxse3j32miVNyKXy6N8
Ytdxq1O3IHGaZ4Mi5Mf1gMRBnhsdMl+a9GI4klh6uBk902bR/l3/7pd3IX8hnx45U9DIQLvPvzvO
OoVJeVx2VQl2du0E1QaD9R5T2Fux8xf7C6Y+F5VBM3GiuJyPNCb6GEg+0AULybOVL4A2Qv1tFl4w
Hv1gS2HN+90Zzbfr73dZBWHGiTlAEgG4BgQ2ffBPx5SWZOCLgnh0OxjirwlAxTvaX/hAh8rgphS1
3SAtOhxvyPF1Sfqd1RL6VWLIl7XmA6cgz9u2sFL3Jiz4hRyXLYZRXfR+/TEvA1ab+5STgFrIhO2f
xQkCc49wqEz0OzQvg9xVKY8Y2ZsPuT6KZSeMcK21za0O6BdzTxEEFDLYa7KZub5kipxb6XUKM0LG
PPaKTcUbOwjgAO2NVXaBE2TfwTYHBQn9hvRpLuY4SANQLdsBt6KG5kppZfMUl+O3OI9GUJdOrf8d
KnS6nDx+pAuwMHHI/JE7Rr/V0Vb8UfbRi+a35aatNe0/R2hwU0xyOR6PasWcRqbGSRlUfV66tDd8
9JEMaZH3eXLjePtqGU7dvo+7ZZrn2TKMixzwjFGUrqhGkEVxMNzZiPgtFOiD97Um6Zi/F2tZrcWG
QMRcCatDDjwtXfQitDXArHSTNfIPqGfjMp4MWIao72895HTVnAd2qGCRu9Mx5EtQlzvfK3bdcOeb
TebWzZtA9OugemV50GOje0tTYDOp70CE9AbjOOLFc6oxX1nLSR68NXJ36JL/bDupTbJ54BuoKtBF
I7s/fx6rVpELN8rcxZRcfNONLn8Y7fAt6YXzJlWh9dwOYPclYR+lMohd2wzMnyqaobgPdt9DUdI3
KeT4v19Vk6gPsER6JuTn86uqqfG+aSq6qrEf5C+iyoJNm0bj+vqJcHkh0hrh+gWTjvYDmM/zd2/A
cdcFUHvXspPg2IwC5V9zsG+s/mnZzWcc81fAAlQAkA+ZnTtxDNJBLrICMj75EITKYl3YxrgypQCg
fR/+xybJNKGMRS2awFEDzHr+Up1h52Ofq5mLtVh9JzcyAWBn3eglXh5rnDM0eolbJieW+VZTa9kn
8zZzhDp8H3J59Zj1SvzbQYXx+hRdqLHyOpSdpjYWV/YkfXb+OqoyBlYsOZXLRYaQR6N4O9UKt2ZY
DdsMXYg/eanuRF0P720/iCVQ12bZqFqEWrT2ElrpLY2yC8zs9EBTcWoKbxCDsmfhTV6DwwgxlXWr
oMMR3ljYYY5UF/bCHoTmJJKXWdJpzwEbeZU58lquO8za5ab5juvixP7UnYyGfdYtnADtGgcF3iN/
1l5ESd2uww5RXO5Go323k7BZIC85vLS1I++rTJRLOa7LcRFoAghdnGi/rn/sKTw4W6l0cwhPCNnI
N+gTz86CvOlHFD8H2ZUrICx6MIp0Mm8+NApaIUlii30LIvMlU3KxF7I0Lq8PfznXtEiRTKNZrk/k
t3lRzo6D0hnDWHHjPolePNvZ5eHY77xY24C2BPHeVt4Wya/3NA+jpZG15srC0kEd+xraTJfeaARe
LHIeZ2It0WrHjuDCycZXzJrmUqK4NPDjQ6z6wXGAAvizSLxb+ebFSTQNRc8R4h3rCwmc81XuNUE9
GE6mUF3IxpNkWNWyV+mTX//AF+Eho9h4tFKTgS0Bm+R8FOgFcYDEvexOBOFlrNbJTsuUDs2xoXfZ
WuVzYRjtukB0/ca1d8EToBFEUZcMlroaVIF56RrAeNHaTl252DnjKpdE1ZuEU8iqTzr1rqiVYWcF
xvdUBowYZj74Sbz+3KEJ7OfBwlCWhnKLfYjvPccIju/yFq/frCzewa2fyNLlBdKV9WFw+sSVgop7
nLLMPz2eOCeIJKq7HOmsjdbjydrl0iYHJbGKU0P6QdtE3Qytc8t45CLW5HWpwkJY5R+aJbNAPM6E
0+J4TeexKJFGpX61skbMPsNBwSxAcxq0raxoe2N6p6P9fP8y6tSiAU6IM9CFlaY12lHS6pVbVeUW
ZIdVvRpUAKW8BSa9boitCz1aqtk2KV/Qxll03aGGkCGlb34IPjx59KtqNR2zua5T63z0OkQj1HzS
QNtJIVZWzs+8UzdRHa7i7KEOJFwQNkg4Bw3dDyXZ5Z6GjyViO6Je2nq09lU+f4D24T28cz8yllKd
rYK224RWuIGNt7Pibg0Xd4UiXgJEISiR/UyDXa+n6yqMV1OgGCOMGPPHPGMd9bta9wF9AlkBY2yv
NaPcpDZm2PzudzIW0PZGj8XKk/YguLexpSwj/5fM0/T6tlHVbeUN24QaCSJSZRuEXIzQ469PwmX6
S4GD/phFXjnVject6dSsZHpVpex6zbjIpRHzXTwG0W9zjpI2+O7wv+ydR3PcWJqu/8pE7aGBNxHT
vQCQhjZJUVKptEGwJArmAAfe/vr7gKqZZmZWK6+Wc+MuuqNUKhLumO+832t4W7uJWizU7bxB/9Iu
mFCK+nq2ne+KUZdXuSWdMKJFERBWHW8UVAdh27jGHce3S8bCZ74XMMqx/gLqYsyw9J+GbXjCjTQl
14GYrK7cyyqtb3Fq1QANR+XGXGLtPlHz1E+gdWuja27Upos2bW5oN+Re/wHF4SAdWuSroUwdLCIb
t5HhyQejWC7tvOdrJBwDWvzAvHQd6EMer172YnZGO8OXqkALwrmY4u2sO/Xjz7/f311lFS7QrKHw
pHV9fBWvUq0BcWCP3M8lTqwci9BWcWn7+VX+ZqujmoG1hj3SComdFoVNL5NINdr+gSgk55pO2B86
eQh+U+gvk4qmzzALYh+HHbhcIJoWExsnW0jujkV6w/vVLtSo540DDqcwBGgpc3xCn31S1ZRFYzWx
IqqHxpNGYJRiPLgS526ZxtY2rZNnAoqHzQjJL5AlpZfSSCdIRff08/dy/vZXGscr7IlEHCHo8du3
0njKyH6RD4vnPHsm6cxVrJYXtsGzi5jQ4UnAwMqJHvNZk0R6bUzgR6YcFow3b9Ekgv61U3lhNT4r
ptarYG3I4EekxAHg+FGylGFqaLNyUMxy2XT5UG16uxz2XgUPwnWTbNuno32lzK6zgyOoXKjQz1hM
kCJhP7MIrZgHevOTgWzoizQya7TurTHFkJ10Vl+bSKypyyQOOXmaqLTACX0vBcF3ZxzU0uLb7A2G
n4r8wWixK2t1MQeY4vyeDQNEolgZSFdsHP1h8jJn79J2vhHtMPozce+bnw+Esw2U0x+6Lsy9yJ1Z
vYCP3145FUXXdZY4iKLWQtAniaYqAzAau12jpVd22quX5uTZ9onpDHv16ifLJ+PLHV+zMaeG10iL
pyBJKeiINHkYM+xDnKk0vzqpkV5NJdi0tizWHZkYxFxGdnXVLqm7m7F4DH7+Bs6qT7BJlmNuhqqQ
/vEJmuHhsx9V6VKht3BJXLFS4/caU+HvyqyYF2b/+YSgcaaTokujDr7k6axLJsuMhAJdoVak2DrD
SlfCSvHCVc6qT94agxIlyvpVaascv94ejcMMVpAdIqeX2ywhBlVgYbbF6jz+VBdj+rsoo2Tb0Pa6
cOXz1Q1TMHJDSd5C67ieIo8vLaYxMnu7qw792FnhlKj9HSkMGRmE2bY0J7GN0Xb6TZ6UVw45BwOG
jUEmzeHPn3/S8yVhNThiw4VAAwh/yhaLnNGkV9MWB8uCJ4KtSLfrLCfQsnl8rLJ5xgqdBk9pjtgs
R61+4S2cTykOVdjkQ6B8Nfo4qUlHnaSIRR2LA/KaxJeIpnZmbw0hM/B9Ngh3I7XsUq7aOSYH+YH1
x1U51YCxnCLSWKIuGH25+j0bl7mhQK02VHpVEXbCjP+IFbXYJ+qCyL/E9tQH9kn8cuqxZI9tcScr
oQdlt1Q0Hw31i1X1THpRCePGyFXvV+fbqq7GFgOFNQ1XqOXHYyRb5OBW06Tem4r+kS75AOJk4t8T
DRe2n7PvAD+DQxD0FmBadN3rbHyDlisFfImq5EKLcnCK4g+H6ElZYj/RNOJTVESXesnr7zs6FazX
o/OwAlCrA//J4F8aUza0+tV75KednzhTGthxnl94qrPlar0KttGcdYCfQV+Pn0qKPMIwblTvFaXA
C5t8uCudFdsHZl8uIFznxRPXMpGzvOrZWEhOlsZqSrWiWFr1PrH1J2Ml1hLwIgITRtSL2U/DbmjV
u6jSn1K79XW49rUvmtjbxQXdUjm5334+rV+dqk/fsAnPgZKC5gKl4/GzG73bpJNXq/duXM2htJNo
gx1Idq2VRu/nauTtMjUR+yVSs++VTTqmjy45+eLpi4F7e1d4G0K12l0TO51P8rjcRrQqdrab13vc
Jr9Ndp7soU8qO1VYL5EQVVg3+swypRg31iiK+3Qpk+fajubPDf7t+7zUrZs+Ne1DLTstYD3XfdMc
6ls2Mu+DJvuLCTvr2n38BmhiQs6h3kDFRnz88RtwnDLLer1CYaj1dmiPyMfHQXsUmR545WiFXNMO
27HBu89w46BulPpCwXDeKwdWIK+Jqgtm0Aq3Ht9CZDuZHkv0ILpUrg1Lue2NuN3UjTPdFPj1XbdJ
/jwuQ3YjVXwECZms0B5kBnkbokhv85wXasSLtiOddvhud7kZRm2zMaYcCX5WxfuGImeXsWVvaqqf
zahN6m3rFtV1nRpdoCrY7wfLjKpymQ37Tkap6btlodxqhlaTuShZ6x18m1L58PPR9zdLLOYg4OSr
pw/G7afrST0pVdbXApXNbChbEzf6yDZazDZSrWa5TLv+tlC8JmzEss/H5amr8zA3iL9Vh9a6KjJ6
sBSBXfRE/9MLATUOvTsaF1bX80WPm0QHwrGKGoON4PjruDE8qsZtFbjiZn3dzgm2iTnqpcyFo5I2
2eS3g6Fe2PHOVz6QWppOQF4eG9+p+15GHFG1ajIOdRwvT/iGNXdqkl1q8a1j+2jsrwIkA07m6gmC
CdrJvoqHc81DYKKgMv712Rw35TSKTTdmNYTSizkE56sfoAImXZRR4PtQGtanfrN/uDYrrZXP2iET
FR7fVWuDifRT+7kcTWVTRw3pBEZ6P7eafpUZiRWIEu94XZnaUM/y6Qna26XS7uzrrreEoRe1BQsb
DZXjW5ItPiDOjJsOFnSf+V8R5EVVfC1KaCqxqaYf5+iSGfvZt329JIx2DHw457x66L55C4RET/Zc
RtphTq046LA+DbOpHH8VAsYJiZ7lavRKkwhQ/PjBVBXrakFD9GA2Wrx1l9z93GPfvi+U0nj6+Tw+
Kw6pzLgMnSheIGqxkxmSVWOG9TBWemoj+vtU3PReQxig5yl5gMGQoQa02Dc6ju/XCIUvXPycIUPQ
16uBJGgQ7ZZTTsQiyDRL7a44jFjg7bBfjPbCchoACU1DvEnElboZa/WD6ibVZmhzjaSCctgUgOJ+
NVpREMf2fGFJPy/b15uCdsx7WWWFp7p1VwwKG3tSHFLDbK8AtdWwLEtvJ+LG8gVNo6tB1d8n1hQI
NcO5KRX7SM8vwarnXDBuA3RktbjhGMFB4ngQGFAqCfkZ84OstbtZTeM7/DaNDVU2RCatLsMcTUfo
9aoIJ0nAdy7kheLqfH5RVXB04PAAmnAWlVEssWBrGdCJ9+aTaSrxVZfhnKUkVRfi57XJjfrSlP6b
p4anBUEajY5KUI65FnxvJliOZWfXFmV+mCvZYMVaeV+aRCGRrhNAl6OrQu8AOchAzBikbb1pJw+Q
4OeT4nyWH9/ESV1RgBGJpunzgyJSZVvbSrbJyyz++MtXQeBPj4cGLUL8U3pY0XmaIoosOehjAsdO
1ZRwlIiYfn6VV0Xq8UYBDEPLEOk2RoBgrsdvNJ1Vs+5mmRxibwzZzIna+pQbaYhWaTtZnz39IbOu
O+OTOcrAyUwfEq3v5X04K8QN9/dONOPJnJJVqPpd+qwv4t6Q15b50scmofFPevIxmkiWEFAv+zFw
W6gmdb6nMt+6cvyIEOrWjYdPVfOlJCdt01R/4nj8698LESB7INwGNoJTZTKinz7uUz0+kKty4xaK
Tl5Ee7HiWU8spy/ShUSIneAqEjitt/GZnahQ6uQgMK/fV9bsBBEqvf3sldtEceINMR1NMLqZFzhw
6fYy1zUf3kV74Yv+zehcVV/wm+HOcpg72R1ajD28Ho+RwzhkBs0NAgfVFSH9+bg5n/xoyxg36wqA
Ze3pKlj13hCnjowPcmk+jOriPdWt031QWKhIQkkdjjgM4Pe/fFHKaVgq1PWQt04L+qSFRJW42Ast
aptfLYRF3EAsJ4Mlmra5UIaQSvRS2un5g3Ik5kVyVCVSG4H78fxozSmhK9xJnFXgB1p2Zn1S3aUL
XTlpIcMovknrIt/9/EFfoziOBxNXhZwE0QTGHE4Vx1f1Cvpo9dzIQ+cdljIKtISMQyvHdazwSxQG
y7jt0WnLDxMcXHX8kCuc5sxNNF5V0b4Cq7LFfddfYd7iO+7jkH4xay+w53kv5r1mkFCD/AttVlFu
jTHxM+NJK+6M5N7xgIFjq320F207q3DW2xyfx9ZP2Va9tNhGXbFrscsctC7ssMx0WvFcQHzezDmc
WbeBsJh0JAaNzbj/+StZT0pv3wiQBAgdibPOyryBIHn8RpyFua2O6fhesjnsa5VstJpAyL1Sqga9
OXwUOmdwNkVvXloiX6u2o0vjdwsZiaJ9zXQASji+tOsVycKmlL/HLFP3O0xon/rcemj0Lr4iw4UW
Wsy7jtwi2hgZ09vuR3OfdTDJC3vGMmsodJJ57fS6hDQQSFF425ol0yHA9WkpiN6aok8/f1ln/T7s
JTj5u6v1IKPoLO5xmmKRmI2tPHL03mOkUl2X0KUOVZK3G6Wymr3St2FuqVWojBQw86S6m8hUtIfM
Tb391JFy3AOp27NO5PigGU+zOzRhV8biodAz/cJwP2MJrowdRPkElLCC0vw4mWQ1PL2y6BvjcV7S
J9kRDSQVHYkBgs3PsMy/KFGPGxlmBoGqR+VdvLiWX9teH+BCHG1r4qoCopWGYM2Uefz5qzxdTqHu
0d1bj7KrigO0+Pjji3JRSq+c9MeojJNNZitt2MdJdAE9+turIJMh5gwtPp3a46tMVZ7IcVkjNea0
2hLDx9Sr6+7qwrMY/Jq3IxmgDfIV9G7j9fRwujcMhZZrXa5Yj4mjcSpz7U85IQkyaYtgchx62q76
jFPANT2hr/0Yh+VAMLqwaiswRfZirwYec9tv5JBVm3nCEdhzu2ZTFpPYe9LTrnFi+b0h4sfvk6ck
SRN8lN2PmaVO4WDI8hoA3mbZ4GiE7Uod6LGWbKTp1LdeVFj7JKlkoC2K2ILackW1cLD17LCEI8Q6
kLVpfnCFnXMrTr3JVDe/sKWdzXPeDq+GVgOrLgXq63HkTXGZVuPidWQIPlIEbawtZvDBHAxX6Qb8
/2YKyrskRPt3qL50L+lTdGFvW8fRyadZafcwelackuPj8QjAhbnTk6bTH2GC7pF3mo0T2uZO4xzx
80FwpiJ7fUzoGLhVoVCHAn58JXIZ3YJlQX+sbt2dvRP307a60rZIsP14o/nqtgiMXfVp2DiP1s65
VkO5i8PEV7Y/v4/TjfX0NvTj25jsvk8HtdYfsRD2LXzicuuLUe0a3YZuemng87uOXu6q23XWooyS
BZ+Rk0c2jRVmSbBimzRp3Tlu/KmVnnfhWH46h6nUuQikavA+duxTU1wqrbqJ8gJWdUrUYplm6QZ6
a3rhUdad//hRoPmtJSaaQzIj7JOVwhoTfF6XSh7sPibaGRE2XtFlvEr2oxAnjS/0DIqHGjJdoIjl
0uA5f8aVZPgD5gHvPpXygRrPCFS5eq0KG1nlXK5Hr0uplidXgQW20g8I51377mB76zL2ZiIWOZBQ
gSPFAWi36P0F/u8+56R9YWl/9cx48y5/XAdwHIMQQDLm/PF1nAbfDEh/Bc6NEJPyzu13Y1k96tL6
pi6WhmWlnc5+MuMkhcguCufRHu6sKq02JC3Ze4wM27DWktFXBy3dCLcL8ReE6TkaydZU8x2nwm2R
paFK+HLgxc4HzRF3mSq80Ku77WyAwZeeYl047pxUSj+eiqYRDa6VtX3qrTAjKY86yVPVXvw4m2DB
Dd/KQiXqY/OT+maMiWWlqe6vTejX65q0j1jFKbfo3R6/Tc+Np772muIQg+199KpRXkd98WLnReSP
ykQjLe0vTIa/GSjQVaAvg7bxuKd0BmGymYx1mh86x0z20by4QW6gm3pdqf7zSPjY/vO/+PPXsprp
7CbdyR//eahe5FPXvLx0d8/Vf60/+j//6T+P/8hP/vWbw+fu+egPG4mwdH7sX5r5/UtL6tDrNRFf
rv/l/+1f/sfL62/5MFcv//jta9nLbv1tGJLJ3/76q6tv//jtFRD6z7e//6+/vH8u+Lmrtnl+yc9+
4OW57f7xm2G9A3aAUYybF/8HMv7bf4wvr39jvls1vHzqlQJPGc43lmXTJfyQ8U7n2MlpkJm7ksz4
q7bs17/SvXcrdRbdFXdlr1qI3/77xh5+TMcfb/vvVag/+jb/mrYsQFiHQApbfxW3ciaDNpOiTR2q
56CcpiwLFytfPjdR0Ty6k758jso+MrZYC7YvsDSrT1JXSH6KR310Hp0kaQhCKW0Kj1kUkxEuhZ1S
QGKcE9gUIfda5zFfBe4VQ5aqBFW11lJtpjyTn1TR7BAKxjLsBnqOIfwErF4Ho2v1TVTSaiEP161t
33Tmfgw7g27qbZwZ4xLGNa2zcAItIgTLdfMbUyvbq5ze0N2CqavcW4WaAe+YwD0IkuY62rBB1y9m
a7QdFMipkjcdCFviF/BvvZ3SdaXOylOYCL2NSI+vxjKp8s2MoOZO7QkdvYpa+Fh7Te/6ZmsYfTcH
cQosgBem5nZBJx1CNOxYhWBQClvr94ZSos+c+sx1w4ImwZ/sz/nkp5O0Et8qc20KqtiVajhYuX0t
cMJOr7y5FXWQmmoEQ7JCDxFExLsUG62whOEbVT481k0dJUE8peMus/NyDhcZUbZPfY/QMctUonLI
htbuYBbIT20lnWJXzd78BZs8ytHWmPoAsai6+LpbWLdGN41y6+F0WN5FRv+cJU437tUoIxhsKqwG
7S0+7EloZ+QMBq0qPaDAxgAAHB0jTx87qeffPMVZ3hdGTt7cyobax3Gtw+81EJPAIc+zjVmW0RD0
ExGjvjFH7s3QdNKGBhDjTFxFKV2rOsnaBaIG5yO/LC2Y15MYigUEknEX6A5phr6mNvPM5XlUv5J9
qQRLk3ovS+mWVTA3sb4EBeebbwOu6O6mm4XyhaNvDYvVKeedw6TL/NxxxV3hGagTDSRrX6mGaf8l
ba82ew+QwNy1i+V+rgZW+TEbyAhgs4oNxKSZlA9ISbL7NlNHRmZPLy0wlIxAahVu5fd5Nsvbvpu0
eWfWyTzBB4XZszObLusgW7W1YQLvlYnq+pPUuq/SJhoUrqc33qRmF8cF2tRmlp+FWvdu6A5GHV3X
nsBjn0R2T91VixPZO/a9fgozO1m91jQYFUERL9P1YKVq9j4zprJH+jVLhZnToabuVUlTWddLZ26h
nZgy24OBGlnQjGwuTCBqO2LAU+99URuy2I9SnxeMGvFgkLcGjNb2W6suKVmzqbVPa10+szuUcaji
hamHZNVoSyAyrf5QMhLuZTqlt0SeYv+fOGOzE6vVxlIbdIcHr7jgkrKWEsdrFgpjWpUsnlBaAc2P
N8eiJJ5QGQxOER5taKykicHyQGeYgdqPs+QvbVd36dembMvv3fHedLzH/e/b1Fby+L/f1K7L5tvz
8S64/sBfm5rH/rQqqygqoR/S0HqzqQEdQUDCAY9WF227t5vayoXhWM5uR0m1Jmb/a1NDEkLmAqZK
JjUkuoVf2NT0V5+QtwNkZWa/Xn/V1dNfOKnrB6RtbCR9F5Bwr+0tvehvyf8gv8+sG494u0bJu4Bc
1ewKT89k2SpOAYCjzE3QNmZ3Ey/OeNVqxqexwO5rTN3pUa87cqrT0KiU8Z70ifmjUjjGB12BTRuU
/TTucBaaCKVFjDVBwmVEVt2DoTr1XWsVdnttjJoXb/KJMNGNrthFQ+QZyRLXDhRbfesKo8DgmGoz
JWpebdq7XrX7rg+gRaa4ebhaJF5yK7dKwgBbs3VBS02P/OQ4cRU/VZOZZMYp0tuKOIPCplVamjHS
xtkx2zxIyev0jdF0bsZ6sOubyknczVLN2IYXzGDfiCxd+mpTFFGI2su6z5txvHJLqZt+6onU17pF
kpNIOmmQTPhab6RINZIfq25c7PtVvKcH6tTU+k4SymS+j5SGlpIPrlCSrDCnV203mfH1uKSaWiMY
yLvRDWsnja8ao/I+wJKO1DEQvCdTBkaW1DcWMgdf0ZTij7qYJucW6ae8r+sJj5O4XYbD1I4iyOZu
/EhchpbdmV429fe5V/F7xw7Ju8HKaT3jCdbwDERi5h9Ue6azai9Kb0S8JT2plk0a9/2UB+wSERka
rRJFdoixd/p7r9WJfWP3WqFaYaaqc3yNtxttowzORRsmClqWlL7hQuvUdGtkEm6L+oEgKuMmtyN2
pdJCIEJOXNsuG4XOoeNP+dzkwaI3SK/w+YhbcpoHIcJKqAI1UFYayh9i9JolMDoVt4c4jaYyGFs7
87Zd3K9xAn1VkzdaFfh6EGtDByS1CiWAIISqpkqtXASTsnwldaCZQ7ytNCsgRkYlmA/e9aZwcMt8
0pt8jncUptGnzh3i59xcWDpRyFiLb6XCI5U8S8RTH48W5ZK7BvDlsIppTmsOKpAEKwUoe1XZ37g2
ua++0vfOgbZ2XoSwQ41DG0N3803F8nJfG+q2DpWkSK8ipAXfQQex+NfXOiCanZKS4LU8MMtK4KSn
mM6tolQUEGnteERLrGVFIkYqjMVRVD+NzbiCimx6d4L3s/j5gnGjaIy03upLZmLNWC7zB3juCZXU
KPo/3bRCycIQcL4lTtvjV+hM6udm6eaPRlVit1IZcykDFaevD73U6g6kAaNQ3ySFTdzqclDLu35O
DG9nlSUVI3H1Ut7EjaCSrNeisn+tL4fXWrOr1VQhHyLuqEGBxO7MIW6vqAHzG01hQdwq1Vq5oqQf
FrbfeaCiddEOhlEjqXT12a7K7ZI0jb4xX6th+DJUxtL28P1t3WqnCb34pDRrDb04w4JfyFpa40SX
hnbvmve2Kqm8B5tIgFTK0WCs2mqysV/rdPjQvfO4VM4EGrqW8k4Tty89SKNBgIAyfU6RbL13S7B0
q5kMbQ9l2yEJthymOIQ4oDrb2nGmg9VkEstFNdFCbdaiaaNjeZg1O4s4M3O7RFMrtoaOQ40tfAse
XFN0trud27zgYO+Y8ebXj5P/j+7Pa3f53+/Pty9/PsuTY+r6E39t0PY7cmb+Z1O23mlAMuTOuKTT
scu+2ZTNdza7LkUU/WrO/qtB/V+bModQJLkcWzm0rlEsnFx/YVOG/npatQEYYpCMTwAtAM6c3Oxb
IKrpBreMSR4MJjsF6IaQHH/LX8vxYq3MVQW9mpN14o9irdkVZ26ysH+t5N3Gdje4qJTfepZfbCaq
PP+Y0lf5U9C4NcOGOuQhihxhBhKa9xIWspBfYqGSMJQ3U+mrQhG3kICgbcRNseCZ1Gqc36hvtZzT
xuIN/M4syoPY1sYqVL1o/J7XnvVR5l72IUOY/gFxTDKQe6U4T6UzmmCSnBNui6IfP5Bslt4rQz8D
WQ0plk0YDdrbvMmjBOo1Jq2aMq2O6tbcfO4MLYqCDuKPDG1SDO+TdnGqwLFb+2M/wN95jembdpT3
VXWjDRNEU3OapZ/0Oc7mrtVXtt/Mo/iDhKJv+diILKzxuuYbkvSA7dx6ii5UGJg0KWOkgKjmvrDC
G3eOPZW/G4l2j/jMSjYK0hsZiEjMW9fonY2s+y4mqKbsQgXNvA7fQBeTvxqeaL5pzYMdtJOqXnMQ
lSACepF8sXI1Hn2ZD7Pnu73WKYhsakMhqRrvs0DDIrQL+bf1szQ50AfxmtcbJFo+Pg2Zy2GqtdQD
3rGZwsPNbbsKkRH9mh2oUpjMmhohbxyt9ykRel8wBS68HTidOa1eJxnrryfHTZGXNGDjuI8fVrWk
COgHRZxFRYVYsHaM5I8JXTGKJps6z4+m0SN0zyUqPSidot7DZdW/5uUgdjTdo3o7e5r4XqDU+Jbi
2lNfLw08qEBIxX7Rm6r8KI3I6DZ5PNRxaOiTAjfP64s/m7lFc1q009zs2y5v7xAAecW2Sc0k48Dm
kZUUZ6J5xLWCfNwuSg0rtMpOfNdFXVY+3XL4H+bgdEogLNF+MKuleMqdHIGkkumF5ttGVV836+l0
mkfL3MWvh9b/v5J28yt8t5oX/PuV9KYfn9PuCL5bf+DHQmq679aOJbShVyuAVTD/A70z7Xd4zIDB
gd/RHaap+a+Djvq63GInQn3/1+novw867jsLfQokekA8JJkYl//KmnpCicaWm7MSLiOIGX4srSum
+wbcn4XTm0WDgFcb20n68VACCFHFTbBj0l7zSvh9pVIthFdIbOya3h5JrqjUusb+rVFhjk9xWgQS
lHkmz6skc9BOk+hax+o/DeQQ1UVge1MT+UWaVFNA8DTgVZMRzXLXC1vUod7KVu5TALqvDalXkGQi
FeICDEfNCPNumK5LNUEi6w6u9ghzOH7vpm41YmmmU6x4ZjUsLB69qxNRk9uVX1Wa7isqxlmB4Qz4
RWlOLa/oHUyKr1WNeqdEmGPsZZsnt01amBK7BczaQnPCALnAGF5ejfriJEGUtc0Ay6t0Z/glUbcR
+Zwe1KW7Xzrh3k8lomXS2GyLB2zM7DHjnPJHPClWvDFZYIe94jDFfYtfm0xe9AlDHlUSYM8/yi7C
35ioH3N+T8VjP8yC+BjY1VHcf/P6TLFYI2TuXNOHVqxrVyvHeJvbjd1u5mWI1gWbVoggPB6dYDI3
1X2szKXlWwO6WCrsUtfue+KEXGQcRUlFp3n0R/AYAlZJjORRJl7P0hwb3b4ywaIeuqY2+s1oFN21
QSi13GdGWd3Q9Jbmn22P6UAxRtbCZ6bVn8NLecg51lcBmWoiTO3Ufoo0Lb9tm2xgc5mWmX87NCPi
ZteQ2wSzka+J6MBXJLvtZyvWxz0M5deatbq3jPnZtNEzL9j+Z76B3jywzOuI/e93B83IgAdbSeZt
bOSYyfarTD3TRx/2PGdwWiDpRsOboMs9lBw9x8khdFuia/xsqlaoSq5wYJsisCin5gJR4IRYv04f
uLC0bfkHkIczD0uzTDyGydKHVbza+oJB7nQ1AtYD4yhGYDwb7WPKUdoHwhs0sgnh9Ekp7b01GtWN
RLv7WDml6aN6Su4iqcmPGAaLkAycix6YJ6DXj3vFIcVZxdwr7HU81c1ujlSRiz6M1VpJ/SwzIvEQ
pa3r8rUzturMs7FKTSfctfaV3n6ZlkWdboxKF+S31O0QiiaXJs6L5tL4gGYjGgg7/u5NlhFUCrFz
iidMOIaCUj0jX6+BopiVN4ku7VAm8ruduXfG6JT3JZNxK2mdlv7Y9iKMIUK+eLOVPVbV0n2h2bgG
aw8S8j/0bcMJ2kSLPhWWorzMcVTSo3bze6xsSwe7SKPqfbXlVwR5k8TcWBTFu74QUCATUJriQsP+
RA3/45NzWOEf6KtQi57wjzIUssOY6H2YidR6jyp6+NzX9keR4CExx3l3ZamUTYg9Z1wymmyriM55
ztW+fXCUETvIIe0+RlqihIK658YFCNg6dSe2s6Jfshk/7j2+3upafCPWw4kH7to6It4s7t4gk8pW
ZB8ujd7/nvA1NiNpUquFlb7zpF1v18wpPryOi8ObHfCvPtFbd9K/mxk26nXOC45GY/2UpuV5TeIW
0FPCeLLgEIjG3WtZ44UdLOUPrjJo90ahY/mZtvgMLm236ctyCBbomUW5LBuaPi9RESu35qwXG6R4
+vUkTHEhevnE2nt9Qy677GobtDa5ARyP35Cbyako7aQPczdjS2nylU/URk/ICNk/lrnNgtad5gTF
Tq+H4DL9JsK6Iagd8Zmc33E/pLb5WTdZekStK/dNpLQbjQDnvZ26835y8n4XS1171JIo+csh4Jeg
5f91ndBV1vPvS6n7shmf56NSav2Bv86k2juE3vDK4Clh/UVX839qqXecPGEhrsxsFRLN6h3zVyfU
0d7BXcAMgvAl+AtvO6GW824VNK9ucDB8XiuwX6mljo+nq6bFxPz+lQXCbcIdOx5LKRlfVVdpNDDn
WgHAmi37i6WV9mMDCeDBaBQsoLTRkAN+tDN9uERD6+TSNnqYczJX/KLO4Vi9eXt/Nw1XLs2/gGyO
6rgYQmJjCVjNJPCaOb4pcuUqGQNLBtmkeJ+SWsVBh5CN2C8Ks+/8Jfe0ih5pqn0bEofwzbL1Rkim
RWuzLERO+e3C/fCJzu6HknO1boMqcKYBtaxxSCrdjUOtd7Qs1GscZH1b7WjuWnh3PyW06Cof9T2y
haZsiq9gYAmuwHNsqL49NxA6YE1K0NFE2rRRE6d8TrMFp8AprcqLMUHr/D96fdRkIA4ocVfLidfB
83YFrcqu07EfooGMRDn3kd7q4JjA5y9rXB2YeNXif4Cu3IXCO9UNjvQsOP6Ag9eFltWJ0oUv6bKQ
2jTz+Y7O2jc5/pJAtH2l11hjz7aLb1hTL5kd9In0FGR81E9EidHN3STDkg7UPtnkbRW7HW0fgYYa
B/i51uLSIn865Nd7Ws3EUbc5OHuepigNeum54xiPoWqnOgwkTN1FUBXO+IgSUn/pHbN4GlwmwqZp
xirZA3E4gClDat45o2Pn/mrI6G5+PsZe0x9OPhppK6uJAOcnfBpOxnxSR/i1DsoYQq0Zpm+ZN+pP
Sp8b3yhk+5exc2ILSmQNj6hruw7MxsBslFKx8Sz6HXPzp6xmJaTFMd47MRwLYOKWdAeSHWBmSlOo
vFPTAuv1ktHyggKD5Ye5J/7Rl4ATbjAmyzwfAK6z94ja8luONq3Apk00t5GurfxtV2s+/fyhTyR/
r8PDXdewV9YbyOrJ8CjSrtDNMjZDDWLAcusNgl4sDjhDGRT0ZRRfncR6FqtLS9AY0NXvRtQ6vZ/U
5Uhdigz5g8ME/D+UnceS5DqWpp+IZtRiS5ehdUZEbmARGZkkqEEBgHz6/rxW0z1j1ja1uIuqsrye
Tjpwzi9/Ssfp3/+Xz/b/eE0uyD0hFRy1EAOXQ+r/mEPczXEc4ZAZGowtaQ4SFn47xIPbP5U1vcn5
utaVyNF0VybfupD8KDuP7rrn9Kz+OYOTvHZlQNvG//Kx/q+zkUaPSyEzbhuAIyIP/vvHCiKgkVQx
vDd4+iOQPlZTbOmO1ZzNHsVjGBicLyuCod4RczkyqMRLCWS4TaQQVyBf/9+fKLo0CnCPoRinMuh/
BjOy5zE1p6Qkldu26aPX9frXgnSdj6VW+b20rW73bSBojVomPS47CmvCrxiKrdzPwh//l9P6EiX+
Pw9AxFyMbzw9pOsXCOO/f0e+N21hFWTEY6VK1odoE77dDzjcntLWLsluXKNgPInIJTSjroMiPVWZ
dfGbSOFL1rhgi4EHt+4fhR0LKntTZtVeAHCOeV1Okb4uyL/i51gNLBFRuHnBweuM+7UMSfaMVK65
L+bIJLkzuVWzW3xdNudUVIXByj9N8X6buuhDT5ke7kh4TMYdNB+ZKDl6h7D8cBzZvMRs9i0p9cpz
j7q2a30/wsjYq8jbqNrqs7HgGXegEpkVcXluXO3SM7Q2mzrbIqKts5nWegTCHDBAR/MYDecsKpy/
7D0y2QeI3KfrwQ3bt4h5P9unQ2afkqTx+UNIZKmva1VDe+FL1z/p1Pp/2mUxfq6TGpIxdmLxJuTg
nRe6H5xcZFEb5vMSinXvCZV0eVaP3XzIpq53ruN6QWCztQHXp1tV3YUv44B3R3Cm/aAl8RhhNaj2
lFxeiV3gTsC2ypmyKa/KmR94w18U8ZVdr/2UVveDVCb7i/jTGXOjw7Q4wXsjZlGeX7U5hcnhtht8
l5yNnCDq+ki2jRpYbVRxu/nZ8uRoox87qg12Re0gZmsPRRPGZ9/JHm2Z6v1GwRNZX/ivVHCjuu2n
19DESw0rbXHFlDFKmiQiW2Vdx5NDHsTBMYui6ThYAyLn+qNbZdWtIkr2KrHZdRL/yZbgIQ27MgcE
5zMt7pmoqf7apthg+8wSkJCltOZlO9V5v8fU5oaB8ugPf0hOp60+2ZWLpf+yM5zHVSivXcfom7Ve
quMcNbCwxWQhQgsiZfcVd8dzzX/Y6OeGhupVf69hXX4ZOvnAgX8nym9/t6mImjy0HU8DVStjSF+n
31JEhtS7dvyMqBaTIZ0FBGc14D6F/9DT0PrcOOhtclMF0Tf+WGpB09kXd0k/6Z+5dfDz+N2gAJL0
6NBIJYvHgJDdqyAiq5W2NhHsFmHpbXMbgmlahb5JU5+ZLPb2Iol+jboCVKRqP7sh/gpMcN3IxX9s
lum9o4xabHo8LXRvkY+ogcMxrwY3I/60mxqFF0E4zbfOihZNM9mk1PqYXzNOhYOqli+H4PzH0euc
ICei5Qj6Ncf7UiBG27ck8/+Wsuyvx66s1BHqc6nuy/JS9jLyF/3bVF77O1wcRcLDdJkDpKisuAml
mVWOSk27e+n6kNplopxsV8xW66s+dZrsNM0TBDdJd2t2dlYLh23doSCPquqX6Iy5uMiOPRq5aE+z
W/jjpaYsKNAux/5OhSvg3oiSqnuCYE3+FXYc+6tBesWOSmvAQ14T9ZEG6xie4p5Y0VtPBYk9zVtb
pDdL2Xj+OV4Vw/ouU001P6wpCoYbsTkU2ak0qfofNxuc9sOXBLNOOdq/MdlRnRm0e6etVH3UcVon
8ymOkI58x7KY0u/CW2efsj+hxxWvT8HJ/F7Mxh/Pvh6H6NZE2+K8CIpEojMmFN89r54nh33SwwGh
3Z2yYJ1wewvrOXm0Cm64HOol8B61V2b6XdBYVX04Q1oPa94PGJ/eAicNl189SvH6tCXJVH4VK+9P
PpN/vf04ntaKjp4FXda5x+LhxbC6XdofIHuiCT9V1mv0extn9kkpY+yeZj3P/vLSXsTUexASes+a
NY5noZd2PNeLX/rvkERTc+NkdA7zaUNGjz5R2jyPeADK5ThwlFfdaQQvrZ5iW/vmjkfkzfxakIN+
R002o05xSfrSz3NP8dV911VBdxgFisy/Mtv8ruPI6wSxj5KX5GLnkv3N1FFwEOVhDzt9qmY1t1dT
5pUfquPT3IqhS8n6GF3IM/JFh/AcNIsWeTKq3n1LKxQ55JiFY3ev0Zv4r47J0mZPUyZILEdWFL5n
Tp+U13Gq155J2xZul4MxO93v3kcfF+RqWIP0u4uQGDyUVdc6JwXEzPO0sKz7S0vN9JBu7VwQcr4o
tZ1iwPLsoEq60Y9iC4twRbypY1HvXdeorN9TBnApe2iCsPFx23Qpwfh2AqaX+VqkOPHnuJ7Le3Ji
9PA3DFiN7haz6ubaBBwn9yGF86SSpfygVc5qN/r4FBwERwyBmIBHDEGrnK9KChuKvS/i9l77dp7P
UJ9un0OL6uEm7R0aUfNM2KR9c/Qw+h+xGnrxsPqIOYioSrY1JCZvMBkyzKqk2i4fwr6Z7zKAdBQX
XGdFvrbLJDL4KO7jGmNim8WvpIq3DYfZEKfcTo1DJWU+22wZTpZucHtm8wn9c59GU3hV9zZab2MX
pu84xF5T5mGT8lPonaDBO6VF3e2UqiPnNd10IIh6ReH0kyabLu4HRF+k3KBBfEmQ4vxiy7pzg5st
sSiGW6jRi6RXuFAa4nPszU/bBujzg+o0kGtovRgnzuIfdFfsyLU76KzOQ1lfDfFw4Rum/RpNh4IL
11XiKS6+vTA9FGo8kLFN9KW613yrMrxHreyd1FLfJ1vkP0fcCDullx2y2SsTQ1aYbTmhBUKEVJ6m
cTuI1X1EW/qPnqhDE4r0IfPnfrfZ8kxQTZHL2QIel/qhL9WrFck5a6ePoR4+aKHZnnAxPW8mca74
TbUEhg3B9do22wmp1XgdjPW1W7lXZhMfiapvg2p6X32C/liJbNRDawQcUU0pdgDBV3E4XYvSfGin
z8t5Lh6jacWBmxKslNX9VV17Twnu5hsjLhUlUzjc+CY7SajyMX2uTPtr1VF71soX/8Y+gXieQUCc
BmmaXE9FjcrsbmjZskgSdaIjyzWusnG4wX0ynthZ1C6TXfxWTnychmTJx9nRTa4KUvxDSOs6F6Y+
T4YgQBMBrBOlqg5N6wYL0b3TjaBluqohQ3V/ril1cNdl7239tfHd07SMkKSI8OwUGBKz9XhVRcWD
2oYdv1bKqQzioLAwv1e9iUNhWAZKXXlwH84l2F5cC92wyCKkIYLiZzDJ72RRdzr5h3la3QT8mo9x
O7u7cVJ3VaXnBxG0/WGrTcBm3gbHyfVR7FGEhchr5DxBNn/ylKIIM5vas28K7myhXhyIt6u18j7s
5ohHsYbN0cBr5PTWvIVDeENq8Lovqkwe9Nw9ERwPv2QN7HrJlzN10GMl+uVdGZX0P+q9I6f3HpVQ
vjrZz9gSax9285JfPPN7jtN1h/02QE64zIfQXd7T1cpLHl+DtMEt7oAhxt3ohZ+ir4bbiEjSfWKj
s+rH6j3jby8lrYhZ8NbhTuUBhx/QbwCrIKqmb/JsKY90PZQ7KYNfU1Veq9rfeFUMJOHiN+dprNXt
JrQlqUg+oMVs7nxYnd4LLrNXdS1tAI+GRuLV4d55dGbz2uuie2US3PkVscR++21AaW+VoIuRoFof
dXTe9b45+j6qs4SfDNqr9S7aNHMgn+S2WdL0ZqL7Joel9Fics6A4iDgSOYta+FL66Bniprmbfb7N
si/fpN8On946JCc5LVdrw0tGsm2299LtBkpt2evKPziwI3MZME5pKLS1MwWXoIm/WJLh51LziFbN
nhiZ27dQQ086Ypz+io69sm4ojwtUitOgHBl8/SBvCkI1Uk4eWMyItLKwYO7NovpncXt1KlFTHsa+
m7/aJKl3mKdIGcPz+WRbrzwCXr6OMuDbAJPwSi5N3zHVwVHiEXPru06maNnFvk5OVTuHedAuxdF1
6uwZUNXkCiMHUe/DfTNN4c2SQbVUabPtTDddFf18qlP3CtaIWL40QOHizbQbY+g7Sr+n6a6tWFld
UA9+48RGi/gotF++KxXBJdWYCNq9GFbGOy5Q0qcp3EiK2PksoqC5GqMlOIRGZnmP7yb3DWReMJtp
303FclPatL/aIjvvIV/UObKtPkAmQztvwy9V02/Y8f0+la1w9gTlE6cfNVR/bGVUf4S4XfeMatGT
H27uw+q6twg6NDm2jncKOytf/ImgwYjxDvdHYB48W7Y8jIp06NLHfu+r7ExtvP+rtF35wiPkbqzS
bjpvzEsXntKDYYNcdjf/XhAayCPpX0J3pI5s4iO/I+TQNh/Q6x4kHv1TaXv9V/YT64us2VX6dbxJ
Fl3sa2G6nHYD3ASXZ9OXpbhTdSeewpRz1xv8QyLLz2bkh7X6TfcjzPxNGSbERVyon6GJ1YPlHt4l
UtRHH+Ytp9FK7PopIRMpNdWrKEuG2rh1j2gi29vOWkSg01K8+33yK5ziacnbTnzU/tw8z21T7mIJ
2JcP6EvGnBigitMPGeP8vHYdTGZQEKr+t+T9GoDJGBVPYkLbZO8LUwb1cSs2sznsZZ1h6u6aGV3g
tmEwB18TEQqkKTYNQ2e7UYgtp6m98vTofnK8qDPJ08uwG9Rkmx9Ftv851NHNyCl4DLqkIr1MTR+b
5czbkuYgTSL6fNJexHK06KOwy7uJ6DZHy4tICPvNQS/ZMWWuy0mBb59aActsJtNQVIFNwc+SG7LY
xRWv41jw/neco6q395R8b5JT0ce8X0UH4NWUXFC6qzUSJD+ZwyPxcL2TEyLrHUc3Lrgvi2rHlE5l
3iA/AqfFuuyOGHyhGNkBkxBGbpt2szLjN1rN/tZ2aIq9nrg4bwUxyousW+6QQN5PvrwtNVWkxLSP
0GVpj248wTCSlXF9dEKWGgRRQS6KEmgvbjtWhWTDc3HJPCeAODqIxm6Pci5u7QqLuwThelfaGalq
yeg7nCrbzfwu5pr/Sc/UquIIz/UYmDlPirSJ8rgyyWlt/PjF26ihUIjQd15TBMfV78Y72s4vFtGu
Cq/9SVf8BNzqs4r8r9AR0bUbJ1iZuonf/TT9eLyUDP5vti7EkMeeNipvo3S7Glwk3SWuSdCPviO7
iKhMd3klmjZa9qRL9uNNJ1CcVQ2zMxpvdA4s28VC/FQMaBDTrrv3aDg/UqOhTx3JfAcT/QeOsZ98
G94uzlSaZ9lX36YHp16dy7DNc6mLu62ILLH/wFUV8nHCtRber7HMLTS+7rJyN9TyFyLJb6931lN6
ST5ACSHxzfsE8CLl2rfgjbkkl2BMsmtY6H/BstyR0CZvkR0/Zsn6EfR8anaGl6EE6inI91bmDMQm
c9cb6GRNkpF3hxxAEd3qkESTIfscw/pFdtOfwileI0vA8bZxHo5TcW4BBMLUImdLIc2nvmfnr5Zj
GM0MwuR0dw1FWpl19giSPx00vVmrdq5xH5KF264Wc59TW3HWbpbk6bblmu7EDWS+Ltp/pqluwWaP
CYfM5DsHHUy5u8avntf+LQjLnOex2Pksg7vUL0t++YXMA6aZYDVXZeGfQxtfk21I9QI1Er2w3yQM
X4u6fYwAXEpLYPlS/LvEtMZ4Y+fYufcne7RyPReRs5OeflrM8oBs8Y8syOlv+vCq73BkYWRwltdi
Hb6i5WXR2fOo0rsITj3/T1A3S++1XexdPaqXcS3CXcp8tJ+iaia4hXeGy0u1SEPaQl5uk8X5p4uI
04CoFNU9ldU2qhMxb9jIghi1885PpZ5OQql4uGPX7G6kt2rg/YA3iWkX1fuasoPs+nRslt0cKcfd
YeBAuz9B1PwFLRZcjd2E2kGHjXiQ4A//oZIgCRHuDc11gqfjJna3aXx3dap+AbUqm7dmGp/cTa32
SLBoH39QmgeyGW3I/Pf1Mkuez1YDhWjQp1OAeV+eyISPX13mXtSiyQjUBanuVTszIAdhWE0gAgfh
uM6u2YRk2k0HW/1GzmUqzvg0/pyzuQ72lH1QitMQN/HNYgbYreh9SQ5NY8O32Jb21VNkp+TWmfB3
bEMNnyL6OvpI5crgoGmQAKkI2FEeYk0lFbA2LTFCtuNwDQrqvjQgB3oXJXq6a8q5fZo2/IOoIGps
ybw7idkbaVFYBbx0uddHrrqNiaR8riH+8BPqzvfvUxB5dZ324xhd4b1sfmf9WgGoYh6/7Kqalt26
0KY7G5KRuP3GdiLTohQvGS1j3xnN2xpbnDtvx0A2sb7FnjjfA7d1H0Mhwsu+p6pPXGyMPZPwapzi
KHzaty5kxNVI/Ic7MYfRv4INdT5Mc8GGIpsw6fYyC0rM6R2PkEu2uIRG6xq3Y1Nv280WRRjUG2YG
y/jebk8U3YNaTaQjdtdxNXuf4I+i/ZfKMruN2gCzoFuT2YjCLetqXs5uWlHO4P04q9TEbe530gl3
AtFqu+8dd/sKeLA63/pwrvdo8+h18w0eDH5Spv6r8cNBmiIBZjYC8X9zCaIhWNnxi+XoiZEAqXgt
frxgZSJF5MpQRZpUTwpqOgzsqBgcbrKOaRjnQK3DK5PVjtxzAsuaXICe9U2wRB2LqKGFzAtsOOWR
pYmUlS1J3rKQRCLaN8YgyLfROGlOXk9/32Ec/8qW2XVPTRV6KytLd0lenZTk4Eyb9opBhHqPJF1K
COp2YVZta9QlO0eW6msmvxUnwxyIPwDw+PcHlwbaeK6TD/wX4TPwjdhJ2IcV50dnWVxnh4oTSun9
DFph1H9Lf+ifkIJsb0gZGwwpLQZeDjEnQgg82fZbzZtUu854bXecjYE9j4CL32RiOUu1P4fxzp2A
5Ukoxc0e9nm6LptgG0uqG/qS+ncRJoT3pmPVfCuXwlbkYetgkLSV0W819lu1mwVNJRcBcy+fYDYG
7+g3cA3XjRbxcPRcxww5+cH603T8HQ9BUprfZLInf8LZkAouAsO9u+iQE1pBUO3tVm2vHZgL+Wba
LUDPRDrsa0xiU054ePRTczipXbIG5tVswerdkLM9UAIczPSdoBBLBKFx22pAY0fC3rM1iGBKl368
numlQXgHQ4K7o/HLiwfMovGW/NcDbp4imA6ICMn1lexG70zfxboLmj59BNYfuxwNPwadDmx0v9AQ
7+2g/LIjFmOSaAZW5WdoWu9JYUt52NJkSP5tfTPGp2CDe5ulQOJVtoH74cmS92ic6qQ9VJ5E6myG
bfuRhC0Ne9POkTytaav0bURMEMFbWVAJ0pZ62R9aJ6DcKJi8rQUUK5mDgF3amSmOlx9Cffxq3XBj
gKrQEAIwVRM4uPFbqo3RUO50NfHGuanx7jBtFU9lhE4yTycP1zhSqobsrr5/b6VLcB8+whVr8boV
5o5wrPKtIQj2OWs7lnz6Zh8xElefRVf331QIyMfGQzhK76oGGLmsuUWu60Riu4ZwwLnUF/Y91mTy
5pKNEpEs3zVPQvHPSlLgjaRTjh7MGrxZLHtuiN42Tyn8drAr3EDRgYMZdtpXXanfm6aOxTmuCu93
vRn1SjXPlOQSufCM68CHGPDDjhTPitf2l24Wf6QIYw3f3CZeP7Q3XD5F5vd/2027P5S5tszHeH/f
JqfLPnuew11dx6ObO3RTb4RBZcWMHrSsRx57z6Obaik/yDis2ctUWrzowRn+bp1C7pG06Wbp9QmS
x4lAkqfS6hBrRuGBucVVtZWHwVCklw+F37xzPLOfRt4QgwXhKvn2OuoGcZ4R9ZXX/gLT4HUl2NpS
O/6Lafv+zffc+Cebk/UvLAV7IdodmmYnlQr2NGxq3UnG7DR7Cs0me0rD0h0hiMSWwGcUwXbUga+G
G2cw4QNhBaE6DSiL4V/UkDykXlW9N7ZvT/yrgxUtSBkgbhkG8TQYAnbNFPTtgdT3+W9Ub/G2w4Cg
Jtqp1hStf6joN3YXwh1ym8rpg0snjU4sIPVDIxD8bx45dDs5WGpIU1qYx50T4AVnCOgaUL5siXDd
By6VuUWFsZKXioJucKbq0g1dP6N1W7vdGunoiap1/qRR9M2HqOforeJ6Z7ZJpYPppQXi2unE11+k
JPCskIamT06m07+6Aj7YV8M4b3vYo9Y5NJ5h+MuWRD/HEWDMvrRh9Iq/0v0dZPTv0S9OziJLmE1p
5JIzRykdpxjTKm3EG2Vuxeta1QuQxrKEBLzMC+1c/gT2tC8Bsfm7edvKiZIO3UGHvsEHVhuFajJB
bXGBrbLlMBHN+jmgoW2RbWs5AjDH9UsLs9ni91QS4jB19/Fqto+2BLzP8fJ0zFIkWD0aMiqKvG+a
Is2NjXR856xlS3XNyNpKamS96L1rITKeyTMqPVTOvpkOaTzhDpqk6e+HukSKk5I2F58agrgeRlXX
5mABJf6ILdIIC4Npi69m3wHm3kytdW4VsunzEIzltm/CFs1VOA31l8PzwIGrs/5t3ur1jgZNwf85
AUXMA5g5tVciK8eTl0rmU5Nios+JZOvdw9SH8hODoOx2jlt3r03QVv4vEyfTvwwK7GX2wuKlUwgx
9oMp0n8ZyZQPuA/0Tc0eIinoIhCN4vjU+dJN737ILG6XPYSOeKxCFgR/qlDqJt26PSUDTFy+RFX3
DYyfPEOsJzXRyi1xiFGlijon2WBNH1oRIOpW5GkfRpLfnce2jbfidPkFrWd2Df9PUJl+u67WZp4P
6xrIvxeZ5Y9Z1YxIZslA9+tsCH/z4jAvVUPNLohca1gwSUbVd6jbXu8xLYNtt/Q5FjmUunytFro6
c0yFTB+rGbmfHPpT7qsy0AMwcbXeZ5vHBJ5u6IOIK0CHwIrgup+wDUm0dxhtSJaIVtMgaDLDVSCq
7TMdIskF4Rbc0tlqLvCsO0/DzswbwFtbjojNLTZXLsNgQZimB91+mSnpwGOXpQv2S5v40PBNtIAg
2RCnkcT2aHabJ4LneUV0jcVnCT6wLS8b+AueInp4s/bSq1UVkN2+nbpHiFWC4NgM2n/FHFgW+L6I
rxmFoyforHU7WyVwxeIjYjZcfOHgf42wQ8EzZepqjYznHfymj4eDa7v2jv6c7qWdq4JNux34y2fD
xXXRGq3JlyNXbp+odHtxPFDa/OLzZZEJ6+kTC4Cr+QYK+TXymv92+IaLGxe3RZCbKOpu5w1T782E
QguPsrZewy46Ax1RZUkmCrXO6XFhqScmciIdOcdJW/xkmwX037xF/vEHvFIIzBkRYKSC4eCFFicH
rHR65bhlupxhhEZzdJqVXtm6IQMjT1KSMw64i6mmL4pL7CVkrt523CTmzWsuh0IQCQK6MjFw8AVJ
n77MLswx1yp0GhHVw9owdW4NKVpebZ5SjoyP3tXyi5ELh0zm+c1LlMK94RjREVEcVCStufFXUEnM
1IBzVRg4NBR6SBgFwWAU1YjL7ZYGoAMdP1kPKEW29ujMkfeGgy+66QfLFUleR/R7CRnoCGaZqIFN
TP2Kn7bE1eUSLb2DRodrjKWr3yqXaFXFL4e0SEocGFFB2u9WQgAQUxjHYQ7qKh+lA4fDdYrhJd6F
1s6I6LdN/Vjf2tuyaBeq98hz+RXazS9xeovpBziXGE1FpeexLI184OjI7ltTkHAKqtN8TekmqE1Q
gQY+Y+p60kU7fS8eWpN8Sn3x6TQTc3tSR+ucU9C13lP1TcTAJU3n2Z/t2N8OoK5cJm7gXFOqCz5E
UsnwQfl0eIcBpHv0u0mEO0X2JL+D2DwOmBZo+gQVzZNNti/RhUPcZw10OpuGGv5QEim94+LI+iGW
JJ3sl3oEgJiVHLtj3CSRPLQcNPFdbbNE5kU1zdHZbURR5fGo1t+wtePrJSRfXAE94apTmW4+CpYy
LA2c3I9dxzMhFIV1rw8Xe7PU/zlFyhhn8lT5/deaYFHfZZ2qxF5WiX6Z6SsouDZQH1zV3uA2B7uK
ejluKznp+JX8H7aoytmNOoofQ3ZeScU5OfVUttqNGowg2mizErIx2K/LzgMqHexPCA8wHtxhrggx
c4hYise1vTNxHMgd42OS7C6awGlXO6np7kD6lmeeL/zd2mamO6R1VT1ax0d4lBpf8wItZfnpXyzj
5EdL9ymbxEA2WdRylTeeJs5JFs32LslnFicpEhRn/tJt675Xk1McikxvTHDszG+qLYaUFjzXMskX
S4M4cg3t3TQjXcGTvow/Zb2w621EBaOND5kNunoeXqGBy4E2XIG6FoFAt+78bcY5wxFl6MVYEDqc
Ro7IFyfIig9Z+lC6KQaL3NGcnlhreONz3qTmF0dmDUyDNuzfDBd8uzIC6JydUeLYLC5z6dai0LiA
kfbe6wvgGN9upFKwGbtMMYOYnTtJ5jcYp0kCceQchtFCOzbsV3et36M+UHbPiTFcLziD630ZyWXZ
cfL3wVG5oyJzrpxixqJsaMsHjdf+ORazCvg3qHXJR+I67mRBsuweqKKK7t1AWPfsjikiUgxZzlsG
XKTyJFS+fy4x5d9w4Y9fAzWLZj+Z+bLhudWAjJZU3u4QLyETi3Rj8rvbqWv7c4KAb31EkUbcer/1
Q5VTeInJR05l8tO1F0dSjMntj+PG4lTpMv1XDJH5ZXAl0sRDJK3HH8Rlf8CNFsmrcbZ8dzK2xWsp
1/U3MojgQ0ZD8V4YwIKccF2g5QBRzENM/PJ7paJ6vqBbkQbSEmjm2qhEF7WK3urLSjF/daNhl1Jz
bLg0hw7omDSSEQlAPyzi0JGTyJC8JnNyvvAzXOW4Q15i73JdamMJO4bZg1ha0eUBTdH795Gu/qxz
w6ZGJkLQE35IpMhUsAxuREsOYTpel61FwDkG9k7T1TWdVanlG98a0eguDQo0fq1hPuhqHg4hUeD9
nutTvjZyGh/TTBPK1VjHO/BqVO+pYKAFCHN6fnC1rt27ODSmvwIOaFCKAh/5u7re5Bnp3KL2AS6w
D8GU+69u0FLlhbfJgV1gmD+dmk+BmTnBPp1ujMynaKnJ/sgQWAYH9Hb1RxIpMgqRLC/b9VA0E6tF
KqufEZHx3Yhi5cfrtuADogmB4Oz29vfcoafJ+7XEIN455rldkxLFBbUaDhEhDiKfGWyyCsLws68y
92mI5rA81k1HxsbKnol/z5VsSx64cW7Lboy4xwv1iwrK8hEArvsMIrJUyKQhu+fou5n5R/vo2Bza
KuP35RD7R1T1An7DsKqdvxNysvtsbFoQ8xZ8N1yE4QQEV9iPjcdAveKM/WMKpwTKaeXrGq9Zic6i
ID5F6Ln8ZsJENuCkfEfxkMVflwSWzyZbQRhI5xg/lqnhM1Z10dymBIuhG4jmgVJfSzwb17eGpr0g
a9PesyCJS5KV9FSvM3H51rHxR2hGkx24eKo34fdG3NYuls9cQTVdyzXuCfRpin6PARd2a/NJieSf
S8N5FSQi4GxJLoPNEpXvOuCyKqybySNVK8hInLTlZa2z+qcRYQ1zSVjRbdLZGjxZJayxG586Runp
bJ96GcWrn/br7zjDPrAbwyj+JlOub6+k4Xpo64qM3gQFrNkhvlBoOCZVuod1sDxDb07UVTub0rnL
nKL5NZilfpB1TNLJqn3QDjV7k2AYJ51mR5Ix8QLSWvlkFwdmzPosmTu/lTphtDPLH0WA3saPfknV
wTUNSQJonBkn1mpDMLBYYd8WMa/tfkmi5B/RB5brptkMsirDAnFJlPu1RSi1D4v1lvdRppyLAcKm
JK/aiCiiJZDFH/o6/ou9M+uNI7nS9l8xfK1s5BKRCzD+gKmsKi7FVeIm3iQoLrmvkfuv/55ky7BY
7CEtXw4GMIxuy2IwqyIjznnPuxjn0Wzb5JaIlB9hToTS+AhJl+gjNIA4pQbNwCtVRkkHZp0k56kr
G2ebUgNhlTR6mrueqbUvNQN78ZWlVZSGBq7hTP9byteNWcx2w1eQDxcto6SYQgBA7xA3m+xUQX0r
/RpXfrWLp4ap4ThO+kmE+22/IaOzU3dd2MvHRJnWreW2I2dLNiZPMTy16zbQaI5HQQTm2sbzBTC9
MJli41QcQWeMVbZA21m/ButeNmpXIFTRKluVCCQGL1kVDJN6n7QKDwTUjJNuFcB5gvRO71j5IOnt
CxfT+Dh1YxMDTLfVHRuwZo7mNaPtZ/EwXtGigu7H3hidoLcYz0sPmuC6EEaMdYseU4FpHKyAbxEV
8YqsA/e+n8dmgFAZMgudO6l/x8e4nHpUNcKZT2ukJ7zuKUQ2v+8qBKopU/qTZlh+v5rK/lwM7sjU
frLMFX15nmHRyLBk1zltBp1NdJGCIZPJs4K8pqfc7pODqB3TBxFr+a3Co9QDuizBssyRKfzWmMbG
PQiQHTzawMeQFTQslXxOv+xHK6cqWzUhcmqNEK580+oxw6fSjR1wDDNc4HB3Ho46p671Q1tGyZ2F
MiZaMymAr1Y5Zu1sVGVCwqvmSpZr2EXqde6PwwRolT8ZJKKswpmDjPAuSpczHRrfaWgsRnvzLMg2
h+mZRhsqN6gw8LeF5oOGjHdh1uCyaOWjWR7PGeZ964jtEtGqSXyBAvqyyaeb5bPokp5BmtQGJ/Nz
aEr306zh26gSpkWEocAI8Y0qFee6lmWeD+G68w55p+Y7NAE6qlUaga+YBabPySxqzIZ6eC2tSPHr
KXSZetumTDirhN0V31C4C3Yk6fZMZgdElWAb8JxqeHs3iUQ65btd7dwaDUO2LEhpyRxw1BV9FHSN
DBJRscH3KI83CmdcZI0JOOpOVykM68ASmr2yem0c+FxJbvejobW0gymp4Gng5zEamHtEFE0x0MwP
Ej3q+TjLu8UOCQm4Qe+dGwPy9BouQpJO1hPmW9F0CIXYwPG2iBP8fTBgAmIZeHs5ezXSlBPLNM+b
yJ4xVJnG/DslcXUfQ2om7yROjOGy5ZN2V6YLzQKhjRcz2omKLvVTVYnnIMR//yQWjX1vdVBaV4Cl
3kudUDhymzLgv9bEhNQs9cbkehZVdxn2E6NdurqUPHIzdF5SFEkGqQuF9SAqy438TMG5hZyIjRIC
BY1tH2n1bVq32Y8kAKJfd3g9CT/u04FeJwDZwpSqMk6HiobrcGbygc+YFzhwPXvNtpHPy9LwHTT6
P8yuXAiJ+DMRtB4kXrfGPWsYSX7n5FhoAzPAJi20c9O0nf5c2YIQoQGY4BwZ3XCl5dbUnyD/t2dO
lnyCgFJCGvWzJIXRR2UxbdPOC8+5szzLb81J7QgQAb6cgL4BN/VSmhvyHUi0mKwpMgDpwXv9bor7
etXbCrCq4qL0+HiGedy0PbczypwS1AQu7tQdI7zrThMy2vKvCT/+Av7JrEGXH2sKfQ/27FrCHMgO
gpnj1KfaYuNUgZuBvGkuciRCDpygW3dNbyf+yMgv2zjRnBNy2lTT1xTvzOu2wQbNz+HmgtJGZRZu
4XboG+6Z8CiFuRUxNI8Z53CGABsInGdW/VyafHjYPesrc26Y3ltDl0ebuGfOt6mXPo9ZPinqPvuc
Th0fB0IHyU9q9XXaV+zivtPd24lPXxwVsHcDH92n9bXmtCp9A1GEs+703uYgL+q6PJwmB+aCHjfD
NcOy+lF2EqwhqdqFxkoQoLZCzWTcLFDFA4PJuNvCZ4yqNW7kFIae04KON9yN8mAOEhHiJRe64GZ9
gzFb3GQjvKeo1x4qE/s5n5E0J3wS2s4xFg2peVbrmlMcKvJq74thAo9okCQMK2ZKKSw/jHwu7NLU
9AfgSqSfWQMvvjf7iZGC5SS8b6AEw3rEwCk6kQ6MDj+vOaZXnpkUlLsoRtA+WwVKCgu+T3SBS2Z0
01D4qwOgMOcHSI4u1vZs91R5cVe20GhDOE5Oao75YWwZNpulN60fQBf0MqXR5HS66aQeS+zE7BXv
bkGdRTcaQnboIswbFsjluJ51+Lz9MmpZ51Jiqa6cZGKXhD3WSUgZcQRR0wxenCY0z2tsDAwUL6as
X8JGE+J0DEc32GZTgXmpx2QUlekYRTVkKSvN8SANxbGlZFjBi5ChWPUj/33JmK57wMqkZJrfYxzs
hzjpcHtVVn9LErex4H2WVq8nL0e8k7YJPkhFPRJ+NVp1CB/JaMxoZ/YD+oUx7kZuTSWDs6Qxmgus
iKDtYGPsRduMORitG15pARQwDAqZWzvQI5MktfhZE6Ewa9lP4cs05/RFRioxXE1SXKIZJg9x40u9
mb2Tws2McEdXwFGKECLMjyYxaY/T2BoGvBgTCDFQ3HhrvJstNDx54HCXevMilmHATK1KC9WtnNGG
H6mQsi/WVLI9bzuypDfcdMb3shnHF6OWyfOshfo9IxqvW4G95btMg6RCfuVonQMd5DdMXBW3ho68
aTOFWGOuqra00/XA35s3uBRQfBAw6MyY+WriGUNed9pSwPB+4FsdcmkFhCT6Af97vgHei3mRhhjA
iTlwAsk/YDKcFI5pfJ3yRlqbBgofFoeVjvsVZJQ4YZg5oiRx49AUADIpYS8a9HN7udaHG6AYIBvX
CmrzR8psSO7wDhb5ii/UM24TyKf5YWgEDPaUqc+LSzJQ8de2roP8OYeghGU8AtwUh0YLwyjRt84L
CkCFaqzxBHsOWPB4giYM2SLLxBWyQ8dZOUW1jCigmIUU4BhDbLqyD4K1S0+gwXpB2ON/6eNRuFGT
YLU4GPTsqNuXuEYC5LLNF0QNzGjHufXhSHa0y2KEeVG4lVP7Xxhtx/rYYeQL+yn47ja2W/ugwNNp
Dzxy2fdppq2+UIzYA8BA54u8Hn6EVLU/bCu3bwu7iXZfNBg7plEtF27WFOTQBCbjlxCoDHXhlF58
cRLX0+CPWX42pKAPpA1yTGhOAp0/Hqrsjp4knrdt5QLzfskGpfc4knFZ1plGa2gLmq42tsxH0BIQ
KjjMFW173Rv49sjeQFJrmHiaFo1dnbVZbTDozqKZ9jdqlLX+gnP7jB7IxKbMawGE8TBpBKwjqLCc
O6F3mTNyz9ZBKpp5rYXdYKwDnFiJS5FVzkA2F8YPqnRPod5ELBmIoHR3WaDsYP1lMlW2OMPDxwsJ
fDnEIBFuTD40cBczOSlt3QyOt/sSBYpIuxaGtZnzasBG5SaiwMkAwarcda+/NBhpV7LpHJw9vRSk
fXqKWmoiv4XrUW2+9ANHe9D16aYIIhubyIRpJhXolPDTyj7fDkMDpfZLqSvmyoo9gnrBu1du4nDS
6yL50Xlt8xCRt3Qqa05w/wvoTEynJNJN7OAOBtOigO9dahmcIC3rRoxCu5nWF/cWYwrGE92rwwe3
r4nZNZtO3WfKdu5sZjfYgxWWZqysworVqhhGdms0YvMIp5imVEXwIX18shX02ijGhTWzvB+aB7IJ
VTo/b6ykRD9YmPkDVHYm4QD9NBRWMhW7iIVz32PERDAY+LD0c+QRh4WrohdQsux7bmqR2JrQR496
b7Q8NlBlGJWL4BFCljZRitVa/R11h3dMtDGNWe3Kbht3MTMRDZIHOaJ9bV19gUGqNMn8aGOVi1OQ
3tfZxazi7q7A9PxbBRcgXgVGqN210SzuMtFkF4yT02u3Fv3LF7yiIwowNW2cCV69D2ZG+eBwC/Tr
LyGsibSeLG/Tm9N4OgUxwKoeBDgJdrrVHoVa3S7sA5GuhWvgcaenrdpJDajRT10H7rVcJnyhXS6E
YBqVZPWlhr7QuVYFFb4Y4P45TJMbP7W68vmLZZUYC8JR2lo14iua2y6jLZ6cMFu0YjGAvcrltw5g
MIJSWpRX5dA2xfpjffSeOcoiKQfMsS1nEUljPGDtmaM46cQBEI4ThEirIUCzUBymUa4Npk/KulZx
nhgY/g51le16SBtfQxOt6SJImi2sxfX0EWN3HfcW2LEnfdpAJslqPcQFNVyYzDFu5ZiGDvJKw+7g
mzHQHK/6NhPfXp/jf7dNivehTcolCRXNG5eU5f//p0uKNP/AihNjG4zd2GxwgP7pkiL1PxypY8lJ
voqQ0I8xe/vpkmLafxiugSU30B3RLY7JX/qn45z4A0U60YI4qxAmYhCl+BsuKSzxi6EGdTI4DCtj
JIpzEussVgG/WAFgCIEJUhWotWoqcWo4OXIO3bz8eOe+WwR1n1wk/TqOHRBM9xbp0C9qLijJeiBd
6xilCNKUegqOPl7lrZUJj8IqhKQtMYQsgSPf20dJXKWVhm4SxAZythvt+CqSTbiNey3b0lMYhx8v
t2/m9LocLwIf3ZIkt3xDv35ySjDxH1ucLZFc2Ou49pgdu5yPKH1gkhlTfCzTzl0FnVUc/CcrC2EY
OOsQ9rjneFW2gT5Vlt6sg6zPTkL4lwcWqPJq6CBd1TP8BkLvJlRT6rNcy33LsuWZOX7IPbGFLUy5
Z2rRT0aKgQYre0hyV8OA+0Ff6YrZZhsef/yQ75cyJDvGhBjiMHleHIR+/Xi5TgDulItfFeZ6fqmH
1bb2FJU2w5dPDlbj1SPsXw4ly9YhG8E2TDahiWnHvodYXhaBUrFbrLNqFINfl11+HJtO+C02IrvY
aEHR3Lt4o8KCqC14XpM7dEdQB/J7cqWsgx4SKZhglsjTeuqDG9N2o3LdTGn8AhMZYi5kujtUDuVa
ABRvg0WwY9LCxY21lOVlACw/V0rdTXMW3oo+6O8XDidCTJyyfFhJneEHQUs/bGZKBD4EZlNuIjFC
R3VD7MUhuYOZusSk+fYctCe4A2JAIzpECStYcPMNkVkG3JemE+gk44wrLGHwvOoj03uB5+ZR/NbU
Puu6VrDCsPIJdk5iOL5d6tN3TBCD+6HP2tsWhc2LU4Y91g9ZVTwNHYSXoyFR0ljj3JJf47I6Z2um
BHa8arr5Osbi9IriS1yj/aYKKAJ7FH7rmDMiCkNo3xPXmB7NiYQo2sohMQ5LeDJnsT1oGDAljpGu
pjYCFUOCFII+u30k+SEIdqDf4FdfzEq1a9naTg9uMyONwS0ifqCr6fQ17hHIa+Vga4ikSHVbF1U7
PVZ2ET7rjoYmME3q7oBxYXSnyyS+IkBTOSurkfYV9FXsaLrEyZ7ceFgaDGzLTodEq8/MZJo3raMv
Q6TYK/x5SZNtWk8/zitT0IxhrgJkioqdiZyUDOcHLOrpfRBKbWn0MSWeSgPzxh5L946+45CEVPvM
sJSCY+4l3hPDfXUZ6yCtBwB6DDzgW9anWjQTi8EQuMByqZqTm6CrbMp0XDC8zZBgcAeiWcQPFVAm
M996lDvUXE0AvssUhTzyJepe9Y7a9IagCKAtmw8jW5TrkCk+3IWpSw/bYZyfpjzBFAs9CgLuDgg5
orK2x5febcqbDL7Og8Jk71aj5S3xTkQ2u+JUJrFwhPJ3h1uKCcmuKeFqMX43b50KoxCLvivfxpyU
RyiV3YMwivsf+F5ZXxu9Uuu4nPuXtlVYu1NsCxJkCv3S7AxVfJJCZy4n1Ns33UOWzkVM12ZgMrfn
MVN1sPVbMaEOrrGwpDqqJ/dg8K6L0IQyN26wq0YPxsfR2Svw3Kp+HKwdXud+7Z1J72QkbT0Bb7BO
3eCqnTaZqS0psH8e8L9VIf3v9EA3dc7x/9lu7ttD9xT/7b+bhx/xw6/l1Otf+1lOyT+wPLdBSIFG
TWG+SSqhmCEeVP4rw+RnOWWZf0A0JduTe9oEW/GwHvpZThn2H8CtklJLLkJ/bLx+o5rCwu7t/gI0
oWwTNjx4y1h87BaPo1/qqXDpCRQHG5U1kqSDgCyg51h4A8O7xpHH8LJjur15ZtKnmWg5DaudbuaF
i3LUc7oQ4Wrn2UuTG9M3QBTkyKZok0PcdJMDM5qxrYJuBRXZGQKafUTZ+MWiZVPJBGuLkIjwCSC2
PqIUui4QQ/mNqxc7lMjonS0raG7jhFd90Sg8BRQ1X52qMLaDHBOfD/q7Bebtw7sGbXS7ITuM0Cup
o6pJMeQxM/v7FGK7E8VE/XJoF8kK/mt6lIaYI/CVnPB742vD24dTcVOZSDHaZZqdAZDBbinEhcTH
wMeeRyB5sYZL7DHJ80q70Il9K0AYpkTfLZyySBxMCiLcCh1cOmA4PufJES46s9gFiqSD4zTN9JhB
RpN8g95v9gcWDjpQ4xS82dMIAs9BiVLlNNGqlPkpPPY7vXXi8dqUXVMcAepmOwcl4zONf3Ygokwv
1pEb0exkZp1dj1FJcOFkeJH1jQiqOhwOC1rW9BFr75RrBnILo4sbnNGXsWMATmXXB647i+CqpwAM
cQKvuBUjvGL6ru5fhmjEqDaBkuBWCn2WzDsipp6xcta6C5N+Mrc9vrDQ9DYkw0DoRxzL7VHppyPQ
eJr7IVHe4VmMYxoqCLa3VqIaC00bR0xwF4Nk2VMGKjBK5r5riGfDrAgVWKF3TwO3KL8wO+iU2kQ1
R0Pdebbfy6R0T9xZmenKYSIDDd8Y7dtAuhhgKDAr6Ehw/xQFnus9dB0EqBUuZd7OaXrZMuVsxQzb
riGcbRtELULVfuyQmmW1yYXRgV+dtiIT0I9FDm1Z5DjVfUdoMy12VUwTSgYM3q3npe6VS1F0ZlcJ
3iM6IsdLPO3d/islSyGPBniB6gZZin0TzF7yFOmFJc7rsq/uMY0qYlxTtHGFNDhbEnM96m9I3vLC
5VZM/Q4HGBSWDJajazXQOh/0XDcE1DrF8Gg3MFr8FFtr+FOo8B8Z4ofTClldG+0w1ALsMipiORCP
0UAfA7PNdy13+WmNR2S4m01QNiTAKaRVZwR72DSFhm2ZVoTDuRtBrD7sq2qCYSWkt7VwsLusENJf
SzmZGrPoevpedCQOrfuCOpGpR4cnzZB7G0lIpnGMXSmam3l0mcTJ3rqq4ylQPm7b3nUSwX3YUO7E
R7EhGx0wF3WUL8OhHjdzWA/zAzKIZtg01gylLnIgLB1HCTrcQ4XfN2T6bKk4i7Ct4MUHsD9wL0gR
pkRVhEnIxF6E71Ub4jwvY+wo9clynpqxyGxfy8C/1+bQVFfQSsL2qCJDZBmU5NG0joj+yTc5wXfb
2DDBTPH29xgWNyXqqsqwo4cqzcUhnjTR+SQDXW57cqxv6Y0SxgGFJzTlD4a58PTwPd8Rbsbrnzix
eJ7tyrpANW4eezg0QwsP6+TFcUe92w5ZCT+i9eC0+c4c6TFQXxaXxxN1CPYwemMDyzg5isyuKtdo
NYobF4D9DviV2q1Fq3uL45v8Djmi1VdegxPQ2ijgEq8qGaiOreKkPSE8sWoXpQf51tZoW5FfMN/a
TjWULwqsilhZMvLO5872bjUOVigpHu/QNmpFflSCu8ZbtzYQeOd4r2erHAOsZFUnNbRWmAt9kW9r
DAtJi4kLBiwT4hxr68BZpNGZI3yNLKwOnSMT0xnQfO3VY1tpplvAdVeWmU/fTMPp75jsy2ALxS+a
oWvkOhSjeMkTMpgV2mi74KAzITupShyaYg4PYDHYRaEa7vM69DaxWVt2jJ2brjR8wvIExhqpPXWI
Kqu6cAbI3KJfwUasewnmXfOJKl6RYRY2pC0mQxj16YXO3qgbU8GY14hj1KB/G527iS3q6Hw9Okty
VfGaYlVbEi85OlStTnyTS9E4KfRiNPVN3IE2DpsoRKhYbieh8CvpMalfmzJ3JjL/0MGOKECymdxU
JvUBeGAYhiNDji5yrGEH0S2o4WNYKf5FF5qYA7DPSqCy3SSKkECJcyEMwCEc6xOc9CJfw4LrXg5g
FN8mRwNwl243eevQbYpvdPWwU/AjRlow5HJCVxbkbXOZEHzSnTCRd4bDRHrQ5+Wo1AtBHOpKGz0Y
6C2235Cgmip/jvKIMWlg2ArB65xht1XCBL0n1DyaMTMakOYxPoSXDBUnlQc5HZ5zjnFRXO1CJjtM
oUadfKWwijwQesQlEV9B5thIHBB8tge14peHYBjn+O+pnFHKXZ/LCvOcZRLN9Ij2ESI1AGC2qhK4
6luHYpzxAeYd4OVhwmEMIZrSHB2AnZ8wugyPpphj5AQRG/bu9M29xKSmQFB5ltj1aF7MepFbEOyb
KN0yb7Pty2QMYaqbcW/eh8pibJOhR/d8q3ETdTYQmXHoDmgQWp7IuwkJZXY5UqBtn2U4yotjXP64
n9Im1SCKW8LQi3MQ/mGCHqvLc71wyNKcuxZRWLLU+48MzBl7u3k3fM9qLWz8vBvDM9lr0zdZBcHW
iQSHZjPFkaB5gwPYouQ2O/PeiBsIJxw5orwvnS6+I/OdqU9VwGPBsnVEF5JrKFQuvSoqvhmTbsob
LRmdSfc15jfmMeeGJzZZbUM09EPDa15EyUPdlG5eeJsSnTrsF7et8Sph96tg12R4txwkFdOJrYtv
GsNxuIt97se8EfHoZ7WoreNQ6MkjWSxIAQjxgq8SsReniz4fo/C+a+fsPrFhGsFWg+EJgatcvtOs
kNWGEaEVH00WMrSrsNCYssD2lG2+pTJElIItJBHmLY7tJ50X2PNXA6GFcRVPUPM3c10uPGzPq837
wow6dQHlCzOfanTuk0zo9QarVNM6QN3MVmEwVDUbOYhlYEQ2Ad6ypBjgm2cZ0Nbuu0SX6A1qlcnt
5HpdfxiRy2f5SOY0eMR6OLk4O1jom9jb+mkeMTc8GFOZRUeJGeLS4doVFwGj1wTj5azH5Q6K3tKJ
SeU1PZIjiaY81iaxpeqKTo1xMBmhj8m5CRfyykU2MPnozi25aevBmnDcwPfhoEWidaljV8XkZAKs
wicM/4g6E/CJptRrbnWvRU0roq7rCLGWDhKqGVe281TCGTjHpCEw0aoV3uEcT5o6nrws8XPgk3g7
4iN/HCjdfQgqVfS+Jmv3vga6GtY5m8b+pvUKerIeOAzJp3TqyBOkvLfbKiTFXgNqSTqhXkpdjtdV
1xsHfaA7WF6aefV15lWdttjKsUVjh6PT5hGOQrPPNn0AQzxo5u48dlvxMjfJAKs3l+V5bVdRvYAP
8NxmbfFcMy3R+iVjKpwZ0IXh5RwyZVgrQB9kAt6A5gNL+jl04GlA19mCeIodAoCRCb3qregJPmgt
tyTRYRljigixr5Pnyjuqe8u+K7U02ZVtj8w1DPSh9XG5dXvy6/TxQULox37EqYEtWkpGTCJVZueU
1kHjnJDZE51qRoC5T6ka5KqkKqK5KcrOuaBQ9x7yPC23CQirhC1LLAJ0s46XxkqAvaCoxP0VQ0mn
O5zbaLqw+0Ung7lAckh2QccbEAW2t3HaZvyR4lpZHuW95PxTmmbVW680FttjOXTl8eKal28GEhRL
jHU43T/xkH1r2Apwj9G/BC0lKVrX6UD3GsKy4aKviwo7qzHjjE9nGX7DIA+oMYsypjc2vKmeYvUC
dmF5OHO3D5/8Bnvo+/IbOPDB6KHhq6ETXf78l5aUG7OGXM9pWWH7c6a0XMCCmNTLL436xZ8QypuA
geVBfkFWXh/UspnLgdqiztrHUCGO0Y8MWu7LESxz7dQKU4cOMQrRcZDUV5j0dVAc55FPgXKKd9uo
baz7I8cWV0Q4RZX/8W/0/rmFs/TgrrRtlIDm3rgMTUcZZAJCGmFZYmvY9NEFvuWXv7+KxRTHFTi7
L97ubz/d1IiYSUaU8RLtwhEdCgR2ERSfBJvsoeF8uBL/bMMAvyDiBFP7t6vI0aV/w84IeIAGmrPU
NF3ah3q6TuB2lJ8MGN5/cg7BjUyqIJsxsTH3VsM4OrBbbI6ojZgqryYpxo0eVL36ZGfuTWx4KshI
mFDaLm7utrU/yGB00HHz8G4EhLEl21KTlI7B1IDiWohLgS/jz4ZEe1ObZUnwfUtnmsoolcbz7Qfp
Ef/ELZfnPhJG9dLEtnUho6jf6VGHUcc85I+c/KOva+zTT/bjMhB684IsZy3UCQa4rly2y9ulU2GM
Jh7H2BALXD38lL7iZcTPgVNgZNS3bpk1jczh2rn/5Pt8t3v4kBklYk7KJAUdw97KJdxoDA4EUEIK
HWQVIksBLVLEXkPtTcz7j98I461JP0cekyGbIRxzMc9ahptvHxRTlCqPDfwg4t7i2sH5kIsBWuJ0
LfucWov1ncsAQcqNi8K7OJCNE5zFOPncffyLvNte/B4cuwaEZsyhzGW8+uvBN2FRbVqazP2kZfAD
IwLHgrWBQBLbtzpFgE5Y+6d7+i++ZVBBxzKJvmBwtb+nY9wE59QdOAZbKW/y0jFCw48TfKQZ2+t9
eOAxjke9mTbIUM4+fuB33zOpEuRdSPjhFDnvTjzyXJY2GM111jvBTpczU6hYc9ULjBz6mI8X2/t0
oe5JuCg6UzPbZjlvb1NNCrfnURgQcmlRd12HgfbiefQ9UyQYIrRki3+84N6ptCzI5cVRC+bLE+4v
WGHsEsHQjf2ydYBEoVPDjfr0PH/3WDbevryjCyKM2urdSevGWVR56GDaNK82jZcY61mg2vLLwUwO
bX387OLc2zDkcrHgstyS1una+4etnZPxhg7p1TzCvM/oWm9HDj9AE4lFI1BQxNAo/uTk3dspLGoJ
Iut09EOC2mT/RGDCgQX0BG3M0oanABTG98ruCRex8ZMv7S8WkqbjAXQJyZ0i9s6CaIpxxGsS6Ha8
Fis0/ZOfZcxYEpOcjo/3x18sZUOMocdgQU945tvXfdAHbPDpBEicqvC0Xx4Kwluyxmjks6VeGQu/
nOXL5wdrgrKCwamznOpv18oCW+LDZKOmsngio0oKF8xzaPtTpHdzcow1RXhplSo4m3P6rRXzPoxl
XRyGggNkeTbmqsaYDZvf/QSWTEy4igauIQxJ9j7sou3dKlExKPFMbwdzE2au2yUbJA3pb28gwbfJ
LQoNgQN//8OO58UzKULPYNT9tdMN133eXev88+8/EcUrd9dCeoL/9PZzRv4gqiICNW+NhMGvkWUb
kbhknrWQMX9/KUIXl+RHdiqb6O1ScYeTATTNEMvBfPKjeA7OXAofTHP4p4+Xev/KEybBFIqD2gOe
218KlCVDFo03IFVWcgjgzPs9YjNwlKecMYw4wlOpFf3jx6vudSLsWcp/LgcII2wQZ/9mIvNWCxJL
hfhiRV7p6zScZ4PsunNPtexTNOa3M1EgR5nLRKd16/yTSvn9+ymQ05kurYHlcXHsfZd0zINb4/TD
/d9X5oWjZ+Y9Wi5qg9zO+YU+ftr3q/GoEIIM3SL8Sex3PXmeVZ3n1NqqxtJQyzWwb7u9/jfOgvcL
Me0jH0TC9uYWlHv7xkgGN+yjCbRzHl/fBGZn/9GbYC9smNdy3NXN/U+vrcoxXvKF/RotzjrmO7qp
R4Sb0fJPv/vR2dTlWI+xV3iu/Y0ytK0bWgYC7Volx8u7nevx8X/ybrMRFmrbEqNE2uneB5dJSQVc
MyrFz6fcAbo+5ZYodknUPn38PO8KB+j0LnUgVT99Gn3Y2zdbRlrcJARGYQdhJIcCrc7686f5i0VI
jiVhj1rbfb9I6+RTXCbETmVWUXwTMlIvvFFi+9uP4i5dPGwTjii5X51ghAZvTo3BKu2t8JL7pdjV
bfdZT/t+SzvL50UWG/Uk/7j8+S+IAfVtTNJxG6D5xOl4LXi2/oCoe8pnD4OH8LdfVdaAHQkNkVJE
mnvLBZMqAoexEMsN03UGBeWonoAqMhsn+I8/v796Mpv8MMotcLt3L6tVzxPJf5wKTZ4GOIuiV9vp
aI2PyjrGBu7jxd5tCeAHw4CpKSzdfN9rpmixIc6QB5YEuljMYOmiIzbfb65C1SjgQ9Cnsx/kfuYX
9jhNL1gGORbbTQG7kgfk/vYHxyp8aAvfkeuYO+vtluiqBLFckwarkKZ9OESQhZqPfBXnK7Ukvuof
P9O7IpzV4HFwCL3ui/2qcews5eKWTAZEjL/rQr/2yXSuv04GVhlBYoef5E6++6ZYD5tsKCXcFAvN
+u3Tkd3jEruFLvYVV9Zskj9xeUkOP36qv1iFdSxPsBt0613NFNDalEldBmjhtGDa6YSBhQdYnNUo
BX93JZeTjlhzWC1YrOl7LCekcrB5Y/zbzZxoAyZsZBQgLcu95pOF5LtShi2xVGYeCBXnxf6+UOEw
FDBel2OPs5sMhvE0DgLzRw4h4aRSFt4ew1CV55XHvBMdmJURiDYlUDwaPcGEJEIuhlUftepigKnt
dAIpTqA4qFeTWkJzUH2ddW0v73FcRaOTkjZ45hj5fBN5E9gBwOd0bYuWdOQ66JhGOTUULma3IiZV
mRIHcruk+Y9Su0ahqCwvOGSIeVsHg5UcY+kbfleyHaOtuXRZ1+PQBGcA68pCKigJQMVqQV0Pc+WG
Z6rNA4EaWLcuauJtZyxsZXTijQbeBi5ikmQjSssGV3ZN73nuRxyfOMsHcx029ng4k+7inpGKYtwn
jka54zodoM9vf+/ADrTkYHcLDrO3j1XmKiTdJLh1ITWsSrWC6dOn+/j92+m+3qWMGAF6Yem+fVsC
Pg7dNrkeBHbXCiHiGJwVXkcNOWjBGSb889HvPZaFxZ804VXpFOhEhO4tWDZDBkQkNZgjqXoZid84
yIr+M8bx/uvJKhyk4KsgZKDl+wB24mqwVWF8rJrRohSPKbNmqeXfPn6W/RuIVTxoZmCPHARAcnvY
apDFZoc6NEDy2pW7RFUhCrcsoAPAjO2zRuMvHokOjReU0p9CeL9cSBP858qyQ9E3aFjV51wLIdPL
Pw+B36IrXpU5//mv5e88lhiYQbxqX4l0//q3f4/RePBcnj3kz2r/R735yer/vf5x+FyuUV68+ZdN
0cbtdNk9N9PX50Ur9k863/L//Hf/8G/Prz/laqqe//H3x7Ir2uWnhXFZ/MpKBDz55btffv7Pv7c8
wD/+fhI/P0btMyqc5/j93/uTzej9YYMUcnpKvNYN6zXPb3hW7T/+7qHyYFpEf72019wYfLc/2YzC
+eN1IKALejmiKZbK+SebkT+CKk/5yRlAtbuITf75/D9nOHx0fEd8cn8x05F7m3U52ZeSmSuRdbiK
9299fSA3vSEXvjKhT+OjR6pGK87LNEFHGrTd4ixsnSGzQCIvoCAhjCSBryAwXdfB0x0Q/DWR9d3p
XCpxkKJpNNvwhybiOzdnZg+nQ9D8yXPPhuiXBgip2/SkZ1KIDUVzm+LRgQesax6lFYQC7PAxMssY
dm4qSxJqVMdBDZqdly94G6HfLnu1Hkkt8OHKzfR8Jbr21HSOICCjNmbSAfGJRCPXzcT5RG+zcvsc
71U9uiBjs1+5i+s2nAOM9KwkPsDuPtp6OJViNZ44X0XdiT9P6/97bz55b0yTvfw/k4Cvi7h9fnpl
Af9tk8fNQ/usfn3tXv/6TzIw5F3CbikWTWtxKrMYSv75+sj/T915LTdupXn8VfYBFlPI4ZYEmERl
qdMNqrvtRs4ZT7+/I3t2RIhFrvtuXeUJbksHODjhC/+g/Iv8iN4SuTIFOhL0/90+cKto/+B1DOmD
k95ReJp/c6tU9qMIZ2iXWGIfOf9k+/B73jd8GPOtDcA2pGNH42Vx1IOvm62CkiS0pxlr4AScvmoW
+cO7yTmzSZdlHTEKpThHF9GXTbfj9Da2tSHSSvQ8XRrAqM8Sxn6Tuq7YhUi1HBULnYuqN2uXNrkm
0PvFleEXR4R4SehW/GWRHVB5XQyfIgOI4dykuwPwag+BA/rMiAq6Wo0K3eU3XTaW/h6LTJFxCKHf
CJLv8lKNlrmqSqPuppWz0bP5BTEHlDLhQvp+vwW1BgbWaiKAVChAtmr09fL4Z74nEy1CKw5W5nxx
GtYI6CGkLvGqIfa4GYpRG6BG15p1y+hKTCiUPMFhkyn3CKj6++QbtI05Y2JpuLIURsdpTHPkPNFu
U6JMP8pJ0v28/FZvC+R9LZsBRcWYlopgAFK8OB3QKatC6dDZc522H9HTaLM9PipUJ/GWLWDTkaxg
RpRk1qZTVfMXytzfIrnIN2DHy9crzyKm8OOzcOcpJiUbuGanz9JEE8FZiGty1iMOq5qWi9HVPRBr
SCq9v9ZAyq8Lv4FyXSh7ypwo4RfmtyBGhFWSu2p9+XHOrG1m5j9Pwz37/lPYWSNHYFM115DUjGCw
+S77AWxispPwyto+s7YwHSE05MInwl3CRJATaoEk1mIbga2BK/aclo16Ja0++z7MiqiFGbTtRDL3
bv+k1qQgZENFx2HLHshRgfBZcbhLZr/c/sbUvRtqsah0v7VHE/lVFzwT4g1W6KysrrxtgybxLo90
duYccBWi2gsvcZHrInpLf46jyS3HpgYMJ1c3g9bZ/3gpEAKxOzjgSHipHJ1OXYJRnF5adoESqCbv
cUOa9qABs73fdc1vDEXNiKxdI/JTROD3/ithC0diq1slsr9Z+wkKgrSb7Uz9FDR+/Q/rHoK7SmdO
F00zelnLs6btqEfUjgxcerDKbYj9LK5q9bXa0bJGwC/m9ztQDMUdwSVx+kKT6YyyVgDK5hpX/jQb
LT4ivy2oLo28HQhwf8Rq7+8uL4uPa/10UHHSvFvr+KNUmeUjymv6ig3wu+ox9ZPRqVVSx7yy2D8u
QfGp6ACwDGkIivDm/Vi4MI+6UZsNXwx2H1aZ1aHSW/8Kd+3jxUB/geo1q8/hWni7Hd+9kaZgvYGC
L2ZrCmRmrSmtHfw2EHZDxjQqkvEPu1R8NgMKOinGW3t6uTgM1LNDrVY6PL0rFabfXCB6aI3lzejk
06GKzQ7p5qC4chCe+W5kGmISyX60D9gjq0CO3MlCIb2lYXmJjtYhLerWtWOlvvKCZyaUQjoFBZU8
S6YxdfrZUB/qUSXqeUG5w7CTLOZZniPbRQO6wurQgaF7eU2euWq5ZQ1CTuIXlQ+5OBWbIGlGFS1k
F0wiYrQNMqFccpWBk+wAoRpqiIoQclEb30sQo9m6brv20VGG6jHCIqu/ctCI0U4vW6Jc5pgjzQIJ
9eY1/25BRS06xVmKYhpJHF5oY5sq4A7aNgFzAIvsqYkncLjTaOKxEccKWqKXp+PMucC5zGLGpFow
LRbnQp83KoQQodjmtD6WcVLpAk9qXQh037vYCfcVihpX3vnD8gKiRwihinOPLhoB/slWHRBzmSGa
di7EqdhDYylfJXhaQ8nN/7z8dh8/NkMBgSKx5N04yBdDlS0WCSYgK/S/lTp10Zv3t7bsO/vabDWo
O9VAFbSgbDhPjW6tVT+09vagdwcrRb7Vvfw0Z96b8o+l4XEHQZG64+K983RuO+RA3BbQNeImVvVk
pEr4QpEzvnKpfNhW9IdEU5sMSizzNwruu2WFSTUsFiNr3VIuQq9GhHtdYlX86uOOvQmmzv5y+dU+
nL6MR+2ethtdMZP+/emrmVIf44rAiVGHjvMzQepwAzxA2l8e5W2GTnYLw2jcl5TTKPy88U7fH/Ix
OlHUBwdeq0z8G6VxEKwuoIC5Lc4dClpT6IHj146nwKiF8IOC2LPgIh6G0m4fMgkU7gqWnH6c7Tby
Lj/buRkwdEJHk6KvaDEsZkBNac6gCeMKfNih17Rxg0dPeCV6FOt1MQFvxai3ISgniiX27rtGHdyk
1JjhRiYRZrFhPyfHaMYs0C2rTt1qkhzfNhyprlr40s4AXy5dWcSKeJEPjwCame8gju0l6iSolEQp
fMo8QZgglWihGVX5eYHOp2rcdCnq3VFTxtjuZH74hTXqPDRDh7kLpAtXnWtlV0L0v3Itn50WoNVM
vIjdlydKoBaqhW4hO8svInSrS5lcYRpkFP65zJKdHMn+eujl9DDl8rwbRqPQrxxqHw5S0JYU/ABV
gDS3aUCffhlKZIY0WmJpxkp1XzIbKzOZkn1HO+/XjLQja3RWrmxz5eOoINtl+M4YzigiJT8d1QT+
JwUFsvi+pX3W67u8aGHFS25OqVm0auhj7zVkhcdwuonx6MmTPWzCvnFQUMfJNQD3Ecz3l3fCmWei
vUuxxaYmRB692Amhgy0sxL/JNWqtOyZDo97h3VU9zDohhISV4L01WeWPy4N+PPAEwB6RHxqj9MuX
CL4JveUOOoOMCy4GY9OvpPGwx8jQy6qzf3plmpzgSHtDLxc1/bd23Ls9mA163tlzgpBnHNWPSGUg
r5WDN0CDzdjRW7CPs6arV6RYztxkYlTqZdQ8uECW/RdFDxGst5nVyGYaQxXPZxR7m11Lrx4BrcQP
d1rr1xvsfsD4qbX/LXW66a5Vr3aCPl5jPIBO6MQVA8J1WasISnB3bRLNrgz1bx2SM9/4VtF8RaxN
vXLgfzxUAQ4Rm4AUEHP9NinvprqMEfgEyze5Y2r4f+C4G33KO+3r5aXzcRA6aKLXhMyTBqRwsYdK
H5MpyPmTO82K8qdUhNrPKEf05PIoHxcoo5AKyICyIaEsQe/IkNYjVpuTq3R1ujcxgxdylBEHdwM9
C0cBx/7HN5K4JmUaCHQvVJCmp2fDYM9TAWlycn0ksXZaXUm36tAbV869c7PH6SNyLiSxiKwXo8hB
3Wllym6XktEFIQhHEBulzeXZOzsKQTJ9VepSdGtOR5mhamN40CC7phDAZE1s3nRxMF5Zbme+EdwD
hL3oClKZscSfv1tuSSf3lNjQOxro1u+LohI8RL960vUQ0Dr8gCtz93En6YoNSJ0yI1QPWqun4yF/
H2cRVFc3s4WoZyxJ9FrQn7YgDI7X7shzLweiyBJfiZh7Kc3VpC016EaCIu+j7RiH0CHl4Jcsxw+s
nvzKaj/zvUiuSCfEaSUuqNM3U2DumtVk03mqK4fEqUVwKKy63eVVcWb+xF5S6HQLkIq8mD+4TNQp
JaPDIi74M/MjnYhH+9pyGm1/ZyAyNZJUqrTLRS51dQ0YT8PBvqvyp2rIQahS8zr6c3flMDr3SoC+
NPCMKpwc0Ux5vwQxSugj25c7V3aU8kErEHWVkEF8HstRu/KN3jggp5GcKHD/Zyz1dKxZD9XAtsi9
q9JCabgu03qt4SkE3jZX/EctMdA2GrC7MN3eqWfUxsnK4TrnFtEfpMgCH02oFs2qBaUxr6dBbVuE
S3sb4SJU/fOXQcrLP2ujV1WIl9hvuNmMfId7+dt87EiYusDVsn1gJ8CGWE5ZHcZoQeN6ZiA44IWh
1twiCtd+megoe4aDpoPlC9OvTJ+lo9pE/m6y9PI3lqKYTMG4oYS2xOB0E1ntpNa9W+hKtQ1Ugl0A
Gt1WQOCuDHVmI4tgj3AHpgLx1WLVY/dRgFAFw1alVXKbaxpqZFMglcdazVB6CLXKvHJOnR2RvgJq
TYj3acvioZFDD+yTtnfxORv3kWZ2O5gzOuqdyKjcaiiZPlz+pmeODx34PE0eIiVQ58vjYwZ6pqsT
tolOIRxHcIJCbCW+snLOvBZoFtpIALW4/5dkFlQ1fYTudaRx4lJ24yHtDlUS17sZ3fJ7qUFN5PJb
nVupHPgQg6ixWszmYqViPhibatGOboCj6SqYKhywApSF+zguXiakgb9nGvpmLvXb4TGqHeeH3RH/
XNn3b9igxb4nfKOCyU1A7ckQs//umpNhCTU1GtbuhAUNorSwrjFiT8N7NM37m0kN1XVhFuaqRfRg
PUizjj6rWt9iB4oSoIK/Ckir7DbIR4PCbhtuSNi7KznEmWNQ9J9ANhE0AUddrnHyFTkppMEt7SmS
V5jNjTsnGxS8x4bh5+XPcm6xsbjZvQ7AIJBhp9Ph4Lgjy1k2unJY+15YlBUkZCPY/MYo7Fub5p4M
P2SxpFE/tzGCzUcqx6W/S5u4OJQOMgWXRxG/5cOnhRJCuEfvHMfB03eJsHMZSs3BIGua8odURiJy
LUSeUEa0hnFr1n32hMucP6zppjhXihMfEz9qE0TpxBfQLI1lijJGUDXSgomkSjHvpzLKjmlQo0c+
+/52SLF67JRS/3H5jc+uFIvOKUh5iHACY/B+MVdQunocokcXKYTPNSJda1muhlXgzJl3eaSz6+Td
SOI4ebdtGkqUMc64fME+R8dwitPbcE6HK6WM8+8Do4e+M1ik5W2W4S9MsbfmfQzMseqgQwMggo66
svB4+PIbb2Tb7DPWIy3PxWrBEqOrpIHzKBkSZTMVuIDUjVxeeaNz8ybqnvitiXL7MvCsrJGz3mhG
Vx+GzlOmsMNMZ7xGBzt3mL8fZbG/EkVuKkUrmTdSsOeugJk4+hqoqckBfRQoCM5cnrwzGTlQWVFn
ZeHBrFu2LgYF2xREmAaWAloTgW7j3YheyHDAA9L+PNSOchg1u/4y4nf4iqqMdAStFd3o2WSbV7b9
+WcBa0pcD2AbbsLp2uyBOqJH3wzupCI4P0gjVgVy+HlUrHqLeuqvHtvtHH3wQ9Q288ockdGe7OhK
mHD2Q1Pxgb9FoAyh8vQh4s4PZWx3BreGUL4zegVJdxQIriRpH3h/BBuiOaVAnwQs/lGCGxe7wiqY
cpTcrJs5C5LHhNjzjruysV0V2vwhagLLixEo+4H5CfbHSBR8UanLfZ966jpXFsK5Hfv+eRa3ul4m
1oAexuDaPizDrmYCaEqgCaNiyXh5zZ2bYR1sLAwDUh7IzacznCSEFfQzEOSb8BgafH1yszIJrhx0
5y4RLgVRWCRbRMnxdJS6G9AawmkW43Zd7vBSzRLkDkQD6VHHfyonG0jLowy3W1thBFz8U5Kx+MA0
a1RKuQSAH+i/NF4Daw4MnFFCJztUfVyvkS6rny7P5bnPxhErizIeFLWlCmmd4J1t+HiIOF2u7Cnd
INQVaIn9MM1j1l+Z0rODAYMj3Ycx9KGjimcLOl90LtyZwt0G+SJ5XYSWug9tdbiyC8/uD8xMKZTI
/KUv20xqFSZda1OMqTEw+p6qRhC51txJL1PvUKEfVOPHQGUNmR4sn8IVKl9dtZ9bRfo8qI1erZoO
55Ard8C50IAFIjAOFmV6bXE6V0klj0kvD1RWZG2HDNa0QqnGephtO9uZhVGsdD0zXi5/4XNXgghy
dVGeQu9BPV3HQdBFGN5xQE9FGnlR2Dx0UhGvO9P4qrTSp8uDnduaFtNNY4QQH+rv6WBq0ZmjPLH3
aWGrOAJjuiTHRndlHs+9EhPI6afynyS+p6NMeTjIFJO4c4qw/ZypRvLiF7CazSCsDqMi97/zVtDU
NdoagpIv1vW7mKfHZcfKIr4bsnseYqLZw9z29fPlqTt7eyEOI9qHIA6cJX0q0qeUVIMWSYBN8LOj
tOY6K1EsipVM8lTUHKFQz80hl+r2my/pjhf7GjKn8qD8zvSC60DeBVA183v6urQs+7gANeVqgfD7
QKbsUJXIgHuZicgMrs1Z8nr53c8uGwvVGuqzYM+MxeVRFQgqwcgb3WFwHBdHIt2V+ijeXB7l3PHD
G4EtBJWOZMQi0IvCWrWHSBld38+UO60ZnQPNqXYvt+isXB7q3OUBpVTnsKNeBrD+dArxoTElQ0km
F/7qcJc4qv7qW22+G+tA8jJWAc4g0fAlV33tN6aS+rMsasTEIPpiB2J61FCllogAtTH6FBUlhhtZ
rl/JTM99MAo8FOfIFaGOLHbgnMYmpmkapyseMC5G0hmqJmrh/M4lCNNG9DQFCtNZLMWSiCY3y2l0
Z9hNnjM409acysq9/LXOv81/Rlnsb2SLzBT1BHJfs1U8Gx9LT5md+jcSQ5rFJAAgp/g0iy9TBaz7
WqfgYOj+cNtFfhp6Q6dQ7JaR/ESkH08ijFaHK9iis/UWISDC0EJufLkWy7wNWlkhJxg6HZ1nI6+s
B9xam1euAHPn92O/b4Debuci7u8H7HAfsFW6psQjFvwyJQfERaBBZoyzwSJm02elKZSRvZcOvrpJ
8QDc9ogBfY8bP9pOc67/Iauz9jVXnQYxxwbbmyBujYcgjeffiB7fP8niEo6RiCyTcCYRM8vuBlaF
usFD9Rpv9MySEuQXsiwDypiz5Duh16cHkVGQEc19Eq76QJtT3KtK5crXPTMOaQYJDzEVKc+y4V5m
ilpmTYsvfNhkxxGbx21NQ+3KnDkfvx7NdViVAlYolNtOj7NYRYA7CFPFHapQfewSCz6KqmD8o+Y4
/qCTdZhj/KBkP8QuMSlL+cr4ZwKnk/EXGxRF1gpjt1DBREmquRrM6SeifPm2Bpe1S1G6xrcdnMv2
8rFw5r4AnkShF1aBgGotRsVMOkzCADMuR+lkHJcNybPyenq2BunXb4xEHZIon6YbC+Z0fjFZn4PU
noFiNfZ0g6Bv5c1JJT1jIXXtZjqzYEAoIQ8geug2aNHToaIB+U8/shXKnkm2Gi1zWOOn7LuXX0ic
ZYvtbpNsA2wxKYFRiDsdxa4Nv64hBOOZYoEgc8wm/OxMhoH4taH1zjHI8yS/cueewUURor0bVKzi
d2Gaicug2TqwXPy6qn8Ju8H7Xldbb44cv19jxYo7TTdkni5ZDfwMe1S2yJDqn9RIukElyivwpcbX
MWh+Xp6Ms1Pu4JYGiFScf4vnGvJ+jguK4e6oMW6apIEHdeyqKZfzcb2SUryZNAlUAinr6fvLCGQ4
UkN5Gg1w5ICtaa6+zDgz68r8VcMhNEntOtkaPUqd63yswhdEoYvEbZTQAXLd+fldING4WreFjxdI
PSut8dJFtRTccwTlt2M3BwOZfY+pR1/hE3yoMidEkdoebXMfaGpcbqK6tgLXDIKo3BRJ5XzzxxLL
06z2C8QzpQknED8cp908dxPFl7ZRg2MWhhM4T4drHmW0Cc3urJamZJv5wNdchMMhE0X1CFpHjq1S
dxU1aAAUNYqJ8rvd4GE3pBHCRrme2h5U7OA4GeX8iuNyTAU0R0lmNdq4rUKy04fAQ5Xcbw/JMJUt
9DzJyGkWoUfDbynadKUOFrVNuUsGXPw6P1PxFkyKrzVMbHWXI2+bbxqFEijGJ7GBoXSd+w5GK/Dc
N2NgoDGPqh8C7rySbyGlHlvbNAQ9f1DLyh5cPYDQ59WhFnQ3nVYJZ1TVQmE3BgixhqcYFau0kxIU
uN7UGgrbifByMlHiwqRB0qtPgvijbOO4YqqUxFTdxG7mR9UYJux10hFlXHJMqdrgWo5iMf+uhbcP
uvCfVapEcLK0vrotKqn8gnkcGuaqVR9wj5x9fltUFtg4YjWQU3NKYBdMlXSQeqKmldN0M/YOvqHg
Lzs5E4rKvk1JPdDi/iZVMU5YRX3TIMAQ6a2r2AnNg6Clk79NOzNBotb3rWNsWjVT5c/quEVsWP6s
Blk80TVNtLsomEK8HkLumT0Vu1hbW62KMTDGrGl1rGB2qZsMUkWGmFZX3TiaD7oRAv6MDEgHs22t
+L1V7XobKaF71cqlT2hE9l/wPUJzwBqUtEPVJTd/TCzh78JX/b5W8vLGzuaMvr88qCuyKtncJH08
vMg6GkAotNTDwSqEGzYIJwXBbNy1WjzsxmyMWPOBfSe3jSPtBswvxq+dbWO0HU+YKK+QrUH1HFFm
PCnTXtZ+jTki5PhlaPG2l2rpV4Frhr6C2BQPG6SvWcJynk5PHJmp4835nH02shyDzjygyrWmnBt+
i+PS3iOGkv2JRm30MChjH9/7gaV/TiJ0BlYpqDB1haxuKLuogODaigo0OOnMabVqPQS4We6RLW+w
ljCm6HPeI8QFRGXwi4dRRXkfo11ab+vZieo/DBRoi1WS4lG/8q2y/9Yi6FHuqtbOEs+KA+Mz8vZD
v0WPz8c3veq0+yQcHYMOM/IFIRgmyWtTZ25WoT6xS5GWzzpPT5xS9qzawiRBlWbnPgkwil1JPg8S
QQwLVikfTbgZTMofNWkVTH6t/xHUsiSt1cGI8D+1E/1zBJciWNlWOaNhG8ZR4o6Af2oPpJpi7x0p
wZwqcmzCutyRTG3dNHP0oLK5ESxC+QB7Yx+ixxq1i1zCfCrN944eoZUalbmmeHXdlcGqRlQAF/Sx
cvqVGsSYIHWSSud+DCO4t5Wc5KU72Gz3W1OVBmMdzbWDeIQUQj+WnDdR50YLa5c0Kf+iDjLuPigG
F/F2cmp2pyqHdgbovveTHTu9q1eVGnUpMqq4bwI78FtgdY6WP46jbTxL4VCpmyqd6wx0gTkoQqsi
Qte5a7DU9EFAT6tG4L9XcCSkR8UokmE7mjVaHriFmPMh65tciV0sXh0Q152BFQHuLaPkK80PQIr5
KD3K0jDjFd6ityOlr8WY2NhmoaagNuH6v/MKtqMNMs3tmyi/o2jpPBtFG78Yai1RB8UNzTMjMz3E
FcbggYLbOd4g1bquLPUV9/CYP8Yw7dXy85IVlRbSNR+6D3BcG5ANjT7QV9QyQS4t8tEAaGmfj47u
osjyzHRhYKz4OEDXcuqiaUh4mNeVq/nJH1xTeHLEEjKKwKFXDsr767JrXt+u/H9EqP6/qQzcl3/m
z23955/t7ffy/4HUwBs54gJl+vm/PkV1EOX/tW/S7/kfzQlfWhQf/+JLS6b+LyDCFELlt6DNFrJo
fxGmJdP4lwAkgEEjeoQhIGSY/hYcUGwsLAnxKIqDIBDKdf/LmFasf5lgtP52qSR1VX+fMf2XcAG0
N4MCik1DbQlvlWi5DAHlGWSm+o0aTdvJ9r3LYeFpuPZxiEWMjC6f4mgDQ4yhfquW4zYqJc/snefL
w5yG4v8eBkTwG4eXmulpVNjiFUD+L/t4NA6bQs+OeJi7ieF8QgV7f3moBabir7EAH4OnpioEEXwR
gTpGUVfyPGFj3fc3odLeFDasFkUGGz+BmOKg1/qbYgrwOkoOUQYwd9J3U6DtxOw6w7SVJfPK659W
4v5+JFGmojWOQMzyZIArpKTFPPq0UaSnUsNLihgwUbqbQHzY2n4N0vFKTn5tSJEPvMtDdDWYwHQM
vpvJwWcC2qeyjdYjZnl5F6+lOMCP2blSsj1NMT6+pVhr74ak0WEics9bljgCoCNxCPVkd+XjnpZw
/hoD81hOeip+Gvapp2PE1tQXdtDycQkasN34ltv6DhOwA3JMt2am3/Zmd9O08dppiwf6s9fG56x4
l1P+NT4FeJrn1KRlpDFPx691o1OTpPZds/9W6vX93MJuaNIdfghH248OUxAdsEB5GpwUI0P7NWza
K1XPhWff34/AFQM8Gk48rYDTR3AASQdaj7PxlAUbc46/Ynd/BDa4IrF/zcvZLSKsVroBgwjtQEDW
rGw1Othh6naK7+VVtw4Mvg8bj6VwBJp+kzj5qpcTbJqozHXXJBHEfvtPGv7v5+WbAVCHU7v0gKvq
MjeRNOSTTeYtpobI0AaernZrbXCepaa5oaN/m8vNj8tL5dzJRo2TjiJgIvrwi0J75ltsuCFnNebD
D6fOHsqi92ozfLo8zBv/ePl6NlAlpL0FkXzZCIbVhoFDG/uQGF+KpHzAW6JZZbPmlW2xoe90iPFz
qYJgIyfSURwxMTQwZwL/ODnHIU8fMQ3ZzrOByMuMK1DwiPiLlxHHt1KH98vEeTRh8RMHG6lId9RI
78tgxlp+cgfWnjxqB1npPQafjPBK7ekvrOSHl6OXRjPIomK63G5zaNuJ1FoOUCnnJbSyB3XsbwLD
uTUbH7lp00XYNFmpWr+Zo3Y/moStbfK9awLPwTo51vSVVERfxxFrbd33SqNdD+N9xfIbJXzvpn5D
PrfGpSZc+ejYWHW2A9G6SWuNE9IkQY+fppp1WRerOaHwlXTrRpm2qpXuRrX3EKZygybY5plBWN57
YiblKF77Kidrw4Zohh9WM3hjZexqZjTgn4fOcGdUFSIK34DD3AFR3cdjdsSKbNON4dM06M0KCyPX
L4CpkIqtcVg6Olbv+bjDO1X8dbQDTwyoZ8UDu/xIDWFNu+MuGOG+menXampvQK7/MWjSBg/TbRWZ
axLLw4xpF865WD5A19DI47E/MeT6u6pHhyjOH/ooyNYE7/ewkG/tgCKVGW6NIbspMNS0Av95dqrv
UolIQVmPd+rAttXtT5kSPVlJex9VqeGWc/LST2WxqvP0IXb0naMHnoRTVxe097Yt7bsk+sPOcSEs
5m0RRF5a9l5kqfgg8kVN+1Ms7gWDXHtyPAhbJmLJxtbQbpPaXvUcHuIgKcxfIXMrzl0x1+VUwlX1
9OobwXlJ3sA/0ow/xkDfEfhnK669nWWWmNhlx9qH9zlbz7g83aSRtMEn7ih+F5DlLQyaeycJD1bo
e02bHhEDPGQDOn0W9bpO0l+Q2PL6IDw0QMoSP1pn0vzqa8atabDwALlpUY+eQreW9PRYOuOWKv6R
OvuukpxHcepIkbwNFJxK03CrmoFXxcYuSIKV3oVPVMdw7Smxr62H8Qc9kE1s9+LvVYmJ2Xpsun2c
km8Y5mtDw2TER4UDkwUyKNkxruRt2RmrzGLfKs2+AfQr+/o6jcODhMltnsQH0wi8wepvNDT0FLgT
pd/u097AeAvdvJaJtcx9FHRPvh6v7aq+B9bpFUBKtCmlepm5+cDPBCxCaG1Ud5SfTU76VNBJidR6
3zX6QXzqMOX/w0tKbOmT1Ld7ALWeUsG5C/p1SmW6KSRckMZNH1o2Zjes477bQxp6oqJ5SKbZdWb/
bQ3gqHeY9OAXVZltpfpeGs6upQbPZoiPY8rtwsVqqi+20q0LJT4YyuAFTGstPk2QrJU6+tpYOC4D
gs5YJ32W7QzFf0Xz+MoJde6QR+oTrRZcLIRa9eldOCPGldqt6rigu+4tu10Dhd12hnrl2l/g8/+6
w+B8YQFCBAtKbxHaxL6eUjujLTw4yS/oXyTnAebDxQOFDGqX+iGash3FHYoyRedVUv6Q5MEXcafK
hv85FDj8ZsyeTLv9bI3p0ZcNbMyuGneLBHN5WoNEp8orgK0wqE5ng2JXmGe+7biSgk1QqQizEmf+
ORj6DuuHw8h/S0DhFLP7QUn2VjfGrRXnySoAinH5VlwgX/6eMESM3wIlYVx++iiqkQ6plpoO1M/w
KWrtFz2ff3T4TrZZ5ppW66lae5MP1ffIateVxWGhS97lZzi7Nt49wmI2xj6TsoaGPq388c6CgLwC
UEyvz3q5PM65xQHVQYddI0TruClP37VPq0hSW81x5yH9Wsr6rYlnFmndrp2dtz2S4ylqWdhbcwxV
Wvhlqu911JJggyIZUe8lud+AMD8WdXTIOrZt2F3p+i5gHW+fg/ubWpiFJRH/YzEXZjBhu1YrjtsV
wQoXVC+sOXgkyYuxHzLTfqOAt+4k5xW/RcAVXG+X5+hM/ifwY1TQIGYjIrSYIim2tLAaZcfNlG9j
E3q2r/6MiIPS/Fr6dybvoYdFswwOMmHZsrUklVh7JAhiuWq8zzrNM2PVjX3bLdVpq5U6J/KVrjIN
yI/bjiEx4QCRzBsuCSepWY94VjJkqROIcXF0hrG262AjAt1aUcMVwuue+EORdUZzsOk0mxrUkOzE
iphIyvTKOEza4E16v8lmdWdM6c400+PsGIdmrvdNG3yBDbQpC3nbAYmrht6LMQ8b+Rl0cz2LKKgO
glsbw8Iskj6VmfQ8JqEXV829MsXr3naOUcLlFxoHkDXrKDAOSFcfGlA9eh0/ZnQprN7YVWb8bSKr
mkbrk0zVu+ahxc+3Y7+Z4tBrS23XctvYdFI0u/MGnTtuDL+IaKxjvLzpbowq9DDF3fd5cDvG8Vrp
2nt98r2eKHCa9YMiz1sYOluxSzqHP2/qe5kT00n1nQiWhqFDHS74EugSNuxkLC382jDBcD2BOmm/
6t34VDnzQ5eP8grs/IZW+q6Pmr1CHCwiLcq4Xtv33G7pzg8lL5SlJ9BMW2rdW267gz6NP2nJ3czB
eCfO76nWD776Lar8p7lMocdLN8gZcEeX40qEIn5vH7U42KfjrRnm35Qu2PpStEa6+JPcEIKb9pEy
xBpA61pEo/7crpuSVeBEj0ANvYqo1yoCohrnCN0JycbwMGjtWsxh31b3chY8ORNSY6qzFT8XzQSG
3KjyaOz6UbuVHP4eJCqK0a+R+Svi7iazX+oet97IWOsONnpyhLtQu8dFxJ19QLjoMIDdfJotx6tb
4qc0dQd52opARo+dT7aewYn3tdsGjA4Qz1effMR32nsrn+76qL/R4VRbMd+UtRZQfwZrejTM8c7I
7rEjfMJZe5s330zFWFdD9iBqRrZPWGUMW6XUDkPW78spPGjcQjjduWGUPM5TtA6K4SYnOcU9+TEn
YQXyYLtSzbTxwyHUm8Nchs+iFiLWiDlO24Bjqh84nliD4orNnGY/WclxauatLmes18Fz9HZvcrq2
PuuTAjR+4ts6NNbi29RS55mZubZC6dkqmCCJtDNK8SdNdkpNJDe8sKVfLx92Hy8/oXFIExglRqCz
qB2eXgjwFuOOd3eYWulZ5AOq3oGOljZiGeSxvovA1lnWvAVut218wkDNuZKWfjhweQSKliZVQ4Hl
kxfln0Ku5FrWRsQFaPTiLrxOVX3lG+luyq5pyJDpLg9AUYwxQZjJtPRhFSzeF89tXGOlwHZ1Iz7Q
VaH1OLWYzjbhkyXPrjYTxjd68igZoVdxDseV8qkKx29VFT6VtG7QR1APfikd+3Cgx0AqPA4/TD3C
ISYw13pBysnZoGBPu5p6InXJlI5xEh16XPZWrS3CHDG5JGllGWy7yNgpIOpGGplgerf0NjDhc46z
KdiQM9SbctoOg+6viizZ+X5HK087FJZ2WyTawdCoH1nRE/nHU8PWyerhzjFZURP64TDsadnT9+wn
/bZIg9yNQnPVZNa87sLgc2yj1Wqa812uTHdDKzLQlDNKU9sRGian4Jwd9dq8HdrwS65Fj1JSPCCK
kK/s0fdqg6QCtY51l1mcsazVnMRR9Z9qxX+WE9RaBzpaY//29u1ERp1Lz3haams1C586NYDZKac7
XW9/SHX4JzpF9GFtbWfm5YNtdvue7StRimgC6QnBWhMEi/9cmMZa0fgCQSUdsyT43GpkhGSOEGtK
z696OmbzIYiy7RBh42PjhWqQ1BlcV8BSDmpODlz0mwCdk3UTBE9VK284kbWEu661j5LqPCeMScns
UfHbjTz/D3tntls3sqXpVzmoexqcg7zoBorcg2ZrsAbrhrBkm3OQDM5s9Lv3Rzszj7TttOCqLqBO
o4FEXlgDRe5gxFr/+ofirNGtE9PXzz366UJj1MhH11oaxg320WTMG5bZyUyzb7m8ovQZvTPsujo5
qZlT5iq+XrdZUYtbY5SB6JikKaUCu9Y23365nx2lJEsywU4Z39LNNsVRZ3IoLurIbflCT+AsjOAb
s3bWIzgLgfc/C7eLNz15okbSagHyaOuIMDUvkBDqY+9rX+C329Z8uHaUnJCidIT48sLyUNp3xKjq
8lOeezeExVzgyXnFoPxIdNXZ2nhnbMoLjVStd08JxiQB0SsqyLVlZuRdXHWduHPM5JrJGVqwFgex
niGl65WXuNvdri12khU5roRpqJEub7CjmVMcam6+raN46xaclJUT9uO49Wp660rbylock6uWBH7/
SNrkdq23YbqlAW7FS6Av0WllWCdA/idkJn9oW6qTZpkucjE5QSWEDLPGImfWyz76ckh2VlZuekYk
p+tJr2T8Ru38k53D0zFsZVhmUD0dYvUd8FaJeEEgLB2pjniYHLzu+gra8iwHnfj1zvzj5ZjNIczg
hQb4pFN6vTHrqZtMVidpkBjGr/VJQtfsSflpXen19FYA1U8OAmiuePwZdGVrkMIBWk3q7zqxHMWm
YtMvaLBVKgaScfQ9mE2YGvmjPic3o4dzUFIepaSsT3529e2e/wumgP8Z0/L/hn7kHIl/PyL89+Lp
k0w/vRwM8v3fx4KmgWs42gEITDglY9zBMvo+FTT8d6uqcjUcZPaPNTLH6p8u5Hglu6v2cR3/rl6V
tKN/2Chb2JpDg8aIBzR6dZdzfmco+LqtpaNm9IGLPTRkE9kBhmKv13DTN2kjuygOI7T2V7nsiobS
PdO2VVFjP/PioVx+xw5exth+DxP4J6bA5UATYHAzIKWOgTx2UEgQco+jw5wTAKgq+2Hxu/RJJ8MY
ClnbV+eeZvfdbvQk/KaqNMen1io9SBSxOVzM2ewiMJFFtARp72TvJ+IJi22ctD2VEREqV3bP27oh
aj3VwwibQ976rqzCUtbj8dDrUoap7+RGMFHmPOSYK5KxMEcOx69rqpmq0agIeifN/M5JVFkHhsqs
q9xV1SVc8IG/pcmg8Oa8c6GNxHzYaLaXPqiojo9HUdQySHAS9cLWzsYFt8G6dgJdgRsSdkg/4FvY
woXzLJK7ltbfCHW8MuHPynLyQEk1TQ8XrbPKjUEnI0IIR8NFrIrqnkAiUFuEPdexFCo7yizauhA3
wZpqZWxw6tGhBGqB1jfN5TAArGEzSJbLl4xYd3fbYcn3SC6B8z6JksXazZNyHry21+ZgwNfHDfzC
HF0CrWVzh+5iSsHC64ooDt2PzthXJHDhzL+EXq01H4lCje5THzXwhoqxEFCv9XYMRpT1Zphpi/7J
1knhCMzE8O7NmYYDdlFXPpUEOK2j2hkWdN+05KS1VH9DOMW+cTVqcckR2Tmtg57J6K+y0XJx1sZd
rAutPvU4RIU94MM5uT0jx1F5p6xaKLmemsFEPJPkbfIXnAVuXC2xWdWE+5hM4EhB2Zn2J5AbzQyL
JbM45XIMe3ZwXpvLmUjBp0yNvR30Pg5+QZX2kxOWdjs0AQYD5i3og1qI3Z683dA0S7Lv4pGs+mok
SqmrRym5fzurA9ykhvdwMoolaIdSNWGUVA7GOb7YSReS+N7qbPWFXPYKbNtEuJRDyivOPJWMfsjE
1v0cZ1pmBHMx6x9kjJfFqllXy3auh1Y/MnTVbhOjGPoHe3Qo3sw5wcuSBN/O3BaoFB/jZJqaIKJK
awNVKR3oshH0RnY/m04Q2aNfHnM02hgU2cVMrOhQGl9z02Xa4HamtIJMpuadE6XlbaEv7keSdDL0
0JVfi0BPoqwDBZ7JbZmMgoGA787NTZx6HlV5XPbVrucK+dbMbXMCGU+pb9TguV+bFBJyAH0x12He
EIpODLrV8POpkRAQSzFYBxqGkWS5LI71tYv6EtkaaTYUJeiJGAXV3VRtXBReYgseZVtBpc3Y49F9
+lpoFXGWHneomzt4RtCCtrhA5eeCoGMrQNuoTrg++eNlnS5psFiEAIbQyKwpSIxcz8O61rwbJdLu
U42KJ12dXyqxTbyxeBznji7D7OtIbSJuiBHjEltfRsspu/OsnkW7m2rVVvslMVLnxNeW+AN4eT1u
TRxS5M5Jm+4ZnNvtQlhSunWOOCFvwmoaPEptlfRxYLXLQqnpFu7j4iKA2uR5KuewLgZ5HftJ3oa6
KoZLxy8cY7s0ntls4BWKcvNfdaD/y9F61gLp78/sj1/KL/LliQ1F7s8z24HJw1phSMUkloNx5Td/
P7Nt4x22FZzlOiAd/1u9xP8k8vBNf5zRhvmO8ThHHc05MTT4qhwEg/wqKIQ2+1VHTIvCf5CGvnHp
acN/kAxhHe+k63tfkZ2r7QHmVX255HaSMsbp/Hgg+3UqccKJm1ZLzxCGlgzaRLm8FwvcxBXPyNcY
JVNr9qbFzD5Is6XDENYsoXCLUpYfZ3PAUaKB6HsPwVR89Kp8oU2I8ures3CsD+gKMLgI2Bg0MYY9
zFHvsRusCqpvpDyb0SbseNnEsIvmmV+SRMNwa7hxle/iokkshnmtyrSvedHbpQrtITEs9hbohznE
TC1bXT7x+iRgQI8NzQtHCyI3JAiwj13TyuSs03ttPC/GVCabpdDNcSeKOaN7tBavvXSoxu1jOLeJ
JcEFlbO2RE1effI6HT28l7hWTAqWSL1kawgtLwIlcgeqJ+BWYu6zEXfps6TvunWmik0MzdjYO5/g
eHv6h8hPHRxTcmWxiQSpk2oyOc1UVpV30vKaAYCzndStysfJWOep5SyhfUflyv8ldHTj+3jPlaGg
gpkvlqIxkytmY/7jhDlJfRxN1ZCcgy8A0QYjUFCmNpajUZrscJLJMw5WfhmRAWRb16Qz4SnWtJso
riFsKMuEGdhvqhGmplYEWa3i8ga6aWbPfDBCVITVBuaCB/3wVU9hq8MWWObehHMu6yS51QhlcxFK
EQzpD5vYKpmYB4PT0dicFQ2mTkNQMXnNn82hGKYjhzBeEzZ719nlUeZ6Kv1KdItm3qAxkPslFSoJ
Ofby24hN+RP2QnTESaHLjU+RqQV6lBWnTUG1dgwzXZXnAtkrecVSOA8YsDKox97DrU/kWBrxUZuY
cxRWiw2tt/eLq5Eww01n+81V3fdZEbhJlSZBO7rGlaVZ3XFnDuCjHlm5Zj36D51e1k+Zm703VS3u
dU7YGedOy76qLFU+m9Cdm9C2ept9Xu/Vg9WkuANNmV081Pqk3zQxbqtyqP2PWPnE53EMCXvj1AbU
/cbxKyrUXu7GVLux6mFBPVAVp3NauB1FpdM9js5UXxXJaD+aIOJTaCY2mV6rU8PGKCjDvNEz4GQQ
ZV6OZnqaSx3cghrQooA5Rk+ANU7bpEA5lk4Ij/N1sVUFDG06m3bRPwxF12693nTP3C7jV9imuiZ9
53r4xoAv7OlrVWfqdJ4rc1tJpse8HDnhvogAbtqyrarQn5wMINZsQKWjPCtdhie57p6KqrCSMCc6
Nz9pnFT4p2kKp2/jqbGjCPKjNr8odGPKQFRwpHxgHWTjZxymfD8s2zHSL4ahLBpMTmLN/Rhn7czH
C/6fAi0QShoOyRLJjVyI+riAUdMuoUbelXjvwwtxt5RGTcKQP0++5nCuQacihv0DDMLLaUrVk2fk
nVjj5kQCmteZHb8prW59DVe6fWZqqA9KRZ7dg++XUm6VPhg6ZUm31JtqtjMTx9ou6cIqMzqO11g3
H0ZjUPhyg1ophBI14by5ynKxS+wqlZ/KNqGKyO2xyo60eomNLbGZUclQBSP1Kpj8MRnuLbfxpj3c
u8qkWo2z5KypVx+AaFLt0gUqYqr8RYzSzC7tuqnrXWdVSulHC+G5yw19YadBBWnM4lRJUvDkpsWk
lPpgGODsvzjhftKAre3Vi/bLwqcF0jyBz9TpqOsOQ3MS3A/RffdRoLKOFHYp8L3Bcll1z/+B62Am
iooWjTnO/a+7Soc+YhHWEFGFGc1TnYzzE/j4Wxbrr/EX8e1uYGavoY9IUJlGvr4KA5ehcJG+EO/s
W0f4taY7vyrkdevmU9DUeXs+gzG+AYX/oD1dnyGdw0oH9Q24pweoTzFK3+MTWuMfUQp22mTV6Mfj
bmuLJdsS5JruTd3S4FM0frPVqUWLgDGuuPv1Iz5o3L/dPP00xD3DY2t0Dx4xiY+CvGmyIWMZ33v4
1Zxx1MaB783q+NdX+nHRIN/DmAWzVgbSQBWvH7PHvplWxkITFkv/g7NExm5p57cU+j/eD2JPkwkH
Vnt4CR3K66Qos2Fp6cldn/eh9c12k8QyOpu7qf7ttwA/QSI5sGxDNQv48vqGltlB8OHKKHDQcJ16
aDOS0XzLFuwn94Nr9JqDhdkJ4Mo6UnlBXy1cR+8SL/ODRosofmI7isIuwq3czItu/v07grzKWkS9
DiR06AySoRIcYsyMVuu5BwgA0WYBqHhjHfzsjqhDV2oCcBXhda/vqHYaS0vpJOmkIB3CCe27/DQf
JF2MrNpm+N6Y/G0+3k+WHYMaUC7nm8PUoWGmO7ssezw7g9xte2jNnb/FfeytYPr1j365I4KnYvPE
xIkdkSHboVOrQH+P7bPtB4lTpTTvSX7q9rzcShv6k0rqn3/9Lv3kcrQFWNJ9i2K2D71pROdZad26
IigyLb2fGts61QrfPFW9X10AX9tvUDV+3CIhEegWFGMIBfQydCsvV2G8jJnetLMI0PC5QdHFn9Bz
glcMxsXsKhmYQ/nGFX9cJVwR03IOfLY5AM+DK6Yx1DnJFYk1qXaLYLzFEeGHSqf//fXD/OnNrZuG
hf8F6t91Bb14xRxbtgP+IiKg+p52eT6OO+i7/QfhqWoXG1l6C10T8dqvr/qzG2Tx8xasDotIN15f
VblFzA7Si8CDIbDX6rTdmnXe7Nq6aPe/vtSPrwB4Kbs7/0dkywf5+lIiZgOk6I0CY4j701QTa53Z
Dm/Q0Q7X5HqgYeCzAsHUVLS0r68iO6/NJ1Gy5oshecpVru19o5Tbbi6G96WjRbtf39VPryeAtW2I
NesG/Pp6WRQXGHOTP+0LXLMTGwFvz+j6YWBb6QNbxOUbj/HHdUJtsE7P4SutJtPrJ/pinaT9oq1W
LF7AkA/xm4SSB0Ap8g/AVeMJXKkxD2e3GX9X4k+Inos5C1ob7hPs/+BGma4aau5zjoCxtD8U9WyE
svCrK6mc7nk29OEGOvNbodE/rhkTYvxKLeSAwy/uYHnaqT8LrfX9oEvVUJJ+q1tPJorMza8/xB/f
ApO5FyQs4AgwffPg3gpqLyKbTB+sNbGOMej9zB5U7TN/in77feNKfCQALlwMycvrT2/IdLBahadI
pRvtR9ppVQf20mIJPRj9Wz5sP65NamOAEEJ9dSqeH5wu3Vj1hou2sYqKvbkmS2qteB5jq90DYbxh
/f/jR4W7BdaWJmM9XMIPmV6ZqFS0aBIhJQkWoT5F1UZzKv+N5/eDkNAiv2LVkHFHyM+glL1+gElS
T0Ui4ejO0YKCp3dHvw7Ahft542qV9MNh9nim2SCSB23w4Mg0ekvGo6Ulot7NvB7Omp9jlwRfS4ar
v15IP30Ia0mB//Ca5XPw1zl0mlFrcdeidpvQjXp9N7vRW+FQP24BjuMLxlzURqzLQ/mGh0FE4vWl
FyTkdp9VGOhfxjqScMNr65tZdM1DikbmjRCPH28NxR5BPewBaOu4v9cPftRE1JPjAjmax7pPnLnc
tD7E5l8/wNcURbogHGi4COoh3jDTO/T6tGl9u2zs3UAZi+eGaZEDQqVk0zcbFZmOdpE0GeGWDg7q
bpBadf7l19f/4ZXB5R5nNGo1fK5WP57XdymWNi07t+b6danO+ngBtrCVMR1NRBXjSdGlb/m1rr/x
Zc22Xo9XlHhZimj4cAd7T+9HdZqwzQeNSGx5a0cVM0HOjtg+Xoxs9N84H3/4GJlTujQ+TEkF1z0c
kZq1BQ8M1+fA6Mib9yNGWJjF/vYhtV6FHZUinu0Op7nXj7FQ4+Bh8e1gppG3aCAqY+/kdhsalWmE
Vl7Wn5vIGd7aGw6R5e8kWt47yicu7x9cVS4kiwx27AW5H6PCMKaH1DXupC8uvKT94DD2hKMS2mL4
kFTubxutMvJey27AIUpUVCoHL0jXLd1ozDC0Js1RW83Wl+MkznoGbs506cJ0fBRNl101bT/utdZs
j6BejY39+dcL+ODzpX6EZr3+GVR0TKwPfY0yo5LI8pcyzIT0grpDEwEW/psmNd+u4kKdXvtbyD6H
Bn9FHs9Lnfol5LFmDtMmIbFxYRr963s52OdIIDEdThMqAEpU3HAOKsZUmvgwmqMK/WXw4x1DMf9T
16ZeEeZpr3o9wFNfejt3aL23/LAO3sr10lgyr9UOlTht4vqnvaiyHDOuvWTBgQRyq3bNoTGYQWW5
k7mDbAQ6++sb/fFqHGs6JeSaDcSptn6oL67mgo4hzmC81sVMIHKeOly5POvXLPLRe8tQ/kAluT5I
HEvxoBMEIOFOu2bTv7zcZCyRSo16CHEd1WDaGoMvobqrVoz7Qc+m7qTP0PIj3lDu/AF/FdPcuhJQ
fu/6hdZc2MrHmQL/7GFwPykd39qNPbRds+pgjA+DW5WJCrx68t2rgnpnOHZEPSL2y43a3xGyScA0
3FeVVw9RptvZp28P87+A1PMvNwPkg/r7EWBQtbB2/oGm/x9HX9TyJa6IJOTZfZFMzufjz//j39Ze
4TuNB7IOYgccNwSMLxrcFW38g8bjvGP/JO8MqyKbvnAtYf6k8TjvTEQKNMJrhs6qWfhrRGibmAUw
2VvZXOuEkQ3/N2aE7CGswBeHIu8buW0rYEJAF5XroQ391Mua7RrBlz0AOwfpZDNvicrCO4f9XCDC
k3X7sSMkLw8WJxYO3Imlx46ziacq6KZuzHYZlLplY7PbfsL92rhtE5hAmwgrOwerKaWy7bSMjMIB
2I14O3kdBCHHLBrvuHaLkdTHYcLvcmpL5iGTG7XqwtEnJLN+O+tfobuMBT9KbbftB8LGeV214k5z
2hWIc814CaWTQWiPgJNPhNnpDtRR07/D/jq9V1D2z5Tf+wYkWM+5GccEhkjk5GodF0xEBRc1GuXI
EaSfVbFpHBnpwOStkb5+4s0YJJ13Pl6j+9Js1ak3IKcMBq/A+lT06jS1kePppW+cpzOiQtcFrA7W
zISLsY+yi3S2igaDjaEuVxZByR7TL82+y3Vzy1+fP0RxrE4L+JKQViBG4gmQjyCz2AZAGq4aJm2B
ZmXNtcKT/Wu7qqpOC5Rz1abJNV/f+GXqpxtrLJS3bYYWLJvQZT06oxVPh3B2dJycGr3ww8hVSUyh
7KePIyEbA4Y8wn9vJbmThE03OqBYQxGfa1nrPmqqhGrQCzk8V7kunjW7Jt6bnLjmtHMg8OAoloqj
OMo8H35mmTThUETJrdAsRwWjkJPYIDjLL0qv7C44e3UtML1hKiC/r7LCxOvGAR9Xwzxz8zp6NIkM
m4N0ZZHgoKIf59nKf+JwV0clIZ4q5OH3HU56kkrVKO30FugGrhnvRX2biTJ+kok7FkEfVXQqTVku
96WnjDgomXOi1Z1JIODSur66jcl8QJ6uO5fLkJYGkbJMBzbSLQQRmLYyo1PX7c0iWKpKCaQErnGa
MZOOg1qlKUq2LMN4FvJmdzMs9jrOE70ZWLOfHRdqrjLEBk3/VGTleCHcJX/C2Km7mFy3KoJyiI0z
dFmmieeMG910vopXM6AWytNgY1YGt8OwsMbS+pEDAAFvwhuWleed1PTbthOdzXKtx8c2phIJF/yf
ltCWJcgAQ+zkRiO9HKfxdPae02zQ7j12AKy4+2y6IvfRuOwn3e5CBlnkS/gmL93O5Yf3EjCDRGsk
FsbGwv/N2jJotZYT+O7GndPAR0Z73HYfPDOCOqbsGV9QNUthhDZOZQoJl6iyjaPLWsEbIncQxts0
WeEMrPFZL1YjcPIml8scaf89hGjz2Y9K9UWOVmNss7rkwc35VUuCx0OJ1uSB6Xx+bWG8hewYPjNk
7impx3015J4emBhtXUcDBTfzaaO1A8OZYmz7jNktdxZ+bn6YSb2D02BE8mp0Z1g/Y7zoELDpMay+
vtfabnmGEpSLoGdUD3hj6PCUqlpqzB2HYQ/3AGFah670pAOWMzdegxvnWOf2R9gSdbJlrmz0rOdR
oHixlL+ZSH+2Q6zf5luVkWSwzTwMNeEOc/mdN/c1UznNkE/FXBpPcW4x1UwYEiMat/seNmMkvXZb
q1F6p07kG3eqb/Bykq2LxVME9npXUgnBmo7y2NloiXTPMLqfeNHMRmuCbMnHZ84JnIecqlkNvHWz
PtX8pVIovwyGp2TkoBTWPGO6byuT0sN3Ugb73dxXS1CToFadgcnDePYnCwqbNq1uQNmid+VFGSv5
DHU4g9GPGOqKAO0ypcRu3WtTNPqXdsotPbQXWqcNxjGcBku3mM1KiVucTdr6Kj+Bi5VM8OSjTMM8
GTJDQNom5lxenVVz6NcYZfVD7GpHA/7NQ9gg3a8C8hT1O3DpQuxxRHdRAeBucKMVOZ5ppVsXzk6D
YXPBwioxjcP0oL5q0ogwING2qcKcLDa+znIwC0yuSie7WeqlKE6YmWraretrfDscRZuoKq3B4pbo
ps47jX0nxseqNnzUYBzaj/4ooMTh3yTQ3wvRiZ2G79UFPgPLdVXxmW6g1PQEBAt3euqlLO5dGAH9
UVVF4jTCaKULJEzq5y5Jx/eD1rnNKalJMQ4X/vtE7yUmEFpSQgppkSpvoj5J3hAEHrT3nOsMUEG4
afJhEYvD6ZstR4edPGVi32UtUbdxcsy5LTYaeoStmUkHPzZfns7AN997if9fFf7bGpLEFPPvC8N9
hdHTP276p89p26n0uXtZE/7x09/LQst5xxARBB0Z6losfi8J+VcQA1Bfi2aetb0aI/9RElrWO4Yj
q8icD5Rhmkfn8iezG9I3qYEMQcm9+y1WNz3dQTno0BqhNYGES1wPzlIHg5+0bjQHuEYPm8hfOE9d
HAR88haI7D2m8NllJmmmwrh3uvJS2RTEcb+dK3HOjmcjtmlPndI9Ktn4x6V8r2nuSTXYFyhyT70x
vyOh+EJPltthcqega8RJQYNO2XlkcDD70nya9fhE2fp1ZWMUrHFqcNA4n0tGUCVBjIFlfHW9ODXQ
Oo37oijqfZVlTyLP3S/1MLQrYck0bifp93vHabBno+U6GTy03WNmWMdTwrBCL9z+rssblKNmMaF8
iEz0q2UdarDHrthhn/L2U5zX1XuSiqwgqd3nWk+nTZI5GMWqtjyJfaSAEmfA96hJkiM7axnU14C1
65zMO4aHVZARr9zrac5vYt2pnjERXE0TsSbWTN2+6LLe2cGXkaRj4wlLanMToceQnnOkS3HflFWL
4abvYeKvjWENn4diTkES0etLvCuPLaxCgrFEdVS4Whei6Kk2Su+Nj06BgKvim2gvT/Kyja/8sj7u
mqoJSjRqAPthVOV7fyi3btWfZrDcYfAcr46GIj9tx/zUy+SxZ6lQlXdt1x1XngWrTdKJI2Jzlos0
bcjPSaIwi5K7OR74huoisYl19NmHg6Jun+gRdtLsL/nsP071sh3rODS8B0h5O6xDgtSWx0uxbxsr
1MSNYAcHyA5dGNE+N2VDr8l898xINOLQpv5SNrP8WGdopuC1iI4dGf7ac2txwmROsmwNu0Zxa8r8
zlpZPYWMLsg/OVZLoXaT1B8nAg+RldY3bTzrR1OUZe+b/NzSqhMnyr7Yw2mbZDvetp3IYF5o5pLD
VnBuBqg8rOBnlbfFpenUzlHb46iE5iuP+BPLZtCwEGf8Yw3zLjdIQ7EM+ZmFoIWLmIwNf1a+M/Wo
Pi2L4n0RCRhrZoQgt3HOJmWWx5Y9Q67S7SUUTctIsIuR5S0SmUCCYYU/PgA7i/D3u/V/tT6cJE+E
Lz670N9vuh96+fQzi71//uz3Lddx3gGVIohd6S8rts6R+X3b5SuUjd9gIc5NAjvYW//Ydk333YqN
Q3vCuRzj6zWK4o9td/3S6rOAhwJ/IXwD93c68YPzGqXOig6sBwKjHQbuBwicYZa8Hg6WmgISft7b
bTBWyUNm5U9ln6i9jxpghxT+xYO6/N7mvxTWGJw0L7v/b1elybG/kTMQzh5clX9IXRT1zsbAJyro
EA0FiYV75ZyWJ4OdXsyqKgPpWvusLC7xFhdhW5bQDlVym7HNbjhIllBHTLz7/bX6/6Zp5B+rknP3
71f0vz/1/zjv21eI0j9/7q/VjLybKoEsCIhPBHC/WM06YbDkFRN+B7a6eoH9uZrXqkNYzAu+TR7W
auGv1cyX+DUkRHNS8c7BT/sNXOkbavsCVmJhgVqtozPALVDrw6xprV+qcU3O3jRdjALf8Lcz5mRJ
hFeWziG9dZIs345OcuMb+Nwu7ng0wIWDv5zvbCfJd85izEf0oceSZiRsHa/6D+yG/2+uMIahuk31
tg71YCeQjfbLmvV/XW9vttd3283//sf9l7b7oihgoc6+Wnw//ZV/FbJQTXVsj3QINSCW7NV/FbOs
P2PdViFrYDv5qphd7UlxK+GnwMXX4d8/i1mYb5TAMJ2+7bf276zD70ylFwvxZ8/iJQKvut5SRamM
MC5XiwMHuy3DTbakwSxHaZdidjwOyZ50wHOn0K4ye7iLenfTx8Zx69jZiQ5KFqhe7gvlXPRDHgim
v73fXuRNWzx6SOYxjrPJEmb4HJjI3/cUt/cWWTBBCgByMhuUq8jN7Pd67qfbLF2+Fk780aaX382L
N55pRUTDT/qhXpTXY40EqkQDcdV3M3bdQ2Uf10inaOLIn58xyicUKIFx46e48g1YjF4rk+o4mQxa
yT6d9jOChKAQBFIY5IpVk9gq2Z+3+F/t/EHe51lSX9qpBVTgMY/EEP5DZVufEpVeyNK91kFuA+zg
QqvxYHNnyUVliYulSu8IE7jKNOOMedx5kpp7hBLLtszb/sxh9B8SZUDcXVYvoWNmlLXCxxijN3Fi
0c+tuvwKrhSFKs5AjibzrOyXs3nRSVWymWmVg4eFmQ6ikBSf2si9QJTWBrGnaXxdyyFsK2cH0Exp
2HrHRe2QGYkV/hnA9bQ1hjlkNn9q1Th+RdK/yaPiuPK991gRgNp21fRFtc1XSG5tmDjxOiadjzuj
2NB3h8Aun+poOo5yxBvmBh52BugW0P9sx0i8l2nxtZ8VM+IaCBLEDMa/UPV7d4Em1he6HWRZITZW
okPHb+OuPTZnHUd4pdkXUuVlyIRH7W0eIXp/W20jfTqqWkPcjMYTFid4LCSY38xpcpPE5kKFLVGP
OhjjYIMbBSA02X2aLrdlInCJJ0CdoLJo28ipupyhmZ91ahwvl1XeM2DMcrLI9mPbJv6+rFlxonge
pNXsIIbjJIB5mu0M4oQaPqPnmOQpBoZnQtPlXhsmAEawIyjynh2adRNOJpLGTA9qE6dHUb7Ps/YD
o6Qtw48NUoAgU18RJOxIjgwzi/hvZMhkxFlhL/HGq9MgietjfP1CNT82sxHkfbOpNDdsZ3nVSWOv
oJEMZX3axGYo9Y8D3Y6fTVvgiq2GoHhCiBPJhgxmh5fDv5w8jAfVpZ5M+7E7yXzI2hd57wWFCx/R
urNTbDtJt4w8HU8pzXgPLmIicI23Oi7/ElRP3f5frE3+GyrQqTR/UWrIz4gGXm32fP/3rd14Jzzm
kuzR8DOoDVY/r+9bu/GOSS36bx/LBHxNIYj+VWIwn2KIJBCt/2la/dfWzpeYckFMNNBFMD3/PazC
P4QqKJOxnl35cfAedFjgr2erpi+1dbSZBVFU6U/pkIlLe6qmYOb9DBedkW5LZ3wcdcK7HUTRHa3h
trdRU581lh7vma9u/W4mYqk6zsp5YOGMXmAPRIVNCrg7dWxvCyvF2wEWYkgxDc+lrh5Jpxk2eIVe
RSgu98IiIGvq/SRczCo/Ltylx/FHVqQc2epRGeljM3kf65HXTlbW6TxFt7qbWDvZzck+atSp4ZUa
uKe8rV2jv4B2+yVC3d1UC56Vsb0hA6u8b7Cb2bbNLE5MwsL3ltnNW6M0CDTVWi/ojKl7tjX9mj+l
PB/IkhmrUWEhzSYqbcBjVc/m+3jx0l2JgRHg8oI02U8RlY/usIm0yiXutzvtlKHt5riXW+hAy64b
VbytK+tzZS/RJmU2HuROue+9ZPiQFfW1Fdefo1y7t8kQ4EmnzldtMk68KU0+RLmyj1AXH/kVOwgw
ThPWZb2cLIMnv7OGfwtr/M8YRsAqf65qyp046f7n/kt18an80v4LWM+vTP1fvNT9ij6+eqnXH/jj
rRbvDNi6aBgIubWRqv75UvtoV9fkYhg9mKDAbads/HMe7b+jfFtzAqGMgUq+6Bts9x0UWTgVsKuE
uc6qf6tec78ZR78o2KgHvzUvhoNHOd3/IUMji1P0D8uUhbo/RCdtX4Z+MWORJRiXJmJniebEV+1e
tzDS07HZsVHQTI8ihf8D5u+uDgcJdlpzPxNGk+S3Y1ZttYbVHhMUk3yYTQq6JHH2kQU2XlqgU6nj
hn7OwVWY0y5NP7SzhcwRP68BKzfFGMmtGJ8a1EsekBfAXGDmD13rVGeW/6RUfzKbmPQkUR7Yk8oZ
hKebClA/8xQYVn0y/R+OzmO5cWQLol+ECKDgtyBAK5KivLRBSK0RvCnYAr7+Hb7dxIx6WiRMVeXN
POlQ5YE97FyT+7F77yaRV2vrXTP6YPAX8EPuQVYrRGp9vabzTEZzNXciFpSVMLzElhtp3Zm++KBb
GVTBcdXL5VMZ88BKXOyk0W4lLTxdjX7Wxx/Tou2JrqWByscos+OwS76amgKS+Wi0X/feljbzPmD3
oFEFo/k51r8tO4ZavU/aKMKlEObe9SsKLkQR9E5/xP7zKssK1Nr8OhbWvxW3Dr6v4rVZj2LxaBgp
/K1XkPvsoUzldUO3jjr5hbZ3JwRcw9+OVpEcZ4hoGz9HMJ2fTBUf57RWby46YO+9MI12ZcfntD3A
U8aG1/i1y1NzU1PTvSvqNFhzN73J3Nl2qb7XTBcgbPWgqy94bf4NspD+RoeFfDG0bDzrcfM2DCK4
t4PSXxPps/duDG1Q6ncQRXscSA433XOeouSxsQrocmJEmwJfchKrJJbc7EsCkK7/s3rauejX01Cq
KWxVG/XrDOPd8sJiMQ/3Mo3JkxlTu/5OoKvYKepd5OXpU70uz7OVy5+VWrb/vPYdREFgq+Wb9SpM
Yu+RHOpjR9VvKW93RyLVLwEngdA3VRJWFdiMqgXaEZDFfhDU5fWd9ULLQP+GX+N1KYs+UKSv91mz
5FuZkz0edPhjI+Y/ZRobwEMhA/yNXb/arhfN+BPW8iac9uTE2rSpWB/ve7009y+xoeP2SEL0zX2V
27fWj9+ahq90kUFRHK1SBH1R6qAbdnODXYJsspOcW+fAwG1jVjqUB4BZWhMm2higbL56oBxs9zcH
I900p4LtY1+ld6xx6NknUhZbFrOTcIA5+P2LSP3nrPy3JqdkyUnfnvhRRgnFGInJCoHbr9WP398c
DmJmOoaq2Y1+G6aGQig9UbsXqLHh9zeW06wNP0Z8D4ZLtbHSWyz492ZF7rzj4EHXz8rsbdH6TS2z
V7nojx276+XeXLRa25Whv+FsGOUbHKXkxmMyAaD6wadLS/rti3SSG0ArU5UHN54Ew2JjTxrW2SS0
aQUily2BmGQMWlPttV77U5mbnWwvfzSK7gzX7G/Osq+qG9NoXfKPJlmZbKY6ng3z4gsai0Ytk2Gd
28s/Y5UgNtvWu81lw6EzrocQAg0HKdN4Sa1pAuDt9Ve0wnGrtVQr6ak2H+ZOpVBUAMvVfvcoevu5
M5unwpvPhd/t8jKv/wqyJ2+lO1OZg981AKf8QrcsP489Q20IozwVSba1+/SY6P1+SrXzWOhhR395
5/ZfrNwMqxm+4tv5MfBmlPFw6hbtOR48er7yTxjLmzypB9w9E/ZBqDwbjYBclIz3qi/NwmeSRIn8
jhWQt6amcWYS19r8m6FKz7mjPkbrBBJggxtnAhzAiHJykvR3jmdiQLahiWAF2YIiVCx4FDjLmW6H
O6Za9a8Z7MADxpt4k9ZeEzGYG0C061Asa25T6d0HuL2thb28H2SWME8sTgrxkGSBKT8q4b2kRqeT
QNB61olV/zdJz9wQCLU2/SqXiPbASMp3Zt4fuYvnNI4/uuqodT6wtOy37UFjx6W7KWQOhuUm8v3E
w0E6uoZt514z/WgBgBv93WD+Yyw/JDwaDJtMeVrYeFbJ9OXkVRrGXrwvaUooen1bcBu2BMVX8xuC
CcepOjIzBAKoksWMAedOklHWHWkQqHjF2GOk0Pk/et5nlA196mw2XVklTMksOu5W2CSl28BT8eYn
PBRRPncPwlsf8F88pbbzjLrDYU0vCaK3lXdx2+yLXNQcpKN68Ph44H5A/jxn4gHODkfQgJtEAFRc
vRuA8M8qy8Jkrjc0KYIWfrCsZ/AJ3GD6JtWTL6ZjoWC6pw3FLmnUBv3i6jsU0DWHvnvok494kF9a
z0Mtj7hnAxtvz1h1wcT21q/KMHW7sNCSi5yGndtoZ1uVn5mrDo58rcruw2sX3EPNcsIuBwQhMZeI
qAGWyBgmE+6ybeoP7oVCAMzIxNbSqbs7y42Z9P/0oM3FTfB3H6y7/bRKEprd1Lqp3EudzDs39QHU
ppfS8kDDc5UX/9daOiiD+EK8zgtymx6ttCx345SdVC4PIxS7pGWbwcBgYzfTdPBr6IvoQGDTreKz
0ZoXuiB+oHifFBgJZngUo8BpqLiD0UC3zdBMz5TPb9PC+xUKOqJIrN/B8d8Hg0PznAxHiyc/SHqx
EpHunO0iDO1EAzaIAFpPmaF6G520l1Z+KkfjhadogKgYjFpz+WFQ63tQkhorKTxFRdeKbMWH0acX
qQAr+D6uWC3bMgmJcrf7sM3qheqomyFXYyuHdsuYEhJPhmSDoyLbWbyqUsr+DFb4ogFXtZqn1lHb
GPa5mW+asd3k91mrMx1cCicZpQIQWbNVBbpgZ7I2UIqNU9PU1zE/AMrLAx0T8k66fDsS5EJdHIFK
7OEU3UFEp6zesTtoRjM7sIiJTdHHW+SXHS6QEI/MtekwV+naf5PZBa3vhv6S3YxKPrdmdVu08Soc
9aSlDXUNcfVpWnc4o/NcyOFT1/+qytyNzZ+xQI3tT0byndjjBiLIYdaB4WkUSMpyVwyMwXlsdLZ1
9Tltz5P3FYujPr0ZPNFxzUCvYtx5tJf32q8jqS/7It/7jBRro6Z8AfCX/4YDaOPN3whyCB5qK4pL
xh+cwClyObl2FhVuNgcse1M3aj8bKctF9ZXfN3iDXov3joIFQVtFY3oBLAgKJ6iQFDO0MzJlJ2PF
7DaBQtHG53z2nIjCciJJ+Z/u8SiNxSmx5oeMoW3gdtMlTw+0TZ9UuWCCq/QLKKiQUrd/mJDwA+kW
O5lmD2Vgq8O/Ypi5b0sOwqLNQmnXaEwNJSGC7Zv6qVu5n9cRIP2kMe0VR5E5hzIpyV6tams7zatH
89ngySejPwua4dZU3Mbsz9WLcDVwiTX6EWrH0VwBMBsiC9fKS4NuYMDqjm/URbP/GKI4i43ABBFe
2/MWT/wbltVDxtbpopVZiwQXG5u+4MVppshOJsVKUTJVygnAThGTgrvAtci9xoNUPAZVfzTt81iB
zLBL88+J19dm5iNg+t8kWHue/NyM9w6HZDoUxGPDQR7Z6ma33Y/j6Uy8FdfEUc0py7WnsobKstCv
amhgQ4wr6u1hbn5xZYWxzcGhQrA7lhQlCFbbHlPSuL7WFrH7ji+06Q9m4YfpKsyAmsWzXvZHo+ve
gBbvieW92+n8VrjiXGbGiXViM3Pgzhv9hIwRZiI9E5jdC02owFjHk+ql2ED5nnlnKyitbsU43tqm
KQRyUYg2avP0JB0dEviIAOwsASG5TdWML3m/7ukMDDnovCx85UBGQqAfiHNr/TDVwqMjooSeMg2v
XqXY6446rd35usutdoG+Q/NHPnz3GaeAedT/sXXtPp2a9z/BIv2SYCXh5TFBeynEcLekLnXIomuH
cV5b9HG6gpZOTZ5cUjr7BD6vbA1zj0BlH8o8CbMhfkZeSR5LpdWbqe/a125F/AanX83uVVtUcVVU
LweO0epba4I/58NWXVfdYi+9ixHIHcPxQqf2t+5Y3of4fBlprb0rr4kfNdDh3WSKoFwHtV1i87B2
JraI0X5RmnbxPOlzw3vckW0D1Q1HroHbDtKIqNd9Q5ls2EwjBRqp9k5gDGG0duMvzfEfcx3UqrDZ
sRuiuC65u27FXPSHErk1aAucMkzPEFqaY+HHT25n6qSE2gtuuXZT1/VjRzMi9tvfLLejshtE6Fit
Gcms0PBu1N+Gk+ePWZ70v4a99nuvJLIBlmEzZ2zdpGmumxlrw85rtP4BGF69wUrBziADHJ6NPhgY
FrIu0QDG6NrRnqwXoZVpSHCaBlROWnZdh64S35PozW1Tj3KfWQLvg7zH+XungvnYmZio3V1rdLz8
WkDyOkjD3l89LtK2rTsjcNbrIIsDkJ9br/tXUEGYAQknF9Ovu8pgtlbYy10SxvLu7ykf6tW5uqNk
r8nDIu4mO9zmAAk1Tn8NaPZ1rtOrqtd+11iccYeByxavcIpxsvfbBbbRxiA0x5mo/2o7WC2d8WS2
Yr/07kMjZTSY9RW3eX8qoBBZ3ifemf3su391lod4hP/rqETJ+vibDMleVHgg35LZeDON/rkrrRdb
VekxXtJ/wAK/7a7/aqr+09XGJzJy9LtY4komo4y61fluEx4FPYsWP2XLrIZDL9rQxI2TZb8Vh/hT
6jQZHWLYlaeJlJ3d2w7OHxAgqJprz0YiH9f3TreTbQNCIZD0sORee9E0DWDgehPUoe7N8qsFBh8k
OkzqzB6ujQu+0cYeFTpjf17LPr3QrwE3b/E2lUe2PpmCVdffepaQvqxeSBluqmz8SRX+ULdeW140
jgq9Id8JAipNkryXdfrc1OUltvtLK2jELdlMtevvlBH3ZOHFg2TEgSxSxr0s1zRuckCmR8DTUTDz
HafyJ0p+tkMBkmlxl2803aPbxdOD6yV/Gdsc+l9PpZwea3369TFLhlxZDv3Q2cu1/vBWd4tsyhjM
xdUs66juvI8ur/iCdIor65ZGY+FSgCRCRkxfWT48Zmm8t1cnMO8LiXBkVHp5GTF55LCaADBbj6Xl
77qePAOyZW2YJ30eMYeNr7aotCCt3F2sqC2mHbww5jDLmPxl5sa+d0v5vKkKZ6HMSQVugj40muJ9
zRNqbyzkDaPnmA3JcB4O6eiwlXK/TbPip8fjCHTIG9rDaCJpqBjwlj8WMlgocErYoi4TXm2zNS/U
y24GU3vLGk7xjdYyDbFzPNAp29Z90rcjNuAlZSuqDlO5YCJP82F4Z0c0PvhS/EMGDwZtDY2ZrR+B
PLS0KbEv0zIr+ECtMg5YrLPL7N43J5qJgT5YW0/d3DkpkxCU2HzLQVrc1YxnU7Y5/2AuH0Mrjnih
EaUY3QbDlNZkG/of6diRr35zZYVFNbykmYLdb/7X1NbAG3OWl8RstXZjW93ymsTOXCBIVQhNkpXX
ikYmZiMLMD0VLoy4PZK2/iTj+sSvPVDf1z/XC1dw5SGJhlmDYG6q69QM0OT7jT3xDcKTupZceY2M
3NzIc6pn26Jymp0+eHV4L9ALreH+na9l6M20mgNeSMv0LbabyLOQZcbZtplixullWu/9yRyRzXz5
aEvvgHRubWurB6HYztbR6ZunjvYq2rbUErkUYEPjEkwZ1ZEmmyoAh6Age+bFi+zaLmSooGMhTotQ
awtPhUhBQVapf/j7IhvDzWM+Llv3rlLUrsVJZE8sIyTptTXgAm118JcyynDAbwY80hde8sW7dy/j
zTkL8L7+HJehCpKZ/cvgVExkgZqNMGIuo92r16XKlm+t1JO/okbsHC+y0vaZTP4xPsh2SQurZCxs
8Kz4+CdEkWPZ3pHgznEq30jkMyCPN0nLwNsb7ecRbpY+KER9x9lN5qFX1p9JRXxQLFpU2dlNNfXW
zNftFCccyHy5ntO74d7UD5DGn2YeYggUEMZBzARJbP8NWJruexST5oRYf0jzk0Y1ZoPb1LL7ndGV
L575zxyoqSpbqhXGJ7+maKKS5pmwxC9cAlZR2RymrjhlblXuxRo/5ZY8S2HsdIU0tUAT208Dt355
/17SMnvqKv1cub7aUkRFI5w0s/cy/uxz9SCGJ796kk69b2g5iWMnuSJM0ZaFzlnu2hwouetK42vt
l37T53YdMdkNW1lerF6ds/inNZ+X0TIYg1+yzvxY2qizPwSyHJKeIiHqTaSBFOZAViVtSGkUqZnI
guRgK7J+oHkcKb7bGwYKCERourZZ/UqDs4Ahn6cYQCNTzk9Nr8agLmi6c9igo9IHXuE9ZcRl8sEB
JWhjn3H8yOlEtjGGykVYkafcfukTN7R5lw0ssSTxozrJTmXDrMZB7MkQgHo93yf6sgF3C5yKObsQ
IBE59Sy+2Ih5opl88d4xT3aBHXvBrBHpT1lsWg3ebT189tq1R5QmKOO1pFdYeBY6nZh1BU6fh+Ct
eB2BLUxCPVHzR20Zf5qb/N2fKmei672WO63TPwaiYNyJ61Nb83kxoeF26OoDOuixd+2Dk+qUuGeb
fNpN/nvBvaNi/TZWzVdh0WM1UW4k2vJAxzcP9PDc3F8V2ktD8VKz2puZL5605XmarJ3U7y9nf1er
f2Bpv3ofLmT84SBKjNN2Xrz/ck44GuJnMVYUxaUbZ9F3jjseCzVs0yqqx6gQz6n6T1TfpfcB7SSI
019e2Se/o6dmpKu9+OyzVxQNvcp2LVI7Rs8QTeHSE17oe44MhnG5dy8VU4mkVvenCjh/w6piVOcO
iEGT6DtvJOiyUGafSiusKViQ1KxADw3iNve2WvruOsWWQy5foJUcRfqVCvNQl9VBmx5LAwW5cMZ9
V1HzgbNV2s6jXT975nc5mgEY4Ajq3FNVcqDvLG03ign+YFdc+6w4xZzZQCuakeGUWKM7WHn3zLw2
3px1/qms5LcxWAVV3z6WHrVGMrnhAaE0pSM2lx1KD3gdklZ97HTx3hoE9uS7nC704NB08GaY2bZN
/hSzBFlsOvFOA/082IFfvTWL4svtN5ZDF/2qjfoRxNJBU0/FxChC9c7OUQPcYu9oZdOD3jUIwkk4
mR/ZOhyydn4pxVc5L3ciBURDa5eD03RUGhoxZZGfVubt63Yi/OK7r6PdzPyS9YNVZDtaC0/NcI39
sXkxshS9SdvL3A0MhslV74du/Jzl8emevKIgnPnrss0p9yF8syGvy6LvbYb6UWKOXDUKOLHxWC/1
uFL7Iaqzk0XJ8DXSJoHYOxzubZpuh8OTzodJPzLjMboHzlGWcaraM163gPJD6h0K79Bn60FLjjW7
4zSPCjaKWVTXb+V6LUk82fqXxhKeP7QNeS13n7N/SNULQNXzTKWivrCAUBXCsAyoMU0vZJlkWHLL
3I+Fltbss/U3NundISNWYvKU6t2DYphQ1DqV/Rl9uSGKVpsr7n2OkLO51evkEbthVBrYQanGxB7a
ybNdMMFqCrXJLbZJKGuZN9HAIg6utK+SzVL8zuufMFMd6fcMzMkuzw6bT23fDEhFWzMzSGD9p+o3
s3/Hp5IJ1r/WfZIVP2o05zhDDmGMXE7OVgPwGFTaW2fkmFEYdExVFkhLRAQ0FzqhoJ1vPIzuTXfp
BPdtgjdl/jTz29qHCxX3yCsB2O2Hut552bhBHh5MXiwZ7yixtajbNPTe26RuTe199Xin7DOlYPbh
kUj03ZMGBzdMKmggwmLSXgJpq732L27JsDbruC84e7F3iopmPWBBDhgTEOym8I0rCBMV40ylkys0
Y3e/MM3ALRUHU4pbxTJHhjUpK09pBFL3qoO19JzNqJA00GvL8QEgZLOvtfY6pPH37DRfpsbZdhjf
MSnI93wq6yNGDXaERtGeF7/7LNTHqq99oPf9v6bMHroKhvVYIPSMm2xsIy8NB93bVtoVR3tw18d9
Ol47V+Nd7ATtcqUckBjml14+Zf2ysbQ2GmWTvVqWfl1c62GhVXOr+p0SC22DjGzviu9LwRxCrr0d
wVSMqpGpWstPLt9zHVX+22K8yfxiihiM8BCsmowablFCstsYT5g5PRr9PwK2h6zpDsL7BvL/lCPC
iuwxxgPquV3krpQx2UPEPmEumkNaHpYxSuMPQaOTTbWSe+kqk+33sG4EYAGsbGhQvRyeV2owN2Dy
P317Dkv/05vah9YxQ79lyCbjLHClx9ukomBzPeuL+VsnPxbacYiPNfIFjPQ0drOtdOsLcoGJFNWq
TWFND5POL9lTfEXeal/ZfXGt4674dNbY2RaLeOTxGqKcMUkEBd5DkPC1T47ZPFEuQ6B+/CzWepMW
KwlG85ZUAOl1J/sv7iVHM3H2p2Q9ZgqmVpHsZU8ww1f1HmtcG+b3zLPErx6ghoYkMfeTq/nMleFG
tZ3202j+pV4Z42okTsrC905eNkwv02p9OzoPee2rJwNxSPnd3zjIA/ZcLVjoR2fqheDvo06SYmEk
otTN93P9e7A1Z9+vo3ckTXxxqReT9vfCnD2AtKBQilBYksmpDq6/nLGDSVx6iRPWcYIX0UvlTbNp
Nhs5fIx2+uqLxNwgRLabNG51nqo+2eeVYd4qYxv7Zsru+jqnIGEWalqDKjO//RSw9AJomhOnsq6S
VxK5iWXeN7BCeHHpWfzOudDnFvLXU07cZufNvnas5GjYkbMkxdZFeQ+tqtu3rnpPFFdDzpaKrO59
nr29ltrfeP23hWMxx7bEW6KvnMDEtqfQtBDr1ZnkgQHxFgDwFoPnoRX6w+DrFzcldJprYLaFUkfS
k0GLI+hBFZ0elqum73zupEfXWU5Gk0w41+okOdSFXW711l0ww+Vl+S7G1sojgUiy63tLpKEucnfk
lGQKjbdK8pIVYysCtyc9GBRQl/UwX3JqpcqohzRzJH/tRAxxzNNo8Zl6hg5ItFRIxJvYy+xtHLfN
jlDtE01d9VNjMB/1F0yObSLkzqzzISqcTLy6fXsu5sqMOGnionLnLjBajjYTbGOafVAq1lQfniWi
S4SgbzzOpZ5i2lucYW+uJaPqUVE7HTgiW25ykozILbITW/JR6Z6iEy+oTAOTZvtv9EajuNQxTYeb
MmnMz7ly5d9013jJ4ZN7mhGaykJ2f2sG69lP1vE/nkEYAbE5Xom4upFZdIgrVc4suNXkueLPYWRY
yOS4q8b/gmGMReLb8FXEJPN3apc+KNNSPHaO+zb5KGRWG+9znBvbdKzNTybuzKWbdsQ9ulJJCHsg
IJ1shHqrl1jSM/+DgA773HKY8f6K/9JaWsO+dmb7Qfaz+d0lzLwT7A7/sYmdq2CR7Ox1rLvprO0h
AFGy5a8Soc1JR7Yea72fdSqGHA3NqYn3XIuBd6Oyj7Xs/hsmo73afsrBkWkkS65yNy2sJqQebbLY
2s36IdXYmumE8y5GudgfU+3LhirD3gfarSANW7o2wSMjDKUlM2CEvIGcx4Fm16Yasm+c3tNHCeMs
jsHlUv7XWW7xPA4x8ORa9cxP1gbv1/pFULna6tVa/ufnsOfCHp2ISezU3ns6aVu+9WPi4uNn93bP
83CRfQ53dCWyN6gEmOJZfBr1KK5SjwU4CUMeWuxkZzEDRBCdLS4V5wc2OS2bqoYFRoQmkAAqUKQV
oH/HjD9LgMg81waR5ZwkmT2n3q6VWD8tryaf5nfMU+KidXa1fqZ1gnz0qCzvt7WJuzHQ1rvQwdxy
pUvD/8Gja+zyVXMxrHb2OYaTtdXZIhwRqNlHsZ5e+0lT7+6EM1t0wnnEMNtv6SgFcOa0tnPqaMu7
eIUJ7qAdMMIQzgtMX0OQUHKWnCic6aecE7vbZRo1jXlc6pvO7Gr92PUe6yf8lidjIMDO/sxtothn
mssB7N6mqDUIcwW9Iok59GccIRbQcEo7H0f034hz5vRYOIrPN3gaQ2nDnbf+OKRn22AYnJhFhjqV
cZRDZ98VZmLTitHq714cr92WDLfaW+A9vqZioJCZSsVVQmzItCdR4PpxXe1XjyuFyrDEv1V3r0Kp
mTkRYzWiDC9VjUIR+xc/QTTpSiJAQ+56XJbMPhi9/ahiWbFq1gaO3BauMCh3g5NiQ2TUKmPzEX3H
77AVtaVxcYpi1II8jgFjIPbTcU5PoqZ5ObAOQzQPSBvI37k9hRDaQk80GMKX3Lu5Lb3kita0k97R
DtkAfd8kruPuvaYbnuJSZTca+P6kcKtLzl4Sz8cc/2Vtt8xBLBPv3DbZo/Lp30txSxp1p29H12SO
G6+IxK0QtFi2ycdcuNYxn+33GZL91Rpq9SjEAEqTFuOIjyX4ruN4j4Y0nGQRGx/3V+HWJvd+FW29
vM76xEXgnnhKCmHvlq7lz6qMu8jq9INlNcuLMzqILqoy2BXiocmQJ256J8YbQhVdclNH+03g6ZPv
hOmcd26Qa5ZN/8JQvaYMEmJvtkh2VvMpLpbh6M295IlItFB5hvefRVkDQ2pv2DYtQ1+eIWYqkgMP
8Axr+c3ndDmjx/00IwPz3mt3sJ8YJA8Fakyp1vriNj4nqLxnhz8UlXVIu0LfA2biFp7N3eJjnOl9
70BZAIK/R0tRo8uj5Kh9a2trPDOztLaGVMvZXPol0oaSZyzvYPpD3HxSce2cISmMV6r0FJFhWbx5
TY7g1PrCGnEpKIrsGJJQT5PpMfudqXhUg8q26V2MHUT6tFSdeV24thQa2ZpJx7xw92Wq3rLcK2+2
448PwDXid7pfdAS34sNAZ6CxvTfCValmT7aNUIQ1b42pa8OYXeOrb48fIAe9qJ3v2mizlOObN5sp
lAiZEFqWzoCatLpDu+8kwARbFeKc5xaD/6TRt2x/GCOVCwMXiznlynz06toGrqwKFYhB8kkVs3mh
m52IbbF+IfSgzzSz+onjO0yBQHKvZoBpyiEjpdpunYKBQToFDeSUo1ZVeIM1PWZYXIEVmeiliNy5
rEM2DAOLBhuRuuiBL47ToULMK3EHc4hZ4awkhWHxwnZqkD6tikOqnYpvo+bSxQJfgVmRVg+K7G6/
kGrGWp9gORlkFf9XJ4b3sKD6Saw14UpJYiLzMtT9xt3o+gwnR5+KvS9m96cqfJyZzCSveDhM/qLO
3ZVr6jDkMYR20UXK526ouxxGyJFdopyDPk/MgJSZcHpehvjK3cbRPOtlidUpzp4GfI1sMb2pgRgi
MtqsEYL4a733siQ5LjHWLYGXTVyWxDPcKez7eyIGVVBdRTEOqEaY2C6uXhqPcDbUIRdxjt9zpNTH
cvv8veWMgOVLZiJsjUT9zZXMrtYd4dk4E9I0BIse4cJXR8yvDHRS/n8Z++N1Mh48r5WPBW1gP71y
+epg3XE8Atz1uwzNSmdJ2Rz9VV+KyE00BgXmdB/AquQLA4Z91XiTbwUa1FFME6SG2bfTm7ZQQEBj
wHCaR1TyOR2M/aomGEzJmoRwKthNm/ivfRrYzshYTUQRBLvoVH2WnB94EsEJIXLg8XgZY0XciJaG
sx/HE5Hz1a8CITSA1cT3NiOdv+HaqC5aFlQLKG1YY8v0XhC4Skys1UydvUr8vcoJs7QsSQfHq42j
IBOLE0nVZ9kDOMmA5FxVg5uny9ynmPHkVrlm/pl6hXQwvK7DadRGGKXKuUMv1i8Zq/alH3zcWXnD
xNVVAxXG3FSByvQOjW5wTwAP8CfON9rJUQx7vAj60l1KmZu7gXj5Vekx4+mscP3XzhnbfQPUZkc5
lYy0ZuxvVM+wMMD5ZxVyK96kwwrurfNgRvXr4l3WGs8Vz4z2kMKM/OkSvszUFLAMk0QyZa9R8gh3
GUEMCvu25nnPtXN0isJaJ683CuhbVNi5AVPG+BkZKh6YCvuBhboQzbO2bOtM5ed4yXlG4iTnWZjt
df52/MW/ecm5jJl8pCfffoyrFKJA5/e/UsGwkvGDLNYdcnYAfYctAKTXrWvcV/NVIzGDVGnh0PfV
yZ4wHXZDAIIfR211smrSOUPn2xwn41Xx0Hv35ppBQ21gg2L/YyRhfbJyxDusiiWtVY1r//OhzL+N
VZ3uS+QMhudM6BUJJl1jY587odtC+A/LkkSDbsluI7x0VxndHkr8m44COG681UgePfPoudppjGvE
vW5mdtx066F0AXdlCUJMxsxTLO3nSD+FVqwPsTe+aQ3/xUz52wRCvr3893/H+//YO5PluJEsi/5L
7ZHmGNwdWPQmEBGcR0kUpQ1MA4V5hmP6+j5QtnWJlIq03Ncm0yyrJEQgAPfn79177n+dAe+X5ul/
/vWNlJihW+6fYmaAv1JGXKyU/9kZQBUff3lhDdj+xN/WAMf/SwEMd9EH29DgfnHIO85fiNZsbPAO
XnGJieff3gDvLwexvks3zPvp5sRp0NfUm//zL0KvgPOSOUpbmkzmf+gppj363K3u4B7Cvo97AUCJ
44mfLLtf4I3elEaA1cYpnOI4uxnd3NlLSwJRANxOmClhzmDPeqpicn9q1MF5gbQjzF0k5ftUsNYr
v1U2Jb/Mrzsvjfpw8UzGCkbcCEwLirtH27O2MW9XEyiFQMHpQ0ZuK/LOWTqopp25C84aTiL3q1sF
BEimsTcg3mxQryWJ7d8ZS2prZ8+Ooo3b1XRHKqeIl9ANYvt7a/PrZKWcH7JkiS6HaOWyYzznODqb
RoszLQvNFCB6cmzKNOLn6bOTxpgc2bk+ApA7Ci1vHLe8SeTwaLFIzJN/RZ71ZY7wJSj7/TTmx2gE
d9paByeeD3hzOKbPp1FFKF5vI0ib032eEa9czFKgjgWfZ2npDtTDAL+l89AFeGGRFVPW+Ly5QRqS
ZYewhd6PaL60qCkja9pXfnbRtMEHkc93i4+a26KBsNr8SaOnnRWjlK/QVM/IEWcONn2NoI9/HNpY
d0w0fHZ9yGn8EQYjUWKFDWwnbdzHWNfHpSrPBj9o7KOFsHrw19M59dAGKU5irW09LSvpg/ZcPqRx
hqSgu0tV/TVuheZgxpmfcugMK0CoGIU09KN9eO1re0TYlpBNnNyRg3REx3Qmm/GOYhjhbvLYqYcs
RXhjfYp995j19Tkm9X3h0uAf1BUKM27SvFsDoh4sd4of/TbqEEvTpfNj8S7R92myfBiR8ztpchLT
gcCMS5leJ9neN+bYAEBDeERLPR9Qw+TYMppzEUEzpGt6gYafjEXv1otIqrCZyHrpoTbAXZyJZEl1
r0RxoZEbZSm7iA4Mdy6taIOXYVvjvtDTpduf94T9NZk8rtmDKIqjrUCMlZpv7XwwcXPRD95JHBTu
/WB9VuB66iZPTvL2W+dPN5i3mcmCfuRXS3V/28fdYe7kfTZXPwzKrHXuHzxdYC5BDOwvnMasYgOv
3FQNvgEETBn9oTlTZ14Z6MPCFKqYr1Mk9XgA730OTJZhPhfdR5OFaLOKL4mwvA2ABH5IJuS48xYr
GRWnKh9PZbnaOy2ag4MaSUVp+4kJg6EfuyPNVO7WvHuw+L85liaDPTI3ZZ3g38PJ6nvvi3JEbeJn
N3FKywPpx4LQo6vAvoyeaOjQtVQR5cQR2VZQ2YryaKeo9Fv0dKbtD1GXpDiqqz04wDOZVBsI8sqJ
GlDfCP9E6l9PHqzDOL3iqHcqmuIclCGOokHd6mY+Q6u4rwVTRkWveieWYEd+RkhCwDVSoTNntE5n
JX/MqOH8cjqOPCGOVVL8VkNYdNeOmlCnW0Nw6zJ7q3FVj+X5bNPBdhxnP5LOnKt1a9Q0d+kyXbgm
wrGSTThhLMrernhSXRtyRAgB/O0G9JzBImraRPmnRXTerjNIOLxNPKQEBaLJQ7NEpxs0Gk5OaIOn
rLv0OOXNSRWDaDNbi9y7mdD1YB3eO2zec0EfMKUQNz38TN3m7zJbvSsHnr/I+SA5RmP6w67AV/fj
c20T8ib7XWq1uKl7O72g8XE7l/E1guQrt04uhZkPsxXsK8SKHNTOErsJe8Q5Do0dYrrAG7kj/TwW
BmPveHF/zASL00fZKX9AksrSjtHSRo2ZIkTqWmI6PWgpSzFdeNFy4/TtuapolmMK6Gxx4S/xvpbI
LLzsLOZQREGuTrt+gGe3tOhoBwSwhTjkJH2iKGo33Yr8unZ+wUrFVwoEElLVoct0eM7Tc23ZV8Ju
zwEAEs6HXixXzcfGZW5COvDR6XvIpe5lJLLP3tY0TZOzkgSz1lvfgbjYwr5DYifm7fgTutP5MtY8
ThWZclChCk/RS+3uBIrUFa2WXGS5Z1ubT8kAvOmRVs69f/Alnal8OAZlPYZ9Ml1qo85cNKlTsvak
zOqQXyANOZyfRJY+H7S5q732cluO5ighDrR1zmbvyYpg+G8TfVd/RzaK0STd6/QW+OoIm6CiE0ko
rIb4xIzEWrG1RFdDOZ97qz41fnZJoPBPBgH9fH52d76eaH+MTokOM1o+O6SzZmuCNbRPbyegkLEH
aLVeESw8lm0zA8WiEVW/8zH3T0FKB0NctYOF5DQqI0Sndrn45xojGAviXKOaTqeWZU8PE2FtkNvr
7wMY58dkGpqPTqcNrdSOYh29jRvcuUWGimeoe7YWzMPd9y5wu4d5DYqPohmYuUejpFc1tmB2Vhfc
X52U/cduKeXXpeLSDMBovWDJ6atL6WaC6VY+8DaWgqFmhCnnoZk629oxbV7pnSRO8GEJyhEdbam3
YWeR9F8DhmnvXNPLAi+WLS7delEB3a7OqQ9JG+NjLxTZ2WHaBBO9YFj8h3kW+VPv6U2C0cwcqCYv
EiFmGm7CKAip3xUNb/gl3pTyCW/09E27nUiuYR0p63O9tAmt1moYkTigyz3k2mrMSeJ7RXvUXR35
yNhjVCXw9QfEWoMXdciFF/dxUAPflgqJUwO0eARpswcJKFV5Ne/1NJb1ZVEaMnNzUameCEad+1d2
VSJSl7DI7woQ4VRBedrXECctfCqJ7nHuLAP6oFPXgsh4uWZ+ioeMUOcN4tUlYBuYYUTXaz9gQC45
cXiHmRC8aG8pL2I1APhAnAZ8B7UbulxSiDEB5GXPGwtt/hqJEsFKKqxDZualfM9vR06wX6eI9UfM
2Dhpphw8axAV/uWYZVMaznZJVuBIB3m6nuaEZklgN6oKB38Y+hMNQC66ISizU485OsoidClqVxT2
xmC/xtANCHa0h/o2J8sMvX4PSvOqmd2EVWRQpiZXsq8eOdLOhPemiHvAYFge+3Cs+xlBUg52hNRB
RCUc8Qla6cl4s4+FsQTt1YDszZA4MLmeWhzfssMYgBCG4r8BFRjeZmLP+yOm47QG6w/bc1V5M/li
jU/58RGYg+HxJmIMBpxXs3Gtc0uP0tw0gXE/RLWiWZw3XVMdmwbe7ama+KtoFUULJGMv4o1RvpXG
ZwMS+3W3VJFuT9rel8mnoqQBQgdOgr71lxk0iuVLrLW6jqpbntm1OY9s+mtHGaFwH/wOPVHV1kt1
UH4/NBcujrePgGNJOF7ZXDpEmU73MeiK8TJqaf3snKAw52VcKNpFws08FJXcZVyCfVHt1nkYL5oG
MWhI85/3shdDOodDV7byDASyKUKOkwxCSzUzlhms3PvcQaOKD1k8CnpUYgHSWlRzyThhVBdmbqwa
AVOuLidezGwvooTuIYcK5kQWsTDYEcbZm5lAgZDbuQZEaCjBFrKVU/byX0q3avbtrBGJu/7kQIlL
Op+h4uoiiALB3H9ejB6RPTQRsVJ2mgEf9LMo13s2HzpwEfmqMH+JpgYe66Jdp2BQc8H9bJlvx8Va
fy/JRPtqwLGi0TZGVeygkbxMA9M89W0MHWMkkIEogGqMzN6LWzQGzrs24C+3ISWissoS8S6XLr8S
7qTy1BRAKPedS52E03X66HlljIRhmLFe9Fm977PJ+SqbWiAmjKZ02jeTnZ6PedxfFCM1H0D6qCpO
yhqnF31Nad0tTrmmxzGu409SP8Q8IWFSeub7kBoUcDJJzV2OLtzFvlRQVfkqDr55zO48it9huVkW
ayjDBNTxQ8biHDE81ezOVmHiaMcNVu904yH/ww4FwXaSg9lXYmq++cByoai0Xe2eAPMpMFCJCCA3
XncmYe1MKGg5l8PjIiya/hRKrLeAcxQEAN/9IaPJ/U5KlB72Vju7n53JlchIPO2j3lgUkkCgkxOr
Hh2VEqWMb/+IJ1SfCGZHFD+BlIT/tmtNF7jBVEaRAGISsHde6/u69+gV0THuv81E4Kidngw/39Bi
lthh1eBHcpXDliQCzkkIiFJySJmLDLoo7t2ubcuwKwo8wGQ/1i0KlDXiadLBJk5YstyggJ9qmDUV
9i1c4LZ3zuRtwf1T1bEKWz+fjkujyStWqAXn/eTW7V0Spdawi02WfKbdHHy3rabmXcig8W5S8G4z
bOKH2ySYY8Z8NpnvQdpUd5yfzRdrmYAaNrzI6cHMoCF2nAITQs6TqD6ri65DQh45bryn/42eSPoS
PrwuR+RqPQHl3mEVNZM7u7JRNHhLUN00tcJT1SsXEkxRdrRrA1jE3n+pXv+XKPB6KPn+qSrxjv/a
CPp3Krkt/6JBE2yYFDguEBz+P4LA/0to4C0Bqp0NcPiz4fN/yAep/4Lexf/mOMCDPf71/20dScq5
RE5EjiJwGPpB9j9BPtBt+gVBuGXHwA5TXImoA0X+GJ2lXwFddZVDnU5Xmjr1NjJoQdpHQ9MelhQ5
+C+9rj/gDgFYvLwUqY0eVxEQaMDWPL9UnuqI9imbsUNGFWce1zmmYPcvZz1Wl7hVm5OpK4sPWdMx
WU7H5Oz1y2+Ntd+uT9wCFEpoOrD2XhBrDBM3vPYoZ1KACMmt7ST+wZn91D/SkalaJhUZKlQ3nszV
ktndE6SyFq9MEtvvNPjTb3Gmo1u6cJ3eM2Rivc5yiS9ptanSGX1baGecFVXjibaz6QdjaA12RiUQ
Zluf29pZRYlPHOUn5t6urSjoa3a5EqEJp2492O8IhS/jsPPa6Gusl/HjOErng+itCiUSi/Zhqork
w+s3hfH/n+6KJxXpKNuvora79ktXb2lE1AGhBNKbBlTahr7fl2qUGu0Phh72hUx5Hzl72V+KHnLm
Xvs2U9GmZnDDfuK231cmIM6O0hEyeFKgOQLqACTWnoG7B4QvRIAQMl/vijiW2QmVrPuNBp20kZLl
w/tocKYEvG9RfJUmaYsjoVvdfIpNo36cjQ8lJFXRci/bsoME5yc42PHWMgALfPKPkfDP7/tc98Cr
+BbTtb0YjAQcp5zz3msSeUOBkeVoJ3TZn3F8IEnQgt+77sqgUSANlDN0h3wKMOJ1nZd0+4QJvYZH
Ug1fRCFK3KNqsXFLG1DjV5wJNVb23sV6arPun9Yaeu+Bddxej2k3a43aNUipNlYzoGD34vgWcc/s
UD/5yRfdaUedOrWDPnvSczmGCnu/wxmtWtsD6d1kEje97IEOrCntDrhwODQzmVLS06pDct4yIzac
koF/etS0s2j3wzrl7uXIaVJf9BHStTDyFLJBFaTioHHr2XvH8EzvPb/o9Glqz4HzjS+s5MUSgaEJ
gUjG6V0e+Xq6imIriI5r6jcAxsglKI4FT0UZcvJwirPIdVGXR2PeOwfsKGwrmQ0Ef1fjoh726EQK
lx3O7jD7VihXXIAHQTjJvsJbFY199NWsXpIevcHFLcSPRNZ9ZrXYjdYp8JK9zgMXJ2NFAsY+yAkM
PHiGrAQrjxg7C9xMb2XV/mlBYtjNXNKFj0gO2/NHHyvBko8CuFxc6+BEJRzOerWBCmyH0thMw3xY
R6s+YjfA8lGY6MfrLx8ExpcLEggvT8D6UZ6CfPv8+ljq4hTH4Bg2wBsOQ1d7F85GOkbfap/UdpD9
M97sz8We5E5fkxvmsHtIuGG/vuuqTWwOPZ4BvTdR/ngEMXVzRZJKV/tfGDx3p5GzevtBztke8ZQ4
K9rG/Voj9lyO87JpahHSHFem/ReM+JAcvX4/7OcThu3zeYIcR2bdG8/Se5mD5ZQimNu2QNtoRfUt
+gd5YjiUHCaBVH8Xzylt2BjTXTUi1djVs0PG2uCtx7q0hpOeo9wbO9a2I/wbhrR9HvZrISG8Buzd
uNme36/K6ithu0aA3fVolY3ZFNMoX7Ly77rpP4Ym/2ERltQIHntSoCHAyxeLsI0aaxI+ZImknsZb
WQzQMKCSW0+l1+sniw4MsIlMKmbvHWa/HRE17NaeSpAh2GaCcJAjr3ls5eraR1QtraBN7HFqsOjn
7E2NNPaNj/z7s0tjmnGQdlxuDHXI81tDgLbU48bCSMa1+Wq7dY9jD1FyqjErpqvlnbzxbLzIvBNg
TH1HOQLlMFxk3tfnF7R0TlQgAPcQ15n30JI3hMygUxMz0Hh196rFlspwtIhvsiDPH6apc9Vuanvr
+PoHef5MULpQvEDbsn1qGQEA+MVLm6yysRs7o2HoW9NdgQ5xhwBjef/6VX5mf//70fv7MlBYt1mf
wun6MuIPviwbY560oVXPwf3SlgXtLQIB7lOUgt8MysnjQAzNh6X3rIulz9DzzpCgBQp7hF1HRB85
Xhl6Z/c6bYr71z/d84Vz+3DMGqkcwRD68IWDF+tI42dOT8JgG3YwNM5a6VuHuQCDQsLPh9jkGc4+
Mm0iHKkXglbCu39+dc6UZMoqJYjLe1FHpp3T081UTYgKmkSroUCxUucpplz0yT3iIkAlzA4RKNiN
MIdOr9Mb6R7Pa6a/vz+tf8Gjz7pNh/z5s+hrSK12xjMwVlm1hkMTMekasna+raGe7KKsSE+dpR8P
r3/xF+vjdl1JKiy1v2SRpAf44tlz21o5XYPNwsvcGomfI8SHIm6pjEY3zkmQUvpg9bV9QwxERntw
TiaQajLNCxrwxdoclZAIWl//VM9Xgp8fCnXfdnwJZOAR/f78ZvCMCNTzdAXXCC+W9uLhzIjZPHiF
t16M9Gc+vn69bdF9/mawEEhA8T/LeDIgn1/PnVfEGDmbmF25weYWkgcyAMBYd/7wruQcfrDJ1DlG
daDeuP+/v/q/XhnG8/Mrr3ZRFWhOTdhmVIqxjPJDpGHEvf797G2xf/kFOSWxyBF9jT7txQ1Fh6QK
2ZIWUTRJeRoXaXTldm5OO8qu3ptik6gb66sBZXv0yh63dKrjD8EQiysP0vd5T/7HWdZ51Rc5Sv+N
d88Tvz/7nBM2VYEA2EDO+Ytn0NTG6ZeA0N++mW7j1vXvUgspyq7CvY17nhuji2ZAMDOM1G/X0pSH
IC/3csMgJPmchyAT8gv04wSWxZwSEfu7dPt3LppdgsWKQX0r4WwyP0nwSe2bOEPkm+SgWFQig+xQ
9FTPDfjPEx789daLg49ZLOJLzZYRHXLLT7AgilTfJgX76I6q1/yQSZA8etZMQ6ciEmg9CNn0Ww9Z
dNWxmpvlm5VEbXIYJt85o3dU0pwrh3Gmqe5A8KsUrSrfR0HjETd+Y2ELKmGKYEjYDRUXv8hHfy1D
hBij3gu6uDeONWGg7xvbOaPNHPRnlMxkK+HfUttIvJHvpjqYotBMLXLbzkMEGFbLshHFtBor6vbS
7U6qlIbyObFfw7FMa6jJVM/+D7+1LDR3s2ofgJYi9AZoyEsd9zlKOTkgXSf2WZehK0u57pvCSs+Z
pFBMx1a17ovRDO9n6daPRZT2T37stms4y5JEItl32VNicwI449nE2uL2iEN3SzdPX6naUpBYFETv
hReX81ExzemgH7hQcDJBQNYxI6cM7UVtLzeVKewn48/zV99OkmvOxqP7PkhU+jHVeuEEkPbelbFs
Jl5d7dCjTNO6nqhFEVegEDUB8VtDmeehM4shPygkrrTAYtaw3dSsfDJ2hta/Lho3fUzc1b7WE42F
UDBN2Vh8SY5wITJdu58diMyr0lUa1k1Dz9euljWMbIlXsytANXWLQQYwcZb7DvlhffAiFtXdSA7g
Gc0+3GPWtAxoo5tlJHFOWgE/YtFnaGUX8yUbh8AjOFWITw616XeOEku7N8j2f6hcg2fCKFLtczHb
89mCQYA8G6ty33dW3n6qGSfcoZIJ7qxi2nrli5udlzV0MqJouPGhEyB6pH+wztcDzvgeFbm7aGYE
Rn+zfVnQXC2ZQu4cCOLnMvdVdMK5hRM8/VnT4caV8QhwaOSIaKned056TAjxEVUf3sqhnWpMTGWT
3IxDDiBskSlAqCGfUWj6CaZmVLQu38X4Ij13FZmG+3TMDU9phOeCpT7hfGqruv2iyhwStYQbM9FU
TUFjzTSzMQc2c/sDSW3yxa/dpkOri3kpXNLcHw+lMHWDXYl+FLfTdPkh72HVnS+d8sgNy3PrbIQU
imAhKWDmDuz4X8FsMZyHWKIaQNpFM1+bRcb2CY4QSjDjCklbppmZ1AyRHdHkX10O8aiIiqw/8ZoN
pUMJ3ohNU+L1exNhODiBloPoMrf62D0ihEMbj9PPeeTkjkHUTyP3OucdZFgs8PifOmpkykvUjmoO
0YqVYu9VPg+2KWHM6TgPrmt+KB8/Y4wdYeQ1b/gZ0+Gyteq838eqGt1dm3ngvzrcMo9x6qMzamXQ
tByqMvUw4Tob92ow9IwI08keMWLjS9aWb6yznLyHz02NpBBJQl9+Lxbd3uEBZ+pnMKCpEyu1An74
BXxDt8ZYpenD0BxXXcqcxkdLhHHGDT45luv/GIIgIvWvWsH7Fma7r/P2ArpQIZdlRdHqgKSoDjYq
AbmTacxe02vf+mTLmMJrAJhEmZNI9za2kW8BwUQSdUo8gHM1xF7jH9TKrTnIBjTf1Iwt3YRm9O4D
ie5przu/X/c1Jz3YILmZ3jWMZpH/jDY6dW8BbITuQqJQjtexvExTWzbH0R9oZWeQqi6QCKy3KPmL
d+iQq2XXFG5U7PKhk/RziiSuT+nypwwBYd3ODOsbZqBDNSZhPyv7uqlx8hxpB8Wn9ro9+RW183dp
e3ERzvkszlOeiGAP3c72ruzF44AVDGVgQtCTlnX0B0XJ1ReASmPQpHfW5FRPYnWzj/wN3o/eipBv
ZHNbffJL5MHwU/KU2S4aetKFXEZZ+8X36r1gUsRkKRFuuiNANL2300CtFyqQzt64DoQc32mGKKxb
l56h6H4q9tvlIavmEXkB+uWPY1FDt0VvBxXI6w0iZzl2cgz9gQ7Avm+WojglAFnRmMHsYJjMT+sP
1lD7OsgijvJt70+QEcckhveVuUO3M41QZ2aaNaVV10YMxwSaZXOcUBmhhIPHgJ7esNJOl0mi+tsi
iXrFFAuhNliGomeK0s3IiJuqKT9XK+41lnFBN2oTnQesCDYZlti949K9slsG/Ts7qzO5j1MPyK7r
MPvDYQhSDWBDE0XHWpiR2Ew87KwbdtKf8+ZgGi0DNd7ltTRHVHrqoXUW636tbUzoa1HmV87csycm
TiJotrrGmBN8y4diqq1LBo3ArbwIWGTYd/ekFrJdtCOsVATXVyW4wCcCo5qPdjvhfGH0R3Vz3sQl
c7A3SrzfD1Aw031XQMYF3MxR9XklWdS8nvg8J/Iaclxu1VCT0zXhUalDKbv8WyozUn6dLFtvMiTq
CLz0ViJEpmFsziNF2PmkWDF3RBUBq1l1Yj53DQFgrOyWRx5lINIq7MWSpWgeisK8UfP/4STCUXz7
6LR7N83qi9N4OyNbKmY14y0TiLN9NztplhJJpmns4bvQ7TuYGQzlExisZ3SXxLdGevP71J1pG4+i
ct8Kaueqv5XN9COQpaKF9ZztWPL8nqKVknaFp4nQU1bl81Ew0zudp9r9gj6DFmwAsw5VIPr7B/Tj
MDebLm99gDNp9lAK16DJ9u3xLqig5gF7FDROeZHVhgmjA3vTu3byJB2VQDYrBiZ3QUKwCGc9hwwM
LrlQ+KIH+44kDfF7lABPgJ7l8D5A4Cm+tl0Q2aRE4MWDba+tU4OIjU3CthgTjuMSvUMmi+dzwmn2
PuJx/0KW8OzuSfiD00qf9lOxxh7esqAFmpMzE65DMXk11t9Jb1FoGfsZRgmeuFPinhF9KZhvH4p0
JuiU4J/uU8IoCdpojm6krMYWdekK1LHwY/DZ7jDolpAKKDUXbp0hC5WxkSu6K0xkBUl6P9I+a3Gm
p9QCu4miQu49FyPbro+EuhRMvT77Y7d+GXHFFqTgYZDBLBsICwyA3FCxkzXCWisqYogkhnW4SmZC
YFWVJfIBUUeHIjbtRxN0NpgUqRs3LAeas2HVB8VnnGkxa4msiwOOy9E+8XWf/0CoEnmnhRm940D5
yFK0uk0CorDE15xm5BuT0LcMN8FKCwSP21SgVLSg17aiaXpmp0kM6sQJmisqVYkds7ZyazcFSR28
0dj8/YisSHMEVQtumwzLLcXy175rF9u+EX00hnOHqsxeSvxOmcteQHY2yyXStdfXl99PkHQlaKMS
p8bkUP1sN/4y0ykpc+TU+SzLTiUvArCiH+tpQHLp1az5r1/r96VMMlHjGrQtHf1bz9bgdE+LiITF
3EaswDclWzJbY5oiWBJoblcHB+sZqudMXKtqcI6vX/73W8s5nLEqrQeGpZ67rQq/fFV7cQoMk5Cl
uyRYrlfs7CfW0kGvNkYclUqzN1rCfzj+gkfTrN16k+nrF6sMhFqiNHvKC8QAKJEhVEFJN/PRp2D5
gGIAoBJ9kLvXv+QW9fGyJcAaqugGOuSPeluW06/fkgERTsxRgT8K0uayAH75MYPmdL4wxN/NHSeU
KQL2QyZuxPy0Yn5i+SpMcIBdv/5J/vD1SSUlz5ohgiKu7EXzxapSn34Egpy+JlS4LwdF1AVUtNGT
C0Hf6EhRd4qz1y/q/uEZ43F2fnaY0Jm9HNRAetAFRHW400U/fq94GrzQHju2myltquE4wDcG/scY
IzqpoNSAiQ6S5UsyOBHgHqrBar82Tlcd5mGNj60tYflEhTFXgYMeC2xzxwGF/JFpOOaNDcPZ7SmR
naZ4vy5Nvo+TzAvNCvwa0K57FcixtvcVIhR04Cj7NpfVWKMLr/y52S2lVyC2ciqYL4yy4Y22S6T2
MdPE/iSw6p7RnACPBJlwjg6I+SL3jTfyD20q7TqCfBZIqLySL6YWDA80JiGc3GVZOj+EndAbdntk
WW9c5w+NOE0HVhN8GxBN4b7oBFlceciaCKLJYJN/TmHLkcLG4WHq+g5mMKswFX2XYpSa3vqOv7/2
ihcCUwtzAX/L2nv+QqwxdjngQkxQncQ+wZY3oaTL/LAJ/OXcyoLpjYLnD9eDmuN49LuJTvNeToLE
2NWr15WQU+Ng3Zh6bco4fo5uBl7+FIDrklpv3N7ff0aGggF32GUcptTLCGltav57M2yVHuSRBJwe
Lq7IRRH8+tv1+8tFL0dvtRO4YZuX+/mttE3dk2/AAq4XtMK889nRxJz9YruzHg0JDjtJTX5Gs3I8
uKWV3b5++T/sVZIYT76fpA77O0HulwVcoAFcxYgqY5wH/2iMG9zaBrxLKUT9+Pql/vAjEmpHbhJl
GiEqL/u3wu/jghWabwrJ5l1iYlg4NZ6Xgx9w/MF+2T/88wv6TFr5coyuUO08v7W8ieBnaxsNIm7F
I6KvEu+tKt+30EguWzVlb1zP2Xaf561jhdLIYUbFzIj378UrWVeL6pXgmelKzleYayp32LEMVHsM
qfrE7u1gPckns7xvlLTAcbSBh6cjW/Kd1K2AqLxF1B0DUpqvE7q81l4D7CfOXs7mPhssiWazWWi2
L3UAN2aKezJaXr9nf3gckdvy6LNS6MB/+dgTtwrrwaXHhFx1If0EsDCZp7QEWgn6W8s4Pp8n7OZ9
lWF1ceZVvvE+/L7Fsah5KGLkNmVg5PL8R4tprZnKIy5Y91ESdj5w8lkszY8hwrZANgI2TYFE4/Vv
/YeXnZWUgHMXfc0WYfL8ok2gF9N3IOBnh4dyZZx17ibZevXPr4ICi8kt7/o2YHh+FWQOg+0UXAUT
0npHaAPg9EA3f6dC/edp9h9OYsTyas3k0mWZdl4szrxXmv4KmRR0Mj7TX+4umr6lM86x4yxthjZ0
bUvf0hSmiz6Q8ZCliXMNMpowZ6EiTMAjFtg3ftWfx78Xr4a/BQ8HHO7QOknn+Xcf1y4A2zwbMiCs
6Mb3qubUxyD8MNjNYkIlJnXwm4hIlSZLM7K8g2onHXxgr/8Cfzo4b7FPWzEj0NjoFz80ie0o1seS
U6ppPb1rmLF+6PMSCfESA4OpNdZOhgCeZYeinucnvxuD5bZIE/sbdTTA7Tr3/fiNd+4PjzxKBwba
jBUB1Qcv7k0/9n6pXbTrkxV9gWe4nLlIRWHrz+shSDklTggh3rgTv1cPmwCFARK9PEZ53ovC3S8s
v5ghvYdeteILiuJib2/0LPrEbQj4BXdiNsImJVn+2+u/wR++LUZa9lWXMp5P8GJVjmFtd1kQjJy1
c3GbMHO9sRzcHTEtlVOi3oevHFPrL69f1Pn9qr52tc039beN7uW7V6dlvPXLePdU3fmhJY0zXFPY
pM2+Z4PFGQ9zZiWMPtiABxSHQDhEv9qXrVMNH/XsZJyZGw/s74I9tDvSbvQ9RF2mmHd0uqeM1mZj
X6NFW+5M7ntPySBZv1w7okETyxlzYuuVQMYoedVJMqXOBrrsl6tyjfo3Ntrf93RkD+zqAnUM7/rL
VoxVFH5T+/QRLTPKk87LiwOVFbaiKK3PXr+vv13q59ETAg1By0hht1TxX09GeZSVWVL7aM+d4f3a
WvNJ1E0ybMgY+6cPLNs4baVtns0cxX/5kqR+uZT2RMuL7n66n+w2OsNHUoXCspv93NvRvnWb/h6+
V398/Tv+LgbhYfXtTSJGRhzcq233+KVGolfgygh7FW6qQrxD1Y0VAsTuZYf393RdVnVbVMgCrZUB
H0MVECeYaO/spPV2Zoj1WZ61/XVfb8vH65/st21L8cnoo/MOb4pk9WJDESS41Xz1lXxGFV2B3lcX
SNHd89ev4vw83z5bvCnx0UlvQmXNLMDbXq5fboDMjVO28N2IJkMIeEztwCIRSTcFOWEMbR9R8teP
YpabVEvOHSJFAGAMUN0aLDgO6XnZTQwvCzyJtGl23ZB0n4M597/W+IVscgjIosVuukbVYcqFeEcS
wnhT+v3QHrEZwQSlRGrxSjtZHdFCFB6Yr9ZSyZk3tQ54yTomncRC38z0iS5UcgBw33aQbYx/FWQA
tWnR0vHeiTyhubh4KRS5HsecG+ZrT+MQutyn3rbRgjplh8bJ06UhRqde1ifTGqD7NcxscdElBptP
TMIPFs3O9KBvOZn9L2dnthy3kmXZXymr50IaHHBMZlX1EIhgcCZFiaKoF5goUZgHx+AYvr4WqGpr
MchmdOZDmmWmri4CgMOHc/Zeuzsbc1djkgygzp01gYFXt2CuN7CS4IA7HWiWenelP7fRdokZEL9t
NTr3gZr0L5K9waAlZQlNk/mrQXzYthgLmX8AiXBypXnWIlSutqXW/VNURNZ3ukp4w7QRl+wth4ka
PYwvdduXPRYKXlSEAtoz4mfHi+e1CK1Smgeukj9TJa0aW5qCu1hH8jdtaOsCWMaKQW/zBnhyHVRV
WM5FdUUzSGTnS5Zj8nBRZKHrseP+M01ABzgfxzzK43PRYoFE9QI63p0LG+1ox/HIS102rtNoe1xd
Nu3nyolbc4//QjdbR/doW8e+Wr5WTWXe170kWzOYVgnCwmAg0dNdK6lIT1W0HbqxuYnlNP70rWoy
dwR8zd/7JUqtjVJNeW8MCv56AifJCBM3t/F5caYjaw6KEYlYeqwoJSP7TU49glbyPbHI1amJLKk9
pXrgFye5aiBvy2y1vXrGRHAOevHVd5LPuA5RtFi/Zdq3XRi1FSdtFmRlbCZUDi3LgGg3VbUaxILR
qq+Q6pUB4CCD5mdZ5iPpSCUBfpupBGF/pnqgXDtkbSM40WwYJMb/igxlEcWevU8KIEiAjRP7krTi
4MQcXOzapC+r7JLwYA36KpXtt5ZZ7rZ2k5d4CjVcIUOqHrJEWV8GevY12MMJU9RgrFXj0WqDu6C0
ki+QTQIXYmgTPeHrb566RY/gZRAffyvZrGEVV4LAVb4wRJ5GOuLeVr5yYI7RfgTU30XGthWUgJGf
GtY9yAsA3zByfnICGAAtgfffdNDe822SDMFPqqsrYkerHnb8Qu25dyQPRnc92vF29MBHAh6jdiNn
oy7CitIiQnUfjTSWPD5J0gdUQHaMq74VC6VvApxtib7FEs2FmPvgeR7hggKsSjQfdOcCmK8HX0HP
TquEVrN0YYfZ6KSqbe872jzpYiTc5Cuk+TX7fxzNrVFDOaNOTATzxzPl2/l4bXxYqFYBkEsvONh5
p4DCCsJidYgxTa8eU5wURrMcW4/e7N2ou+BNCSi9IP1EifZ6Ou6J/EXNEdMwHkZaqC3D5XshcNYl
keGfM5a6W6vw8Q5KKG9FUqtHxAcrlqbwidlcpWKLpU6nGRkNSA8SKshkbwAn3de8hvbIGvXe6ul5
FvmoIIPZ+B+ewjsKb5pOr4mdXnrVSWxV3n3l+jQvMlpuFzQBIbV57jTdMfFEd4pW81ml8vTTWMX5
cLGqoYCLDqJ9oCWSDUd+3jsbGE65kEP4dSJgnX/9LNmDFhVOEeAVZWY/9Svyo5aEidd1cmQL+vYI
xGtjw4uY2ecISAPy9aVQVNSFEXVjmND6JccKJT+7Tj97pizi3gxToPb1QEwJnaOYmHnClTTd3iOn
w3VL8Hop96ifUZpYtzKCFujrH4HT0WbRpPVJcdLYj4DVNr6aHm2nl9ea7uGRo827l6MVQmNCMGIP
73nSlCF9j2KoTrR9HZtl+TTJJT/DoYDnKUijY9/GmxIMD5nGi4uWnXRdZHKv7y/VBXrpiQKWCx3m
FJ1u86UWklYUuQZAuAKCsAOgUGO0+Hfk9BA+hO7+WA3jvbvmiMt2ybICHvLBhrH243kEHILVKmr1
o90u3g8ny54RgxOMsETi4eNp5+0Y5p7ZllGwkaA2nYN79gUpcTk7wZB2E9lKlWegqivdUw90xpEr
vXMpISyWd4ezm2d565//tROMgtlIJP3XkP5WmoYpOpZpM7TSfRwJERouoAF3j9QdingvM4cqrWum
6eUSRazsfNjyrkni4SE1MutzbxCZucGFsgx77TTi3iVvD9hG6lxjiYo+mTTdIbObU1HsVA6Gkg12
Yz4tlS2xeiI83BeU2u7Jv0l+RCa8n23FMfliBAN7taRkdp5YUsPkmfusvPWjDOqIiz/V2zZk+u0n
JyjSbVbYsb9TbVb9mD2RgO027ObJ6djf0ncdJec1iVimNzIsKKlRmlY4mqCSiT6P9W9qz+O8sbql
pd82Bm0MFn2Y1CddJqgCKqJrBXG2adncfvwW3hlegpHlcp61eA2H5xGaDr3r2ES9on59LEvXuiQP
19saekSPhcyjOjJHvnM9JgtKmpzwaD+99If+eum+TRQsAiV2LgHxaDySyECd5RE6R6QgKQmJNI/N
le+MMzzBEJG5wQC/zME0hYvLgWG8TIhwl+V6YiUDPmfX18hluh91nyCxryFZeq4AdwzeAtEx2nMv
d781gUkmYGL4O52Z9jYzyqzdffz83/1xrPCwwDhm+/5BBcNQox9UkuOQElP6YCcBwXq99qhdue5y
5ID9pm7ByYuYN3Ym7CeYzw4WjX4ox8SwPa4VZICVlFKXzbCYF4hOSdJSdbKPkFsfuUHrvTfOERvG
w1qvJ+H89Wc+1FmSGg53qJMAg5SaXTe6IH0lkSeNtLTLzjwiMRf6pvWQKAMzZQDIfCNgY/RbEKV6
vuRbZH2bMypZwF7K/GfjR3ZBCzBTD+i0+s8OxbclbDupppOlVP4N/07C4KjIDTvtZDk01yarf6MU
pjs4GLr3j+zW3hYDOdFbFrxXj12hzat8fZeaTxbIZiJC3x3arymlKNBRstSbRlTBLo5aADfSNsJY
I19LChzzaBVhSUWT2122KmhPPx5X72wf+T0+pDgO26Z56G1pRUNOjBkj1aoaEi+Af5l6Q9MoPnKg
x6J8uAl4QchhcWbyQGN+8HW1uFGDphvH0Izn9HQQJpFSM5LZT7MH8JvwUZSc9L2y5Ad4CZJ1BIsp
XJShBOA2oWIg2cdOztI2AiIva7e8M9lUeOdKsu/mNN4JFQ7eTKSWkNNDWkCfDpd0jd+SMGlSVFcJ
CJGI9uJFHueLDI3KrX9x5BXPuTV5nMJNp7rD0JtdeqTH3eYFouKNa/SEnvqmiWQ7GyP1IJYG8Vbu
IWaDJ6vc35DpiuVkhi/Dp2FlzrGW4Evl/NXmCWkfTUjWdXpYEu/46wET9x40CzKHQnTNot66QAVW
EJ09ootZNPJDTzxQlbPufMMhPgGV7FSeEyssvxJFb4OFkFX8KQKUIE8i+mvDpRFN5Y9qxhu9bXKP
CkXArx92XgcJ4bNHJpi3Yy1N2z9OxH8KD3mV/mzrrv7d/+f616BA0AqOk/6///PV/7ppnqvPffv8
3F/9aA7/yVd/sfvvlz+On+vtj/7Hq/+xqxB8UvZ8bkE2dqRwvVzkf//J/98//Lfnl3/LEQCky/z4
/wZAnrXPxY/q1ytQAH/hD//RcP6xnqU4UVEZdxE7SOb98bnr/+vfid/6h0tPjyMCzi8aGOs0/H9Q
Ac4/WKUcitnr/guzGH/rfwmQjvgH3erV4L+2yvn7zj+DCng9JztsZ9eGtEWXmHYxXQJ+wt9bLwFI
p6Of34TKsh5dAi9Pgqa2dtlSGnun8srtX0/m9s+o/rdqKG/rtOq7//r3A1Pkn+vxy1ezPvoxNtOv
r5eTkj1VCdfrqhw0LGAeMLhWbJ1oZBsnPXCPPZo6dGa202IYrotvLdx5VkJZnzVdNZ/343Q3OU1+
nhaD2BqDlZPmQt/wyO7k9Wr88jsdGq40DKFjoiFfn9tfu5MgIDq9ygo0Z177XdVjcp7YivTqWakj
8+bbN8AxkaO9yYvGj/qyav51JTF0glQZViMdJGo/TpO7t7DWs9Hw6+/ehFT741fweu1f78yjRbWK
AhhdNA4P3jgUwZRyJLnpVk7FZs6YKSmdpKGd5PPVMFbtJrUN/8h7f+cmqelzNSHollBmeP04i6wo
0VenbVjZnhECTVhN8aCB2mFWp3Zt/P74HleSxl8H0j83yRCx+LA8jmuHZyVclDEzXI6hc6mwopDB
pe+RrSINrqknfss467EXHwQ4Ma8RwRaOv/tZFb7zyzNrbBgjwaNkr8ytqHZYEcl7ny0TsiX3sExb
0PzGfReI9mcyVuZ3UsSI+Wysxf+ckeehTj++mfeeHQPEpgq0WrwPe9dtCuPUSRoVTtr0L6u2zfdl
Ny2XZZzXhHtZxxxxb4c+FSDW1HWAUFt42eD8NSCdrG7wQtIEccxUXRh15J1ZRWbuWgWH4ONbe703
WV8Ttko2oWx7Tf5jr3/+16UCUUw+1rYGmXQGyptQnFMaodWRqxwo7bgMUyztHTZ5qxsbtd3ry9CJ
M6yi5TK48yaY52SbiizynyZtC+RfmKAceATbKnEWUl7rfj809bJBaOb+U0q7lx/C1pBGPY0ff6WW
vP4hsee2kDvLJjQ0NUlfM0Abqr1kA0DL74gX2dpxII5s9tcP+v/uL/5clGYOBOL1cI0P//VFvbHF
q0F5MqwKMuRtvn6g2IYVyh7AUAdVd69NqJPkfR+VxL/eEv65NKcZNI4cl3D3HtwvoljbMTiqhom0
Pbja0BGzLCFa2City9ZgUzqidb3O3Na6GDS6Zz/ziDyMrGN+1jeTHqI5xpjJTG6TWPOyd/1roIkh
Qk1YZ02Ylymuq7S+JE6LDMuOFIc4JtJoMf1jG++3z31VsdHXYm43WdwP9nVuxQmsUlgSQRA3+1kT
TLf0JkE0WQxu0cP9hYmK5rCOqyNv/J0B77ChZDV3uG+EQwcDvgdRqUaSkOHte1kYlG1z0Q94uW2C
Kr/Cnsq36H1w1Rl5skvdFkraAKBraK14//EH/mYu8fkh9EWQ19LGpdn3euxNmZ+Tq0BrYS1kbNpq
nOgrQXHNRsrEH1/qzVzCpWzh0sSFaY14+GBdK0alrd7xCGmsgLgo2F87hDnHDrFvr8IoWsFKsCPY
fgUHN4SGP5EUaCr05ma7t9IyvSM2xt1+fC9vH5vLjLWSIxCaCfNwV9aLcQKA0FUhCGtCv5My3ycy
h6NCZvzu40u9/TJYU5yAQgDderzJB6e2KFM6GWwuZbQJxvqxkcZJn/oueXNYgIIFODhZUl1+RLX0
9uNgQVu95QJBFtWOddH764NMVYvt1MIb0XlGfjKv9JGpiKpLLUZO+T1+zRIg+sbtj82GQKEO50Og
LCY6ndXlwl7o5eP569KL4/a2Kkhd5mTVnRMlQBHQp+N7m6YmXi4k7yklc3NYsb5TfObih/2m6WJe
kFcCANCUpZ1dy9nHRpstWQUn1ycEM7QMN0WlGrszyGcSEDcK/8izDVbxmxokZOJYxslV0pVxR7PP
kh2BUW0OUxMz9K6dRfWV76/H5eQARAIx6hN9GNP6uKKBRbqxh8z+vLHb+FMWBfTuOs/FDST9BKQu
llMUVv5cZ3fTsDQ3TafNH8qfJbsSQS7ThvjCdNoA5gruyC1gDGGem5cdlmyaZdqccItMsldfA3b1
7Q6SNX0zUaf6RLGecEhuwfPRSY2UcyqHxvgZpZPzlR079me2UvTUmqW7zYeO8GPlpR5QVFMS8QAy
dadx3Zx27DPgLZK1QgsEyhDpIqai8dz697INvAWIeIzu27YnA/V1BEp1GlAnbscxMn+OtrIeJWaT
4lZZyWocn7uJXnkNCRXozUSDvYyWGjgzNEXmdJd091BTycc2KxwBIRc/NtF5TaJqgs3H5MqrPOu+
BSsAAj3VVFvroBBUECobOfg8j7je5sIBA29liAwWna9hNUXsU9XQjeFtUydP253MKP9ugs4b7ker
4XCQTAkRkkOfyscO8gueqMYk3XjuGu3sIEe030uE212YxnXH8WXC+J5oqJ8n1EMoRaSWYDVaEtVc
N2AZeRIW3M2QmXw0N3G1SHnS4ekZTzKIpCndTS8usATb9M4N4aawy9mtfoU2qVeVepaVWxdWKfhH
7FL8d2lWD0HTLOO2DVrjsQA3BRlsivF620SrjiTBw5zqS9x15CNl0wNQChkQKIg5CWWKOT7CFmUU
tUE2/fAa7DwbUNvqNnG62SWEsW8guw4+JtUTKdVyPSc0NHcm0cz+Fp5ssU8GF/RnMpSamBg6Uc0W
2UKClx7U623jKA9fYNoJuoxBnO5y3SNfiCKy4cj1SMerdCzy33BpVBzaQhcPheuMt+5iDqQA4Qv2
gXXn8bWFaCYPZ0Y0/MYCtNUGtMR4g3lK3C+mQRkEZ3FzlpQ2GLC4Q7JRUrHTJwHFqGw79p77NFa6
uvbpRBC811TkskOAZsjGaDM6PNVV+svTg4Biq8jm3dmtsm7FWIPzMv3CjXc+cS9qmwAKxkhFF+xs
iBeIcpBeCbkmRgmbAExeExImQK6w7xsM/cs8it9znqRroJmGCtcDhAm2i7e09c7JbRJGYUAZFwjG
RbUFYRyX26kyybYuk9QJNpau+NYT4I+XrpMDLNcDqb9bQ7qQLPqywNc9xKbRk5/em/i9HWOMd5VR
OOOm65v5KbMd1PytodLb3lgZ7D0iCXLzuhKmrevX7jcLq1cLHK8gbKqCdrcjm0dJUr1oqw9i4MdG
FHe/VOCJP5UjB4i9blzyc8emPG3Qg9+tX7Xcu3NFgA3zk340ZBM8dAuf0kaQyCE2g2uQnobPFCXU
3JTBc0Bvh+CcwRwv8CaSc5L4swUImQxLxt5oUTroyIj6nPaDXuMB6tpgoFrdJaU9Z6Y2YBboENzW
/UTiIHOCO5HkRG04qe8JoMhRJ5im88vpl/57z4m43o+6c/qziA97K2ITsVlva84KPVVHO8xgFd25
VVo1YUxwGRZanVVE7fiwacNxnEx9lnQqusllCgJbNxlabcdLTLVxnXWSFsSN7ROcIT2O5th+sGh2
fWlm2PZ7Z7aG77QNVXFm96PKd2I05Lc5qS0XdHvptLvSEtDDUVaqq35u4fhVS5c/J14SXPE9Nt8T
Pdc/XQg+I8SHGvVSQ4Rdgaqp1Be0S435grNYcmP6qiA6m1KsBQ8hdn6B/WqzMDUa6/uQt6ROJl3Q
3GS9stfg8FXqIyhjXYkB0xfo27Ij7Nh1OhtfgZz837zOsbob+9yBDAT+pCeqGTIxgyq2fmXIP4Ex
MG62sCi8+44kv+9L4pnLNjEE0JCJeHLzvKYGBrG/XxsefZmN3zgB5hHryOLcLFUL+aMib6g+jXQK
VySFPVTgC7PhtlMrny6b3B9LgPuR81P7AT7FaOZj2FC5xcqfNpb2sYBOnM9LXaKa88uaxuySGahZ
UIAbZ0qTkQ0sYiLeQIkaNmHSGGjqomypLjN37MwdRTLc9soDM7/R3pIsm05VhrG3ZJ3fqBw0+1bh
xzfW9M/ofqb60oUTxOYMnq1dPLB09cy/o0NOFYUQHMxNtDwBAu8S0kXd+XM5mOR2TyWw9c0syMk7
Wdwamr2qwXIwSRZBy5+6NZ7SMlfIy/oSvt5MUtkZXHcXnUOZe0++F+U2K8HY5BuMOkzuImlJaOLd
Wpfoe6w27Ir1FqiMtF+VpMuzTQsvzzdpEqFLCoyZjzKmI7Lpu3r5ZrtLw/ckASaiqvHs36WOSijq
SYOhEjstGMnBKKpHPEtGFuZF7f8UQZwklzhVm+9aDKpEmTbLOwk3kdS01M7w/ZuYp6xIi5+e8sxn
F3TG1jPZRiG60dHvWANjJAeL+t6J2y71bWtavAscgo2zHcs8ukz9wf5lLyOh5eAIv5fwIm6iBJUD
Dmq7vS1yw7qCrpWRTCmLR881pls/NRDYOmnUU8CHPbILdJWf0MBjkTHt5IQWRU1AckYytVej2VB2
BWI4ro3huW7S5dFxEvnFqOV4YXnI3qiUdm2yq7yhexw7GOmhSsphW0ZomK6kTbLWabY448O4CM6b
PDjzqqb9MIci8wcc/s3yYxqCTpwlasm/oMKzmFctlhuawMUMzbro1aVyPEARTkTNIlBoTy21wvL6
KicnLdac/jeYZ/mwzBzUd9sQ34j3lgrU1l//mZCld/5NjFvJ1kjY5EBmWsHH7DMtPi/1HNmE4M7L
A+gpaDzd5MzXGZhkFxL8xHl1YAiB1e/JMb6b5EhQlY5q74saG12h7elc/Ile4hAU0om4C06yKoJ8
TWUs+jFYdvurG7v8i0uCUYNkcbDIX87q7r5M1vJO1LXONwat9yWBeXXOOgdxEOjJZGyJtsHTwqZQ
BVtppq63UUWdqq03+qRTmJbqk5Moa5pol0GEI94+QUF/bhJIdKY6c0r3RmaAXrAKy/oGO4MF0S3h
q4QKVoDHimIllwAE7NVvkltPlAkaAApmmwa7NCizJ+VPHfK0dgZXgwAQ12NKbN2FnNEKEEBYBHcm
wsAALoNVEyJiOt3nPuIv4hNPxnsB6wP7t4Zs0smsfJxrx7pbu7y/GmJYvwivJwNOk4gzAVVKczZh
DX4ljiBm9AhiC1Q2CwFxd3ZhWPFpGoxQo9MaTXLhlUA+YL7ZNyrpJI5mVAcgA0dSeba+jsf7lADy
ejMlM7u1PhsIiLfYCBAd6QTGbQvRcfVJW9WZrmOmJNsw8l8yJ+0PLMrcfJpFZMFxhY55Ds1+Njfe
QMbshh1BGuwnLyMOQ5c0xojykD7pIkGzkDgakWeddl7zC6AUyzXZx1Eawh5aQHfEWpz5seueunXR
7RHkWmCK5ioPtZhdIuoHuGo4efUtMTXs0YGINpRlp07mW9Pq5hvDHTWhUxZlmU/YXnAhRksylqwk
i3gmXIruCkm72CxAC8KCihW186mMCAJOJTberTPWCRHWpOntOgnbfucSawhYbkCi2rbebIemNlca
EZPpM3FNxM3KQZDJkZEevPW9MjV2dSlS94SwwsTbxuRtI3bNoQGEvZVXjKU2qnHF5wUhU1HOAVm0
4PNCkaL7CtGveldos3P7xNPTxDzgpqiTPZPYW0O0U06xeS3EQfg3P5GYNTuIW1Vth4s/0MYo5n6W
21Gp/sqzZyJZ4qBlGc3RBec26z17c/5pgrCcMaKOZutnN5Y2QIISUgI745JXOLVLe5qtlJsTvt6e
bVpTqHPt6ulLRlbOJdleub1BmJqf5QLr10YDlD5TlWa8RUUj7wY9jecBjZEHLUyILgNfJiDpXk3f
I4toIovaFngbxXaQDkJDnrej+pZTHCv1rjHk9CnyUE4ju829L7T5Db2ZaujsVLyGJUJWMXIMcpBk
uqHBtgDqQaanOzlXTGxQcsVtXC/Ocy96dvjkXWeb1i7L3wHZvT8x+PvTddYtzSMI4mHNxQC6vrcj
FLWgVeqm/DR0pf1tQPzrEfyUILfxUZhUYdoGIFISop0LojrNId8lLLnJtgKzoLZR1ywPXd/K6QL8
Og2pLptsIqArpwgJUWAiLjxDnS7tzJFuYtS7xMl7Mtp1bHkJRkmJEiPc0crJk1+yaWNMc/vVmK1g
zawwxQ3sGRJXwLnobTF0GRAvs3PO6fm5EiaITrjxioTzoIPmsk1qF6kv/7qcrYmoqy+5k7j+tuyn
/KcqRHA1ZVV/CU6ZzC+lWncJqW0Wj6iSp09jHBnPLAsR8WmjaRpnts6JrxlLjU67ZuN6tcTrlDJG
2Sh2bJMCYMV4S0jmUY2/t5TXPQZeVXSnSKbTs97upl+EI9jzHrE5YRXdGmuxpUtOXYFs9/hJDrbJ
C6tRebtsjmBWKh/cqy7ESEgnyRsXlsIbxnl5NSPKvCeYh98EnYkFkcx1qocGqWPwEU8TMNmEfjgy
/7HwETvb2RjKy8KIedqEi6TXiK/k76yd5XOXWu0FeiFPn7J34zA3Ifz7ai2ec49Nm+nCJfQmwjNS
ZcSHVksQ8uKKjuDiKiFaKq3R1kPB/i3tqV62dtfwRSx0VOwN0Ctp7ME4SOrRFul9W9215jnFCscH
xBUTTwMOjF3khIHgrFYTWP+4g8J4ojNSeMIarEaxZ5GFq9wjpQWYsgAkJzumNS4mlN/cIe5zpqFU
c3Am2yVd2M01PwngzdTWwd5wndtE2U5931926Wx8V1NpfCdKgGKgnGqLBR7+v41pQNlsEFhE+9AY
m1ad59kwxyccHpsfbdVH3joVzFbY9DUopKEhpeJaigq7CSka8077I2wNGgImyT++JKPHNKcklGJp
PztG7ZV7px/lt46veDrD1SefCU9e7hQihjgMCplknKZWdlSdCaff1AQfUYVRnEA2BcWZi5xJmP87
r/17tEhlsE+lROFg17CwOE0MXb7aAFaclETpfTba2r8MqjzlMeskObNbMBihlAmBUn012E+em9G8
AI7WVeT6eWuKNUFK511eDU1IYDkhR1VdeDSzo8kE2N1DAEZOROFt02UZbZ0icMtwwFtQbluCh65p
gQEkI/oHKLHql+5r5HXtjUptStRm3pB1NRduJU9KRZ0mrEqr/ZXObDQ3C5u9bFNO5vCpXGIj2bpx
nn+j78PJFJBPYJ+1fM2sMTWe/p05NLk6TzI8YWxmW86XG6cTjmJ3WBIOwp/6/Q1B4M5TKmjWbJp+
NlgMqyF7IFAV1RBNWgD1bhkVI2mqSNwZh+DH9oJy3296Z/7lwta+A4Celk8scdNlJ0o32a6FyYQN
x+gkDPwscrb0vZxdDIWVgOO+RkLPvBSR7AF35Va1eF4oTli+OqeWkhEgRcw0WXMcKEOi3tzl0iBV
wAZSTk1hk+um6yHwAEOjyqIDkX+euLfqZByMFeXgkavR2y6HI9sfJNZfnYw7d7b0E+vvQNSWZyVX
BDXGzhmMPK86y2oQmRtaCTX2i3it42Qu6N+izqZv/wHNUJhVb/ByqSXewh9b7kY/7q//oyKpe3HL
kWZvAdF8a7Jon7YFNZKTj0vl7xSOGRA2DfQXFe4hVd9VbRct4xomkoNCHqmxXBqGPWxRTMjLtHMm
zt4WcYZRG+wJRO6ONDgOpN5003DfwkFyTLraOLS8g5q5VCWwqxJCbSB7DIK+OY+bMStazHgq25lG
EZ0JCyxbQWl4m1aTddJ2wfzPtib4EXQvVzaEpG3gHnS1DMfvajsGgrdMg3WeqkFQq7ad68KZqpuP
n/ebXst6qRVACxeWhvRh88gaWtdoJTMcUUD+BVEy9UYlQ3P2L1xl9aYjfKWfc0i86By86cpju2/H
YtkVfW18ruq8PaLyeHsv7EYDDhU4tFf9xdrx+avp4Ns6InWUnY6S5nRS2RE4PjK5CPT5+G7edI5A
9vBeBLZU6Vr+oSO6ShDREXBdh0iRxalab6SOUUSWaxzZx5d60zla+yjChl+z0tS5tde3NOcRpQ+1
trBNNz5fFjwIRlxkF8IrKbAufbAbcEkd6eW/6RtxUZtaNWrGtf0mDzrKNsLVRrAiUOzmJDdodukj
EKt961RPKhLztqPbSnIiOckf3+2BrvPl6+Oh0jCykevh2zx4g6YRrbVFvj4bDLXYxMVYJBs6q/2Z
Vc8P2L/sS2OyqJW5qLrbph0uano0ZqgWwqwW8luPPImXFJdXfX1+DJhuwVfoEDljHTQ8HUA9NYcN
jNUxMbXd5KXbKZ5KgHJTtBknXIZ61JdozwH74LkD9NrrMy3b4jSQuAjyhOPcShG5MMtWPQFgjO7c
qKCQQFzUkZnzzeiH4ffybaFEpQG/6un+Hv0CGmrk90MN5XCavoA6ApNlm/npx6/ovaussluEBi/G
hYOx4UQgi92mrENZWv5VVXvfpsxoPv0LF/GAydJfx/HnHcx/euC7IiSNo4ydy9NRqOIWkqt/bLS9
+Y55Yj7SJVzla3zA4Tgf7KnVJUA4+qODvLbXEGLNBHPJZtvYdLQENiJogWF1MvkEFDMLFzJIYck4
mUXwSladlo6VXvhYtO4JH/Z/fPwQDuxXq7DDRY3j4NyFlm5ah8QDC1Qn2JqsDpvS+W2msXocGnXn
jkt9YQPMOi+6uQ4XZ6Ac4o3ecAWBB/CoN4zXbowTtZYT5VMSdR4+/l1vZoeXn4XqArEUmh/zQOrS
BsMsqbnXYdmI8iSuU6pbGvhcULr5+aI0pqgKYtoc/Pr4uu+8LbkOiVWySb3TP5gbOIpgORAMitxl
D6ojn01kRO11NMtj0oC3uwBGBO40BHwORBN6aK+/Jaq82lhUykqSl7RXGzhsZTHbu7Kgj9wD6loT
daHWYkq5dgI8mEWwHMtLeNEkv5p7+BEgTQAyoSRkGjqY+4tgZsvd0x7Q0oJ4beXWrkDts/FMnM8F
r/1MzFNwTqpj+SPIZH+fE9mNH6+Mz4K4aX4XXduRgJ1Yt2Vb0G/CCe5+TuYVLmlzuAbyL+jrkST3
MJkyOCHRrq1DV5nH9KjvDBhI/xjdfd9EN3L44kqEUGPUDBUvLp4eHeC9d7hEyp3ToxVfvMhAD472
wQjo4H48ZNbXdPAEHQ+SwrqSMGoOJTq4W/rGpKwSlkIOT6MfmXvsRtYd2h3zTs3BsU/jnckRWhHW
TmyCfCUvism/NiAVvVdA0lYZFugJ75C2DTdzJe0ji9I7HwJefgt0gYOmHX7g68GJrCPNBOzksEqU
+gwSVDFjxekNeHRxZHco1pn24AnitMBhgXgFbN0hQG7CAswMg52i7UUSCruEBAD25ULgYgetBQey
H01BZd/kW0mtZg+q6atIo0t2KtGFpdWRyeftE6aJbCJyEy8br0P4CSU2nKUkyodwXrK97NB2QaiO
jyylb8cNQh2Uu+whmQbQCL1+woEV09Y2WrQhBTahCrfEFmjeeFqh2r2uK8onH4/Tt2+U6+EsZaKx
0aG/0Kn+GjfSyAHzWVxPWlV60uFihZcsotUpdYwe8+6lCAlivcMDiHLu9a2Rk1oUilTq0BuG9sxZ
RUlLDqUMUmt2ZJy+865WXRrq+lUZKQ4Nq0FOW8srGDG6SCGWlq7cJ2Bbj1zl3XcF34JhirJKugc3
BCffzKeRG4roMvKanPaiohIU9pOkR7ems/8L7+qv660P+K935U2KUPVWcVftsHxWrq83iMuzk2Qq
jyl333tXNmsdC60NUcs92Gu1QUf2vODW8FH5G4mfKOz6or3A0S+PHNDeuxQLncOxM8AteMgjia2x
mYSmsp41vTwDbR9t7KkU17XZG9uPH+ABk2Td1yCJ51RB1BG1pT9BGX89QeDptI97hAWVsMSTcmvE
sSAIbxsgd9lJXbduOBDLynK20Ovu2hlvV9bcEggYhZnTKALRVeRve/TmNEj6hiRZNORHPsm3g3f9
kQwqgY6NoNl1YvzrR5o9+8ZmYJJ1pxxKjQCrHVNoPjLRvH3sONgxQICAYVNNbtbrq1C6R68NoxMk
R1Puk6gszpRyl60kIPHIpd6cJP3Vj8l+l3V4PbYeDKY6HdwCN0JBk3ap8i19Fe/r5NODnOH0Vxuz
wK0Wan8+tot9+32u4EduEUYWMtlD+g++42WWbKZDTbBttKniuKPKL/pTLaILHnx9x8vvzhnqy7Wl
pb7Azlbvk6SLdw1wmj7MPJ3eTyK/NR3tfRFqXI686rcvYWX9stciIoi9wuGTiYN+ashnRvFg+cNn
w4zrq8GkipCQ+3Fksnr7ElZ+GWMK6T8vwTt436rMSfyY0jwsjCD4blm5v9F0r4m+NaWxjbyWQvuc
HCsnvR3L2BKxGjiCWRKGwMGOPYNvRXQ9ImWybbt7f7TnO79d3PbIza0//vVegd3dH1siI+2N2bhx
4Ez7+YT8ncLr+TKVSNoG6p8ozmAbo12jn6hhxZ4RRub+D3vnsWQ3kmbpVxnr9SANWmxxgStDC4bY
wIIMElo64A7g6ftDVbVNkpXNsurVLHqZmUxeBTh+cc53wqBiWf77k+UvPidjGcpl24PwCXT057uJ
WAEAvHgPd9TSQRy0UxGX2Zw+/v5V/uJyoZxkBLQ1IhtU9+dX4aBEjSbGggG4JR/GRd7jiahfnYrn
ze9f6a8+T4AhxcDLw5Pa3a6mP51BS58CddEkwg+dcMmkq+VXTw+6p9+/ivFXHyjAuoByn3GP+SuZ
eW07TDrVVOxmbYCdZo4sTwDzzJEHxSjKyyCNXVEtkW2O7J2qZYpnV30ziN3cY2owY5bliAiLZdwZ
OEz+BxcVl9XWhcHYo4P4+TtA1sKkV4kNUpyJW4F+ateU7DdoGSp2dSZbY9NNCIh3K/R3mCT+xev/
02/A98JVw9HsYuf+p8OBE3JIJuAzYVHI8jnTgvIavOW/zDH8i5eBj7YZGDcPB1Xnzx+zJKRd8FQm
sgJNw4IkO8sOWGVR7DUVM36S6XzSOXwkMwZitbjO1g/byOShRJcXa/k0xqTkes8Z25job5fH/zpO
/2Nzaf/3jtN93vzqON3+h787Ti3jD4d7Bccp2naKwU3//nfDqan/gd2Pwc12wCM924bD//Cbevof
PP54BG5WKVZnW0P/X37T4A/GXRj2N1MY3mrf/nf8pr9YUyhYqK2YaNEd4kjfDLE/X02TXaqMS0GL
isZzvuQNTKMdUyxBqLsyNlEKG8vnZcHdudNXPCthmxsyDXXSz1+AOcJD+NM3d/f3Z8BPjtTt8v1/
j4a/vSGoSsyUwV4woP/Vk6WISjBHlwhgo5dahf7a1R7S1GIoYee9+kCaOctdMfq2v0uIz9nW01b7
QgZK+VFzxMj/wfvBErxZS/Df8WjcipY/naydmBflO4sW6ZozfjU04LTENKktVCDQNo5z1a/vXseS
LmRxTnpoo83Gfd3bboeswUQx/vsv6OdHJ98PxzumdMQ9NLbIbX5p6fVBQ/9iIY3Kmpr5et+uHSIr
V6HLcSdXGmHVzHO7d0GYDqx9WyMmFSMdD79/Fz8ParZ3QZFGRCV2ThykVIk/fytiMAlo7nyyM0Ya
dzAZAav8cvAndqjUvqEaVfroag5RxFWjvH81Wv7nl6cXYFLE6o37g3Thn19+RJmzBKyhoMEwY98t
vaPsne0Pucm60TWvCUwtZ/ifLTIdZLJgy37/8X/ZPkDm2rggDN0Iz9tyzn9FYqpgBcWjeyuxiLr9
gU0OWUvvTy2RJcOIZhY0zbpr8oW1EuunBRXD5HVPEqFkH1J8izeZ6/a/wlz9083MuwKLxCyCbSTv
7lc0tTOnXkKimR6rrDRfS70dQNl0I4E+HukrTZT2S/917jJkeb3aro/JrKprgNUo6YkkQkPx+6/J
5DThl/jz7czjGCKY/7eem1/s1/k8Pl7XG0Xnk/CneRN64cHQEc/rSr9CSO7Le86B1IiUb6X3CIDr
x3qZdQBBmxR153dV+tVSrPTDituiCh0kj3ZIbUyUyLzm4j1bGheHdNtrxiOnkz3GEv7fek6XgqmT
O43GF18saRIVxWTmByX8TEUu0iEZTpOZyag2c3IWKzfQ3mYUrT90ib5np3qfLPOMw9cNCaP1mVsv
NnJqqZUBAvnc7WzKDCTdL4xQgyYqgp6oBuW1o7xephHbgQtdjwzh2UaHnKkVCiBZY113VPRVMhzT
vO8jN1C6hkDDUmZU55P3WAeDj6SEGLt5hww+8MPGWizy2xjF5Ds5jklN2FbyWQRJcI9LZcR7UWXN
HIKZ6JiNaiYMGawWxQ+CIglEsEVOp9amPm99tN0x3ZcyXe6qLmkfp9lq+6h1MVbx9qlSo7qVycxF
20oTY31AKFq+StEc6qmos/00miMA3SqHRDriuiaixqkGXFupGsZonVDBHwP0vB8zQNrg0A9tgxaT
w6Nk/Sen8pLQ27XhZoMUkYRSsRBKKfy7uTdL5wD+ZjH3rJihQYlJmlOUsZAByYjCCOVVwoRoV62G
/ZTLnLCvxcqQuKLCQeCC8I5KBin21MfpYOZ3SWM0m2Z0tr+zKw3CVUG+H7aoYs2d62/AMO2z1Y9e
8Qmk+Nwkbq7drTJBDo4hT0a214/YrexuZrM/V2iuUkDvJj9IOnR3FYI+kFJgTM3Q7kazgX5jZhAU
2aEwkxOOFWo2CTRRK0d1mqbOWK7SfP1G1FvwZhnERuNoSnETJUYOWhTpzS6nycJii8LcdbeWdzZn
c3ysbL3aj417M/kibleteFtNIUmRK6H3ycDhAkb+pT9kmugzVD3e5HykecJtDxGRO0VPv5f4ASKc
97lO0vh8O/vjQl6vKn0RVYT/btJzizTNIjUR/rQBUrm0PsoVBXswiacuUMhBi8pL4txukp0OZc1E
kAwXte/B+WTI6lzihixIn7NlnbKlRY9MbRwc2wE+JoBn6+CtHc8eu6u9W9sru3M6Vto1x6UfanpW
HzRHPlcZshfhV92pc/KRnz+Qhg/WvElvlDFi9FHlAxtS46VGmO6cHeSM5YGQyUbtYNMeuQ0OujKx
AjQsgDE47qpJ/0Lte42aZ/3glKvvVa+JD/JKWXWZpCE9CFV0xHRWtvYgZxspnZP67p751Svrm+UI
CHg6LLVaz5gwyX6xreu2hDSZwVJH/RyuLOBrSKiI7CPREHUKdg4N0GwU/E1opDlchZaGXY1tJ1R5
evL65TUhIqjdM6jSk6PA9Dav5VubzE3cm2oTN9pbm3vszeWw4PU5Ekp+TLLuInNiFsl/TsDuVg1C
WltW/XBKhKlxwM/ijiBS/5LPJdsnfnRWQLoke1I3FbktdU1Ks1/jslndIn/uJoJHcSoOc7xqff3Y
lnPUJ1BRta7Rdvwe8iYhiMSI3VLc26UnjilrxavW9uR7AYb4w0tN91lO9UxovXsXTPYpqLxTHqx3
nA5XOiIkkgmfyrJs8NfVy0uPa4+EQc6KrDI+eDIdsoITj4DkEnV9vk/RkpL84h6dGjVuR4zJWns3
Qqu/BZp50GXWvaLBW28wPa4q1gfb5uPaZIfOz9IKYFbMrLF3vi6mOy+YfC5RPz1oJJDlCyJV28nP
ipC745IY/rklwFCoHMqqsZwIo9hlLMFDK3esIl6MtjWvRBs4yUvtSucuIPG5op4yF+C5QKmre122
L23S2o9uVw3rk4ET+AbfcfPNUtpHk8zpbY+oO2Tfa+bXo0/+wyccSKO5IGEKshvkxpX5WlmWQsBs
tjwDyd8rST/TTO2h6zImt9uo1t3TulrVznJn09rZS1nkB6G75Xe+5+nK4CLocOKV801vSFPuB1Tm
XtRqhnzBK9HXB48vvEKMjpVlleRJNnO58gCU2XPqBtlFMt2Zoi7XBPtqV40HK0tUsXfKLhdRYav1
aI2ZfsyMXLeulYvGt04mt45grKlI61xiBWyBllEHhR7zmZW/T/PUiYva7/adNo/J2U07PYg6l81d
78vmASfxjLZ5yXI/8rIaCak9tT/cyWs4jtdsedZwiyHphePrH1wuv7sMjbi7twhmhrE7yO7GGLJq
3VntSF2zsZ8GFOogqRajS8/g39YTTsfpdVoNhOxrj8NxJz1VXPIpCaCyi9ExdxMCeHqJVIgLYEEn
/ZiXlAyA0cnUw9A46xqhYvOvp6DMTi0e3jISwZgHrFY0czwqne1UyEMTW5AmplmjyEcs7ROqhub3
poX//romfmYitZWpG0oiQNG9j46xZco0FahwFtGkUrJPZa42fBbIqMawHKaXFhtl6I2ldT/YS73L
1nwlXd7oh8tomJqOmGeoDJxNMo9QNEbJQsNjVe5akGpEJnRUJWWtR3jGlXbHxGMRe1voegqRFrEv
SuTie1GYKznP/RTp1oqnS5vWZr+MDo9ARYqdS41FkG9g1/saCydARCTTpuaFYEJOHN4LV36+2YGM
9jRU9R2AIh7KzIwPgVw9VsFdUx6JjxyRBc8TzhaNFFJv3yaym+/J4Ov2mbc9nzQ8LJvhQtvPaeHe
tE53Zfbv1WQ2h0Jk9fOImvOSmVpsl/a0YRjJbXLlpbDFHoUz4O/Ke2pk+hFMZcPlFCCgNvYmrgbL
aG8ro+6In5RX0+zECsnqfl7XB9TPaZRnUj91FSiPNJ3Mh3JNrWjwy4O5Fh+uVciB5F5Xqy7cYOYN
SwX9xU37tYhcytD6hPg+NU66KPVYOkLPzv1YeIg+zZIBy07rcYTOuwL7EBWqIno7T69zYjDbhwxV
mLrTG70OPgOn2QZjiYEv6odBwabfVpWhyxcjQUkNLmlN+v2cqd6x9m5Trz46QVdV8bRq7hBbC7SU
EAcfLLk9H3rpX/WUkmYrKzOr3CPYl9N809h9rw5jQSQfHgy7Kr6vTdOS+zcly/gwLAgT8e94FXab
PMfH2FVZtiu1rHpIbO+Vx5uYAJ3bX4IiS18IxSBIcHSrK5fo7f3EEPPWUWXx1AmPqjohNdVy8R6T
3gssoIPU3ldufyvU3H0miljfOui/9qNZf84dll9kQHTv2PJPrvSCe5v13DUzXjv0ZCfBzCliWkl6
i8jh5brH/RZjUPLPBD9P39EgZHysOY81G9IDt+w8vtiZa1Ao+O1jAH1tIx3f5IW9sUMnI0Qp7nB/
puKoTFOlhLJ66aOuZvNLZ+fBccqUjGfHmw/0jNVF1qO6JWW1iWsF6dxp5vwxT23jAJhY7lddvwJg
qN9yQjv3RCHDRc+c8jWYtP52mlx8jHkNOrvtzPmetB+gdcHwZWwE8NK5lrEQbnfUecuRIfT25BEV
dCmagWhk1By3g5J9zFL+iME/P3BEaW+Dp244DhaOFqdA9JzTlEQLhHYMSSRJv3C6XuYRzy6JfCL0
7S6vKX3Hr9MMNUkwJEG4i7Jn6fx9ZuLCa/qMtfdSfhAY+9wVhX3hmXXTJws1nqurUE8d/6Hwm3Sv
bT+I27XegWhKe9oJksSTPrkziFmP8cY3EAiyB8tVG3vJeeJ5lO0ZrKf3Hdnu2KK8EpiULT4qvZnj
RMHOCrBRfvql3ZyzzKTtxWmO9D7ROQZWHgnYzezeby4VEU4Rf9ESFsIfvhOiqIUdtvTnIZfzYQqm
u7JVxo0vMvcD4yh+OKLhbkVmVV+pu35MhRm3ds7x5q8Xaw587LxSXDIxnZwq9zaNe/uWttmzY4x4
K6fiukrxCRujsB9r30hoHrG0I/BAlqBPwAfKyfcvGV3ylQ1qICzadLnWC5wthjld1lWqPdvlgeLf
AEbmxlJa61VVlF+Nwo6gWe1UrtdPQzM9DX7f3gV+Oz5ls8W/dxJS4g3rw7TRmJOtfE1Kza3sunkP
Q6q/4iysjtQ5Sbh403oQq3ZClPeFfhEu5cAPtKWo1x2xusiJcZS9rmlqgpKwnrN83Tlme413BAlC
ZR+DIDUxADvtVW/Ybz2EmZ1fQK5t0qxiVD9TeXXihftnjNF2WvAaKL/0AZ+81Yw4jQXpBnnrfTa2
jaXK6l6IMQBIlGF+NP2dr2wTbwbfZpHTKTmgchnIVfepsPKYIN0lsjr74mrBUwusHReuXUGx05M7
16AMdhXeBRLOH80q+WIGoj46OJtD9j7mgTx5sgv6pIr9aWHTKTVAdCPFSmDVbSyHcrxt9PbaqUed
8Gw73bPC6i/r8MPi07fKe4cu/FkGNah8aAGjDScd4nmUysIA8QRiBDJBEhMmK98zkpNjx7A/uxWv
QpDczGkznAJ/VeGAOG5Xzn0kTZ2CtTmvyxT5/XqfyPZosRCdKueU+/3FcSZz2qeDReNpTd2lLGAB
B6o82g3M9rAXUseTy+a51obmLgAoiyevcZ+HFq9BU5nDQSb9xQ/SPhY8S519W2+C/z4dqutVVujI
PZ7DqfDQsMMq9vo6+bH4c32sLPx+SzbgdpHdxR7EuLfyPsB/s94zt2tOlcjD0RhxzE95esfKYjeN
aP+McuGmCHZI5/jveensZr261pf2dp3mWy8d73uGB6Hv58MZOMh6yMvMOlvLtkfPuB7NXn8Q+Knu
3XZ9X1v3i4KynXrN05LJW1cfOaSaBTMEK1sL22jouKt/a5CSzpbvh7kud2W3xEIbsRb0O1PBhJ4B
xxqzONFUXCHupNDQ8+yetehOSOwz7uzs4PPe45Ae0upmnI9VXz0v7Xyd9UOsxmLf2d+tRfvQzJae
j/x3U7vu6UOGrr518vI0QCbJtDr2FNBCYcTBhOSqbWTcqvyQYP2klxg/18x/Y9+6032fFpIGVzoq
Xq2LRjqY7JghcVBpDz1Twc2UvMr0Bklfmn0Gq7SS26EvHe2J4UkJIEizKszNlY8rzSjqGjsPQUHF
niBxZ7nqfEfYJzSilnlkTJvPR76YsTuQJzFi/EYeBTs/SYqiKnAKEcL91HeL26MVruHm0rpZTAhC
h8DM4LonNn287orMBj7SdoC7QhMLq+2DbsYZ9+osTt+9eH3XJrep6gbzFT63Vz/ruPl5KmrkvdBd
Qm1omQJibToaiVvfpHD008jry2w8YWv3eTnNM5uOJoIN4/c8oeUbvekdm6cZab34YjvTJ1fBbquh
51U9y5ys5cRKauJhUutjDjS+A6dW9YmhjEHtSEURzS7Mkm7xzrquugNDkokEbTnFtTMmP5i4igiz
GOERAp9tKDL2jXU93I/u4u5h2SsKZlJQqnyMYMEGmLwzdcudbR7L2a1uO+aeoXS1WM/05qMy0uYp
mHModn2BQ5uBGPrTVHu2MXq9m5Q+BbjxPJs52rPHQVl2nPZzFldlz23n5+O7mxYPRTfZWEn54EYn
zoMIrD1BaPd24zosyfNgZ3rFSTJm1LzmCHCmNkiz+eiU8CI8XuZ+0RkXBaVxl6xWX0XF2P0IuvJa
URo+WI6OGny0hfk0uMFpaoJ137Skpy5+uWnm1v7Yehulos7hlei405HwndMK03Iw2uURCz6tKtbb
Hopcx/ivdnTc4q22m0fvXI2TdjY80las9JvGRcZqgZa5cO/yVSNCOBlWdoYQQcJem4JL4fqvWDFP
C0o+niDqWBjG21iuiD/SfCAFC+X6JXeHOqqt5k44XXfiL2QLVCDGB1QwXUYNRy7OqztokPmjC9Uk
nLX6JZ2odawlFyFb4oYjVNvLZrzrcMnc2HLqr0pI4xA8jhzrwV3qzPwOFrMLyIDadMa5vEbQsCXD
SK0/pe4gQzTYyN7ASbJdN/PXfh30o+mPT/YwgjbL5umEwn65NpR1pNWdDwa45RAJD4JYffHu8KEx
gMMRNe2qIBhuYN5rH5lvZvFgaaxuFkpT3NZWDK2FeO+ycOCuY2COiANqdkHpLGG/5C+FrGUkG8dT
xA9NVmyO5nvr4XCzHbrlfhEnLJAPGIxdGjdHQ/psek8W1QnJ9xot/Gg3z5UfZEduLc7kVT5oKN92
InfzXZb59nFjAZogFJDdTMulo+SKglzTdlhhuxAPjrrGZ+fsHWf1wzZ7s9Lav5oT1R4ZeAo8Lazs
Esa4t8jxyzOx6e1BLPoY+r0NO8hZ+5uEmeShTCvtiuvQoFyubBgKoPafh8V7ZEuMWw+/DhXPWn3k
wrwfg2FfsyKMRKFsudNV7R8nL5uO5my/48P7rnSwHWhE/UtFXNKLGEd6UdyiCbQnkFwaw0+PUPGy
K680vdbeDLyZe0SBbxVMFCu1YtlMtxnjuN3UOepACssF4DBj/tRuD51ZPzrKtG66Gs3N5PGtGXaz
4EikridsMIvYBZDSvmhJNC8wJ1TtnCVcCkhJ0LUShxEObHOiScxjvtLOFC53eiGT9OgE4mbVm++9
Oc57jyctg/6+g4M53ORl/dUv7OxELBGev7K8cm3H5p/A9lU+zQizofKyDeh3S+d+OIvNSNjxLk2e
38ABO/bkIsWmSAPo4oFVMiAJ9Ku1HPYrixDGkxtMp7mu/XXYS1vJfYO9jn6IlnZZg5d+GW7VEHyx
OkU2GjKD/JLgy2x3ck0PeLCGcGYBcwBP9cEjp3+GSPayzKxpfV1rcGSru4DajAnlUqVHe3OgYMeT
5CB4RMDr7jfZ4CvUp6T6qg+ZvsMF7Eau6ct4WKBQ0BRsq5iE0OHNZZ6Um5p2yI4uA9XrelqDWLg8
lLFmXqyutg8VEZSjW3ihm+OUl2rJjhIPZoyR99k2+7fM954wjVosUDI6/WK9X+QQg822DtywFEDC
UAfdVf25dr0jVHfnFcZJcUcA/Rh1qjr00/reYpaM6678dBsHPPmyHGYbj4FGXNy1jfGEETmB906H
Fd2d9ZsenSuAGdIEBnI5Xw2yjvasxb0dwFoj7ixvw4J5B3fVgi8BvVWEoHCOoYfod2WTXJgp3M7a
auzMUbq7WurDPvCJfK6r4JwRZl2kRhWrGkKeliRfplps+KZET59b6dwKRktxP+XqYFhJ/+wPGDL6
bGZXSNDqsC+54/a9UyliHTiaHb/wYUEt/AzJYMVtZo33I+gxchnk90Ei7GwKQjkmCwRc31EfFU3V
PxXNNFJMmD/K3i0idDlL6NlF5A2WpEwiMaMecpJ/oA5o8m5Kkiu86hZrFF+7QRTwvSeAliQh79nM
1hP+ozO/QeQkmKlqVXqPohp/WEZ+7GhRaVYIthJIuFgb+Q7FQq6msJzXd40pICCkdAod9t5h4jik
H45Ldm2mUuxnP6nPynWaky8n70Yliujc/GGZMxGPU0CqN+K9Y+L2FJdsjgwWUnCdUG2u86FrRHBG
jlQeg5QgUW/kW1DWxNXTj2KJvFZymFlFl3LVWs9aOlp3lMH2F3sS3IYMLs7UyCqyqGouQ6ENfWQ7
WhA7kq6dFU9/MWfSPQr+NCVIdlXqHAvGMlXPRQ63p0opYH1Oys5XD8ZsGrQ8mN0At8hoHo0hFm1u
jvGUNsGRUdGZzqTcr7NkiMkPGmMdLQ+5SfrkBPuMPYXv3oCJI9vaglYw6/oOX05G/MhQ7M2Kagkj
UXmpptE7OQMPRp2iJAqc4jxjyD0aNtM4hjKPCSLM73KQ/S7VJFXyjJmeVWrziYfTu3gL6r2WvZfR
VszLq65B6cbsUBeM+wytvSmZJUdUZAzQKr265bZJH6zC2ktN944LL3lWWnnQwSHeuTbQEdXR0RC6
6pMbamV6RLz6tdHq/XlmlEot5txP6wThSrPvm06nlKHwxMY8nEc8Fe1YfIzGcmvgWwc2Q16aM1DB
00rPMv9k/+ns8iq72PrCdE41Fj0Y+4mDYwXfvNGUu2mq9nrKs9dD8QmeIViPUGLHkzf4RVy4muIS
aNigIOsbPmDRJAdpudet312nbuseaXDaZ8CP5MS71bcKdloM3IMk1lyV1zj3H3B7NLtGVfdNWmeX
nH4ajbZmnoYhjYwSwxKz/VfZDEVEOwVjoCn7ewbUw00bLOKwTCUGew2JiN2P3jUHGfcOGrRoKmyW
ih4EmKkka1azMB167jzd+HRJN3Ayjh7v+iQxJ586m7oQR8wPnKge2RB9EpZmkFFtw1LTqlEdwMn1
pzUBLwgP3PhWoKvIorRYsj3posdW6uVta8O/6StLPJkTFVsmi2cqE2unpN/dGsjS9itqMcoa/ANM
7YCMBjMl4MTpNjkKAGCgl2FdBt2VZnvraeAUCklMHKNp9ZpD42TWMZfahm0UlnElitqI/ZSEA4kp
x9x7bi3YSm+MoEHa8NzqROH4Ik+TUUErHPW9ZZDD6WDm81UpaI+hOFrTI7KZiQIyMQbIeUg7jDOI
HluLBUFwd2vhpg10qJGtFiM0+Tji0X8sJHwN6sZtwukMbs1ARKvcpyLJ6L4KaxIacK001XeGnTLv
Smozzeko2Z1tT/P2dcUY803XtOAdKU//4rtUJrAKUBUit9Uc8JKyoZxi4oBcsdGtL1Tt86tYUN4A
m5j8bKeRXYKhPtATeT2CgQXB5EyeHzGgG6pPwbxC3ZbMij97+gry8RSci73yvUq/iKGE3qIVFuV3
vjDMYkiUsE+09KS599CPSBom0zk6C3yifd84AUMpkWNUyFA5vTHNkcx9NGcuwmXR1AXoWA82heUW
w12oOF9gp3GvtE6WpZeqMJqMyW+XtbGZKeNWWt78DoJ4Xmm84RFsOqsF5pypGdZeA7aYXojyLN8s
ysr2WPe9/7WpXGg++pq2L5OUK7GaDI8/u3LSv6WtNIBvjbgmuUncItgFjTech2Wg0V/E+om9uuJ6
Kev+e2Pk1j2Ls+q90jKuSg/NtrEvhayLE/FZ04KFrjetiHqv+5ZC0QA6mwLiip18AHIzKL9sd0la
blIwcptz9lxl8UNqyqvO2KlIAUzX0T9ClTzZwrjpnPrRbxf7AC60Ps2p2I7WrhzvgoLCNVoZIH4Y
xDdBhTAmiyn1UDogN1KGwfHaMEu9QGOboQG5y/qaZ0XWwJ8Umn/KWOMhT+aZ86wyFSxHlhUJBWOW
oOgxxsRXOwDcku1RN3G98J32j05vw/1p7IZ1rlj8fjoFTSWNeIUi8tFlKEN2zD2Vz6yWNJRQMJGY
49FtKocdGNoKZP6z+axb8I6hGzWqC1s/V80JIialmzfYANJ7YyOs5DUMh10lvN2Ae+MdiYJfAIMM
pB/C1ULTkBZKfMUYPq1h3tQsMwxhM5pIex/IGL8ZhFTTcB6avKJVSnM4dzuzcocRwsDcFw9Iykre
rO4ONzJYbR+JNmNeyyz6OZynbiaArbbAmFh1tlRxlpXuA1Rlbi+9UuLGX5xB2+XKKN5KQOgvcDnb
vS4diwI4zQtO6MyZN2KSwaqKJGayq30eomebxBxIiVaGxCCZaOqBcWZZRUKZE3zp+t54a3J6mJCE
zB5eH+mtP7out8DQYIJ9c/DgQ0eTtXVf+xbnDn8YysnaDk9DzSZw16de5dMEGJWgdU62K5aBHLQ2
ELYv89pAbqqGsS/3BVfEk4EZmBA0bUDtpRxLxBjgWwh3Xg97xUw9L7hi5w16hPPEXa+LbqhNpDA5
wgpHDMZjQ8d0U2J7QSpcB/6yk3obaHHRtP6nAQyZZWdKWgzckWLguFTYMdhdarlACANzDBfWop9k
NzFJIasDXlSWB6Ll6eEYXweAXCpuWguYC8NaU0L8KkDIWqkCD2MnI3Vwowm5sdZawLp+wvUeEimq
vuW+FGbcgaN1IiT5hhcmZCgQF+qWismwgdYuApSHwoKKMum5BgwcTVXFsAxGIGnfnLyN+cTQRPOo
Sl3rFv4TZ/piEwUagnwFtSpmyfJJziUGnRWGyWdDF3EuRFJFcloBc/EGLXc3dpVxLumuPCiqik0T
f5sA8JKAEQ+VJVxrZzhL/yWX0tDpmgMyIubeW9h0Gp75RmjRhPte6M16sL1uerDtovgqem9+6RlZ
iBALW73GqTsG1EUrRSr7xWqa4hXi5AeJ5dAsVTIWsau3FSqusdMcTqGy9vgeKyakpe24Pjdc4b5l
KSXZlj+qcxMA/4xdf2JfmSE9f2WASxRxQDfuxkUGFBgsmM9uhSUx8akgCxeeuRMnOfKhHhQOqJLi
vUSxzUQPBiEHLXchcwMO69tMLGTwWoY/PC0ir+DRVDWv4BpwWXzRMckEEG3ca6nm1eekSQi+1QBP
FHHQt7YMN5KCcVqJScb3m+ZUvwzAdFJCywBwVI04LmOHkNmw5/zEWVmhl0EbefVUvxt9kLoUmL1G
bmuQ0m1aGC/z0JE4zHZrLYIkZPfJOKLiVxdR548chEkVlF/9yU9Y8hZyCZEILUuIFZt23EYMjejO
bNj8B6NjDUc+3VLGLs4T51hqbnrvFo62Rhqw4zxmT+rVx5nf87EYfJWAUzaYCRY9CQrh/+1THFFi
CRbWXmXyBWoZOrfRs+dsT43UrSzudfmGt7fN9i5gPJtvzrC+QSHlw3qGpfHjmzadhiuF1f0LK9Uv
9nDceCSsYMjGqAkaE4f2L8YM1YCUbVmBx0tjLggatKBpEe3ZLgWpFcxsVDRjA/NAs92UOVu7ASUd
0nrnZc+/V2P+qhzmrfAuUHtjtYR48qu52impPtgoDzFowyzY6dZYVmwVe8/c6U2/CQyH1QjCxhlG
h1VqC6VRmmCC/i4K/bdcAr9NnPopm+q/TbD6/zCXapMh/8Yl8DG03//PSWxWAfHndKrtf/tHOpX7
h+mgLMYq4PvYbIAj/JdZQPP+cDcoDulVuC5xFKG4/odZwDX/sFDKE2gFX4Zg0M3l/Q+zgGvwn2zd
RXW3IYrgcPxbZoGfryAkC4ie8Zdi1MXggv3tFz8TZP4Md3wDwNDLxb0AqXyyh/QJEVbOHnRJTnDt
ESsiB3y3jEle1qAZSBiZxnPOCntvDCryu/9k78y15EaybPsvT0cuTIZBeIrPHu4xTyQVrAgGicEw
GgwwAF/f21nvVSeZVclVWgudAiUywwMOG+695+wTZI/RHGX71uk/IhPqMyBseT854d2fnu6/cBJc
JOj/rTz+x4f1XJ4VKnl02r/ycBQox67nNMG+vAwPDmLsG9w/v6NAeb+aFi/PhKd/gRVh12CU9rMU
HWp4UjQXsfKUOADL6tIJ121zYUl7TWBAa8DdRhVwdN3WIH/1h+4hG1WFkiEsnKPO877fYj2odkXm
RUgP2dLKDOzRKo6HgtFJvgzcy2YYglOhb+yu0jckxiWrlmMVOaNP+ywD+bsZQDQ+Er+YKjpFFm6A
giBaqKOVfWkMj4l+RpLn02/LmupbA/uVa13Xjl9iWaFY/PtH/4OW8POz5/m7hH9E+Ovo0P2qzzfl
4ouqc4G92mji9LyrVVg+92k43gSY4uaN8Nt0zyS7yNZJOQWHPHUrmzs4gqxy1FG3ZjXII53jGyRY
NanwQeve511N8LuF+hIZmdf95lP/MP398qkvZkDsY1B8fPbIn79KclEZttRwwg2zgZ7Cz3TbOg/o
oHXl3h6C5d6hR7TzFJdtPy/d21KEcIRjuI2mcQA85q3dnhqQlB+uDQVglTERo9yzbovE3C6EDRHG
GIT5k6apQe/KbqN+VRpoy40zh8tvjCI/Pu6vv44PFYfT1A7xc/7yJWDe6CPgwM5aean1yJWtBO4v
3K+6jEgVU7mA1uu2yTN6uAstcIC4HaBx3oXFkPL80y60uGvZ84vdefoF+Ql8/CGRhjlP0mcP4Oam
+2kchmmtFo62aR7nFsR6jHjAeFPxhVEROokyKa2txuca0SMJOrr1gyO/l7CqVzUifWzkoy+oLk0d
rQdgq+Wmn6b2HqeE3iZWO8BTsmaEqibMngiuTD4NHrbNMciqB0087dtg8+ELQsPdzYIN+1BPaTat
pyqyPmfuoA6zE/UffdlaKz2VDIuGplLzBpVzfA3Hyboj0bi9bZB4EuGgnfz+71fCDyfKr18CPqYA
2w7gAX7Ln98p2liKRjDdn65O1TekDvIQFjwWj2tWvp5SFcitQcO7Ih6Tvq+TQkgcBv+hMF4p1pbF
dwLYAUzUeJeHRehvI0yIT8gMqd/LyOtuGS/ivQkQbopVZNLiOgatbFbgo6BiG6clRC5pDnA3FV21
NueLsn0QuVM/oKt3mC8kveTqVw4+/8jSTNPm7EfdxjlWW8NLOdJG3EmgkfRwSEypwd9mqzSQxaMG
/BNROwDi9ewiIb1qTBtEFumFyepDuT8zSF45rd+iKUjmZutlnr316JGuZe9WJwtQ1nU4NCKg8em2
N4s12Rs9Eu7XAPBnOU2ae+7CAO6cMa5pMW3m3h3qtVurx3NaE6qQHTp57w6QaFbxku3sFtxm3Sbh
awAJvN+BLmSoG00K2UtunSw30QDFCRFWlRO9BDR1zsTHlA/uEkfTb9bfz86Xy/kjOCnJhST0ySYp
7peDoXQXiXlJIz4tebfyWdlniXn3Bmi1vV+MxwxKlP17s2T2b8J8nL8effxoXEnQETGKuvYvG1mV
LjSUTOGueyJhtsJqp88FSOGTEu6pj8by6Ouh2wsxVqy7jPknA0+XVjdgnc7fxi2viqF4+k0q/Q93
/C9rAQskqAQsWxdS3eVj/8lK50x+M0Xl7Kxjk3tbao1xX7Q98Wc5zqClMMvOayn+hETdIrDasPLT
8jltEr1ukEWvAm+091hEvI2jq2jn5HofaB88L9DKM7R2tB5l7X3lDsXktaeq+vu1LC4G4l8/P5+e
qEw8vjbWr58//zz4lZIZ50Ni+cU5wIOG0s1x5/qQSOexXDxHA/eMcpKOdXdoq5aggAEt3hrV/xww
7ZnIWWQvcyjNk4IXHHSyf6N8yaQqxzSzaYPWObPUkbiqLso46pwLvDqZ8k3NwPLoFX7yIMpyuqnq
nNfJntF6qmDVqNQ5WfSpLLpNjF1jn4J3zY2DwjQqloOSbB++18+fXB1lj2VSOJ+q3HEZcOKBGtdW
sHgPvuwBwimBuJ9PewZz8ExNqt/CuYw3ztwHm+THhj7OGZrCv3+0zq/GchZLyHsfXKLJLrepX7zb
xcIJMVNKrcM+X54oQJPD0lXThlTyYV8tpL6ENb/dNDPIH6K52puL1Bc5THQ0fMqVbUUJ/GitzoEF
PObvP533L774S30sAJ64wha/pqT26TgzbbK5GGAzeoXyG50sq6IX4Du7ugiCXWnHHiNLzJZDFqRr
1XWfu1HC7EZOhdQ4h+tqM/DUFtedmiL0iOgd4ZqDwYvOwc6JMv+5mxex6Rcd0pdo5zuagtY2Zkb4
GWRxcYMYJ9tX4VAdGI38Dozz18dPv4LjCUcprltwqt7Pb7aV50lUdYZf0JHuXdNiwMH54RA0OdYb
1EHxWZFpASicJp/tb+iWjmhqtkFAV7Ee0JukQ/Bhc8T8bs39YmlkF+WT4brlUPMwF5Ia+PMnayOE
QHZQOWun9os7P0S6Zc1qWDvheJQw3g45ZN+Vjj4FNqeW419Ng/lP0St8BoSEYFds0ESe9ysuMc8L
PXXEmq7b1nxFeRkcRjxKO4YKy2+2yL++afwodG4UE8RiXqqsn3/dqb9ciehPYKubIBlWYfzCL9Yx
Kg+LPbkV3hcOU9wzuhbtXe/WPWITL32BB5Ci15nQ4IxCWCc0OblehcRovdNYOMQLhkOGAP6InfGi
/lgu4r6i8QJI/6PHQD8Y2+U+asriye7IQ1nLRr2BE4AkTKenuwrTeIq2cO1/Aw0Tf1n3uGi9C/Ht
YoRntf7y4lFrjnZedzaOS+KQ6gkPhO8G9dlk0fIMPdDfkgfTMSV2veNSpIXGw+PfMu8Nq007GLIh
LJM99kUo0EVVY5GS25C1XwFBzI/5ok42itKnStUYXMt2bMRqriL11vlL9MLBDSLcSslxcUrJjVfQ
FA3SMfe3XYAanrG6v8a/uSAdzdXjNDb6zaVr/q3p5hBFMUqpEi/dycN1+W44h7jrtoG8TscaSI6j
EXbgyWs6BGzy6CyXNImKuB+x6qKnQA/TJzBKdQl75JkKb3SIn+ubve8Ut15lo1zIejf/RzPqP+q8
/Nt+yk9dl7/tz/wP7Lz84H7++9bLelBvX9+aPzddfvyL/991if6gsUKtGoNXxbB8qeH/gWiwgvgP
h6KeiyzwJRwWl/v9/2u7OJe2CydVDKEHwx/16D/bLo7zBy0a4Ad2xImBP/4/6br8YIv+6dpx2Zlp
6+I15j+6P78mac44xa1sCahvQkVfAJ+Csw2DtO9OY4vmTdJRx8eLcrRt/WBdL/bnJXKL0wiCNl57
tHwXrusEFEUNqJu8H737HCPsenEu9zzf9DWIea5hj6kzqh1Oz5i8sqIJD04W9+Whdtbe95FVelzq
EVh5Q3ooRi4aPgVAiWud5SepQm40sMg/R36nupWAwhJubSR7cvHaAzODwD+kngIRU5DhnAEsR8+O
W2z4DdX5l14MT4pMXRC8LpVWBFfxlwumm7ZZXBKHtsF+dIX97s5M/TNGxgmPrRz+dzXlej5+/N//
c3lu/34x7dj5v37781q6/P1/LKUYosmlQ4n47QIoAVDzz5Uk/oCfQS0KTEOEUUBp8s+VJJw/LosL
SDDXQAegu/vPleTTwBQR7VBanw5C0iD4T5bSL++HH2IyoiXPgoZf50Mz//l0lZ1IVNLW9gpA3CQP
GHaXF/hp8VWtqv4sGWj/jqH4l58ofDqPnuCNBFAAA+bnn4i6sSW9i4ljWSviYDICcfGjG/yfzaRU
u0MLsfym5fCX6u/S8YnoSl5aWJcu1i9natOJvElsOTD7XMhnYPhSYdyfEiK9F3cJqc/bcBuEQVJs
y7xMPw1+Y/mrOfW/T/gK3k17yYHFGj69xtrD4vmnl+VftGUvv/GfdjP6gZj+Y6Yh9AW9Cyfp5ydC
2AT+MTaDlWxmpMdj3RNJkCx9cCuchqnYUppoU4sGz8Xf/+C/AErDAASqRxcPRCm79mW//nP5CdUu
LDKCt1fzSJrGuqENuE9Lb1GrtskG+0ImHZAnB666HdJWOacuH6gkS7+nfaPSLpB4UzCWPAiAVtZv
isu/XMH5dJf4XR/ENwRMCvefP51PcVyZgNhUfKaTu7I8J7hTfo+ETuECph6sCHK1lBXVGxGoOdi7
gJW/k3PJuyQrq/8yCJ3fV0MtLVJt89TazFhw2t9+zB9hx//9BTLIupyF9BQYKQAtoq/18wetopzU
dsHDKKC4HfM0waPI+P8kZWkfkFd/cItctgw51EuWGv+9I2Ab8TCXyVsV1eV5LlLxGWrVRbhbj/29
xa2WsNBSuqsBWmZABGAqPnm5hailzbMLQ34UztvAlQ7Cn7mMDOUss32XxmW2mSJLL3dmjsvp3o9z
531JGk6b1k2Qs67aQdUSDREwgZUVN553j499IW8X3Xdek2kcETPH6LPBKqdTNY270nGW4i4LGDrv
cbaQAIXiBK2zZnNLBdZecCaPVMmtwxc1Re8h2qVyo3IIA0dE7Xo3zkRj7DWBk4AvtBUSjOaELZKQ
gnfOWnSjjgodiXtLLmIyHxdSJhL4HdrihkrxXayDcLQUkhozvaVhRm1LEBGLIaC4yc9zLhaDCl8S
5RNcyIMLGWEEEdojrX2wb+69AneyQXElKnCIfX7tA0hQ13XeNzYpaRN/WljR07UFYtms6dfhCcBZ
z6PUDUbUfRdP6OebxUWfWmH9nfazZdvvWLyHa1TS77pw02KdigrdPBK4iz4h7a7ahDH4Ti8EHjyN
ve5PERJY2scyK+bbgZkS5qOmK1/gCfUR/os4+ijnJcQ9prxsXTkDNs4qXsJ3e1Y9jui2QHiAjXVC
fUjK0gHboDhZo760eKzMFSs76tnV2iayv0Yqkygz4ji5jkCd7IKZLiDSoREvhyXqaIOxf1kvg9EY
P+d0OPrg/3kNXZAKGANqAs2KIbtfIi/6yOk8ks+ck71H3jeZUpXj3NPm0+qK7oehVChEPD0NPult
OOOaLN5VWeSQClZ3dzR4aKyjHq9fLTaX8ZB4WfDYirYBmmuNEQmnVWrusUTmMxqI9KK2V3EutrUa
Cc1DmbC3pHau6A2j47aYEZEHSPSS9i33axskatfbsviYC0EuC6oMdivlzZOzFUPdbfOqHk4kr5wg
/iwfUPrsVTfofu/l7vj1osi9tlVhP4XarhCYxC6a+XGZ9EEb5d3oRJCIHQz9K5pTb+Pp5CLqdKpN
M/nYD3sNlZfOrF5Ric188VG6TTGVVytpNaT1ygz6RC18Xl8fv9RuqjQtbXpPbOWmd74uKWwmHGeJ
+4ocjQGBI2vjrZuxUAclBPqUhKNiR0D4Nyg1xZNV+PH3zurEvNb8+3jd92X11BDq4KzgluZXBLdZ
65mJ9gbZeLsVS98+Fr41Y3LWdfEqG1tuchWNKbMbl3xWcIOuy8xMpvbWTmNUVX3PFraYebkK50E8
+ktB3M8017cK/gpscwSY6VATw0ZA1LlpMImvWls0p1a4bCzINbwRXass9C4oGJnvaKC3u5lkrW9E
NKtrtCbLdkDtBlGnSbIr48+Zt4qaQX5v+iVfLwll93rOrDFGPGPJOxTI0SXhr6EJlKvlgbyj/JJR
6Z9kCtNwKnoLpIm+mHTKjt4omcsODBgNg6V3bbVtTd7H69rm8LLt5VbGVsjBpoFRoW7nZcUr6127
fRbuejIJ7yLUePtCSgSfmM/67Si0ey8R0G14Mt4h7COAWrTmXzridHJ0ijkZZVljLbtYuVDGctdt
MIYX0QHDON7fwfj51Tx0896G+qHPBFz5R6+2532RNWRO1tbYr1FnDo8c/uV7RCf/unDUuKuqKUnu
tbOgZqVIw9jTLW73AK8qVgcM3cP97AWYEuw8CU5ijCN5GnWdbcd5Wu6smi6qsA3UhAh92TrNeiZX
Q7988dIeEQqSzmC3xOHlAEobP7qXjH+s+4o3vT3mULxiwjccKzkia5yqjekRjXS8saxt6d/04SU+
zgRmixPUbIqAcCqc/8PG6kV/NZXijsSuI6LdpyaJ3LMc53lnLL0Hv7/vQucrTZYHaBjfeqd9cJoY
rIr7PqfprVrMzl/yO6xyPhrvvrv1PYVPp+yjCwf1IqDP6Ce3VFd0X3Y9PqXIncSpiLOG/zHiUT9h
5uiwkJ8vvK9dh6qAsUdcHMYZ4T4ePu/IORduLDR13xLwDKh90m7P6xduZWD0++h30wntFDwUm5d7
i8ySmSbzpJemYF610bZ1yOZl6ne2igLa8Z6u8yslZlSaqozb01A4mKOVXbZrRR5VufLl8FZ0yw5R
qZ1fB+CYzMaxMnuHP0Ahq+NZJukbWieE11ESWY9tnqY7tuYsPeZF4HHRAhkvDkmS2tE1Wk8RbeG+
9E9wpetXt2gdHi48S0a0Q/JQdx7o49RLzIr3r13TuUvSq6omfL6ftDiPVL27EJJIv+eiQZi6msjc
8nIz3VykaoYMwsGosze30zYfbTzAyCeKcRN3Y9dvbccfDyitBMOai0x59nxE2VhOoG7OU4gq2tYA
JgoMTaxeS3jEomWV+Nxhg4q3boXYEBDJAg2gTPF40XMInlmu3bmYCYla11YUYr4a62BTzFV7t7D3
7AqESPV27NPygxgtDDdJhNNe0a/FTj0LqGdNXjwRTw/RShv8V2uSUQN3H5FNfR9aOZrPIpbfWwdv
Yze0+bAlnLY+9lmaplscCWotQ9gdcSrdZ1y30afM9avhqmtivAEFnsUGMYKXcGhAX95ndtNhY6b7
i42ImFGSBBiSVnV24CApbyOE45+x0rYPfiHU1VzZ0T2o/ZqRqvM6RkCaQ+m7141Xpi/uTPrfkLna
+SIoAk9QKONDmpTO96L3wud0IHqCrLjhK09WfIZlb5/44nhj+PUSQiyVa2nsAUK9Bl3D6CSYFm9L
EGFJSJ96n9wGmhGV3Fp6Q3voXSAoK7yEE9PgkAsAjCfPHIa0RAordb4iwzG+crombFfRyOeUxqvr
nfRHzZJHEU/O4cT3PU1XqNnH/dAZuTFtM4I0aHH7hdz7ljaIruwq7ZhWtBPf5BB78863xMDVypHm
PAbeKU+L8apKGM4kS8AftgnfZxvVWtSy3IZkOJLXku79aJkJgMt6c9M43snMZfOAvdwsa6wQ49FM
U7rtrDa6M0I7TzIT9anSTnczh4wIAIH79HLLOt5J09TMojAZLvZ0JDpafqEwRfMaGywuHBj7yI5g
qoSVj5QQl//KbgsGvsKjHqJi7D5q10/OlTM6J6Ws/hmFhHMoZh8TVqyx8JgmvevwpaRFfxsuSX0m
2sEm0TtNrtLQOtaFkp+CpDFvsLOa54F7zr4sg3tb5nvub/PKJqBg70O0WUXhWJ7VIHqCqqp+hSzS
3TmdQw6mVYUbsbgFZ1lpdk1ZCVS3sd7CjKJc7Kr2yTNU6E3kkedYM1dzI9wMeS6hdcztOSxbDN4I
x29iGcJbCPByuBBP1rqLopXjTf2tJ2VyNAEqOw/UwwnPl75qR2M9cdvCGiZqC0t0xnwbzWbL995h
+egyQmdn5bsvM1CofeS1ywWiYZg/i/eszSquIKDnTFzhqJM5oN3E+9b5qol3g1yqLcbO5EToMfmf
pLljpJ/dW6uamycn6+vriukGevY0D7dT5nGRnlHJLoM0O+JY9GluwwDY8jwfZGiJTWvhAa0IfXjK
FvkdokD/UZlYQjiYYrJa3DQC78L0Px9Msm9Tci9LbJRc9rOacKm6OVdZ9YEgMdlx7a5PRAg2bMzY
M1Ade1+kl8wECLTgMFTf34STIFm8bHreqYsb1SvUKqi5dCQLdfoYFHzFudwTFLzcD5F2n0ISKA9T
N9a70nQZt4+6i68HsmGZESmkuUXHe+Bhc7LZd7/GXAq/hZcw3WF0OGeSxD1WfWJdMyqQQND86Dkm
ks2stS7NySrbYZuN5Uu0pOy5SIBQmNZoFmNXvToYAy2dFFe6iZEkM1unsHJGTv0SZQDCDpOeLTXS
eh+ASOUElJ6TNnB2RqePfCfTCiKmh0g+6XdDbF4QwNbEk07lcZrtu578za3HJJYKpp53ZRXuszmv
tx6wOtIPSbzcjEEzb2zXYXupZsybJmc7klQwMP7sJ4CF3sHiFnWMuFpQzjGjBmcJcGkwD55ucRKr
Mc5ebTiEJazAneVG3wJbuFd82zhsOFqOcZ7vUbfMW9Xpm7mczIm9gMLNWNUjV7XlIMkgXGeuy1k6
5Wd3EIht68qPyB+LwwERcDnvR6sBDhZzvKcs7wONr2THvfhzFZpsHxOX91oVYXzdzSOXqoaMV1Ev
wy402J97Gb/3cfSIbslZo3hTzMIcpnCELO0Cdz5YLKBVbXzvTMB08VGXpXlF5c4jgM86HSOD4mVe
6ruyKElkMSGmwmRu292InYepSwUFh0tPcgAj8Alh0rLrfW+gDhPDTMImBjxAF4jgCaEbjtEE2hHJ
MsB44OMjX2G3kEXISIiF1FEdrCLk86h86/dEN6/lNEUf3ayLE/+wug17RrTHpBvEtZ+2YG0ypfxP
6dD4V8HYjDdWKeY37FrqDvHMhArMzB0IH/Hmt3ag10Gk2uuRYcAbgMb2LihszJy+5V8rt/bufCR2
a7uhsjAw1O6pJcVVEskaB+PQXnkOIMQV8aTOERXNcGXVkbnW2Orvm6xUNx0x49e6QiWIJtx71NWE
Omn2zRflj857ZXSF604Pai9qgzZX9nI+xLKW3qqn33VkHtHzB0VAD9pr23GteybU3P5ArbBsY6bm
H+De+r0REcSZECsWkymnxD5UE/5sDe1+Kql/tnEicXjRSnX0BrUa0wBrmvJupYhxfg5dzwzbpBFc
OhcdvzZL6eRr6LLi2wgaTSMQ67p7TIbFi7fwkzZFOw6X9On5alIhbVAp1dekm+KDdBzvE4aw5iqt
xYeFkfrKn1EyWWScPHFjf8RXkJ8ZRmrAxt5yDyHWfoX7lG2zdhoOtm1n79KP5LcW7wwtgYBrltJ7
7I791Vgt8VkrhKqzlu1TNHbRvR2qelvw0gBHt+2NKWS6mtpiXOOcdfcwgKwH19T309xmuEOHe1JW
na9ljz/u4uW6lqP5DK8bdWbm2NomIN1q32PbR5HCjkTUtWxSTVA0yOMV1KbkAKig/TQp0W1MI61T
GhSS4WXmtKvBTq9BYRAgW1p1hwG6CK68ejIwkaqLQpNbrL9Dv8/7ridUWuiEo4PGUZU8tOUs5WHE
+2vtFjXhjHXn4FtogmXbOaa4btPmsfKSqfkKH/XidhtdUTv3aRWiwG/oaNwS3CKSrRGXYf+kbOfK
GVTH7XxY3Gir2FjgLjhyyl46ek94g4LWfnfiNph3hN0OX2IuXkTfAXfZJ5AleAvDxT0BaPbvR6lo
LqHNoHPG4NbCPpO2ro/6NQRglUOECVMscOMFPIbcLohOohtxAbtKzhDrmTvpY73QazljaqGR1lgJ
PjenE26xUY4DoVxHFFi4pdM9J9+M4cHEwx3baS3fOm1ymtwSQenq8tKKTyajFLrJCH4JvtN/ky3m
OLJk0L8xzmfzxFTpD8nOq7hyrxAqEojlB6R1srGMfbFj5C8/RnS5Ty4FAaKmcnhAvzIlp9A35Ysm
J+2F6glKZGJX/pdFyWDY53UklhtQkaCGc7znWyGMfzOwyqjMCxfrJmgR4sxmCtbrtJkB31R0EiFJ
oKi8U26S1NicBxjRDY7CjeXX1blGujiv4ii7XDebcsKHGWU5V80xvc9EEsI5GugQ82rlEySjui2/
IxxGDeA4AjoJkhZd7ptcsadnDrjnbeq29A3Jx9Ngh4yBN6Ut32tuHHvCBCFDhU1loS0pDx7KGoSi
LvgJxooL32tfxUxPlr6bSFkcWd5BGvjjQ5aDvbid+p6/zrQ0A59EF+8paXk9d85oQxuDhWLUVi7a
wUiWZnAjwkTRwctGxWUCACE0T5N0/q4B+4G3w8VfHBQ9qtiUnMJXxh3mMMqsFA9BA8S0TIRF9KcA
XsG5wbJ6FDUAR27l2TXWYG6J3jBV2abJGTyte14Ie51z+8SYlEqDsmxAOL1yIpnZKHALeuhjDJVq
tThyGTblpPN2rbmBbWIIjeH94uVITxAx5sHRG3OPfkbrGTAlqcWTqUGoVsEC/icotN2zrdDsX3G2
TE/geUJuyRgyU/wlMwfI6IO3ZJaKv2iTuBV7xtS0H5mvHKKwKbg/G5Vkd73n1R86LIeXwDWQ3RDb
3vq97fTEbYfICcVCqGhRV5PZDx5Mi4MIkJ9jTQym6NgoRTs3wxRoVqMR/bknpB7ARCDvXNebxXqA
lftS9hZMjYx2dbdpuzb2OEwb8Szs2SbfJoYHDgA1C9+WDkENdmai2MkUjoJV1IZj9ZpfPGDcd/ow
/44chmY9WrVBHtBncN2n80yyI92XPj6nnLX7WChssDky0GnHp/beRhjGeuVZCeD8Zhb5dpjISV55
0jVX+J3yT5CJ1BOQBQ0AVKZ7egy8LggtMdlq7o7pQWuxyNNCxKJZNy1ZgRuSkKtyA36HZVwslefu
iQTnUmVZjnsnurDyTmTP81vrQLglzsW8HlB3dCGHdpJOCTZyjR0oc6r4NKEZcW8jwr0xmMke+s8M
NHPItVdd2QE3xC11Gi82cbc+3j8x2F9ycbly5nZlHn2dYQnImoEVYVO0s96GCqBbP7LNmzLkOjEn
PMomz2LeFJ0HW/h2ULviBPDTYUFuddNHOnZvcXXYLs0Ih2sVMCgy0qzQ51dQrEiiGlqLEtD98a7b
UZp9w+3nBhgSvfrG5Zf0Nu3IfDMC35muJ8QwX/Bhe/2qM4HTrBIywh5p40Zveafll9kFS4Ek0ytf
XC6cZEqn0nuBXV7TaKyxZVZpWGHL1NN4C4acxPWgxlKH7Qq4Qh/TWDnamFIpqn+8WmHlymCbgakS
EAuSolq5Xmrf+ABX35ORfjMqSRbnkGq+usyZ7GwfGgGfIB+5cvMT48raeD447y0E/XYno4aba9FZ
1ZnpJda5GMHEjY+/DSZgadt7o5XFZDOxiHhHFeVt8q61Mt52J9FH23V7s68x+E17Wyz4CDEbMFcZ
69EvwYGVaJarEY8G6Ce2xRWbVhluh8rtboEjsN9xAA8behxTsqO4qerzxWl57pESUSOCpFg+BX7V
fJ2JK+9xY/vufIL2Jaf7PgMrMKHbcEmY75fZACBtumejQxAJXdUw3pitIhoffsyv5sqpqqO95L6H
TTVz3pvexDdjERFu1k9uhFSe85F5bdymj7IYXfcwWk6wDVhsEKuyIX6R/hzm1KKRfohzeibHSJm6
2YIs+9bHbg5KF/w8dkE/PmYjrSIMjpF+ESJZpg1mY7wjjawE7e2OYw6EpG/OSefGIH77Ot4LpJag
c2nu14cRkRJQZ2LhmxVG+zNqWGgpMoqr4GMI+2y+K2LdpTcq0CxeKM8Ldp9p7FiBNEkQI8sQeSqo
dIaI1M5eeRSxTpZNpyxcmr2q1HfVwPNgcGbJl9br7PlkJukmn10w5RDm3AlXg9c7Sr/ZuQ3s2E0u
N4PIMWG0FXKMQwgFodU9+qQOZZyActs6Oh7WAZhff0P3B2lt0NPzAcXHecHsJAe6wFOitDTtIPW6
Cjkl3v0ly0mQnYyqhjua8UV/X5FiiXZracJt38XetMNQm4p11IlB3A4WBoeqTvNNNNonSX7dA4AQ
uVO0BV/DUi5f09xOrsWCBd4GlXJSebq8gmzMuV33/UOYLqj250ggGw4Y4uggOkiuSredm6uN2zp2
u6mTJTxzkeMnua09AGwR4aPvBforTtWU1yeGf2lnWXfHBLv8ht5n/N4vKWpij90HYf3YPeRFW8Qn
M1TRKWi7AByuNCbHEYmd16TJ/Aq5Oj/0RYuHAyTyRmZL+GXy4+Rzb4fxs8W1dxNqXoVQZh0461R8
q3JMriAbQ/casgCUjrG2bzPcyeEhQ7XgXplkdspV2bTg2JpCH9gMxIGSSrXYDovmHdgqWMBiMNa0
m8mt4Bzqsjdv8YuDVU5U/5GJT4HnT1cC3QYIHyu+mnEIrNJJhjdZ3LrbYNY6wgUCrWjjT8IHOcUB
ua/KbHnMkD/ZjK9qQhlSRXMrWnzAgnQH31zd468PY3nLCmotiNUlF8ow64evxotLeoZMoBh3j8VZ
o1N015IWCjEBMkeEmlLl7sa4i+W2CavsdqHXCtiy7RmqihQCm++0MJncLqkeF1Fm35lis9k5I9Va
Vtl2saad3HprVUGSzsZMm4t12t9yp62vjG69ftPJ/AJzGBq+VkdincmTI+jSclVE0fA5WJxyM3SD
OrvLkh5BvzATc5JXfIM1Z49ILPLOQJ2LLWJ79Tob53uU+8VNO4zPoXDwwY6NxKgKdIax6XwLA/WS
ouKr/KHRRkATuhCs6XgWa5X04kpPyCMC6B1PGdzBtxny8dlBXAGw9fLiLzAvdrZQ9mYSpF0UMTR5
qEgoXi5Umv/i7syW48ayLPsrbfXcCAMuZrOqenAMPpBO0jmLLzCOmOcZX18LkqpLZGQqMh6rLc0y
U6LocIdfAPecs/faNhi+UgT7DOmt6gRgHACIVAa8kFyuo5dcbaUD8zbs/00F/jmJmy1wVHKJJA7o
agirjc1IZQypU7+RJysnR5b2J7Nqy4SOkWg7wTljSE2Rf6X18zxugImVxyWo7D3FcXbPtCF3u7QH
2y1B1nf0wIqBro82GLyiL5+meOA5C76qvBsry7yIl2T+Zle18JAKQyykOf9QgMelm9vxSI3LhmaF
mgKw9PuRJtamybMzXeJJjvfXCP1QFo07StUHRMVhpxdVl7mrOMj5v3A5Zr5qHGTwp+iJ9hpZaZx2
3GWwL9ivhUF5SGIaUq1IQiezxsL7vTjmsyoHUYeFgZRaAC2C0FWkuJ9FHQ33S7lAgbppEyijRNSo
+tkS9MPrqAvGbDL5Dcko2FX+/rCf5VHfD4vjDmE9+m52bvqXwxZ9PEGz7Jhjkw4DTz2btQCGEGfb
a3FwAVUpBusvjolkmw/zScGyOjjWSBpmOrKp2V+kNtC17S7H7s9DSFs7mUkpM4OSuXlt0A51DfCf
sb+dgo7ZrcJ+GhmEleyY9VPtDamxdF40G/LLnBFVQfEUyxSuZjtVD7rodGlvSHTLqQuNPuue8akN
xWula8lHnmaAVkr4T2zXZezgZ3OidK+mXTL+6ZHBo7Qs7QIgblYWp4SWhgTMZ1EvBqXq7ywq3NHJ
CUNVT+SeKgiAZDK/d5CSIWd2yTjPXgqJs3aVTmc0B1VdqV/sWVu1I9DXuYty0dEms2XlFlcFg9M6
6aS9HMwp3rhxrFc40bDsdbUwric1ybi0qBNexmnkWRdNFv1Xtla+KrG5xESlqRpyTmlhWyiBoKH/
hgXOReEi5w9zW8x7I5Op1CZdp+eBsKc6KKmBf4DtmPpQdHg53UovpfecDF52GdMEwY45VfzNyAqh
b+NksDoPfuH8mllTLDtSM/X1Jh3AAHjJMKEEgG1tuGCr07W8LCcufnpiBFkkal/vs7wD+NvYKe1i
22yaMxvcHm9kgYSOamiFRIZmOYPiw6ZDFSbFxRY/GiK5EpVpDlYKjwYthiijGaCkNjdupDIIyLO+
OWgKjg+/nmbCB+xZnn4YTv6WUPu2RNCQ//snsfV//vsnlfa/puXevpcXz/l7+/WlPr1y+5/ffxy+
l+5z9/zpD0iN0IWe+vdmvn6Hs9h9fxc//+W/+sP/8/79VW7n6v0//u217ItufbUwLotfhaSKjRrw
nytPURfinf/TL/yQngrtj+/udAudpckdbE2i+iHiVvgJpl5cBgr9YVRr/OSnhlvX/uDGZykmTAVu
ekTg/Y/y1P4DkSKwWTqJGm58hIr//cF/qhw5Z3wdnIiff/4Ua/fZQmTKCq4aAnxxohOHZQjjiyiT
qDClkcOBZbxUC/OEJZE7X4Y/Im16cnYkGi8ttre00qyrgJGh18RCn6h6RfNXN8DPnovvb0WVVx//
KoKFtPHlpsvof6xb7owUTVCawjXgp2+a69kKxV+oBf/qSF/Ur2ZJnE1fCdnJp1z3mtCOGYs0yaUR
C/kvHmB/Am1wghF+ozhWEPmSwrm+l1/MheQEU4bmNHJCJhlbiKejM9Fvd20SNryCOgfLOH0ahhVA
ZpZx8iWLTewvy/EffMv/6PP++h6+nFmw+W2C81F2IhO0u6rWNvjffrg2VZhVvz/Ulyfnup4YFxjQ
IvAGYIz7sp70ecjHoGI9MUDuzzEBlQqziVQSbqHZCqliNFnaH7elf7qIv2wSvh/TVJEXk8pN08H6
8vEAssC9of3toBsiKwEf2ugJiQqbTYx0QTK92ARUSbvff9Lvkfa/PK6/H9ZCsCuzo+bh9DUJmanr
XKR9rDg5wuQHS+n78zDqiUChmWIEPgV9wKbZLATYPauxXYqTTN6DILOGp3mRc+KFQty6HqRTyI9l
USwaM/xEumm7RboqDDmsLqsmhQ6c5GjOrlV2Xqnz+w/xj1aGrQjTolevoX/+onrO0oLnPtgBx9RS
QSs+DdJdMgFuICIuSB9/f7A/pRMqJNFaiM1tdODfr4fP18LaCqgCAFwukHH5etGrZA8sN80d3S5H
KFpysus4qbCKzLa8qCYp9PtBSLeJMZfHNlwixf/9O/rTauUNoToSaL9thf3lFy90bOstD88wcmk/
En2YMFUsoU6UfRh75rLIV3/7cOAnuDIEim9O95d7AWauxugnYhJsPU9dQbnpDoSz7PCffVjQPP7i
uuD5UX1aoExg2MNamPY0U5G/cyV+ufVoqItFLOux2y0M2J7rMmis+zyk5QLATJqfxFDAmiuMLPcW
vTP+4qYDS+jr8bkkkXmvmbBcHyjbP3/d86LZNGZJF4iWrugJbzMpksnWKk6cHSIEVlJq4NLmgrYw
hsI8N/WaoNQOZSr16RLQNyK/jFEM884Iw37UVeeKRDsJ6EJn1pue3nrH1MkkQrJuOgSh+HWnWwII
FIW0hKG8GygK8zt6VmtGRNjnsZPoHQRFM9QGZLBBVX+ICtTXhrNYXBVRDtBBR/1dUFTGyfwdRAsA
tiJIeycNQVOCeGLiS5hnXMRXDUDtcVeRTYB7tqkVWqBFujwVJekyfp6wZz9SmeIrMjtAF40+aC89
HNfKD1QGSm4LSMxwmIkyEw4q6nl7kaxXJZQLSvJaAX/VWrUF2dUatg2WPaTgCk1RJip1t+6dI3KT
hRil1CXgKH3s5Nq+6tU86CC1atWdjkfMPI7DUJ50HCb5di770qSWWcw7u6uIJ9VXVoiJzu8bp0mH
yjyK/g3zvjn7PcoPNE5LsPYjTZono4aFiekxaQLOkGXtq0Ez7yHOe+MRR8CkgPpnXFjp3fJKLbjM
m4yO5qOeFstFk4zhuzKL8TSUjcmdpQ5SNB1WuYZvLlBg2nCGJQxIMCLrsdLvZ8hdoPJLY4arVZS9
Uy2lfLNIEooxK4C1aaWVdb3QvwFyPaDj2kzEHmmbVmTLjr077GuAtdRRI9krcN6stsMO3Jj05SQm
uNBuhsF8NeiYJtslleKPjnYE4YmalJ5rtNuAwmWpPbhYUs3hkqALcaiTeGQCyuV3zQ7JzDxDxIJJ
RGkS93o/oQ0ctoY0acYhQtupHWDWCWqPJR8HTKyqBfA0aITpWKG2WjiTMWUPX5rNXSsMU90ANdMq
kNK2pu+1PjdK3xxaUg41K2qILYgTvadtVtYRU++E9ExxMRLIRFmotGGw0RrdUL0mr6cTaUwFeAX2
FQSD8eiCRxeoxuTmU5m9qtxrEKU1SZkAoic7ZmMzeXxCodvXviRRMjngTPV5RzdY51LRzATET2d2
dyr7lpmB70wjYukGBA4EgmG8ZltLsk6NyP681tACjtRzGvLtZMxWBYx0Abc20HciqslSahjKMbBe
qsZwCwEMZKvB1pt8K686w63VgKXAKFWW17Qi0y7O9FHXk7uyNmWDcnYA71yszdUtqAJrPgbmPEpH
QXNjfpjIrh28okIw5ldFN03vkGCSaQ9ckP9sTCbRJAALc8peBBeZhno2ay9K5pj9fWsEpIQwKEyj
S7kZwTO0XChnWjhHrRsHYS+fqlpSH3QZhOZm4VHUbIMxo54Dg4hHkWo3z93CbsmWxDzddBcsAfsB
5Edl7JN6NG26BTqzQ6EE9rKfpgaYiWQmrGAjmDJXNSPthj5spG1In2NqYlaNejWIdoWvp3JdoE+f
gQyWtS31OyNkuuOhkOUOwk2z1JUHqM/RlVmF44ui98vwCBEnNolxK4KgfkIg3oBbLkfyyeRjJAYy
szZCafT8jDSM2tyVBiQhyL44SOAwV01ND3cjFxgiLvMUoY/u2jLM2oxtcqwKZR9IuTygr4uN26zX
KUXJXTHZ86CyB0nPzmE8AvnNISFoFYuwF3iaIDSExCCOytTd1pphRbs8USa4fLI1IM3gxZAOm1P6
MOvyEiCKJ9nWQVICwWBAd7wljzLNj1pbpWIHfbclJVafc2CYcP3uU9Klb42hsM8Rx0RHHkMLFrNU
CUwicrUQ7lFPKGhqRAyFVSgwMnP1aBmqu7ZUgxstwkBNts2gu+OiQDKE1lE8w+sN/GmsSe0ai/m6
jar2Lurn8nzA7OMa5APfBxLEbyskWyMgbYnc6c6jL3zMcPBdEJTyXGpAIeFpEJUGFnVx265ZmE5k
MQM1e/A1MTIVCchDijDjgO6nKXeLonqAS9Ur8hlZrF6dWrBFq3pDb+Ab6XQhKM3MIrsn6vRdmfex
LzW2/Zj2trQhMeA0VJqId7lqnaer6URuYDaUkeTGdgSmti9UwnPkJ5TZhieysbmz5KrDe9CMO0tK
hmd9SOg6gfngiathbWKoCblUi4Ckx2kW+Z1c7ejjPKyqJm461WQ9t3lrsWUiIJTKut+TAJB9sycx
7cZSIxODaNrNNOnW1g4z7h+mssxepU2vhV0+oHjMdk0ZebOKrGcQNEVSi3Q+38RsdExAAG9iU23P
0rZSZTdRgidtJP4MzUtpY8gyA+Qf475gULtLC/FqjZVOCmKuPNXpIjndDObUJN9wy6STsJYyGeXV
wfYQTKPxELQLmk3ub+iLFuskzSh38wFBoWr2Hwldfk8ilbJt69cJNYA71NmpLPS9HZbJVhLJgwkU
brSxIIFFX1s/nKuUuDAPRxZuaOZxBCrJUFjJwhj2QdTI/gq1IvT4VmQquN1SqeAR17U/oiTYAU/R
D3MqIuZqtYocgGZ8zy4AeoimyY9BrHYwFJpw3ioF+RKkomnlBioH8hMxYqdsBrH2/+onjVS1m0IM
BO9YclfrboMTTHhmSDzwmlHToWvZU6HcMvJQLsZY59ki6uISV+yhie1dXokKZmf5Eo3igizng2gW
WnAJA3wLE9ahDM1L9Nio1vv2PBIViG7Tlhy9WG8gY0S2tUtZc14NRfTBnhAT2rJILvapwInw5jky
gq+zZDFag1fAriOjyOa6B2qvFcj0ZiLWNlxa4jyaB9LGMi3wtDzdTwobAabDl31ivss9v9MVs9jp
uE+GUv4YC8NnO9ZdVpKMjKGwtoMgSaIirTUgXcxlEIpITNUuozEcHie9lTBaRad0qdlT1jDFNkLE
ktuo1pADGst8Fd6lnxem2xO4xSKqvZ68J7Sii0PtKsiA7HBG1cE+1kcs3Rl5FHExn0qQg4RK5k9h
O1g3Krjw1EIlKsmAYiKM6HZgHQMSkBmvPpOZQE0qtTfSkOw7ewarET12anBLrCDYXWI2qxIVcxWF
z3nCA4ykBmXT1cFFDrTMiCv4b7C1zzBQcA9hW9N3ymtbL3hUxhISfq0QEJayH1aDzKL4ZDCSoX/y
7Fbwj4dQC7ZhkqjrKY+Nx3I2UdTN84ecEWEdFRgbe6xYcfNS5apOyLcoXIh4aBnWGbg5P2lyRM/V
AEsr2d25as3cUCnQNHa844a7OUS1JRzv6I4iH+hmqdkWjTpMqPbG0RmxKBFvPjUkgPTA8tmG2l26
uB2bw0eEKytxWYvmF+BZS7WZCN44ca4T4t3ShptbLy2n2AjCmzmeiodoNIAVmxDoOWt5SGCzUElJ
3ZAfJb+bXcS4PjH6uMaVxMbdyWJDSumy5B0gDL3n1BcZ8yM2IEaxR/YsLCIU9KV/tGtzibdyrNf2
vlpM0IZQJDVfCbTyKpUbQCR1YKu7XG6jg+ARS+EeGMhfmkZMe/KX7R3uUXAoy9InrJy2QBep2ZH6
EioG+jldJgjNS1S1+eA0ZibPgEJ2GUvbb81soWSGE6wBL64h4pJop42R3zKWf7L7iYg7etj6sK9w
6160tO44jZIc3CZyPmCwjExxzaQ5A+YqKcmF3M1t6jaY2J6VsVCWm4DWomBR60RBaoSgr6pAPQnA
K4saR4ctdyDIrYCtrWAGjAVRE8SXDeTk3dPJuAEeFVqOTU9uxZyDDdmIIkoG8hor/v+gDTb+00GK
PohlIb27b7VwcqsWt/k2LGtU9kYvxXtFHconnNwzgr9A3HcoboSf9FL7APWuaVzknpwlUzQon5CR
I7aqSKE8jzO1k91FDA1/DThuzXwwSaHTlT6/N8w5vo/DnIXKsN+8VayJp5fVpRb+MPApmbsEQfPU
Vm3CuZpzKOOBBMUPsHlxFc21jcCwDyIeCWE6cXDkaU9mUjMuGwql2iFRm/t9J7T6PRBm/JRDpD+t
UZVPVqnR1e+rmTyDEv+PZ2a2/tA1Adu8rKiXbYrIBYcwhtfJqUY6oBuR2CiuIGgqLwOM7ActsLkN
ZXqYcLtNpXBx1bkx7tpKQsuCA2v16avZeK2ZdfmWroYWKljiCJ1+qufzvmTX72hLAyem7DW99my7
1YqtVCrle2PN2pOcB/qtauRoF0pB7qQTD3pFkAOGwN41e2nkxkUGD5REuxjfDHYK8JOLlrFbZwzK
9eqRPoU4MeNDy0Gus5E9AbqRQBq2xEmlPCVHUOAd42gk/qq1vID4LE+zFJKdxYg5uw9KUb8O2er/
UzUEPlxllc5aCOvbPBHoCjsDnrZbd/A/XV0aM+GGuOVImyuNqSXifo3HBeCoPRkQpGc+t4hfJSb9
Bg/aINeQ5ugtRuOoiz+KeFJPvVpR5Gid2bZoJ/Tl0VpK5KQEHaBsbbthLrYw6LK7iV27id87L96k
Hu0dN+Kmvh6yiQJUXoqSwQx32tDLskJ+q4NKW5xglkcTbyMKQ48ciXLBvDuz5VyWESP4gsD9PFYZ
GzNFmqRv2WA12GkXdPYY1OigbwZragkCTiUGQ4zeLE5yN1M1wYCQUi8CIIYzBISiT2nL4yIak9B0
VIHCUM2XxEJgWYu7bDY1XhZjHqVYt0ZSA4bLmboZIJM9STTVfugHoINzFxI/nXSGgqRzDsk1iBJS
pBajSzqCfYQ9H2EskjltGyK5l0oblrhJoNQJlwexsZI+NpD6GHBX5ChgUtqUKuoROgxr6SM16fIO
uL5Hpl8Gq/9vGKRrK2LsvZFbk9x7EcBg8fWqGe8MqTFAtNh8THbQRX1Sljgk+XSkP74Dj2HmWxkL
5qlhfA9LnnFa4IG1G2IWlmAgMKRdh+ZhbLmdw3SsqcfIDcnXpJCxMqyHINbJgyHmg/ZFmAUkYLZK
kD7/voP3D/qlFOHsj6iowXbALf7UzSc3uaSjxORg5nJGd0ne39wZ8lZajTe/P9SfepOmrssCWK0q
Q0u09C9DCnwsSD7XQ03NvPh1TjqXmuCBVjpj3IEYD73fH+8ffLT1QwkZITs8E/NLc9Ls20zW1869
MPFEywHRgywBLkpJ+jlH/KcN+z8dCk38CoFUVlCRAK/y+Syq6mg2pCRwqNAyHBPWo0+ayAQUSNF/
kMv+1sjyX5tH/m9jS9mM8v75THIbvxAp1D03v44l11/5yZbS/1CZmICB0uR1YsMG4L/HkhI/AlgE
JInlgBSCJtH/m0uqxh/QQ/n2VJQWP7FTdEO66D/+bf0RXGWD9oxuoQnQ/uZc8isuhraXpvKKvEND
Z8Iir93lX7rXAWrsBETBB73caM88+za/Vh7pPNnERE6byjW8t/SQH7C0nis7JvDllqSynXlmn83v
GG3fuj0kuoviFj3tZfaWvDGF2WW3S+SZr+N9R67kM4Zap9gT7+LZO+FUezLoPPts2Q9va89IbMgk
OWRufaoPxnN0pX3EOzJ+z8WzTYQSiVfDRtw3t915e5B8pPiXnZv5hQu2dJ/ei1N1PnrBiQQZv7wW
jvCyq9mrT4ynSkJ7b7Hf7TQsFH5xWZ7GuxFWMVyC03Jubafz/r7b19fSpfoqDpqDN2HbnRvb9EL3
623gdjuaAgfTjxzjI7kqD7zLC/XM3AX3+TW6BvvV+sA7GSJdHZxw1xsgTja1gYnbtQ71IeCgWEov
bV/fyXfhdIm1z7566Y/xIedlw4voaj7Yl/M9p/Ccz/AhPKJf9+yWDoYje/pZcckDYlP52U1wK/aQ
4RzmbM5t7phe7lXn8kE9j1zSF/3owroNDnhYPUIXXZTo2/G9wOBH6fBI++Kg+Mi3vW7XH4MTLcmN
dBY8mbt0q90sCCFOSNDQ5wZ+vJEo5tgtGS5p9wX/PjqidwlfMuVsTa8+0/eoJp3Cn85Iv6mmc4zM
xId8627mAj0hdsuN/ric57v4VJ0RKAnsYl/vdNdwEj5Xt8k4Lck+2pt+viu34Zk4FLftk3SRH60r
jvBgs+vfyF60B2pqcdrJTNsarnmt7thPJG+h7UgPWP8vx631MR+pqIcH+5q2x4N61t001NbMLRj7
bjR5t8o78Xfs5IvYVzzZJWLWUfz+2TrMh65wSKTy8jPlUrphfQ5OHBWXcb4zfWVTHvl9N3ZwrvjG
WUZjwDf5RraZW31rNwhOTlCY602Ebv2Ck0aymeFOKHDwwbsKgiHiSH0p9+XYqc4Hf3R6MrBedHdy
6y14Fagpx6vc2WhOeZ344Jt9c5e9+d1tiDfgnuIvTPC9c5qe2AlEG8sLHGLYPeFJpHHwLuqn/Lic
FX53uaZEg97gJd4SlhGPrv1E4aNcGmSNpcX5ymCmEeUrxmNvElLTfcAoRDH8kQVnGCcNcp/V3aQe
u83Va+tDhJq8YkconhsAusE6cTec6ATcwfRAblzlZ/wdZsNsdgjQbF97l1C9OzK6FYfGEuZrOr6O
wVLMzrESFOyOJzi4OjRoiooDKU7dvJNfJ611ECV7shdsNZ7mz/VhecBMktgHLM6uQk7AIXgtb1HX
EmhTeMbApzjU+8JLzefsEF/qt/UH7OfdjHXwAvOU1/nzoTjXtoRfy+/6Xe0JIkkv+xuEsaZDmFV7
ORxhnED5OOr3FJUOdYKL2TblbuQjuy1o3mJpzeinxhpmGzRTzMqifciUjBzG9Ggst/j+3WGr3pKH
fUlRdScLhwQzRj3D4Jod5QKlD+mhx/JKe6PeM7zJJ0CJOUbMTn9vZkciU2+QhG1t4RdMzLfTB2Am
R669h7J0CBcjS+YkeVzTe6zMOlGI6jPnV35sEflqDwabcSd/r5oHyUuRK28hmOA42Cw7jd6idVSR
NrwArImNHay/DAtUczblm/YbBPQNrITr2iGSTAEedKYqYEA9YltYEB2nb9ikysOc66A+n9ahH56d
0c2CV0J3fNVXb/pll0dXDJy64SC89B5Po/JNO0PUW9zVaPcf+od40cnL2lg72i/kEhPayRzOcJ5M
Y4sJs71PCVwx7rvUt+UHmsHljkwjWkcyrdnMlQt3eextDN/b0nBIHLafOdfzDZlN1m68GW/Me9aU
U7C4L7preXCoO6ChEyh4St0bc68gi8RLixvcn8e3yDoP7RPQq/GhfZBPMqQmXxZeL/l0sba95OzU
3i3upCvrut292S7d/lx2Cf2qjpL2bB5lqXf6x/pyjfJrfT0Yj0p4Xfj0wrBN0Fl4Mvu7Pqfqqs2t
MFYVH/HKrwBctjTz8425j10KMze+Hr0ZBwI92COuABbyLa/ziDP3FJk6ajKfi0NxpejQeH11FPbR
eMk3vKybeANzv2jPbWOD3r0wHtQYN8yWJo6n1F7JoI9u43HMNZfbW15vzMGV7jNjk3+ztQ3pzyI/
xo9y8ahcNt2TEu5NGv7hefuxSk/q6lVv7uxLPT3r8fOfa/LWpdu24aLCADE5d4Pnja9562Fn3XAl
kqW00R7C5W04Khmt64oykfukh/PVcri3AwDaTCb31ZQfnHofJhRQtdTAiy9f8cBCa/jaMsOxinst
BsiU5g+SG43HonfTmyBxpGqzjpG2EhXTod9Twjn1i3VtkYnIqeiOdcpobSNe+K/umB3m8+BSd3K3
foEXtedQfKkAO7zsnBYU/HBpV+0NHi7aU7TvX+jjj2f9i3o17rQznVnZAAhvk16V51bt1o+jfqXs
DLd3hc9nHR1V8U3CoUeHuZAMKZviloVW+qAuWKswePDameMOGomZbutqn8QHDAp9uev0h1E44Rsk
BzopC7ByryB5Sbjp5Jfm9hAdWGSs5uGo5WRgbPpd7D5bu2jCR+4blj8ah6C7kssD3Jqpc9/kxpF/
kqv/1q78XxAS/i+SCK5i3d/sxlEpFu37/Gkzzm/83IwLdtW2rtg2+11FUH5RVv7QCEriD/biq9ZP
VhCQQXrmt36KBDX7D5PZOmUou21qxV/ydfgRaSGy4LdsdvfQqb9oAn+rEVxFQP+jI9E5gImt2kSs
SHKK8V2n+OtOHKhpx4wvZIE0EQYHKUjvpbpPLsxSis5QHKhuF+smEYhVd2RYSBA9+ORNqcfmX8h1
lM818Y93gnDIpFzhTCCR/FwTEGNdJJYopk1Spylupkbl0ZMv+ku/jPJ9D8LHhmd21NIo7DY9BdC2
AQP3rWslOimoDPSTtrTarhuGHO60ocTXUjUvfwGP/ixH+/4mLV1lzqgJIm0ZlH5+k4PRgv9ROV31
0Cc+ueLqtgFVzc57ZFzk5FZQ/QWe+7tw6Ms3ZBmUXoKiDh7599ybX2ol0jysIRC0jEFi0buP4B2W
0Y2kyBKu47n0Q2NWXSnoH2Poem5JetaG+y8GfSsmPdeaMX+PEFHGVG9+dDH+1pX+/2n9TVn8myu+
eX8vvsqCbX7l5yUPilnjgqKxI4NCxZ3DUv55yZuC65orl0sN6DqKUa6Cn5e8pf6ho3SkZIdWy1hB
5kc/62+duwGCS+RUkDo1lvbfueTXNtYv64nUGxRbyIvRysuK4B7zeQmXRjfTtUnGY422vRdMwiYy
2UjniE0SOdqQpN9zBkolRvusHS3YNblq1PcBI7Tq4pfTdvXjoJ8UyuuxPr8X+mwmGXGKrCCE+6pi
o0uWtDZ3p2NNyxUIT6bKUXdARDFKd11uVsZRTTG4xe7YJWafbcO5HpKHOJus24L1jRqqy9Nyj6xW
mrc2Jmnr1EpFvOx//z7/dMqQUAouecydlkqPZBXj/XIJDpNsBpOuZkdJyFm4UeweNcBkExr9gM4k
nt1cgb20HRuBF3dQjKhx2xbD5cPffxvcc/jm6Btywr58c+pcY9+H0XDMQ8xfL8zdhsgXap6kK7eq
NP0etCR2uqYIK/xE8pB1h7CbSuvl9+/ji+5ZR9iOKtYS+qorR9T9lQ4eJGy+cEPZB/yeQaQcDKCE
yJy7PrflMxhri7jt4jW0yahnSWyKIkrZxAgjILAMPN/53387FutIQYHNTfL7Y/TXr2ey9TAYE9U8
wCI1ixMBuBFy14EwWDoyk90WGim9Y8pdG0ChSooPaj3iSAFCxmV6KvFfzLvfvyUe0p9X9hrbYLJk
EIIqXM1ccJ+XTCCaSQXPlGznqp4S+3IiJ7yuoQJJE/+TME8u2c1L9jhMT4wUtDVaAj8/cgmG/wVF
9Wh035gL1ulzorZ18hFpw0hnS+lhTJDvwxRwshhATyHCWrQe4dRvGT8BANmJVMnRrRVTmXyoZiVl
t6FMUNu3pGYIT7WmDsYNszuDuesEnmC2HCXvExHc5MsQkHsjV2Gx3KtgwSaccSk0s9xjXmMHtpcT
441T30hJJ80wIhJsT/fGhNBB4ZcTzV75ctbXmU10GbG1pTvPTdpBZFnS9dBkrMT8ySJpHCJrDudl
AffRWX0PJN7O4I4mERMIhCQRPDrLnRIIirOrBmHbxoy1papSETgZhTFd54NpjOv8UR7mpz5HOgSS
KZwVkC7r/MNykRDyZ2+SjTpQt5j9JKJ+4V2KnIZZVmi0jyJR8zHyusC843YRVh4gRGnAmXN7TJX8
rEpRNFw0ehytf0fwKQwjK8/tdtlDP2Lj5Juc7CmDrmUYo3qSbDUU8japu3ku95WhBUECN1VjJLZ+
P3E6w0qVhFQ0V7IyGGF58fPdxjULSfGXZTIz00+mXqcdY+DDFhIYWSNe7om8Yn+C9j5SJMzthU4u
9DmyVYWPzDLCCHkmTy3rRY/tgTDyQBeIqvwQamLYH5SyV1l4EW17Tj1WK5lzjmgj4cRGYgJAYSNe
4xPjAYVQXi9hmz4XqVElHzZ6Ar4nuBrr1zVgT+JLx/eA7tANULrwnfz8E3TtgRNkxjOssb2BIKG8
F+E63rJaNVvuh6pAQmcz4v8wuFe2dxnWqOo5xqw7nVfKhAJg0zWwFmW3VpYIwyO8zIjvkiz79aBT
ZKu66hCpaD5r6AGlkzLHAx+LUen6bTUI4dJnlDmyfgdS29J9wseG0e0BoPVQLbKEt5z9eOeRVszl
M5gEEuE2TYL/vjqhW5RSe9tJQC9AXWCzrmZXmUyLq6KD1M0S1rpw5ANbFmzuC9smZkfdC1DQhUQv
I2TYcwBdYHfZUZQ2RAgGV007k+mcZeXZ3AHLw/sXMOi6GvRkMAqP6rVD9hXawzKd14PUWYhyobXW
lPI2AN9t2OiriCrC5WNj9Ea8p9+Oc96U90qjDKQpdSV3oE0bI7Kd6Gwvpfq0lPjlGUtzLeE1Z866
pIsDFWkEvghDlc/omzXjTQBizMOGa4ia4ZjSP0NfdV9ZXcG5HheQ2vdC1tZ/ptUsnsrHSo286cpS
4oUlmDFu4i9BRIeV6sVGlxrSRYa1ML5eqqDhLMWFYWq7JICPZ3smgmEWmx6AX48ZT04Fp7OVbPLU
f1xlaoftljljQzLK7BGPhtX4ZlFHrNY0kIoqfe5XwUwKfCWeuVa4xaxfeqwFzXpbKxvWatIkavII
XbWpaT1p2vBElBxhv3QCcCIix5piQJ6DyJtdjmyQ9ZxVGLHeAQQkiLCnMFyvi4nZRPIRkncGpi5O
GZQzQsiHkZU2hpZEaGBipOrJrpMmvq9EL6dbpcY8ZW3sKFNAkcC2mZMb7oCDfa3MKpwjZMD4r+Dh
ZKUoQRsQblUDfvz+PWGW4Pm04V/L3NrzaTCH6x8fOI5Sk3JLj5XRPpJUWLMhonfYv5rdFPYPMEpi
k9mHypD02Gbzysuw6rJaCk8Zq77ytJA19FY2Si0dFca6BKKyj7KaU9faWbIzqgnM7SaS+nJy2n75
L/bOo7luZMvz36X3qAASfjGzuI6elCjK1QYhC+8TQCY+/fySZPWIV2reqO7NLObFi1LUeyIBpDl5
8py/sa5KOaVztosqEETnc0oecTtAnuRwT5ISc+oBXRNqf34HePYDPmCCF0ZlA8zz85ZAGIaJklNn
4jfj1wiLOp9I1ft8DVujLI72WQtBAmgik73IadVXfdxDNd8kbWpROp3S0ByV0Rw5+kqG+VB+Abti
lqGCJu5fpOUIFemQgFaN72UPdBSBrFQr5rQqYJ1TSl2SkgGtfcRlqm3S5AWCb2A0JcK8ATiLa3ea
8/yaBdv0F4MylALHqYCijCyTiE5AjOS9BS27IA0G34amh7vpRik45hD5HS0LTLA3VhGkhMeDrc0n
X81nGXx5jP6kD67jTdWrZPm6rtjbC0qKwqwemPEmXD+f5WVVJADcG2sx+yjT2uX3s/dRuNg+H78I
GZtE4fmQEAniP3I7OJ7ib2oAMdQNwfYS1aB79PxYKAMTxOupNXsC3QdzFhd9bg5VhADN+dkkac50
VWgXmqHyQrP1n0+91hV5gle4spNcXEzBWDHqsBFM3AwxUQWMqpsFrLvNqK9q4w+D5DkVKFjzm6Uw
OypulVkPqa8dPhmSiMVYFhUmTz9Rmkv5VX5TMU/bISjYsn6ARmV6r+1krYb3BZg3K9gudtn2h8xp
S3wcsSRY2JV9ZKVEWw/YEicfFwbFBw/pEj+i2uwyci8LoJScg1L2AwFCWV7LD4QO6lvRzpawP0B2
J6PJKeCamKOvDKEJEgugY/PL8sYD6L+fgYubCPT0hLC0Gw/OiBYisvd1XpkD1E9rdKzPUODoUgQN
A6C4qHb0ftDL96VASaT6MGCszTDECRpQxd+ZSMyo9ysNeLSDJ1UlmIKiqaSx1rkFC4BY+ZkP+p53
c1vHvNuIPhvronWbmr9CrdNh0u0yNl/RwTBkIDuWtHfe2TPd9Teir+qh+II0lDs4dyjcIdB6hUG7
bwP2QHCU394AKLHJ/fCGRKrSjFSTheb5YKKb5G9EKsYejbGnsXHyMpdfu1FH03ttgei6kh4oHBox
RWXZeuvV0oThPAtz89JYbrKeXHNlRLIw89wyv8Vql2M/n1rJIEsdlEzHc+6RC1RWqm2PAS4fWWcx
GfG7ZaD2fD9EfcpkPqljsVbML0S4a+J9/QnRRCfhemUh4Q2tBsEkuO8bAgbUDA1EMDarAqq7WZdA
bs2rPf8KFAN70pKhky2v5rtYBgjU0MeaLYLxQ8uvcRCoQeupdYt+mG/ap/XcjOhxsZ5j2+yi5xsy
Gqx4iqDTh2DZrZvPj4/jesivLLk8LSzyvm2Kn8OYAbvfkeGn2KCwQsxnFtUgcSpaiqkUV1WVjjnK
pXZe2vUepYkwvSXvb/MP4WwNzac4Q67qR4i8Db05BwEReRaHY9d88rrK5qLTF2WUokBn10M3nwO9
r/hidCZGcOEemeeuKNK5/Fhkdg9aSdVA0wCm96Bg2k0+jsjZteW66o99Y+A/OzhNoM2g1KB4YwOP
Zmbcmwz1Oj1uyhitGHpbrYaxsWdBRxkwq1QL/qjRj+oDpKrLalK7sExwgtr001yrfa9Sw5TQ3KB1
v0ORIJre8Hv9QdDWrETzPZfZLIdtnwncIDaMTRk613KO2qK7j6hS2BXtHLQZ5Z0Xww+Zzrq5TeA1
yjz13zpOGtE6LuPRPN9OAyCx+95qzb95ldN5OGVq3Er2tRBTfdeNc25HSMbKaFwvo1BLRLNI5DJE
VtZxKBG1xqrN653D7ISJ5oxs4NScK7wseLesb3wJhAZiBM5VmxpFW2u4GVRjAt/C8jYRDyOr+T55
ypqfQ3aXo25FHsX5WRGJg8DEeH8Ga7HsZVTo4ss4dn5GhygBkubsJdeh+l1R6w6Au19Wqb/J/NGP
PxaixIVis4AspQEzxatT6xvpVKYVboV2VW8dq/M7OLphvsjoYwTxIdkGeTKAbvZSJ/dvhD+ZdLXG
NNqcZ0+HXKE4Z6qtKLTmE9ynv9LYKWqXm7FeLXRDFpS1iaNcQEZCxtPd1B8a87u8EYzxFSJb7F4k
6NxVQSin+3pg0cYc6SwUkklwX+Y6GxeP50LFz1xNnWvOerR5EbfbPN10hZea0zsgrE3QKbXAnOYg
kIou8tvncLH0qKXEtLM6E/VJ/JLBUdsW+Eo2XENcEDK/556YzM4mKL0CR/jSyc19BT1QE9r1aJkc
s8DpkQMYlxV2KvEKBwISRcwW5N+JDoIKOkiLgAM5aVKbYVnhkvCHHbR8h5tGJuBFyxRyZoyzzRci
lzszpqLpOsJPgRNTMx9KsIdDeR4EXaahS1BmU/t2Asv31pUuyi4Sl6D5nqjBqvHtpMQi1Xc6hdbO
8zHeBIUiRmoMcMy4PF1jrHFMHdrDQTA2uwGH3Wyberja57f2GhvW5ZrFKz+FvIeHLs1TWEb0vuSC
9JQ4yzSuyy+D5ZpDvkFoknhWP4U8mVUx+czz4Zp0+KyRn0boS+UbhMVWgI3YD6ysYUTfTeaTo6ZI
zHO1bVIFEaGJxz3qKV1Pk9pcB1vberxQaMEVsc5cU2pwFLJW+Vk05VA5zlGMM4mW3YuVHn+VG6LG
0ulEi7+1FatlPfMZYLXQpeYe/872eokSVBPGdvpjSkeZvItn3WPckmdWsm6hvMwuHCbWDyhSL+s9
lKYpUTjDOcX9MvpBmcB+gDnbq7+zBetdtctQSyjOPMRXugsxI0X1oUvKetki/OWuZ/RA3PWB1GpF
23xsY1/llxqwVJ/v0HFfyw+qLyz7s0hqp9mLOTPUg75ECHrcpM40ogSCsvvU3ud1vwL+BfKcR+et
k1uP/FCty71slffFwZxeXFiN7IuvhYRhDryY5l7jIn3UXMpqndFylLM1v6tdZ0ru5jQ3+3Js0N7G
zaMnwfuZrPhSIr89Rg1iVOlYB9xZqrLzz3VLxJK7se7QP95xTHpJfmOuZsmZDYeraa4syciRPKKh
g/F8ldtOde1n/bh+fb5xPWfZpAEm63kqEjzdVyw3MQeuN2XcKtMYmdGr0OXy3qByOFFR3GZdE7Io
x6eLesr3tjSYzPpXTzkUqEGzq1A5QWByoXrE8sipRpdfnq7cZbKaVPM5z33eEqE/m7Qa3W2zFi1X
9vZnygbdV3wF8jBF0srM+wEp525B3iicYMNsxJIsM0FbRKwwUPrzczpiUuscRSLebCzXAdUtSmTF
XYvw+wRN1LLb+jKc16AMdjpVJmR4XWPuQRYXBB4P2xObQazG6sRcZhKbq2TXlw4QfHty8JHa1Qkz
3O5S3SXsmTKfnPQncakidGGthGFi2atcGdt4tVQPbKkgC7BiwM172Yz+0MqLxNP1cssEdsttik36
ShvcdldaQjLoV3tPOVqNPzClnsYf5BJT8TWL+r74kBcxDAf610hT46pkIWwLMMPLcEfHEG/wACSs
trlP5Rr1WlRXERrVkEiR4mm5fbVd8KMoXfLps2REuJDAqG0zXTYuRPxbC8QU4Z2n4lHoi6AdYDRQ
8gVxYnVmOJpe2UTQgYyB3KiHhNFv5jEaglsYMuYkUAD8marnGMaOQ6PQBiTvkuHkTu+UO136SYy1
kz9YVf2mT5ueCQuezqEJoDSvUz2l84NNp44aFbpqhK/YWclFfUuwKXYdW8Jbd/8c0qboxLAjqMxP
l45PGSRYxBQMZ7AWdY6LPUtHXGMRZxZf3qO6x0V9IqNONmJ0TUGjD7px5GGBAxliq0KXBuEu8FXC
wlRBaM6DkiJwFVPzqDWLp0U5LYbUMsVlF+/0Uw0AUXIqJog5cIm2esX+QYoSXa9t7EgtoWrNs/1x
7XIufrHrdMEtknGCYYsqcqyH1HOm+eH5TEVb67F4ulD51vskTDr9NfFSXA/2Lt4PZtBSPTHWS72Y
QSPlNsMENhhzHirL7HK0zlP8CrYcgebUxBhES05N16MYDPYALw6idT44KKSNECumZq9iF+oTPzA1
63L1XAYoy8BkGhQg8N8jVD7V8qjDkjlIGZog8nxZTOdk5EoB8xw4vLlWRspHUXNWLGCA/YE+C3sX
Uyv8mDX2N9th9BdTHUpHKmLnuejgcG0d6QbIvFIaNeoy5VyYP5qo5Z0o5vW+17CGspoJQVHT1B1S
KzAJfp3D8P+Qtzi2YFCUYbA03+RhPiMZutVPlZq8nEP3mnFvu9tKUu/7seJmCIXZd9R662UCSjg+
V9GixInez0u9B18gukLfJ6AvzrzatO5e9hMq6NkLmiPhP5fyNu2H9KyQqV+nkOwxCVEbu0JQVMC/
82uu1QiTsuFe72s8mnL/2rCjnRmBZ4iCCHgCCO+jFpR0rXUQtrNeJDrOuDGGg4tz1LVvj7Hfb9Hq
ygFnCbtHU+s2nIoVFdrMiztwLvp5D0zkbj9t9BFBxOm2KPR2say2FVtskR9v3cZ54iqVoQUwFxl9
jFqwXfUB1RHISihzrkmd49i4lCWzxz+fV9nrX3rc46LXjh8BNdVAGKh+ePyllo9r35AvySEB2sEO
C+tqJotxURVhK9Qjt3ByrKeEMKzmCsnIqZc9xXsvH0xOLJ5qI6+/1tEycEMPsoAt3MBANkgtjkAS
ne/m0Ajx96lJXsqDBb+mu7ScFfygzNLgVmX0A8nzMys666OpSU/12l7C+31eAI0X2/aFAMxiGlwv
16HPoRm2dLQPjtU78kZFayU2tdb+dwiCdnWTucUo31AL5X8OSyXxYzQHydgQTi5k7UzLNaE3784A
uCBNt6tstX5exwow0+sjdQQnQXXLD5AaoQ3vPoLNTU/3l55tGFWU0RMtD2lngXxyRkPCRWx4HG+a
GgniJuxmdaLt99uiQRPBRrWLTnbIyvlN5kpWroLwnU2HqV3t6BaTpzx4j4mf5d9xyC7rgQFo03dz
NHn9OSlTUt30dHWgCYmastaJ3foIDflltzIGRvgLb1zfCXyQPmaMfhmDRFCH49Y2UvW047uopZK7
nzi964u1Vg7tdJXNb4NuHaiAGa33IC6mt3UxQOLNonD9vNRlEvyIrSLAxc2GnopaPdcSQfHbg7zU
uWrLJRnjEjfNpXUi4h013c3LO2hEChEjGhb4sYHi/PLyjkYDOG7H4VAmUzS/LRdVhMkWey33DCVy
KT6sOljVHSbyeftzmUmL8AOL/B+vL6PHHXU0hux+VrxRnyLSHL2GJz3bIqHpDzm8tEtF9vN2WtB3
Q9R97kFE59Q2nH3F1bO7rnJZpOD/BqTwY5UodVb3VuL9rAYaee3uxJsdb0UGyAcIBo4ETTXC1VEs
yGKPrm0cUDkW/jxddihIh9u0gva8c8Ksq3eWL7V7VvUZiuNlkpkep+/n6aEqYP09wBVM4FfVpKHv
qhaT+DtlR355x8quxxMm2Y/vcjSKBmNmgFMkkuJY/nIaNKw2Gr2Hbgzr9zLEtGyvq4ESSubQpbzE
8nLaJVFMhxW67eJvsdNx0nPRTb3zMdTQ38ia3ZoCfb0sBz362SFccPDcpwka9p7X4wJKXRJDVKSc
wy+0WXOFIkI33yMy2lM7zqPJlKTn4DKHTw7JfkaCqriBw5SC5hxU2r8L3QV2fdB5PCFEkCXeO4W7
yhMsM7NejkYi8v2Q//APNqWJ8L8s6xRExNBF3KwUign5W/Q3wFZXJKD+G5fJ6y9AOOfXoW3V719f
L398cETSjRZWRAkSvNKvD5ZRm9bz7IKcbWpg18hj9dynA/wx7Lrpp0sPbWgUkkdHyhOguT/s5Cgk
cbARB0P971gmD26xTMRKVKyz1Vfv6sIPP9Jtrn+s5F/x51CHSGVI1ZXOruYoxocsoQd4Yrv84fNJ
V4wQmIteFtCsl59vbOE8K1rkgQttPx76SeElZPlO0W4738EitUPVYFe6ZZqeOIn+9GQfJJg5iWzG
/ujIdHrVLVHUyQPiYVNwQKihTn6O7OltPi5AABDGccZ238HYPXUeHaE7TQwFMuYayUUHmOmxxC5G
u2jo43CD8MYE9hxVb2UQVU5MzWyqz2JKMg6ka3rCh5RqZ3U2zlbQbDksk/GqRR66/W+MBZXlGKiX
F5DSHs1CMbYdhn7LSBxAdeMalnL3o4qAh/eI+nU/5kEFl2ukslNG3Md5E6w1246hXGIDHoWEoJez
v2LA3g0+J6HvGa9vjXbZw9CJ8QG/NUw9SnoQwAdSASs+nQKr2L++947hQExEbKME6pJMIg3GSfLy
+fnq5INYu/FQalnFE8L1/QzrNcwxk6WHuHXs0gaLX4gO+9k+8q27FibxFYCddbl0iUN3s+xibmdl
P8AKwtMhOLz+ir+vUjM8Hv+Noog/jt5wQs2ss5KMN8xzrXbc2SL9CZNDC2V6bD4+WUsJliBCGvvE
xvzT2AD+w2cXbDR55bG5t4eCxhTrdTh07tI/YM2QaUpewqVs7dRBhbhkoz6WsdG7DosquJrioLnm
mi3eorO4Qq7XTutn135bZl/ENCfRicPrD1ldbFI63ox8F8Tb0UHbZfO6ehjFHCTCWN9mN4PB46MP
Ce9CIPC4zbEL+pwz8feudoqLin7EvHXBBfUnhur3QBqbu0joQOHkdY5PUUzz5q7r6uGA3mhmsZYx
RodM1ArMEAWFxJ1efBvqeV+AZrlMRZLtCw/i9f3rS+VR6PPlGUZGCbSNe6hZLcdhJe4KjXqG1R+m
oF3hSJSTu6KPXNGQA/OGenY4JvPXtl8gnFv2nHxuSvKggwZ2dVOqcC3OWPPN+6V2wulUyDOTcfRu
sEptl3sSCG1uSi93WoZ2Ul/7a38gG0E5LZuj6ppuJVZntp1ekVrU7ye8A95bLdBo9AgkXagU2MCZ
0y71jwG1kfxEzHN+Cz5cmGIHZBKZuAfA9+iVlD23nZoZrmgZXThLYzu8T+LRq3a+46YBcpyRdzZV
Qf41oqt7gxJvDcYusE29rG6LiBROMnwzwbnftirMueE1hd7Lss0Qc6hr+zBNgpLMiWn+7fTgoIQr
bmY68EExHh1cQq9jwXlQHbwl6NxiF1Ioyt9PzoTKJ7FUh/dSqU59l24K7GpYiih7Q0lSDZ/90pEW
9CD8ZZfNv34r8vCAa4VtEMOIJb+cYIqtnYXeRX4YwYSE1kaNlQFmWWic5Hf4ZEfB5TQB0eB0R313
/VC1qAner8uUBD5epO2KfbbyvKZ99/qLHWnGAoYFos1JaxPfkRyNj0s0DXCiGUp2sveB91FWcp+A
Ci7dVwpKKpypaLfPIDqEBoDXPYFCnnAcU4du6JfC7gwKEovsW35O+ec4h+BsTbt/8S61x9UC3qyl
CnXuxWNhfw+CyLRM+jEyZevXP+i3EwEaPzUGDkzXaAYcD7Re45xmtx3vafdg3wfGxW5pDiB2uMcN
Y8jx8kFmTm2ncG2b/wa1/39AIkKt4BvYPKAUmfzf/yVF4f9FNXKo9a8wD67phE9fmpw7x5O4+cX3
//Uf7M9/qAciQFucy2D8pEZuyEHPzANh/wUXIeY+CNreDjCP/E/igR/8ZdQnHXD45CYQDQip/xAP
3L9IIMOIvB0K0r/kGomX8QQRcHJgU8N0DJ0lgARxtHNRyMIZw+92IcXoeNdR2UaJpfHEFwu4b7lr
61l/rDhuH7AZ/BtTxWRLAQWNEQQpK2evMfsad6Uv6yvc8uqOdj0UgY1Ladai3ZZK7LGoFcdvaITp
8UqRu1BtHgP14Zch/wNrgVLgizMGUWiPT4CjxFWC8iDh6OWHsB3ccMXcFa0TuqznVAeyCUvGzFsv
+2VA5SrEB/s7CJf4yoBOfuQdFdVt2mPyvs3Bx1ebIcwpoSBeg4fZjNoabIchfxMkXo0IZztVV0o4
RFxQfvLexqzK37BRg/xC+ToqD71b47NsYXWanlthoPpzOt4acKJtIyyJJGuabSALVJ+SabEvl3oG
sRCNS4EFMYKt4k2cLvUHD5WtEACNjVtxtvZDv0lbWX3rogxT4SVFT3OXVTpJwGK1yJUOuUTyscAN
yqUPHhQ+eLII/xsAtiXmipbr0Mkhbwm3XokXNBJjafcmcyVqoTQzGhpB4RzR+QOqj6wek3ytKAi8
DaIqT1HRqm3Mw8HyLOi+jSNdqTpwxvMgTvFomYg210D/dHTp+03SnTmjWCE+h1X3PcrD/rJfY5zq
B4xny4Jm/0Xlz8PnIiwGxIMKVMfOLavH/ynKHFjasRuv5/0wpZ+RvpFvwDtzJ6bjmqNcRnp7G63h
5GzsqVmQjrZWjL2ABtopnPRErRtLp2Sc+PoUd3U+u9Fmjpv1eyIp9m5qusg/+3LAUXRuq+XBqUAD
YDGfiR+p6Itsm5VDvkc0rbhF77gQ5PiNwEwpWLCWreBQ7BbeuHbTwd52IaJfG99e1ocSW7HlPgxS
XEnzsdbugSbGeIfJMGoPzrKGsBzcGds1l37adTT6jkMlvo0QNK4xxT44g+d/aOhffqOcrQOwWXOs
LoICt6ctVA/81vkd4u8Qm7GYact0uo+bQd1RUlnwOKZ71+/WYo68awuiDR3mqpiHq34o1p9Lp1jG
qN85uNmVVOsOLEHbVBGmNUIxaMm+LB35/R4+S/xZBzLg//NWHKCbuWwTbD+7JQUH5XvvhJxhOdsB
jPUSqN0uVMsycYZWwYoXNBp0B1sDDdxyO6kuWHjAkZah9M8sD/gtNHSrRQiP0tHHyPOGBcVcQEZx
z8UahyEpPyaFE93jx70uD64Yi09F1YY0TSO1/O31aEIBgrVooQBQx5vHbzjML3DFtkfQjB3uOf3k
fJtQZcafDhG9c8SCo+gsXaPqZ+NreVOHZfsQCNxLximZ2QexcCnqqPTKTobla01p/tKvuemdpRH6
mmAiP0sO3PF8zTTCgLJnlkHhOpul7eS3qrPxC4onpHrZ2NY8XoquCBCRs4FV78Owcb7qqZidM2vs
o0/xNM2IQ2UqBpbE7YBOZzy7+XakOb0HSoXqaJFkLfIEUMxxrbOS0N2Xs+PqC02agsIE1ppEJ8cK
f2LFwQVmZrx3UQZW/YDdqnT2oz9FdK8B7uqNRdButpktEvrI6G6hxBqnI3JOXjV+FX45fvSbFLko
t7KxaZ+bvjyrbdzQoGx6EpxqlaYjaqEOFCGrZBfrYJkQKsN+Nd1KZH/B8C2h/lomwrjLq2pfUNZJ
37YuRYm9w/PKLQk0CqLoUetqP3sDsL/CYtGgbTfIjyUxNd6WIkdtN0sm1VDkyVBxlTk2iFd2WENm
yRUCEPw7VqBBUn6k2W3pQ6CqGTtcxe1h001Vep/FspiRXsipkjoAKZqr2IbNAxAL6Cwq3iA7N8DJ
E3/buu6EzRSAVDgbME+dN5QlPYTXahxnNrB/a9jXIFlX/NtnLzxIGDr5AWW89DYHTCLPrQFtaiSC
cZC7rnH2qhDhqpYvQgzZAxpcXr1tqjL4Tq/YU3t4XfN8HRDJ6+9Bnq1bNIkFvo5rIgUPc7H9rAYR
r5cWDscozxQBBP5ONHTVADvUuyWy1ZcyKp2bXEncqojI3jdurwJx/CiSG017PduiHjkiRxtL8S4G
23+FIKB+n2kX8b5yHBtoU210hw6ieCsSNf6E7Sa+LnOjqNeXXIU27F6M7JIRqTC8oksRs8Nctr9M
JLK5FREbOyuERe8KrMArRIx9dNICVhfSiEZzmoLZ+EU/KlED9RrbTfSoUD2ArNLbXIbyPVBNNKzV
o571OIdoWyePOtfto+Z1ZOSv+0clbP2oii0eFbK5AJbfMt/3Faoh0YQhEV2iYhf1lfeQJ7pAJLgG
eXgpJ+2iXcr+eBO4OHpiiWcF4HcXjUQdbTc0u0ll5oxykQLdsuAStq2mfEQDjjtCeQ26NX6zgI5+
QJc3kwBtluSNRkgeKISbVXSpe0QOnzL2/0/I/Y+YFOt1Qu63H7/mxObvP7FxRfxX4MENhMUhYE/D
e/0nJXbiv2hnhtS4jVAW9RTu5f/Q752/qMzDtyVOP3F4/zMldr2/Ipo5/F8BzgCP5N5/w783Bc//
W64IBUxg0w4wZEHTDIDa+6IqH4F3QPrWB1fvJCg5qGC9i+0+Q2M0lnBghunWC5f5LRCpZLckLr6a
snPPfxmsPyS05hnH78AwkOVzA4BHdHTPx7RiceuhT7d68pxzOpf9behY6NRq75QPkPlVx4+iLGOL
AFkDtN2P6r+qtkZ/tqERpFNb74KyWYzZ54iX9Ouf5L4slTGuXFttAE4ekxVACz160CqXpUuRJkIr
GD/opYz0ReRFPbpKcg5ulxALB1QZe6y3+iaPID3qOrAu+nDS33xfFzezSq33qV0FpFXB0KFpswbx
Q6kd5ZwT5nxn2wdTax1kMo8BqehcooVVLDogfE4uUFFEUu9AyC/w8HiTvaocd9ynvVy+h7Ci9qNa
0gYbuJIEhV5rjnCoJrnfqxla1SZZVtizHV6O7mZGrDXeTgv+PnucPDvvksY8R/DrA/bbxMSmaEFl
HGwRFvL20XgpRCiT0LLTbZaqbwGI7QOMyfJUJfX4KWxBNiLFXpcbqGlfvlztfT8tgCLLdEvXzTm3
UL+90uCEEXNyovdkLcMebqOGbTTiT+nnbv7WswR3pqEWG2U30x01pu9WnTJEr3/+8RagMcCVFDYb
Fn24qcRHJbpBlLKqOl5sRSh4lziLAnAyqfEcnJr18PqzBPfpF5uAhxGRKOJ6Lnsutk3h5ZcWoKoV
n5ZoCmTtnL93IFEXJFRrfZ62Vf8NofFu3TTeXH8MRda1m8LO1m+CalCxJ/GfHrwIaOPewfXyc1Mh
b45+FHQdRKdqRLYqMP9YmVed/hIlq8jOOgH6HcVOlOk3doehyYmRMyPz6442HxNQJKIBbQjyj4ih
Xz5mWhuAKGvDwrFxYxkqeZbDL9lN0rtBxvj760P3h2migkoKRexFqDM2u/6Xh1n50GBOSNHPK93k
JgGnf1YzBneNlbgnkC6P5bqjD6NA7GHQBs2dxo0pAvzyLNBNpRWQLXNVye12X1ddnB/mHiE3qpuW
Psc3FeObsMawFGqDl/5Y/SF+AxsigufRdI4PHiu1+4OngRLtBYCmadOFWfB1SJM1x9+hadptgW9S
uivA9mWwncvudrZCNW9B46fzzhaDwLNb4kPrKhwJanwTTX+qgkEWtgMqXSBO20vpAbK/mzng3i6r
9r8iyl/huSit7rJtBjLvGsoaLhvU6pGDyzP7dmR5ZOdz1mfL2esTdFzjoVVojtooZjUAnuJEeTlq
NPRAbwf423gYCaDNLWhXbCKhUBqL1Oy/b9oKKfAa06bNOsoA9Tyny/a9COO7IdbFd1WNPgpMnivf
EmBDZMyHYf1UYoN5EwYzmu0oV5QC/dxFf1f4CpPA9dEpJdhHUMfx3BMMBTA3ajxoC7z8ClkN5Vz5
VboF6lTUB5o98xVuBGB2Y7S1bUhT1cYHrHcm/R4steegnwMibhdWpn4zNwWyjClYAxqB03uX4vlu
gddW7Goy/+zEBvw9phKxf3nXo9CVoEEMa43QBTJ32TkF0tH+iGvH6xPrHBXvmFhwfaZzS2HbBXdy
NLFAhlGbgCe8Xaq5/lq5JdLjyIDf1aroH1LwsVuto+Sth6H2LbUr3W2hMmH7DHhlevP6u7wsTJOp
mVfhGk+o5nVoy7+cnS5XQZoYB3anS1Br7sbp3h2WACztgNR6R7kk3DZRMJx47O+RjnSPyh6Hl7GP
FUcDHfaJb00euYuVrdMhG4uenmPfbTxagdzyGic4cSb/6YF0HCMiHpaQcXg05GptwGtgabKlacAN
QrfBOfDuAU2LESKXDOsTB9PvK4nKMCcgDT18ed1jAWTJqsEIRZop7udd58zNdgRg8K/XK0/BgNX3
AZ2xu472Fmba5m7LV2VD7J2Piw1WCge+EzntH78l8D1AeK6DVeFRprFETRjpmG+JY/wDfKvsd9g0
n+pd/+kp9BhJ2xHPgiFydEbUCaYuM/z3Lf3NFZb8SvNH4qfz+nr/41PoZxLBaTDR+Xq53uGaIgi2
EI1C6hKwwaVbnUOcVvevP8Zsm5dBz2WHE7bAdbIExNHhaguV+0HNxAAaXKCdKpeOvECctiiDC7aT
/hAXMAScsnFPfOARyM7saNDE7GZAdjbNgejo0Z1a3H5IiGEaLY69Ldf2QfYWZdlMN/t2xUSjLeW6
XeXUHCbvGyj6hyL3k20C3eTEpjODeTQK6HtRjzd3RTRujjadrwRsTG/KzWB3X9K+RcTUxcAr9rQ6
Ie1lujFHz6KRACTOIHRcIAZHizTI00HZHt7Xbb7GH9jt8Qh7cMJxpe1CBEpEPw7jGZVocePDTESU
HMb4de22KEsg6pF9KHA2dy7GvC7HrfKmGgw48CsLAH1WYss+TCsuR2iu1FS9xwLruVkDubMc4D2b
kfQWLaPBxqYp7m0/PfOieUlP7PY/fCKZmgDCaZDjwSMw8JcsSg1dtuiE6g/MqvmAHoWztVI5na+0
cHevr9/fwyVZAwkbF3mDNLOPZs6RU6U8x7SC4Tb9WFotry2Zljsp4p9t38gTqc7vX+bDnLM9LHZD
jqHoKIvH5rF2aSBgZqOpdaNNo8hbMNRB0xisy4lh/MPxy0eFLvLbDgBjqgYvYwBqN4mHPA1ce4x7
Np0dwgSLxu5y7XCzStbGPiyVG+IvH4n7aYyHCxtX+J2hsly8Psq/RwnTQXzUJQRyilzOyxeBfZHP
nvFrD2fdfRQpjq+5ovq3oYPkTlR5k/WiQm0eDlLtn8jJfx9yE84hQhLSuaSavuevKXmpPaeuTbMf
m20P7QXu8GM+wDvAkeXEgB/HXLMfEXEyqL2AO9rxWTgldVaOVkHSXUzfnMazsAIT6b9cQh7fAiSR
eQWeh3rAUdhDqa1z+mnut0W4lrcpTZaDVpl1Pbt+e+JRR8wN+AvmGS5PATqBTlZkxvaXjViUfitQ
aOowXKwpW1qYNZzpxKXyNGuloJW6pe+er7by14uwzOKEqWxooKpZOT4y0RFGylXdR5C9yhHb+G5o
+utelnEHEhzJkrdEG5RdG7+C2YGCTP5xrmLcJNZhXdo3eVSG1VkRiFMo8d/nic8KuIGy94FC//ZZ
ntfBR7XINkcsMpRlxbt2dqoTq+FPo2e8IZDApxtsosvL0dMZRRusq5FobmYsNasMKZckWqziAPlU
fO7mFY1uO56nd8NsITXtuG3lbJgN51OJYcW8nT1vBRyVkyD4CUJ3uZPtyqHHTKNCbILoXcR4jC4U
DGi8YTDmbyioS7mxlYv3YFwNdnciXB7B2h5XhGnrU4ohMnOcHH1TvOQSmaHCOJIUDw5sly/jYiTl
oUxeepjM7Fvli3vV1fkDLor9dSA69wQy+PfZY5+xv3g+rXR29cthneoqBDXmdtslmasDvRTqGvma
nvjSPzyFJNBkNCCZgK8fhax0lkWBfQ904z5Dx0UI/2JO5pNu4CbZ+zVzoHCK4YUgF3RJ0n5zvijX
mYTdweGFFGL52Id1/BNNxeo875PoYcrx+NCTcdcqc3p5+eipm4VWDD5HfnRThFr/DcWvf/d6tD6C
6plJNochhwZ0SxtgyNFdKXOwaEMrDP8NcV8mG+x28AjbkkvqE1vkD8uJOMbhBEcILFR8DLzDawmX
LqvCpiVu/el69fwV2ffGp6Y4Dplp22Vz2myHEOGtfSemAHrkVIfijT2l4uH/UHYevXFz2Rb9RQSY
w5ShSqUcLUsTwpJs5nx5GX79W/SbtEqCCx/QgwbaLRbJyxvO2Xvtf9/2lzfORsPeki44xLBcHLuU
VKOv2jwbMEWJOLu0WfxD6rRy9++rHAn7eLhcgEXCQZKpsip+OYiqJNjEWKaDuczmXevq3o7KSv+h
tG78pFAOoklpo6vQFhXa5jShwjBd5VXtdeXBwse6n7FyVYRXKetFWnvpeVk6w36YXevBtJcp+vfP
3b7nT+Nz+7WbEJ3dCuVO+2jDkjU6TUwyR4Mp6xefmU7xnZZz0WDBzf73pb4OOypn1FM5TLBnQTp0
tF2hERpju9XrAJd1vdXAZVYHpLMmZogYZYwSHA/DmVJaYx2IQUufJk9kajSzu4NKaKjZDzCcpsFC
r4wnNhHfjA1YBtb2+/DPUdr7POcQYKw1oCSKADBkDrl+QnGZ9ye29t7WVvr8tA3igSmY2B4TAtPO
0do+VqMmEjAIwarjiIv0eLXw1KutzMFDjOphhpCj+OWYD+Avan4BkAl3eslFDXOsKBzlpYJy9iRw
+z2bECAeqmLp8dfW5VM56sRoVKqZ/SKI1gU3lmSuFhn9ol3pZWogzKPCTXOaKzyaMWGzt9ks1w+V
8KUlYHeJLsGaZkggvL3XItOUP5XRl11Aq2EsI4/oox9iaWYC4LDrHwZNeO/srV3c79Kc0dS6q+mS
BkHbO3C91MELxm6KLgi8SyQApnse0yZZ/AVNMvvE0lJ+Z3o3PaC83GIfVfig/tThpfYNOtA/JwgJ
K8kIaf2KrgV0ukr2IWGDUOlWX7d7R+60brHeO8eDyLG4bjYClLR7m2ChRcXh23glISSNO6vBYNFy
uZwlcYeIRBbr1UonPO4wpsDC09BAx5QgrD33krJAr6Rv3+QEMrnei0FoxVneQfnBW76pz5HiyZnI
T3d9Hup6UfZZnrf3o4F6t3e69Ta2E/S4HFHZbjTxWFwXcyZ+GCwtbSjdofjd6pN4ddMlv2yILJ6A
T4wuSbXVWr+rM+w/vYKTeICihgLKGxt7CHvPAvTeNY3yG8lvR3JMBooTzDRuSkMmin4YLHrPSMZs
AfTadKHV8xElBaIepEo+ljnnrbHW+W6ZYu/OcsZpitxFQ5lCWwploaFSQWZA0tsmebT8VVl1i3wi
X9eruqiGdS9HVVxTZap/psZqEMkGfipIll5DJAZXtbzVbKVJ4fZkZoqMduHAOK8NAiaNhne2b3pC
u8J51u0xVL2YtNNlrKprr0KhGq21wa5CLZuxvx5Ho1rCErJNj043zuvQgmmHwAxOAYSzeOCOVXv1
tEgnGlsFyeQVdVgNo/MboJ8iA7PRp4r6bNHPfmyPNmlxRO1pN5jGidSw60Ezz6QLacefF6UgBb6D
RBoQPrigV881zr/TotB1c2Ob7tpq1oRfcLPX1ez129Or16gRGpmEObnFjr9RACBp1MNwQZCaSaZ2
VTjzbiaS/bEl1nVTO+fpTyCEwoGduMrXKi5JMbSduUvRyTvxFe1bQ7+M1zx9krpI+x+jVBciVo12
yiOvMMch6CrsR/Rz3HqMSqfNgcPRPMCNWWjUQORse/0FBfD2KcvoK5F8qRt8lKve3pVOypmevdvy
e5auc1G0JKbvnXqSj0VV9wP5B2zP+TlV/SKklia+gF1xmWBMwn0iK+UAGsh5KZN0/Dm3rkGUB3sz
lc5GLviyUSGTOLF6xeOoLrZ5gcEOsQl0hvpSTq2X7stipLuQ5eY8gtsw6VaIQSUcRZvH+QV7xrKw
2MiFichUW9gi/Wiety29znPbtaf8vCtivthSl/UesC20h0IW9T1Ixbg5TK0y2+SJ1J5x4dWe0wSu
6ko24D0BlmE3iA3ZWcjVr+aynXYoPssxSDsDqwrNheZqKWcBbHfKPeRLw1hpYZbHwNs0PE+7NN+Y
IK67pB+YANckqunJ7xS7c87t2lMudYMyYrAocfvGeYiwiJiC7W2ZSBSsrs28TbRxpb8nKZT9wGiR
yBGzKhuyVdtthkWOuFMSKzWCDsSkGyWJNi90Pus8RteITfOAOoQdPpyLqj0D4pU9CaGbCOyhvpm+
ExuFgYoG941veNjL0RvO0D4AdBMVtKQc+EJTFDVtJq8H6BXrIM+iuR2Hj4yTCQI/fcJyAP9FqGdz
VxAC0xlWfQ9hcfld1g7BK44Qxk9TLODrISezeJDC5xGWOOteFRU2KP4S4g3iSCA+qs9Jj66XWDNZ
hONQmOtt7fbp2+iU7nRpeSx7Z/BMBxlYYqLzk3kcNwEh5WMc5ujHyXmSSIzSMVv/rI09Pcy6wuFT
JxwWKY9N30pb1jDBvS7zsXtY1dza4Uy+ajKe6BLLC6dHCtRVKt9pFoFKe1Na562ylD3Ma9wu8RxW
fO6ktsykUSuEMI6PdebcArZ5dCVjhn4lVJMbiI4vpVkcOFVGU1H8VrN8x/75YJGRxwJ501j2dcw2
fRQeIVJaFVaMZddqRt+evT1dvAcIMc+g4wKzHS7QbuQPDXiqaZEXll2+5Y4GG7G5WrWXZnwskipy
jXeMlT6Ol4PJXxiWbFeKNMoqY8fS6uwcTshhZvYaT9XG1GFwAkwFt4FVLDZek5Slq26pZ7exejMq
JeLQVEvHe1C4iHPZ881ndCAuqK/yb9EfOCqmRnSYaoUWzZlDqCt7+FaPANl2KvZkTBzNFVH3TLsp
b8lx7sy5PAhSnLnD6gE96zN7jUc4WVQdRTq9Aibpz9TF2QP5fSXRM+oG7yrRCQ1z+3tDr54spTmz
Mrn4hdDv3Ta5y23nYBVPbnJlWFUfjhwEfVTOyQWjTETt9KfoEqITSBKrYJxWiXjS2uQKiEaLzBjY
k7Gmh2GmsQSv8qEatP0kFRJoTefQq8ZTPOS/tL4OOqFbYSnbPVXSHdYIRGxlDZXZ+Dkr+q2WUppL
6dmojfqgZyLEzFYH+G+paiuhw23avrLqe0GkgkGoVpq7hClIeHp4VSPwsgk/49aurJ9Sm56V7ic4
2iBR8vdclB9DPFXoz2q+8vkyyYvIm1I2RNUNeJ8xKBXtkCea8QqnXrAI4ZJXpvlcSwndipeLiQyr
lJzvSVc/GgZQ1JXrR2a8TvTsJ2u5mRLrGadg5QN/DldbPUtGq7ufCAmQ1Lts4rhifYpUt/kw2bcs
s7x26mRvdZ3lG0lOvI3oX3QFIg3Evtsy688a+LZOnqho6sc3PvwbDFDloVnqJhodpriume/HHnF2
bIj3YizI1MqUHK67VvXskmanR9VcX02iVS97NXZ2LMzuc8rQMQ/qZF2htTpzl+FMjQn6ctv+skAv
XiFohLiCx7URGUG3yvUWfcmCzQakyeYzINViD37oo85Rka9V/zvXq8fJ1V5IkYRJO/yS0ia6B3Kp
ox6Ah3KGtbDkxwStN/FlAfDph01Q/KvuJdpHpZfJEpCAsIwUTnQ78ashRy1QagQ1eRB8wHtzEGcT
adSeF4ph6e5nLyUIeiCHtAlUKHZOkA66NgQ2nn3ShYcyM1CTivVnvlZaDC9yyepQ4l+AcpPK4tpx
yRqJlo6CV2lsawvpsVBPVPbtSGv12VECI28mGXh9o+7hAxAzu7aKFpqDlt3EnpWZQcVnkdKgNyCf
do3NOm1BlL6xcvLqOTM0nenjflzNyMUh0fsIaxKSsZqMrY9K6DMKat3o4Nm7WnPoYg7bkZwFsEeg
mEsWOfT1+AO4739xZqjvOj2d700bVM2uSFL6AaLO+ymwzILcYJ0wW6Kqetf9SMc8fRWmjBm9RtPd
OZLPKyQX2s2C3i0mJjChWAS0GgsyeCpGBN3N3cD4WWvS65a8ADuQih7SmbOSudvEMF2DoSxjzjp9
11XBzPJy75IPuLISpmTIe0O0Ftmk+XVhKG04QgMVPoQ9i+Bnc2YjYs1a/95SO+GfVK59D3WmrpAL
2MAQexYUFNxLQ5yFI2GP7UBUbNJ69Eh/iPg2kL7qvbT8pCsl5gvFc8bQmAwrZyGZ2OBOelEtG5Iy
lxeEhKMNWzRp3G8ItOa6Y4otApVdmhPRrkouPODPWmioEzhGqYzWnxwSFZ2bbkyeTUmZxLdIyX3T
PEVrI4j5/Q9FaPKyWQbya1BCLbQl47HjttdBBaCEKv3KcSsWdzsXSg96yVmR4f6/TB8HMPO3N+tv
K23NLsqgBzyV8AuTkCJF/MPphvrNUjJdJ9a31n5h/fT4r6PaIkIbxVWx4Ec9VHKt2JIZJUKhrNta
faAhvHzHRlMm501XeUvoEtw+Mjg7hAqqZ6iXmI2Ee0YRqeiDxPay+2LSqgulK5tnp2jlNYUGbntR
BM+XzqSyVX8pbCEOV12S6nQ89kG30qyyGthvwYiy+5WJW/eCWFtZ1d1RsnVDS1+5dPnUpvbJYk4O
ORC+n2DFDDLH8syRgUv8N9OQboxvKrEAtyqobz5qs2xBIubVj6kom9wHgUe/F92NNftlzJfol0nt
/sw9RDv+urjkJ5Z1Ox0GQyNHHaFBdZEJOyOAcDRtUNp5nN0pyUBIHF4JOrmZPeY3sT15uBDyxTbO
LOio171RuQn+g3p644yBB9c1ViF2LaaGK83pUo70lZK+tfwffgJLcSrWX1cnCszz3DFoq8Zl/zAQ
5enwtMUtxL/6F9RG2n9yVPRfjR03VygfRi3wEASRn8mm+11h03yXYSvmVOBUmruvBjPHtR671Bz7
MWshaOR6yhOdOIbtBBHkDghYtTR2AJbwp3iIbYaoXaVlnSUtKsZbGps9dqxpHd8pt6gCx4jhPdjJ
VN/yZ+VLqTWc47GmLw+pxxY3FJwiQX0PnfiDgDm+75p8eBE9bmyYmnmPg52KAQeg1gRZR+3Hk1f5
JNKzLVK63CXqkrRR35jsZhHe04bwPLj1dNAGvLhTZiqkP+krnHHX07JnLUnL59hDBeubzsz/trRF
T4vLrm5gv5UT333JZlJpE1T5NXUCMkLB0C6+AWf6MuuVtIjkQo83kCIh3w0aHN+LZAtwwG9mkSSq
tkTp0bZXP8CE4MWXlto/N63ZiEAXmg6JQnXS85VICDOYlQnKopMzACCG4S4LC72y95WD9Qj0bCB7
iWx+ymrlQuWESk+Hum6pgrYMOMaO75Rg6tqv6cDjganZNQ4qkCkqQAqGoo45tA2Qof3910V/X081
23+3njYPdzGPP9jNKkOkmTE7rASMBgtKahHoutQJ+R728NQMLQn3aVJNZkS5gjHR5YJF25spdoRC
WRyxS8kdIspem70DY66YfbuaCWvvpwI7TUPkhLa3Glc91wSao3AeHDLqoA+6BK3j8rhNnaUhaTJf
FLpGolhg2UmLc8jgNZLoPfCjFwghDDMqKw4iISYv50o1cyVBrdg5L11NwruPPFT9tXScWney7dWX
0e7X3/oi27c4ic3hsM6dcyUmOyUYc0riuyXNPH1fLr14UNhFUHEZMoZY3NttCSfASbo9B+ilBGye
16+xvQyIsWbZ4qYaKD35blZNbzEobqRikE6z0Jw7LwuHZMTfYIlR7I1S4riahnUcItceV9IUIUT2
GG3tGG9VXOd3lAJM9Vx4g9OHwom1ft85xRoWsLRvhEYpLHIht65w6KWhQHcFcM64YuUKmzFJbq2+
ZTBgqOhSIMroWoN8WbGMjMrmhUp7rfxZidH60FSWF1amUWe/bLSccBQHJqKOAXJvrnbzmhdeZURI
BKtgKZW1OxthCb5T9ycYYC7EdTPYjKmC/bC9w6vR/cgB7jzUci2uCiz7K/oA4lxOaG2+KSx7qDc0
xJ8UVGnofK6oypwMiq7hzOjGFkdGmOJ+O4kXs7DKE81n7WsjjmAsVLqq7qHBp+FwVFY1mY+hMHjs
HbwZ8FSOV++xdZLFCKpCKWs/BZLAoSCnukWeY6F+OPFAnSPWVIIfDSoTaWAlyQzBjSL9s61BK+aQ
3ePe6CqH07GrNrHCNLJoHLAAr9ZUGcr03clSbEEDgPg2alxzsA/GjCYIDERXvFAWIyzLJNxlvoIf
zYmFzZ/Jbjtr+zlwYuFyDS9XHXJMQOkiFpoFSG2nM0GATM6DNq4iDWgEE49gLLWuXtiGt81XBpMF
aDCV3aJnqwkheJ7+Z51izlZ5aj4PWZdJP6aE/Geo1+GNQJ18PKPvMmNuKVC7B1Vf2b/R8+M68eDb
ErfLnOg9y1409M91QbIfyQqWviUrYECy7Cl7EXrdvbAYituCxWoJHZApz+kIARwKYt4iJWHvp+8g
WmXicjUw13B8N1Mr0ErqSiTCWIJY2NIsf/ZZgWCh6S0nZ5PDDHw2cdBQfDSQpKNmqxSHAerNh+n0
zT0UcWrYrVavL/RCVWQUYq0J+Vgmtsa6M3QxmnmZcXZicvEXl2Io2tC2e1Y1c3rSzQarpdkQnON3
0ta60KGsTRgwrShiiWfyHPxSATMXOHWmXZtlTSd2qdc5CdEUlXkgx7R+KNgesQFkt3rJ3eV/slay
IRRLJZVoGM3sT1FW48MyFyC3Yac94i1FYFNMbnKRyRI+ettTWOtjk6O38Dr6wGPtlG/aANMoE5Y8
0eU64rtt/ScTH4plEOxEQZ/m5ucPrymQw+dGRvMb4qwV1FSPn12EIjF26Hq1ohFa2YjHE2ParbZi
ZKOyTU/XLzsFeRB4PoWpupXdtb5SzvJ7FOQ3+uLaj/irB4UlulpHnwJh8mOVKtbcfzeJzK8NUyRP
dIlsXKY0z7aMy/+VJKSiyTIePtRpZ+ZMkIDH4Gk7Rf9g0md4ISVH3vTuPNy3TjZfc0Kcn9rZNqZ9
j/aa5gTyFDpqRFaCnHTV6WzAYNzuJfbJP51ce0AauEd36FljdTfoZnUb95I0dtxX2UIUmGVRNteL
+KeZZzIPEwj3iT8iN97yuTXxrI/OkvljMabwSYd5vhqHynJBGOsTARVaEl/Crp7FwZrVuSJlpJNv
AFHXd3KzYCNofEJ0G7AHP5UJpWsWCTZy/36C30y89O9R/9KsQ4J/7FrgUFEr2oK6iywf6wILTxzZ
ckXur/TdKYfEFwUSgw2FI+lqhkPTzHCOuuhe7/U9Rj4SpOF6zjuSl+Jozt3xD4EvTXlwOrpLVAnc
qdv3o2D751LpGyPSGpQLvZiQgvz75o+CMf+O/u2uiX5DmbF18j4PH10x0p6CPHjaPGmvFpR27NkH
87me6RcAGNYu2twzboyaliJ95jqCF/yojzPVXGoY5x3YxHDBn3gwSek68eO+vhnUANvPwlUDgPG4
+wcq2a0rihbBQnaPr9d9urMakofcfI5OPIZjQdb2XrYOo6u76GCQUn5+DMjccr0nn5WN3kRTaBl6
54/X0OizYMeg+5NEUWyH8Ca3xc5mOAViLJKXFTiXnwz0833pCPWS4MclGueiPneFSlcipzTc9Hr8
dOLnbgv05y40AZY4s1SEXIxYdXty/6NDmlEZlawU2LLNtDoDtC18x4FQNvcDiTMEYexYTcmmZmt4
bvPjI4594zlsumevgmhecNC8p5GQUH4y1Ct3SHBar5WZRg1BTn45a92JaWrbvXz5wfh1+NVoGOGv
fv7B7VRqk8ByjHCKiMUmgw+XYArHs2S/g/HPTr3PbdI+uh4Ke0QUm+YbYtzR+xxVheKbNjeBTVTW
dc6GOiLapCNfz+oPKO2sXQek+35y9DagtA1035H9nqmz+o96dwYWDWymZvgf6CiOx7CqLRWsJq5i
aaP4reSYvFd3qnc2NfFDNdf2CYna9iCPbhxFOMI+irPc/d/l4n9HRqyS3rAAJfDGngREc6h/VrZ0
LiezyE+057+7FHpqPlATB6hqHkkhXCWlDgjIFnB50gCJ0IndLmJ2h36ded4JmcgXJQCfJYJ39AYu
biJe6ucBBNUiUZOOD1R16N/gPcelBWH8P2/Ct7kQtsuWD8u9HckalDbLqNWlbaA5qxXq86xcZ7VW
s/Md7R///oa/fhH0vzfGjKfjg8Ul8/mGGsubWpL7qmDtp/VsLFWi0OF+HTqDDvyYFf9V2GvaFnsU
ajFoevAPHl8vj5u4HSl8BGO8WPtpTAi0p/8fqV7l3oDWq05hrr/OURZCLvYlLCsIZo5l/VJoMF0H
1tUSiwJHX7Ixc93trohKcvbFUFBHBlP3sGgulPKqLsoTEpVvHrDBzm5LmuWVIin7/IDbuG5NDgVV
AJLcuiahhZQLvevPE0OleWCw0/33C/1mI4kbk2th5ANxqx6rXZu8lqM+1m0Qvh7uf98fDns/Cs4m
P7yb/BOf3t/T4OfP/NO1ji3AC9m1MXSVNrjYPe640H6///NwcXfiMl8/us9XOdoa0+6p1F5ylXl4
ngldpHx1Yon/u7B+vRFzQ5fwGejH29dmUpOBw0MbdNHwRHhjsNzKM+ui3M0BwoRgCOc9uoUDLeMk
XG+Vnffy77f2dRLblJsG4wOWkoo16fMo4aAPRUhts8CkrOXPsXQPnp61u16s7n9+mlzKw/zFAEFF
Zh9NYS2WZraUIsOfoSfPA6sWy5H3XxX1TJPgqk3LxWaGr+jYBaKTuWG4QL04zmTlI8kO1v1i5nTG
ivSUoPerWnGzmegugkjwIchgt/HzP4vNak+IV6wuI2nEHiEF4z3pJcXxDjFDSQtDTV7LSpnCHMvB
Lq91iKTEC9hX//0VetROdHRim83w+FdgTt/MUjnlW01EtK2mA2lFP7w+VU8srl+/B9ZWLGRYZ/Gc
sEh8vl9MSXljZxzEcyWbDghh10M7r8apieTrzGVrjEmM/bhA0WQfXQbJiKtLhzgRjtJy3DtrYhL5
CKJ79Y1ZJxlpXPofkI4SLXCLSn3JWtV9qPDQPswJOiviKbwP4nNsUhRUZyKQbZ0IxSJRQ4gTP/Wb
r4eSHVtzXOjYCY8fyJDTgEHLkgdtaVlR7kwq4Z1iOXR5N56YKbbp+vNEAe2A50L/bVNfHr/lUfUG
baFHQb9XVpexXTt3KSkGEYfi/KkHYUmArpiH/z62NFunrMM4dzbXyOc3rq2ml6Oa4o0DjAyrHMay
685UF93VO7H3+Lpe4pba7GnA5sEgHn9MRSGbwoFWEKQYY6uQLu0WtWxCIvfp2gwee+U21SMnAYKA
wKPJb6epK6wTj/mbIa6TgWtTC/EAQx6TtZWsGLS/QmOoT9XF0kxuVAJ/ODFuvruKCQ8WwwY0KtU+
GuEdoDCvylJMttY8wKTT9Yjg51Po/i8+auZCwPd4GnSUGszvR3ss8oAr1JRIqggeI00e9syvhZoU
kXPoeg5UxAGJrSXNFNddd2Q1QJigc0sYU+9c5C6YZ4EePGiRMGW+BsXxEjM6ssTea0NQc+K8HLU2
JCWvCytJs+I/T2sc7lgrtiwEGyzA56FnoOWctVTLAn1wnB0sMXLKhHpBX+2/q84ReQMURNcCxEXj
4zq6FFIji1Iq87ixssVeIV9FuILbG4WT2l1O7OIB9Hh/V/SrfUAjT0dPqb3rf9/v3zCQoy8cqbkD
LJV5nGiOo3m8JRo1S1xKuzOZsoO/oFy9shpip4IhHtpQcdM//ZwaqL8IDVX0Kbtj8jE/ZncuNm0H
DG6788IBAGLIzGIe+hXfpYbAoyO43GB1R3kxS0w7NHHzsswiiZLYVysinWYiz098SN/MV8Ym4MfW
iuEFKsbnZypqBEsAB4pA6Y3siY6C+5AVaGgqTme0Dwvl0aL/eWLP+818jPd0w1NBnOQ/RwMe/B3K
3okFGfIF4ohRyy+HsUOu5qbqiUuBfecOjt4XSR2Ujty/QvjjWhZNXgKA0hx4bIeKhfQeSXcgTSkV
y7xE1AWxl971gPsPkAFJr49ZsRKXnhjdXZ0OHgoOI1y8UbnsR8KF2aaDZghrbc0fVxvPB22lEu0k
+Xu9jIzB0TvQdn8ZeXFjWOcJIJZfOhj2X629Gm8NZSQSjcSiX0vU5ArFeMvG5hvT28NmRVoK2qmG
jG8SVpJfXbbW0CPA3Ba+Y+jKrUi1KQ+00Suv8ZLaP5Widi7IzbUI6ozV+broVop20u20a1TYiQhN
qStp4Iiu/T3CsGnIBNUbMNKLM/SIaMmuhX+W24+jsLRnmcztT0JdManhSW2X+9UsTf3QKSkVPod4
i3MxtTT/mMTyc89LFxohtFbvS4I4Cd3zSIRDJzP10qdqQQxKU4DuiMAaOr+xwZT9WZcs3VXK6bUL
kbi0cQhGYOATcqfJQwZSxeQaNho+KY09qLOr4grZnFchSgowzqOKsz3SFgNLT3IVw1W1gMVA13jj
JpZFMtJC2haQy2m5Hu2lMHZCy9SXquWvY6pK8h99TABGSMu3/2U3FZQK8J1FHjmlkpIFUdb8Ua+e
V3iEutVfIkVylbBce1I5q5jwKHB6Qs92SmnSKGBEteiKzVbOgTuLVezXPkGyh258bUINT8o5x2TC
5trWlU/aVpgOFGoUXUi2SQu1MnaqS+K/m/O4ouvqF9RAPmi5rGvQDWpWhiSRp1eEYtpNhFB+vCo7
0jH3A6InxGWzitwYsaf7O6Vxxfvk1i6dVtWJAS9Hj/FJ/Bip7YOUyBFnQlX9eSImdSfMdjajRS3c
Dwozc3HeE84NBBGPWmiN7aIQ2ZrMVuQq0/rSkjs+B0KVUxZmlPJozZMwYPtpnVHc0GeUkLTwXeqN
k+UlN6pYDISMZkw8EqNg6YJWx3YRNapdvley4yjfNUWt+Ou0PerG1qTYK+QZEhdGECaZfZgLu2hs
h647Iy2vhipJzTYP6OF2xOnYk9nSZGmkfUYQUUb3a9Bag9Geoo1i8AEoXdLGuFilYoqwU4vlte+1
WJ5beisgRBd26URj2mqCGrpFOBs6mbn0la426dn1JbWajgSjdb/IubfPJIKI9ppcJdSItJ7tglyc
xXlC9uvo2Pkypz6srUQ3m/DFkpTWu9ND4jSJecbCZDp+RqLUZYNY/VmyRv1KlaIBpsy6iL6pwoQd
orRstUhJ7NG48cYCXhWxMwm2hCwhJVetH6em4FTiDJrVXJrDxNzYqyNjJbdpmkWuNEfU0X0cv5nL
In5ASyR6nsHu/O7Yg9EtkQPY+mJViKPph1EmN9KlXO7THjVhxo6x94JEMEYvI/NbC/nKk8K+/T6t
pnJXqRN7NnSaGJ4Ut1yRMVhCO8/HqgcoqdrJx4J5/QnVQfPj3+vrN3Yih+o2TlkERyqcoaO9bEUE
EdPuWAY5PxT3wZAOBLwZRVvsrdxp6MnDZPw1VeicqeAJ1JP0ql+U1LDPF4Kpx32i992+LkmiPrHV
OUov2LoQDtRkA1jAVtWm9PZ5sWxSd+xn4FHoJAbzaaEjoZ4v0hoxUej5OymD5jthvTC6gcGyJtgJ
qX++BT3RDDmt9YQmpl79XKKAGyGopPWvfz+6b7YmMIppRdDNUOkXH1vhaK0tjiYRymqFldeXxYJg
DSZA4qXhqnT0syByWSgy3dgh1cAYSg0MnMUaBmbdEoEgb+0Xdpz+VsphBX5pkwyPUNLWbyxT1sgQ
0pk/CAelrANXsUzS+DoiNfaEtxYH0dJN8yEqQDDrxq4dwn/f3TebcYz3SAEQBXC4PS7BWKZIrYo4
RJKrmPxAR+vXBHQWH/++ytetCfa+bQCS6cXp4vj8li2MHjlzFWCovt5dJtCuunz374t801/7fJXj
gURrdso0rlL5b/f+4SWI7u5OXOLUjRztsfrWGftkuwRbB78MfyO7i36T9e0/FLssxHJ1YiP5lxz4
eZ/1+Z6OCpm2mwBHEFyQlL9oDUXYBuWVcQBmE5I9u+uuvGsotvfF2XyW7pRg2Xn7ZldGWtTsrAg7
lF9fLWdu1IfqiR3714EDjsLcDllgF5lZjra4mjAE5X62bgTDdJHTyS0d1jtlNfzmeaOTwkXHEPWo
Mh290nxAnZjCZgqQpvQHS1jqjijn6nZom1NpYF+P4BvzkKYJxkvsvs7Rky6smsMkYB20yg2KLmsS
HPz7TP0pzLG/grHKdD0CG3nsFFKdz6w8UU687G/csBvKhGBIUJIWs+LRqS/3PDFPNsDdRegtcdGi
MK7qeJAf9qSO1wvk1TiQle6NgQke6r0eGBiE02vlOUxgHC8r4sVn4qjjyJg8VzlYWjHepyQ9YMgb
Nv180dPlOPXZbW/6aIji0dS3fB5ayK63jZT/KQRSWyQKyqO5UG69T11464NrVGPQOXXxMMhxQcKq
au9rsWavWDbz3VJIvTr1K74eSGgMqbRVQGNRkjpG/IwtAJwEgAsVlELGF+ByvS4gcnITBVoDHU+d
I0lQmE6Nzq10e7T57TpP7BRS565PDPP3ianim/FEedSwiFKBLM/p+vNjkSVIvSIHMxnnqtwvZuGd
VQMRe/3kyDDRzfk8N1rnoLmdGhV1ttyKPJ2fgN3giNEK5capY4ClmP4jukgLeOqx2HlabO9RqphX
go5b+O9fvM1dR++RWjifNIYDyjPHNANNwew7laIOJOGEG4BCHBCXYHNc1vLR1MtTNY5vZhC61/SG
NJYfetlH37YcsRlChCeohXrQNWLZ9qwTy6lEyW9eA6dhcgc9AAbo3fTPr6GcOpu+jFugF7RSL9Q5
PnX0Y0XxA2yCziZvnd3A7Aaw6ZglYzNY8Vs+/dcn624iHep6Gp1ZUl8//4bVKeeFrlyObsAbf2Za
40ZDKZYf1moZ5wgjsxPX+6ZDxFmYAsRfeQDChqOx50ijBk1IEbkD2v7mrV7+wdym3XU5p+wuLc0r
yzY6tPimDEVu5YfYdaZwC3+ERe9KHUncUtyaYPoONemtBDXX9gmS6d8ayOfhBs2I8//WPaBLeNxB
9shVUxB9o3nsG625zV2SIKKq9+x32yAO3JdoLm5VrRheDTrKno9uEY2gYzTmFQKnqUcWaDQDxgc1
RlfYbC4sGiPdr6Tsk7u6TLvXfsT9BbZhsM5TnHLpie/lm/0GymemLt4qhRfm68+vdcl7T09SCpkD
qdfVWY2zgo1diqIvnIS92SsnDT62i5r9fhin5Ac8BW1C+23KK2/pm/nE+rF9MEdPVOcXedv+njb5
ccVz0NUhnxcdZgMd8jOBxwnrkzAv6FKcUud84TuaAM62+hYBUXxYMH4+37tOii6Gj//j7MyW40ay
NP0qZXmPauzLWFdfAIgIBneKFCnpBqaFwr46AAfw9POB1TOdEUFjjKYszSqVEoXN/fhZ/gWlRLFk
9lad3P6yWuzi0XLy9FFD6mXwOWTjHefC4OfY890VhhVfCc1uLpyqG/cM+6tbPMk8P0/beq8o2XKh
UZTlZ8qLtbA5eimrUAFqp5wOhLejPKVPAIL2KFEGsyHVr8Yketh7an9VZ6hbOUJJoLKOzd5D3+XM
Cn9vF5JKkDW4q5st+cvhOxrUyOgWoy7RcRwabZtYXkqtCn4nBqlXO3cJrABg2NnSA3N0Wu/HmI3y
s6eOQt2MQJhd6GOVuFaEOyQhaIIWHtY4A3G1404zzqzm9WaO3xMDNM5P9CTp6h1FY0dg0ZakaREY
OX5fNDfi0Na6c73/974GHVGCoGVpKxzo8JV4LaU7mgB54Mb1+JiXuJf1DNx+Tclk3/eindalZPa0
zxT9jFLOOyUwZxrDUYRGENDm6Dm8tmNJYzIlJ8EionZHzdtfZfD8cERVoIwDDkId2MPRdQsBeL4r
POAs+D4Y7WezdvnzNEo+WSLpzvWK37svC9Vw0j3chcCfHG2lWPc6pph1EdBDycywhHTziCkcFKzc
M4Dh6dkPs7Og2pQ6ve6u0p4G3K2mjVW6zj5qywb6Wyz+HJIOjoFtw+CEU4QddPi20APTmzyBHbNk
w/JY0pjZ0D609rnLPPLj4/GduEUNgcbkir/xUPo4vBQ+tQYSJ5EIag/hhw5fzVBP0/ymlva5nONN
8fNwmSNdggU8Eftt6n/0svGz4OMnZh9MTWHOd9Dyyo3HyDXbJ1rc3MK/HtCiTBroUkrdM+vp7AjK
pvCMlzzr6NvU5ZI8teCBNT9Vh+TewBUWFDtWOVVoOjil+G62tJeOk80vC+ICte+R5ViB42HiceuO
vWFve6ZR30CkaS8ISYiXAkLks6ZoP3WvUZ+huKnfOltcMgottsvY5uMGKHT2PGDB+7L0Ldsj6os2
3tWZI9RtlPbGg8CFyAI0r4LY7lvWP83VzFvCTCsRNVAKhWRYaUaHAZZSJqM/NV70qkn4iLu88CaC
E1O5wV9Hr/RTqhInzVpFMJvGfpUvAZLqPU1gAGzPadTpLWyiePoRReCdfZLGeaJnNC4v1jyhO6CV
EKP48VThXO5thsGw/abfhU482ZlAcWaYnHbxhHGffa6IW5fK0ecFb6mrq5woWKe3cvpvtQj8ckhR
Jk1SXme0F4NmhmbnyW2TW/oFWiExFMJJnDli3gn02IIBbSS0sFPQ4jpcwBhrD4voSKi8GQ6bBcr+
2oKXfr9kqk2/dnLsUECchOugjBeSOVeY4my0KzCheuhUb9mCzTf3McwoKju19a4rOnln6vV3wswb
wN1BVBrbZIzpDm/SsKJSGWivBw7k942jenlIizLbVIj1fktjZ7wF2O7C6mAAYZCY3tXKrFwXoz3t
ltUsK9dqJgYf73zjdOtjAmHi24CEGc264+81AOk2U/h+EJf77kZLpgxpLVhPVYjpR/EKfXrCWEi4
WbpdHTkrphp1qm9crdLiAEPqyfOR4Zmw5bLKFMB0kSJU4jV19pTgRYLZlCpZDD3Q2BtDG5E1iZpO
UULNQtECyjGVKGNPQ1qh2Q6pdwE93rEDqKBYWLqpZ/xKFwm1csnz7K6b7ein6KthWM1D5zvUldtL
5pLN15Zd05/pNL2zkJmvAUKkYkF963gqC1skRlelFYG5KAN6Nkb/i0pVC7syjvyMcRtzrSQ7kwOc
fA2HBjGYk3Vuyb8eIyAjkYImRu8j6Aql3EdOJi7hxJUB1PFzueppAskFmB2uA0sqQML+4XLkXGXI
QnQJ3AqtJnyKlPYXYwwND5kk+4YnFRmkFSPLjlSafMylgsEDPUrrJtEX7Vena7/tblB9zLyWJ6t1
5tfEFv0D84Ll5eM1etqfpi1KYkSDY83yQRQe3mkfCctK27aBwmC5zMbnCgWnQeIUuzW1dk5vtMyr
nZAqC9ukrEoBTET6JBl0krfRH0NScQniEvF27ApiKe/wIWjP7O43QONB4HOo8qhvVW0FmXGOHt5k
1fcNX8+AYEyn4ftE7/j3bJWQn7xSj14cC2PNwJns+WfcZNnzuKgICwldkOKg9uOamFdBkQsKp2jh
G2myjPfq2IBclgPChXv0IMndvbVCM71+vANgjiwQDTNHgFJp4GUh55KPIaJDGCvoDDgbaCUALnee
US/mmWV6Wng5NOqA6/Hp+RzgZQ4f1nT6ypH5BBV+LM39mGnJtdqa5rZsUWHqQNaGS87ceNCQ10oG
hgoevNVNh/HB/9edAAdjg6592mPYZ88BahQVISYZyq8u41Fft8Qu0RXcsWJtp4/TFizP3pkrGbZL
yaSt8M6UGW+B++jT07bkwAMhDdTg+NNHBKpaOOs96ELegmbgpEnGTP1qI28V+SIutQAUCXpjjsoM
KkaPRaoa9iSAH+5XlEkokmrZyypyLkScqDeeyWgyQmnxupPWsE2rqEXBZppw0aUxNEf09hiyqfDm
82KD/UK3BewTb8q2g8Uuelx6K6QHarVHMbx29SsXa7/njzflaaTiQZnGgPNfIWhvcth/O+fxKCx6
4VkkNcKLntBcJUeqB2dbzGr76c8vRX3LQtMN5KWso+wU2Zi861NIEYPJyE8rbHQKe4jXkATri48v
9c6npPii9bI2MXky4yjp7h3MEVvwc0HVW1GYD3MVqoWod+hP6xvdimVooc5g+LaMgFiSCYYRnG+s
cdiYUlvVuRRsV5hTOrAajcyiZlDiy4k8KBhl3b7oBnRKSPcmezwpHotpij9FJFMYITPkFnkTI5pq
Zle6NdbbKS8HBrlDpe4Ne273FYYe1+1cN+fAJCcNZBrv6yG3pk+gtY9LdG1G+ZI2Id6Tzmy/qklV
VCGCR8q90xTds4creRmAyRyVXcGjwPalmZZeUCcjwimLhkESMvIDuUGn6P02XyzvIWEs3YSTNFX8
f13YnK10ktKvgSo+631j/Pz4w520TnkC/GhoYq6bkGr/MCAZHoV+giE3/bYxvdWGaLrDQXz+6swe
zZElPRd33ln+XA89AXi8wKaOswM4Y5PXjlEZqPoYmf48OVFgShthFKvMxJny7ERbHlFWqtN1ekyG
C0f5KHM0U5PZdq5UAXS5aOv2YriKh1R5HlDquYKaiy5lDnvUn5TKCedVNEaqCUoSg9ZBC61cbffx
2z5pVbwNajiQWTU0345LU3wppY4fXgXJEPRKy9h/pyS6ceYq7z02u95m/GQz5aInfvhRsZTI83KE
mFjPnXuNRHz8edbbIoDMlOwhslthlJfmbY0Q2P2M7ayP6sl0bU3KiKjd1H39+KHXJXQY5XlgiHAk
TPT7T+y4hgUDa4THoIwgi+vLQdItnxp9K7p2uGiF4f1WY48k5eOrvvOqD656lKVB48gjFETYfx6Y
E0C4aiiTqT33qo33Ho7EBX1oBNExJDl81X2RgztFICUYhPHclVP8JbPaZAMwygwiL80Iu6nzksIy
fBT9nG9mHDS3BQkba2zWPrtJpJ3B/r734KTCEJs4U1llR80irIlbrTISRmZ4125iW7EuLPTgzwT8
08oRzC+0U4/8kvoRSv7hgzvmkuiYyYJ9oEj8IkpXfEp0TT4jKx3/mqJZ/6o3el9s6rKsdnq5QKdF
dYXzgRQNY0ojLz5l7WpnX8hZe+nM3nFIidP0HEfyndfxdvgB9l9nKccD/GQgDlUOHyhmloYUlVdc
2Xlr7T9ebe+ENVrXyB8j663zL+se+NupDi9nphwEBjG7KBUtYzpvliID9W17Wvjxpd57INJH6hwT
vhwstsNLubW3gOAghsxOnF5XcwFyES3Q5fHjy5xSbCnh3gbKNMzJEo+B3VacNpVnopkzYczxCKxM
w1VCR9r5CaiKHLfZiAtokI6JBPY3tBOqbLXTbApbpEqoDE2bov1XrrpJGGI1fgu5owyjBg+YP9/p
BnA/yPDAjo0TVinWDyii9TCm6gV0LDMK7wrll3PuVu98YdqcNH/hDEDPOkaY10mtu3hxY9ulxRXq
aqrYGIpZtgBzl3Nb+L13j3wy/Q4sD+j3Hk+YOgtBnaQoQUw0kmpgLVnKTqvuqpJ+b1FrqO4txhK6
Ve3c6AaWhXldKUEUm97d0sZKOKgj2W/n9Q8T2K8zaft7dwf/j1gO1Meg63l0qmrN7CWQ53ACxrhl
8Begpq86vuA/SNU192YmL7P3GZoDt01mmPWmL6rxk224EQoMbI0IgSS1FL7rTIjfGpDzKx/OunYO
lPDORnF12qVoNjJCAfNxuFHqGM2sFb0U0Kfo9oMOb3Yxzk7v3zkAyPBALa/hFhj4um7+tvPNmhFf
NQ1dUKkd2o0lu2HyIhHquPExDEhTHO/xdstqkdzW6NAi3uwtyVdkaF8WTTFCwEfNudi8xt6jExcj
Rx0W97p2KK4P7wkJ0g48K9PisXbkQ2P2cNzVNv+NQPKyNeU8XIAW2ShZ+dpTTm/MyWt2kibZ5kwI
WfOMw/tgdGWShjj0rbmZozMC0U0soIcFj4u0aj/VQ1bv2ijLdt6ot/se7fofZlOo/uhmyXM2zjMo
ePkrd7EVlujfwJBG4FnDf89ASXRbu/DbJgqyTW9O+mZY8vhMZD1NVBg7IzsDgxbEl2kdrWt0ZD0L
E3BEiRWQsD3h7QaxUu+qMCash6Db7ZRCumeGO6erFNAHG+PtHdFNOkogpIxXdeGhpf2h9jdzbZm3
oHTMc5nwaZ7PQE+HHLwyFHSS78Ml0WN57eajQEEp8oofTW/on2rwT1/cRpq3aCeiT4GmmvfdthPk
Wump6FpQWUhJIfASFc920ic/BEz82xahJsC6YkKGEAci5+XjNfPOfVKGUE4BuWOUd/wN6mIQSq82
LdmLFl0U0MO2SlIan2UljG8A1s9Z2ryTxxiAs5C2wIGKCfQbsulv+xd91yIlVaZIbsoi980RmDUn
CoZ9hWYuX1y9i0Hm2Hr5ozGz+R6LE2fZOtZo1Bt6sPlGtAb/oSbNyTZdkjSXXZTlr65mkQx8/GpO
T6D1cAPNSampcvYfZfXrrAWfUjrOGswFuqtxchv3NC6GnN78n18KFzi6t9CcqNaOAshopUOWGjRm
RrSBNsgQ4mbgZqM/29O5Edo7MYK4CVWI4SYfwD5KZ3Rhz5NZM4HoB7MAZbnon+gbuD8WQ48vFVzX
UdNFTZpUKiuULw2f8EyUeue1Alsja1vTKZubONwZsZcWiAeqCCpoXbuJxeiFlVnlvmeO8Zks8VTB
ykEJlQuh2kGqCHz48FpulQHXMddrRXnlBg3469eqg0HoI1/e934+GUoZoB69eFsqY0tuHMLQctEU
NtL0ioKcpE+eiZ2r3XoKOrHMyAK7dJM4QGGu0/cxxoHIVsdDu/FivY1CxZPRt8ZGitofAdJ7OA1Q
IZxZme8ETgbAjMUB5EIQPiYNpUqJ82QcQcEq5umrOav13i0lypNIHj+AFwHbrk3548dr9J3AiRcP
8E2yVCZmx14ObkzTrlh4l4Awok1Do9E3MqmeqabeSXbe5A5WPBw0M/w+Dj/ZpA0yF5rHZdDa9rsS
5X9fTVCAVFAfWPyU2eueOtPae2bTXjaqxWjFy9INuuom4CS0PMDvqX4/ds7OHvO4PRfZT9evqa74
LI21RUfleAM5ydpDLaDvtGrpjige2x7IysYCd6RrYK+zRALvT8rKVjGLMJztHDtSQ8CyhV1r65ET
+5UonG+o4yMbMSZAgBI1f/74Y52GdRMMGyMoJhFYwh3PGd3CZD7VqHCMcDX4ZhcJNAmUTcLZRsTV
7ws72X18wdOhIYUp/6BiQiBjDLLe0d/ieg63Z+wVjELLujU2CAHZiHxnYyBmI/9KAMW2s4k6d6Nl
ZntpFZPcdgKHw3Ey4k+DKuwrRs5/jm5jhgln36InYzOsOt7/xuImWTzoit8xDMEgRbjOz7xJsq8R
O/513V7uBnZVWm1Tsy4tUB1q+0hzqqy3UeRiRcBRxgw7FVr0YgBSRf0LD4fssh8VzuuP3+BpYGaM
RkQkhaaRwuc7fIGyFUKqnaqAqBtx6xhFIQNtlMoThEcdCQAVMXY1xu0miBKIWb6mdc7241s4XdqW
YYPloKkMyo4O5eEtNKjZkl6j4yji5rujeNqVNxg/5dT2f6pxgG2RDXSUQxVEGMjUwwspCY0IFhMX
6mQUaFqeMSllAvHx45xGLKI+5YgJpIrp6DHtXOkVBEQd6hwjj0gZ2h790RTR9T+9CjGRFQaRcA3F
x2RKa5aq2gstDxxRa9sVXrhFRDI+UwSePgu9AZsxFK9lnS8cvbGWcnhVa8djNa+qK5p/behiHrD5
+Fneib7MBElZ1+yAzNw9yg56b1gMrY0g18rcu0mbSb7GNJXhLyH8IofZesFNKPMh2GL7O6DeVmjD
GCJaSj5ddQuiwll0VcS0mdByc84c56fLkyJBAydN0UABeOyvRUDWoqgoYJKa7a8oL3TUyITxKXPz
/tuZ93Ba0a0dDk5XxnUWu/JoMxqoJBIscsXH2arfat2i5X6m6eJyQJJ202dMFBm0WEZgq5MeRnYi
ngbRxc9IH+t/LCeBbAJ1HS0onp1D/+ibZBVdAcm4h4MN4IKpLtPe1uP8TAp6qtLB85KTEyZZPVB8
jh45VoY5ylt8vCq9yz97nPd+6jJfQbEYFIqpZjQeUJnP+3H4ZVA4hujbjD8+fu+nXxhwMzUT/4Ni
jtrcYVyAkwyRMYV7NqJEtk1mSkB6FgOy9u25t/rOgbXq72D1S7qNUesxiwMzPOJs2ReBC+R3CK26
oIO2pEWvXWEpAvZfJpb1u6gXJ/XpU5k3WrtiYiynrRbfxOFVB7k0ZrguAjpxzhwG7wyuCY0ELiCN
GI4bx7T+RPZxEhkFpZBlpn2ABVG9gw+bPC2apfxEyhQNyWLAGWDK+vHerDIcfizMdP11FvHHag9r
s4+9oK8AbLR+jj4LFg1FovR5GYhpKMCkmeXeRrz6T0+fFUEIp4W2IvUhOKnDj6/xJCr1aAULQ1V+
NEVaXzEHX7ZuYql/Gk25FEB7FwVek+sdf3v0Qc2GaVMVeNJIwjEz4h0V+R93jpHORU0LFUfwmmiD
6IcPVEVKOs0S6fM4LZqLiQw9cDrXCT/eMyd5Aw11Wk80oNi4gEOP9m1aOMuEFnAdFG41fW7z1PiM
wHX87BhC3YNdtv3YVruLCTFz2AxL/edfjSbw6izJ1lW5icOHTKPRqyubKooMa22dehXrdMBKpUYK
+OMnPSl7+F7uCghe5/jrzj28FOCwMlEEbnK6XuPKU/qVrmHmdAlcGhnys75666o+6Katai58QPUN
dYZO0uHlBAIyXjNSCZfQwn0O/yq08XXdt7Z0mWAudqjn2bhD284IDBdTG4he1EQuYAbNw3ZtVRNY
1a3HTx+/Bu0tpTi9M6YEQAAYOB2fTq7k0HFbbD1oD2D8IAfEkgO17VQTQIUuvcDKJ0wgptKI77gB
uw5m8OLfi44+HGN7w/yVxqAMdwk4ge9Lb8xXzKSHXYtKih6gCKQDxC8rjry4sWaUBRilL6B/vKXn
cChKsMWxNnwCUGH3kFJa1XrEE2IAKoCAQRnQfsVAK9Hm7imJ0D0OzFiaoAx6iUKx08m5vCT5BPhZ
EYADaN+0HdVYwWq5lzi/bKrezNMw4V3fCsWLMoRGRnE1IFSV+3WP3ImfLGpU75I2W9CzB6UKJXu0
u1vmUm7mC+TcJbjRwUiCqNWV75mTyisvAbEH2z41WKRxjCH2IB3lW2331UvsRDqedt38ZXCE8SvO
auVbo6YWOAHDSmp/0HMHqq02KLcY4CpIKpiyQeWZ7Ki9HleNobAZe9R/ya2QUc7VBQUl0DOZsl/U
JN1NJtpHuzK2kwWXkgZFO7duUBTAA04NFaF730og5sj0F4b+pREVKol21c/X0PHKzDcGK+rvqhj6
V6BrsQn4edYaSJ1jJPVns8lKHi5Ftj1WbdQUdLPFfSFj9ol0AAf2XdN2uvAncpYnsMA6VGjUCz53
lSyrcPB6HEfA83YOr7Zb2jDq1smGpc2oRgnPQflEzs3wvGBR+FSqbuIGWdP2jFRZJXHogh5DDVRf
puVyaciwEe6sSsYOAwcbVgP08MMRWdbRZ5XZFk6sBeM6jIAwqpqqBoU96mR9CrnxugpziJO/skVM
7G66nrofT5jTGFrtIUvlWRgFAcwangevXCjw45EskwZzDoJ5kvUvKrVhevTUoX3OUf8CLgi4SsFz
zMQ7uctVLeg1AUw7JYFKwFkZ432F1S8Y7nJCDgHl8XidiCYYs+A3h1oF+ynx40g6n5EPyerASDz3
tlm68drgbWrB4NA8w6bDlNNm4Vthd9suks9TrF4DLEZn9ocsdzczisGTP4iWWPxxKHgvRFmUipAC
oPtR7h+GKFBAC2NjE+lZtXHv6qqYHoVQvTNXOU2ViIQuUZ4McZWHPE4N6SHopZpk0FNkscnkso1M
D1tf9cmKra1TWc9AcK4zd0FACfrVjDGi38bqXVeOZ7pDJ/khUlCg8SEuMRCkeDwKyZreuL3UYf5E
xhz9gIMnwqpexFVrR/OZUuj01SKuRp/HRVKJQ8c7auBLs5UFad9qXdo4u8Yoot+NcM55l75zFW2t
aEh54VMyzD78gKY3W47AriPQ7D7fSjM2n9JUxGfK7XdeGzkICSVDDyBjx6NlNMkxrmnQ0e2iMcdZ
olu2GHGtouzOmcLpnecB2cSUErgdKqLHsoKdwWTcwVo6sFzOxzx15m3UAGr9eNmfAm74IsxDwUOs
BzQNp8PXNsCuEVmKEzka2R2uPhX47GBR88XdDFEVNWgkTEOL0AnazL6SzfKlNWxZB5MlM7wmmnbY
D8ZQjGc2yjtPT4LMINCmoED+72j+JpK2MJE9R7Kjq+wNRD53k2sI6Xz89O9cBe43MCvQL4wmjh8+
Wqasy3JGNl6M5wXNBxJMD8eWj69y2gpYSZcApzg0EWel6XD4jjsHD6bCdhpy1kje6zlGNf5oEL7Z
f0bADC3ZzIxXH7DBNGBvNO2Wiax1SyPQexC4zNZ015dXKGxZxdlZZJ8/vr/TtJe3TJVKQ8SzmGTo
h7dnZq69DAV9B62FWBikq+w3W5VYn6bmwzJZ82cQfwhAOVAaS8Zr+4+v/86eoqXorloVJKQAcg6v
n+utwMGSNjDgQuOirrBuxYJqCtQCVY8/vhSDdVrudMwokI6hw9aQ26PMtCaAX4WdIeIhG/rIsM86
51zL7LQLsDLsaeQyW1gBZMcIS9xeiwhfdaqJbBb7BJ+V52zx5s9DaiUXOiL/98Og5Q9xFKcMh3X7
BRxWlp1Ze28qw4cJLndhgFMG7uBBUT36uAljJzVKwcLYaIOll3O0qF+SfOh/FO7MM0PKcHpftrJy
r1D1Mp7LLu/KK5VRICpwwOufZ8XSH11hF/fInOldgP1oi9gKwdbwx8WiL230iXPbydK0Nssi1V95
LycDV86Y/jzOG+VvN5KdHtZxnSg+XUP7zPo9XT/IoTHqIIFHSJpj9XD99Jk9NVo0I+qCBlZIdWEG
VZvpX+BCumcudVo3rf1cExYYTBOwkEdhyVIbA5oOEsuzYaT6Zafqi+s3WW3eugYjsQv6Dw2Abmm1
5/Tc37ny2niHnUKTkGHv0ZXtrp0RJcGCZ9Jl/1xleIKY2iS2htMa3/Qkn7Zm1P7x7AP0CYNNGxY9
rewTQB42IYLVg9CruwiGR2hhWC8oc1k3IkoXUpj8HHH4rZF8sFxXHgzxns/I5MM7Ht/mlBUqSm1N
kOda+1gi+mkHGrxMY9vG7mDs59iIO9zMDAXMngfFz82b4tHxqoFo2hfJfSojCoq6UVDnKqhtnpy+
NEP4EHobTB0KuXttaNuftai6TwmnmhqWVpJ+xdfIQ88Us457AVUZo8bKVUdMo5SBskHJik0T13l+
PUW5rfgYJrbQmoam6/zWVUotBAasKSGVjvlbcWZRXWQ4JmMv3Qq0cdsOGcJ0yecvndI5SdgsWTRc
TDHpiV8RpYY/jXKInLPVGS2CoaGyWDfM3wZInYXsCHpJOHgtQlzTGhvgGGAxbEIvCD8OqOvRdfi9
AI+uOR18HXbf8fw0hiTlquk40MJ2iptch+y2am11WHvG/cWKmYL34Oi3UZ2j7PfxtU9Ob9okKOGi
NgqJldnE0bkBU0sBG7IgesJc5BJx3jbgB4x/n07/8XP6X/Frff/vhxH/9Z/8+mfdAOWLk/7ol/91
k/7EN7P+3f/n+mP/948d/tB/3TWv1WPfvb72N9+b4z958IP8/f99/fB7//3gF9TkKH09DK/d/OlV
DEX/dhHudP2T/6+/+Y/Xt7/laW5e//UXdg5Vv/5tcVpXf/33b+1//euvNxD3f/z97//v37z9XvJz
nLS/hu67OPmR1++i/9df6ET8E9UX3j40f8R7CIl//UO+/vu3vH8ycwZjR1wmowAl8dc/KgrvhIs6
/1xp16DoydJRsl4DmahxVuG39H+CRyMTZWRCNgJe5K//c3MHn+l/Pts/qqG8r9OqF/z0WrH9z9Jc
x4nr7JRB0np/JDhHZYfpkpZCSbC3dA7nDdo9SFVU1lWvZg+GIkwfUkk44JbsQzDzq/Ylkq19ucSl
vh8npdtoEfrnFUbHpZZ++njhvtUiB7cGiALoFG4RaDkBSDxqv6UOzNQekMZukVr0tSDPVgMq5Rjh
TMPId40U8bRxLFHunXpRi+sGU2OaGnSl92qkzI9LOjeb1hjEk5KMYlXiEHBuFa2GeCGXe73vtWvZ
xEl6n9UIWfkCc6cxWOpS/5HaGYaJQx1Fr1QDXrfJEpABfpRH2rVimt2Z3O6IcshXoMu9KrnRkyA+
EMwOYxHcfaNM4inaJqpiP2HY1UsGwtPaUNKcC0xS0kcsr5a9q+TKrlOG9GtpNRCqxYxEHS4FTnqD
VmV2l0aWtnMjz/0FFZmOAY6MH3+Uoyz97U6h6K6iAG//ZxydsInb6qPqpcmOsny6R3uq/EwCCTKK
ZQF9CAphN7ufEU3otnQuzLvFa1ywoliZ5HUfD0E06NO+j+qURGqWZyqVo2ySu2P8zhznjfHMbPQ4
pts1NuPuhK9404j+kVYhrR5K7kBqRXlRpvn4rM75nQmV8FLADLu2hNTONI05P463FF5KSMdAhuA+
AGcebalK1J5po9u0dYStFDfVFMfGJSzLZpOZ+Zc4M5sQ+74Zt9ysCxNLmAHGdKi2xZ+XoUuRmsTr
G2FXfSMQLr9WrGGntlIGxkiJI+Kx/iRF1Vg+JOgLuy7yrV1Z+r2RWpLGH7rMTfYNnyAt6Go1e66h
E/uiqfJnQVDHKmncFVI3g06RT4mdNDetZNBqzjpSfrY2pE+JIck/7Zh+6Q506ffMijF+K3K9wIBb
Bx5tA/oM7WhIPpdqW+xAEFynOoWwL0dz2XqViWSxMcfjvu485pnx3KtBBj31ZYhSxZ+zqMfOD985
HKPxJdt6o7rxtOwJEO2EFDaTBz9XkFW0y+Kbq+XtRcp02Bdab4eGHastTsCTw15uC7mRhQVGoUlk
+aooVEEtMohBCsMTkZuO1m+DHr4/em36rNKf9KPYlhcLUMBvnt2BwiyL+Qp8w7zrdUBwgEXSfWLB
nFPQXPoeuSLIkCe7RoO737bzWF4OyK/5mSFInCwk35DMup0QsQ3F1FrXVT9mu9ou7E+alZX0Z5Vm
M9tjskvQcL5myJ68epBJNvTRx72mNI8GOsJh2Y1fKt3otji7yZ06zMsXp6ibTVnb3h0KsF2YyhGP
vEV43rdeRl+RUb5fZhXF3nGwjKda4m2Aa/hTKlGNYC4+e0+ZVNzfcdFkyRVkW5suNQ1SVOo1H5+s
eDMqC3jsmZ75dsbi7DbW8cGmgaCXj/bcjOFcafYOf3vayBM2KGVTb3MH6i1C46uJoFn09EaHJyjS
Xojm+4yypYsaQ1HWysZL+YiTXifbVpu0fQRg4FUTs0W7sIIpIl0ySNhXRS2/Fhi3vyqJkEE5ieTe
MupvU8KAjC48ltG5Kjd2Zkc7EIw/lbnftBG2plMhu7to7n9ora4HgJpJbB1DCepRX72Ux42F9w8E
hb7dwNgRYcpCKsWkX42L8kD3/qGILHGfCzc0O3vYFzkeCezGiJQv6n/lhXVvadGyk21yWzaxxKwq
dV/peP5URuwxRhlXvhbh0ZSlZR4MXsoX09Mu0Ff7czAymCrrQr+axij5bXSzuCXW0BtVhkT/Kpc+
htmY21stqseLFCZDD5+h08LEjOc9olHWRmmACNk2KsNWjEftEMm7Zs6XbY4H59OMXc3qlWDeQ7Xa
VPPCJCorkBTvGMWBUpuNa4uuc+lbVapuODWmb2U1eT+MsjX32ZigHQ3g41tTGZDyPDO9jkqhUn8W
eSn9FMXQC0ssn2rdW24nzS13BYCaO7etfkKBfIkF4u7EO+taNFp8oTtWtEWR3nzujEU8Jkl0SaG+
XIKRjR5yfKWu8eg10EyxLzRy2yCLZrsAEqVnFzlDity3MpjBflMnw++cPfqNelVx/ajQyzvUiOML
un0QZnu5Krxle9T+Cyz2lmzXd4YHbTibmpehygx8pCXbrTAvh2IefqvWIm/h/HYbMBPVsqmjYsaf
hV7/vSeEEqCl+iVr5mvaS84+EYQx18AYE82h9hIpwnFT5kZ+hah0fuvCdnhJMSmFNymn6qqOXEZd
ZvpV4LmAVGHyCbHo9taM4wL132JAMVpWlxqunyEmed6TxKExJ+5qn4Te16GqC7EFeU0KpU6oluFh
mzQhDJy7OBmMbe2kLzWtsTTE1hJJ+XIclofMFJifxwC/UGFGngTpFntXO313qRoipYhycbvuMEsF
uVmDVowLmylM8dCmogxbJpd7yq/sC32c9LOaV+rvJl7kjQfOGbnz9ArCeLMHK2o9TYjOhxWMoz1a
4789u32ECS59DT245S2jSuKm2iZl2d7Ec1bt88pmeEMFf9MyosKbeYzuMrt8KJf+OUOQyGd2+8gx
lVwaxqRtZDdM+wLjLVWvm0u7k9eI6d45s2Vs5GzcNqmHHSgopiBPu27vNOUQArfRLvJ0ca7MeLmM
RvWhGgpUEV1Jo9WW/cREp1ceRotRTG4jCm5M6RSqXZpsoyz6Uc2REyYU30HZ2sVFPOPqxuTvpWvj
+ruGXMLnVKdUTZFT9j1j7GAzm9YuZUToLwUU48o20WYzE+PCzr2YDWrqAPXGZG8mrfNg9m4SJksL
Xx16va+XAxQ3tzPvhjKDgtmarG9OvvFCqcb8qibj+zx71WOWlM6vSVduYGx/HjJtCrQ5um/HEZuH
vMh+Q9McbirTLm/+N3PnsRy3sq3pF2qcSHhgCpSlFUlRlDRBkDLwLmESwNP3B93T924W2azWGXXE
nmmzUJVIs/Jfv8kiNz14awCu20cK1/optX9VXVr8duNB3bQYa+NEBCmqKmHvj3olPhGq2nR4TWtl
vTHwx6J7rDWZe+zGaIJHFPdsX9A3abN68TR6V2NcD3KHfrrzLmU6Vtq28mJsBttxFtY2j2hd7vtx
ImeJLtJUmA9z6q7ppylZ5tF+adtkg+sFhBR76CWCJSiaxX5ozPJHxeFUXLdjptxLKBvw2HWP+Nqf
pelmtMKg1QjQc8etD5XfSGvfTGWfP5ArXl4RWj2wP+H4HoyO3fc3PY56ziEmSx37dTAtjB/E1ELz
xAhd3Q14GzSQdCd+WwPMdrkAB12TFxv/HuTsp0RoJ+rBqKmvbpjmWHZ4stl3U1Jd2X433bjlxHgY
M4mvqze2qSjAsvGKhoZRbhZj7p4QxOmPg8SH2hrH4gYCB5vubGvEz5b+s8h78yDd2txWmed2+Bos
ncuCbQgmr2y8moJRxOQf5k4amkNiIWiZC7wDu3imL2K60z7SCegONQEldSONeqm3a0qpDIgiVGXY
93326OZWoX0qLXrdy+DEn4YkzXfjrDB5V764XAZhXq9kiatC1dE3F0UYZDGDhvhmdEdMyqGasjf5
0NauaZVbKPP7JrrQSDS4yA0XT/I1ie/YVI56MEd4ssYwSDswxOgGSaobB2kN8wsjQJ020OagBs2c
e/Kgo4skHanNkENRPWHSFC3V+NJ0RnpBEoBOZH2Upp8MIzJJXBfmd2ptc8v/srxoqCm2cJIrnwK2
dn+ZFbho6Kad9eCW6kFGfse9q/qCZUO9QWD7lDJuITxrqMzZTa7ZT91CU3ixTArWcaQXYxvT1si7
+7Edzau6wjtvUWTyDmlLiHwliAY3nLa6j9hlswMJ9F7DJVavq0MTjXBBWwLUM42UcOQwUWqHfW1n
F2XSR9nWcgcyfZpi6QlsiJL+gGmtrl0nUd8Zd+niJ1DUUpn/VL41BILy8qeMtfZSeOOwqXSYG7Ix
iq9YgIe1Q+TuBLMrTG2n+azVwGNpEcMnH332dyyPbjWito/UrS52oI1aggy3TzJ95TTuHbO1BSCx
lfRw4mY8EgyjelZKdS+e381fE6twjpbbdlddLuef6FK/TWiBLmp9gUyc1GTHpJ1MvjspxuTWIhFW
QRkwniH1l0eE4/F1T1/mALXmEdK9/Wh2NOyI4rvuqqn5qo8UB9VEtbBxmqF+1sh/jbhHF+KRyFMM
EDoH9liYSieDtOFglBSYRpH9LJvykyi0DFLFXF43k4FcduDrx0EDrrHR9BJHriW2qW0c73eZ+84G
xtLF2Ix7UjnEhZhoAW99OZkgZqbcJnbb37Z6WW4ZCbvYWIAVoK0VDhPB1HnNzxRmG+ne4JidWQel
WWs4OHqV+u4XpdgIr78ziVIFTMy9cSOyKnrKLVKloVh7/d62WDTuNJS32EgcKgPXdCxnyD5wW0m8
akG2/Ug2H5rD8sprJdUnYRFQYvRQX3FLq9F+FeMw3eZdduTcZZcjQuJ3OukTloHu6PmHwUEDvZFa
7xBwXvX1obe6ONsWhfL10J3zdh/r/dIdG6vprhnz35VIMUamY3vATVSEFeHzUrNqYpcKAu3N5KjZ
CEB9Ud6pfg2QyL0nLDqW0OpaiklTPsddrOhGsr7ssYk+Y2h7B3arX0+lWz16xtKWgD3grXHKqgwK
34qCofXLnVMU0ws7yrInUWAzQDgOuC/yvGLtCTUK6x6HO2o3eMkxZgPeRAn118aMPYAjAj2Z/KZN
4aVxvvpQBAuqHYIy3OxLobAdsltKTorv8QpVVXKgpMsvLRmLoMVj+rNjW8di6q+k3hYP8yqdgQE0
b6PG4TKXwRZ5JKt12iSTO65iiM52AsQH5kM/5emTKgcDmpYlShnQLZKXiTWzybfs5v6McdmUWTAo
ClySOkQ03zhxko2fjcZeNlNP/uuIdUztuM9ikF/Q5Lg3Th5lL2Vedpel8tXWxlKakrU7Ern2YGle
/i3ChMjeiyKLj740sx89tfJTMnlqlzr4qlLYape1P+hXTQkjajVju13mttsIM+XA5ZvlybHpU9Pa
dpVJ+bDUxg+hYlxcMB/xdqV08PsTHAZHC3rAFSGaxJX4en2ZZkb26w+481cg7ue65L9TXPYVnvv/
hvPuf9UrQtqdftT/lxAvgP3/HeIFKXnu0+fXCC9/8V8Ir+7/i+Y4Flyoudlg6Cb8H4BXN/9Fz3zt
mgNkAryvSUX/xnct5184IvGvMDrQFOur6ujf+K5l/AvoiHaoTo9nVf0Yf4PvnqD/wjD/8E5dhxxC
hCneCYY62LjHEWOUwKObRo4hjUtPJcUZ3M086bv9eczqncoQANVC2nmNXwIpmWMdEYnlphD1HKMT
X1pHaIJGZivvW2q0+6Rx6uvFrKiBqr4CMZgphMiTac1yn3nTrIUU/OIp6ehPBnM1egSXzNKpOfcL
7dKunPJzks9FeZnbWFxSuAv7xlcjZzDcabaGepgylMTG6KkAlFD7Vka6/qCKFE+xPJ+G/axcRJ9J
2fsPKWt8FUvZYkNFm13CYMs19s3cu6V9hon9P6bLv0H3f4LsrwFBLCPQBHlA7ECTwPngu69HB5p7
ZSPqh1gYLaEkocxdvAereoxtJt1/z8t3HrT2cv4HMX/7oJPXsCT0A1XHg8jeeZqb+qYtvMAx8cdU
5lY3/AC/oYueIIGPH3vy9vlddJUdZjpsWdj03klrOU7TAVtvwc18poU+1myUMLhrqDEu2MqIt5hh
9+6ZvtafXu4/fuyfp8IPh8CNOoUm6Eljq8UsIvLVFAWLOfirQWu6zQsu7PA9jU8tW3YVdKT47FRu
LJsEMc5+moEGC1bMGbrTH5LCq69i44vF+l9p0e7qFPv6BXdlZSPVnLSgd2qb2ntI7GtYpsYUpObU
mkEKcR/MrbP8Gy+O1bSxuqK8btPMTg/xWHDkin4QV0jdeswTIjk/pbWK7mFWDnfaUPvzRSN1XWF/
H9dRYOF+Oe+tbJgbKBmgXWHvaUUVDKoYw0TW9pdJM0dFBZQ5yLZa135ZtxuxE6Wuj4EpLWfeSpja
903M9ZFeeUf2YKts7aKNM+iV3Jmgn46FmLa+3WXfOaREu/l4zqxT8XTIYC0h+aHBA/PipI9gOy6M
nXkgeA72NpZ8TvtlpmnzQp14ztn5pLvCxsfrwVWX9jycNNgBJ88q+4a+PPStYHB0vIz93nNCrxv6
K5PMiU+oAPDcdTH0JcxN3NBhAX8tWnln0xY6SNL5gEeVNlzZZlJfzEKScAUFZTPlFpfwj0flZKf4
80291cgGISpUM3f993/0pD1A8HyuuzicK03tywwcARtzLSXETDT3INuq3n78xDfJHgwOfjZY1UHE
garhmSePVFWRt3TZwg4H/lu7cL1fkVFW4/e5kQCeMC1JeGxFUhwwtPRFoCiJvG1qd8OzKc38sV/d
08NRi4hXXcgHDxSumXag7HJ8BFNBXjFqZnbOA/rkXFsHao2zXpug9ECRj73+1oL40XmxeKUQox/A
8PFWrcf16R+Pzpudjcbcqv1CBwU3ib7X68fMZJ86xDdF/JwK+oOWkPSsy+cea4U7rLcU+HN2zjDi
pIn1Z7qyMFAJuS69LJglrx9qwyDTjKHUAoE4HrMh3GKzve23qzdNPTTfrGZeuGnJQikMNbrJ3+RQ
LGfEm+788PHvf2eYcY8EbaUaoUUtTr6KNY8L9UVNhJsZ4+3Xm8sOuVR0bg6++xjStnD4wT6Mzfz1
Ly6BcLHlabSAS4E4Fk5eb/Mcf88wMSM3B562rO+jmopjZGDSwKUO67MxL5MfcEzTm7rwuOQP2M/g
I0lK1H8wBBRxiOJ0uD2nrdm5HnIzMXstaIukJzNPaEeqnfjvnwINwICWtZKrOdJej0ATS+JafUm/
LNP7T26tysBoDPPp499yykNh1bDEDVaNYM3Q23/9FBfvKn2ZGGfdTMqd5nT5vu318hC1JrC/k8cH
0xoMTG7c6Pjxk9c3eLLdU4LCV8IlBmWhebJejXQabbLjuCgTnER6QJ2wYplvGjj37G+wvq6vkbpq
X91ZqZRVHWd3H3+Dk871n2WFfRREPhuXfQxSTiYZ7SsxWN564qgUPqlWFRuZoZxfPGnfostzjo3s
4303mOMxou64iGTUHHMdAsRSuP2FjpHZtR0DN/ceWp0zO807Oz8rjBdkIkrDwuWkdCNSEJ/I1Itx
yJD6LYSM4S4GFV/1KlyUPW7ecvfxgLw3GVZiOxsbBdybs2aqptSsTMyq2WdLvAq75dIiM/KFVgD0
cN2kf4YhwfXcefPXj5/8zq5Ksi81B4xEcNtTzqcfD6K0a+REJrFxm0KaTMhGjRs/tmQa5J1DNxbf
8c9//VQmIBQ9mvKr6PNk8hO1KMdiWj30tfa3p9DwziqKVndW0YEO65AsMNlYyv3Hj31D1uOdesjH
HBY3Fz7ugq8XHaFzY+vVbRz2RcNckjhFHTqtNfS941TtRVzVkY2Nn2i0Le0e/YJ8VnO8MMtB+z33
s8YRV+IFc2hHIX6nBozTAxwYTw/jvDTKcIDvDLDuz8tLWpqLcfCHtovwp0ZrCkHYaostN7NF7fTC
8z57sVXCGpmofg66NdjzsTNKFFdTuXRV2JmOrC+7fO7s3Vyn5cGMqT03LVaUj4Y3mUNoaIZ7k6nB
mveG7AqkSlXmDEHvgsZji1Uk2JdMuQ9ipgitPHw8kidcpT8rmCsxXlwsY8jCp1ZKpq8Vgy0WVrBv
9JcRhtVba9I1k8o3jnZDXA207HOxScdCXUX5NMPqS41r38+sA/gapiXz0ByzxPRv2l4Yt6OpuGV+
/CXfOcrYvaF9gExhxHS6kc9Y4XbViF+LQZvjJ0oAhfNtO56RPbyznSJW5qBAi4cQ57R6tkBFZ148
dVfScN/AIIZgCuXQofd6kW68qJ6v9FXVv/FwQQ3T3BXhf/A7kWDip7ASbU4luj2WVuk8A2M7maZ/
1emXhBmZQ2fINO+9cu5Tq2IWG8pV5PB68XCLKwWX5zgk39K8wqpJC1HhlLvZHoDIYCf4xxqZy942
ZLrz2ommQ7f4xybNjRxxlay+JDV7dSYWEfo6vXYYKGf58m93UtY3HLUVx2FjOZW7zL7I0z7nWIWI
xemAOecWrVn21NQqvllmX4eQmz1NvXDOnKpvdCmrmQWEbg51nrxSTF8PT0IXhBsPZUOBFGJfGDEh
zI5Se6/R4gMdpSxI4tH9DexjQjiNu4seyfOVo2hBA6iiOf/bScHXgZLB+bUW5qfGgbarY/BZtdRK
GhB7WSNOSyratR8/RX87+1dtGKQ5j0FHiWac/OqOCEJXKToqidFvzVx1m1bORC0knaj2GlSXozar
e8Wl/9uiC/pWMlMwARo063ic1dauwDN0uxLY6V5kdqnCKUteDHdx91WbWjCXLe/Mil13+dcFEN/5
z+0TpyHCCE8KIJWnZd33QARK1S8WZ0ADowZxi0Ou3Lla4u35CpXXEOt9zgAQ9k/GJy6tWtNnxmeJ
uJ0MiyzgYBTmYzsL5zGtV9tJe3ZezryV9VNPf6G37gUo5XC7e1NflUBvchIaoHZC9yayRyznc0Eb
uzLqr7GmkUSb0IEKNW5UxGYuFkSxzqOFl0+wQdbG2BnV/duaasVkULLgxW+yRE5O3sqsJ0S3VBcT
/ZOdphoOrM618tCSdY/fQgrh8uNBeBMdx4K0QIGQPYAIsTOfLEgzcQAIfIbeqDTzflATtrgLHUz3
ouxU3e/HBmpkkJsWyoDa0EySTriaq0MMc7MKsdIl1igpvB6Zj2FPxQZbs3TvOksyfSXSHDsInJT6
7NZvKz/d4YlaEr9qO4l+5qh9Z0eDGg8sA2ACe9w42XaxZtfdfOBnuKOu7shiyQ413LKgpk+6r6VV
XBvRkGG5a1hnPb3Xzz6ZR5SjBraooOkM4smznaz2saZztcCmbX6fLp39C0oLfjd9VhJ8KrQx1e56
v+iuZBbb9i9hquVzLj3E3rFtttuP3+g7t3E2NFx4SRDl5sQx9HqzmW1spptRBzyyqvSzajN7A9QL
DYlG9/i1wcSjw8Ryzh5b1U1hZvsUaFGTnPUpWzeIk2GBRmEBmOH8iSfBycyCyywKJ4bK0sX68m0g
A9bB/MfQr9NR65Y9ZVBUbSsnty7xCkuKfe6pOL2ocwMT9I+H5G2Jg3UmrwgsG+d1bhAnI6JFZDq5
aQycbbUQUBSROHN87nryzobpGFxWIb8TDc40fP2UyiPj3CM1KlCuHzeB3WYJK4ZczoDu+XTmJ737
MEAlAAgUUsgQTx5WOn4PK5umfD3CppOZ99xX5VcFteHLXw8eoCejhsMOB/epmDInhNDW43VlkV1x
TLAkIF69SM8g0u8dkegJsOwDSkSvfXrZcfG8nC1S0SjKnTSQzYJxN03i5RjTe3p2SE0yjuTH+5u5
wPYZe4WsCWIt/mkoGCDB2BfP3qADr2GK8btM47YIBCz0kA8zIbbURoopAJkdD38/OMAfJrdDFwut
U40jSKPtzeZIOYMQf5v2PokRorHObG7vHAuAhsCHiDAdAIF1fv8DZC1ghekLxLpAQw8FCxtvutTo
9EezTtwr6tru3KHwzo6GdQZuSrA3EXWc3nfbJNc6iuN1dpGsmYtx+WYYSbuBPEl6vZwgVpE2e4VV
Zw7iRas30ROH4ItpyYJUmcamgQx3HMAgAyhv5cHpvHjXetKgvR5bx1ozr8i+IY8x6zt5pgJ/Z7E7
FioRJtEaw35q/WHQa9cbN9KCmhsU11SZHrRZ/K34nWMTERbG6tyTkWWdhi8mPZoGu+Cui7jevpCL
nSDhxQn44+n13iq3dRh3axaG8+ZUW+I8tRRxTihBIn8jJ6fBQsE3VydY5Cv/wZaCY8pqpEvvD3HH
61k2LTYkBCwX4aeXyVWqUnmsO/Alq479M9eA994R63yVGoAecVi9fhRe+yhTcR4JFtvrA8ii3bFA
z3f38ei9U1WuacXIkrh0rl2b10/Jk9mVUNW0YEzdPuQSIHfIZugsd/dTRyzKmJ47e9/+Lpo2rBkE
z2j74eG+fqJNW6pBnhSHMbfcILem5tbutenMDH87K1CKEtf0R93PTXa9bfxjO9AJbAPx4DgbB0KI
hOZGsHkX3d3qbhKfA4P4rNeHOM8CO2TrZzPgkvT6WfA+ZaIhrgu514kNosg2iJGTn9ng3qlCQfXQ
TkH9Y7Ljsvz6MfmczGkdEZAdjZ32Q6LhCrBjii8Wp1WHIUN70WWFvBd5nN2Q4doEBS3q0LcXf9PY
uMfaGRbimasRWZM5uAvJ4UeuKv9hQjt3bRlL9oWLVnTO9uOdF4EZJY17iOhr++Ok8CvG2oRYyQTr
CAjmClnTd3F75dOyjYxvfzuZARPQJiMto1b3Trdky46ATPRVvS1czC8RXF3NGsSsypTTehLK+AG6
cX/O2OxNYht0j1fPPfmN2N8MU10zpbUYlNOW5nPWNFCJ9WzZ9GXm7SslHsduslFrzL1z64/5M9Q4
lD+zlte7sUetM+eqfv54OP4LhTyZmc4fGRp3F+gRp6KlEho1rFmC1hyRtM1dNy+a9iiapSguQF3s
7AH2JvnNRhzrv72OlRnKNHIQkss+a+7sZqz8UEpN3FQOSUa7LIFJBks89h5oAjrWgRdfcLtWlviy
brx1oCKzG8NxhCZGvezbWx+F+BzWYtGNIKVBYAZeE2Ua8pYcm4Os82V+MZKNYW9Ev/IaUZFj3GMv
i55tIH+ZIgQBE78KRNj3gObceRelhjswrAzKSSyrH2Otp91lP9hNSmHTWBicT+Zkh3xLNCoQ/dP6
qnDBQjl1195uXxsVtOCWvFTTwZIOMqIOhTOOlloyTkZzCbTYziGGLvBq8iVXPyajZU17kFEkf4hg
wo3y2N5ADZ9SkiT85IuL7Szrb2gXFTi4Qn9p5WorYKvG77bUbHS9UqiP41bhNJMHzaDrL72mVy8+
4GVFvZbgupUzJstGTIkG6UHTrM80imNqmVHGW91Trh2W/kpv7iidaegjMfqGjaD1s+uawthM9mhd
xNGIbKCwx3FfNZW2mXTRwF8WEFqJE3RzlNtdv/xozaF5cgAqrIURVlFlm9zi2/puNKhdA6nMzg+h
crrlzq5ggwZGJnsL7oG0kDkglwGGoSkU4ODZqH3qJUgstTRJzH0i0+K+VNn0tYPH8XWayzuzHbKj
TB2pb72olL/aztB/5GNbP0W+tnwicaXOsRbr7Z+emnBP0IC56k+EwTeEQFhmk22QUSZwGTCaQQ5m
Qe5eNWU2TfQ47j/r44CNQ+F2+heQEXO5yOzEM7eFm436pkxW2rQNqX6P5K9QO5XMBLMbY29jrjU2
xieXtXsnpIP9SKp72lOfzt6PDBY7zVgvTh5M/hbPhwn2LOxPZTmYUzXqe6eDl+MSponHos3Ka7vH
HjksjYmQg1zqJsIyiMbMMy/udd6YjJ1gtJ3oASs/w0AlFyNTJY+2CLJJ9DfjnBYvOcqXm8Jy+xcI
v3V2xPA5O7b4rQVLNTlMTl3vHuosS/SglWlqB2C1EG9zBBmXuENJd2s7g1EEjVk3yc7RJ+FshblA
R/Whqa325REGL7M/YCFt9SmCeNU20bM1LRqHY2nBRVlmXEhDMfol3tNNsp/IVHAC313sB3vUEDBl
vgPZdvCGLt5YkyeL/YT64Cc0VhglLQa2m6WBZxnWelWmwZT3zZeizKp6U7Qdvp8aPcyXwc01fEir
VA5hQ2bgEnYlMub9RJOoDBrlV3I7OelcXqaiZVNpfWwQDhrKkHURziQjy65OUQ/M5iXf14ANZRTj
71x3q8/6wN0TrzVbDSgtOnWBntN1of4nCn83Vaa/al9XZF0LLfrqVHFNFo+XKbhUkf9d1NX4FbFL
wXtbAMMDoC9cqADe2pz1K3Q7FD5kYg1dHIgXOOVngSnG12EFKwbp6AgGrKr2w7k3CvQkPeIZVJ4m
ljcoQm8XHEdwsFts45s7JtGnlC2baMMuHe6BCBY812MIPxU0kjlI28Wc97AXWtjQ5myNFy1KpYZX
LnXY33rl3yJJLX70nZ6MG5Ut0FibDKM0aL/qbpGp/dKORXcrFNZGQWON4kW1Q+Gu1vI5tHPRigyU
tGlCT6Y54gpbPM2ZMBIqsi6+g+6VwqGGEOIQiKVshrjxxBLU9eJYG4Oezb0iQa8h1YB0UZJCOvdi
apZebqzWwpRu6CNnY1tjqy4jbSjR8WRp8Tk2VevtQbyszzpC7Thw2jy7F16bvHB9A2WPIst7NsD5
n9J56B8sY5yWg3BNAwM5l9W9eqX2TyT2RX82oJItnWhT6TpDGpAkuTA/TC36XePb89S7sZk/OOZS
fGXn9r0rQWIKtOKmqX/0TpQnB3fQWrQ2ai5mOF7Fo1cQmblDzLLo8MLT8UEKGnZbLq+0XNp5iLVL
rUWGhOgj0bHfU2ZBqOk4kHHo6PU8B8QkjVcpFoVXZh8l11obiedOx+40iFUx/8RMD5l71gBJH32b
dBX0SJWDDayf+N+JWCeWCPoH9GYO7eLCHom3QFmn4xBZmcZNX+C2F/S22ekHg2xgdg4zym/pbEdy
A/EIDhlx94R1JyCYGVwj9tJNZsyESGIBQj2UazMqTPJZO3osqes/84DI5JfnXbJLvF6vt640k0fl
LdLYRx386Yww78KMk4tYseBmDbFVCHeaGKCBXBeDtjrhBhuyHcf5EHuLdtM5CHTCzrbiH4s1l91m
sZRxo0dS10lylfWhi2w4AlpSqR8Wcg8FymbiOppU/trwFHLytlGsWSpMPQmV2m2saCT9YPBeHGLC
vxRO48srP66XbV6mBcq7tky+YilsNSFUfIIXZWmJO5LLwKmXGF/Wfd+btC7ZHGLkFITIfE9NonwC
zeHgCGZ9dj9Nuk6bdhIRn6dVbYIlb+SKK9jjtbZphFbfxrOF9iid7F7sjVmq+DAgoPiKL0sMsSLt
cHSeUQLCe5XTNVuzwB4MMDi6KSq93JRGX/qbsjDwPOnsyrrFaHC26Xc28Pli6HJ1aDRicYI8XwZv
E+m2VyLH7dtoh/AszQLcKkedkAuvGK4i3txPW7rqG6gm2h+01+6D7y3ZGBQyK7AObdvyGQYUlFzY
7R0TfLTEGOi2Mp/nqShhE1LzIXooJ5EGjrtWpZnmsfNGg2804KCZceN0A+KVrO/vmyhJbhzyqW6T
RHfni6pj9RozlF/KAX26l5X042AaUcGH3gjvEaVLN3+n+OMG0mBknW0iodCTCT3NR8wNp1ngoDZ2
dzHKqW95K3I2rWXOLRR7cPMLwmFD3xoUPe9EbIam9X9nSO6fB4P2p1jmxIYr2eIGpHOGkpBUxdXO
SJUYd6Y56wc7k6rfYtoIDQZHHWPn0sFu73M9GlXYNIa93LE+kC5MfRzVIbqgtAjyWPO+KVj7xQVx
xVVxWViowwIvHebsEtWlhNFSiEKSXFtk+TG3hXU94O+vI1JrBzvUdNC0wICHIK/toV3za1v0BdvW
Lnxz0w5t1e8NbR68PWrttLmYvCynThCZjHdaJOw1XEmi0cuHuQ98bZgeC6llD0SP+9NW0nUogqLT
LBs1WyUfRU0yIFEy9qhTs+S4e7a9H+fbyc7yeTOMfv4Edwrny8ivxRe7dOPPdj2VxoXhTslFPbn6
srHzptz1uT9TZjNVPkk3p8QyIy87+LqpsgvkTuq6AkHjHol0swjgdgzVRiH97YNxcoth2zmda5Js
0vrjkdk+HdDguOXG9CfmNZI69yqfhF5uybko3auiJm0qoK4aKF8SzSdLVXX+vV66ytvV8xj9HMc+
dnfLVMQFieC2UR2MwYb3XNVe8nt0s4jvRrFyjUJT3NiRsawPh+6wSZRn/OD0nL6wmGxknlDK72pi
1kFM0Cs1OmLmY2NE8pto/OoWLncebUuh2n2txhx2g1GuZXWjj1MYI+XZxo3MUm7yRXJjWUPP3bkR
c3kll0GLt4uIdLlt+qk5uE6ddRtLURQEYraNZVd0s9vtpFPmuH7BXrNZYUOehRYePQMps3M2YEpQ
TaEEm3PsIB+Kqg0slSxfINi3NzrXnWlLhQLYj+1MLbYk5eK8mqskb7aeKKKRnKexbYNIbzEvhvdg
zQfbnPmU/xWjAiNFBvZPbVNiBZSKOOr3o4bnK8WJcQYCfe9qT2McD0G04dDPTrCjGe5VJUsZ03g0
kn2j5d0vN68iXPSsOAnO3GXfYizQzDDcoTfh4XR50jiwzYiq1uw5ftqaRN4RQaHqsu53hX0F0sbS
OHN3fodYhnnLytqCyrQyaU9gKrOFa9BYgDoWKbSB6McKmZ62+H3gFdPPKClXUVPF1qOX7WOuec1t
iwJ/O9gIjqXGAg9IvNCGsNAIss4RCZ4LB3uL3PEF4ZsDrsIYwRf7NRwEiVIgQCTLYSb6G45TUiyB
P2XE+Yye9qlv4EYMVT2feefrOz1BFLjZw7RaQ+qAQE9wNTfmVGIm81SzHi61ScfFOu9xjaDBt+w6
F6u0FPehJWzr6Vy4wNtng66tTFJsvbD0O0VEjRhNmVfxbLlkM00w5R26sey+datuEtX/pzUGN+hw
DTmD+r7DyODJLjkuUM0gfJ06vedF4c+jgXNBPtsNJP3+J9pfYI05gUHo6RHL3rOPURzXLzBY8RIX
CDWLZop+Oc6UnIE23754vJ1ghdBCowtO+/D1i59SjZB7ZSPM0NRwwSWovDBFhDsGgGgSEC36le55
dua9r7Pp9XuHKgtlh9YtRFb9NBRQk4jBlwWqpxln5gXSF64LC9VQjTHTFf9QnMFU31l/jDfxg6v2
zTPBXV7/Sk2kw9Q2UCc7ra53dY+2P7aiIlwmak5ONifSUXZanJe0bUEtcw1LyQDqZ3Lvi7baLZB6
L/RpgMxkpX4S4o9Dbfy3mxIUahBZYHqgbOSPr7+jykavSYwpphRpnEDlgOcQcZLM3IlW//nxs95p
WfMwMjUgG8I8FKetB6WJopwqFzXWWNfEPmOjH9aT3y+hqYgJxFjaxXe99634aVgmLd6bCbbWAfbE
lbc9811WQPP1bODFgN+T0QRdH5nO6x8OJ8924pWLkvpIfa8qrZxjSrXFuFEFoo1N1HvuzssdCEpY
6GgkRpkGZRbCDO+npgm/PvMi3kFgPaz0aCd4fPzKynz9hVLT05p+Ru8wZsQctcWCtH4tN5ol9+7K
pAbuLpNmj9WKR5G+zJtiMNtdO0TjQWbZ+G0EGdwOTRdtPh6pt8tm/V60paBQIYc55WZLY/LNuWeG
ZEVZbKYFxa+bziipYk87FEt7jqj4douECksvArkJtFi6rq/HoddG0TIhaapXynuaaWEFad93edAj
iA2KeKbWznKy602y9dSZt7B++MmsgCOEooApsbYXT14COw/Wkv4Sh21bF5t+JMhacec7M/neGVKm
HmsBRQ0hx294eQ6KdH3lKCZcID/nUK8/SWMhMwlHiqNXOLjDfPwO35Y5nHM0yVgpMJspBV6PaQ5o
Ac2Jg3ZoZXxr41+/qbLKDa0eitpfP8qlD4dIdFXACfNkax9LQ+qrOR5soWHZLH2XbSdYNcGCU9K5
DXb9rJO3hRKVJGs2Ppp/fzbgf3TIYhel2pjgXD9NSXnpDFXzlFhl0dBvrIhQHeNJBZGmuqvS18RB
LcZvY0xxIpGpCJsePHlw6/rCklAy20FbtuA30c4ZiBLgHuuqC+KDz8XDvfMmVjkkWTsc/4gqTgrO
0Z8gjWIlFIJkZb+qSVO7bh7sO8z4l+PHb+LtjkLDmndNEjFANrZ4p68ChV1OFkpCAaeJ8lYOq8NU
jyP4T1wDK3KQnbH4Vv1v9s6st3Isy85/pdFP9gMTnIeHfuFweUcNV1JoeCEUEUrOw+FM/vr+GAV3
ZyjLGS67AaNgoxKFqoyQ7kDynH32XutbppK1x2zW4XAQgJCM7wIebR+0aytKzy5Rjvkawwz1vkmc
2Nn/9Xv8oZz46RKipyB1yOE0j88E2e7Pd6bWy11UyGvirYwMATqlM+SCCduH4xX0sWc/lsalCE2l
SiB6zCoEZvRGsIjG3Ip8iGvyDLzUbNGBsMbvRCNqLIJwzSeK3BrBOTMh6cbMBOO6eVri2iuJq4wA
VQzYP2cg6dOxNLT2MpRpl5MYDbqxi+VkPkhDhKV9lpBr33TMLNRfPCg/drtPHx1T0TYX5xsgfefT
WhORXZfT8qIWpNgMJ0lIs1/Idv5GJ0Kr/dUG3BPQTbRyP1/0otmxtdIJQ064XDAEoSIXaQ1rsZ5M
66EbrEx7Kxg/PGhptnyzrIxWYuboK2S8nkvvUoUNb1lZ8+HlUV/IL5jTpGPOmCb/qFqGbiYHHSDL
WCjgs38a+xPUW+RUwQkIGQ58TmtYXtMu0y9ElH8ur9AVcGrTDIp5qsnPsTR8U3aqRFB2siFqzlk5
OHPYVUsHFbDU2zBdbWl9WtqoovGdVuUeJR5Q3XRoan9smHXSsTMcyY/nHh83fY9IDUYYjesvJE9/
2lLQJdhIaw2OHLCfP6t6TBrfysyAz7OUbA7joVsJeRHyL7aUv/cqsB11GzfY9iR9upnokMAuK7eW
UmLFdMgRFXjjmqXNL+7aPy25qPuhojtbWpi1HaN+fl6lzWXdkUnmTU2TELRlKi4w6TlYyr6qwyye
ya/cZkckZOndsTXS3Nj99ZLxp/qAd8D3iaEblRTp6p/urkmuRk2svANdraVdp8u1a+FQO/fWHI80
9Po5gKXqhCpjw7u/fuk/7du89A9WMq+KS/qzt4C01XaQU4lJ6wTOZMKtctkyYK8sOso9bOnyF4e2
v3NRt7OxtdmuoCR8Th6IeMrR3dJ66ZtchjKof19w6P/iilp/fpXN8s2JaPN0boX5z5c04nzeF8tI
dIBZGs85Tet8l0Diq7yWqiEJsi6Pc8aVCQ6dVB6qMViX2x7GTeVOdJrEibbaeFun3fBNAk3Vu/rC
3Nga9HrYj1VVPGuWOX+NpGRgHag7uu2dOq3XjSB3U1hWbwHOSq0BDFGtde7IO32DCO9IwZDno+6v
PFMmD49EQKaQu5IjkmHVw229NFILHMaQmf5XkvSQIhaMPuxCE+Meu40Z78pp1pyAMW1UuhNyYlg0
EnIBv9fJow9oQ8PkcfI41nds9PBwkGeZz2qEKRuQWaPe60ya6sea0/FymmGJok+fRyCOc4kb3Osh
kClu1fRgK5lydy8rki24iWRFzX6WJPXINzrUatjnq0NFsWr1rSRFVk8SELm3PpRg8z5GjIUFYi6i
x4x85PeuMRuEBHI2da8N4+iDYUFhcTkTErf4427+h6gq/2vIlH8+NDbL1n/wKTb09s9o7KGK39vl
Z24KP/E3boqq/sbJg3ABPAM257E/cFPM37AX8u85nnBUJvLiP7kp9m+0Ftj18K7a/MHW0fgf3BTj
N4tGB30OvDi4cJAP/SNcbJqSP1e9mxMZuv6Gtdheyf6MTqnp1w6V4wivs6U3iuqNR5REa79nmAqS
SSX/felLeWd3zCzV6GY0EnlvlWRaZVYC/LdmBpzTkPazvHyKmMPtSLak7WdlSJinSQZdVWvEKTKP
pQ+rXRpN7feNYb5v2W53VmZBS1wJh+prmIpGYb4uk/F9tMJyiN7bToWn2tjDCSAEKGtbE7ThI81T
2yo5qakkBQ0hwow67dk5UifHd3Nc0+7uDTWEq3/o8SG4CKLvDMl5y5aKwW+zolKczxJJ3q6k9lKY
mJAQIohnu1GStMtsbklkkmgZKlcrcDabNMiiiMowkbv8OkPnnb3ByezHmFN0IHOWDARHoC8QB6O9
ZmS64kOupOHfoiJWffTE8mMjAVDkI0qPjY36i/ABUbHjxONz3lEoF9uIlNaBoe3tobX5OFZcuLMY
5PXQWI70OPA3tq+z6SeGGokWDHJvyEE1rxHsAtSep1RKFJ+8JiXxFJlHnOFe7C9LOpV+zPRx3iaM
9QtxbWFlgbBNWO/eVsavOyw0ceemmS51kOas/EGPRwhZUr0OXTDYDEkWOYudQOKDAjKDbnxGdNy5
0QivyrPWNA2inkunpyZjdKulXPMGBV2S29gK2RiDpT6PyzxgSFzKQ9Wmyx5m2Ddt0T7qYr306WoG
BXlCv9NSpPufSIOAcpuJy7SuJ6W5B8SKV7yEQ0H0RC029kfeV4zmBjJCrWRYXhYl6U4zle27NMgn
xSjdFcwVDLNOA+KISMde9Adq9QpQpPFNiCYkgf4VfutBtaKvdR7f5u0aVrO8L5Xy2joWH6Douao0
B+4G1VE+usTU3RaO7VaClJ4ZJ7qPz23mUKD4ZMY2gSnGk5rZ4CGV0rljQ/BtdAqz0QZLtHfYj85x
AwHIViThV0b7FePXfq00+X12JJ2aM2mhWVJmpTvgXNWBqslhxsjEmjRSdfmyqAO/TpNzwAxqVZyR
OraBnIt7ANEIFqbGflxEV97PC1LvakSdoBBxDXotH2+cFjMBFYFGu9BCx2omyymvED7NcYi6VT0w
fI2DjKyNoCBJ5ImRNjBNo0/PQ0PDohVydDC7Ij6oUWG/jFKtXaaxRiCTDc3G7Gqesqp9tQYGAfNG
IMHAEmMbGU3LJ2JX8kSOSEbPXpoJgq/WCiV0Ms32S0yrHv7op5Gj4Q1Dy/gwqMwJ823YVfcqZDPN
SM+WGL8txcB2urS8ryhbEm9YZJaKTqbHV+vIWDnNuX3a6q5TyMjKakX21aI2LxGZGtfSkCYA6JzY
cdVW5zxxzFfsRg+IVSyvq7OHNKmOUqPJLlGAjqc5FZ3DfkyuYLdl31Ka6kDFQAicExJZgxpkQ2zn
Kid+ME9J6muzZZ7sYRKXclO4Ow91Wzog0M0OOiSCDj3/3Vgz1VUlDCT5qMo7w47r20jI50GezJC+
5nzQVsu6ppi73G2ZPjas/dyDehwYeWldRN8VbmqyzsYSMoY8mCYAdaMNFx3br5KGwq5Ccl1ZIczx
YFfaJep53rrpG/4WDQ0zPmdkIW45xGuEnWX0Kys5G819IkF0dLo2WAcnD4iXtryZJuU5ag2f0fGH
sOlo8nGO49KWnlNNsc9UpSHlkOGujAAR+GF670ABJrgwZ1RMuPtuNjVSA+cY1F6TT3dGCY8SLlDz
aMhtkFazn26sUKIAPHQwXxad2N+WuW1uGMdqLMBnKq+LIpMHalsnzlK6J9dwe3BgQcbGJEqjzoTf
vtU4blXJ/UEYJeNjPAMASgN1khsPDnBEJqytL+jarKe5qvj1dioFzG+4Bnk2e/XQJXz/1UXtppR8
mSLa68ZqetryHbDUxihvypCHbt6n2vo8joPK7mDE/rSI4dlwSn/U6tFAKrORvQ1nvMtaNAbxEOMo
7yHgQ9IO+tXwWngexyRiFmkVJUqzBtgxTeGFuXyvxdKdgjTgLhKErzZKdVsCzLKj5JQrNW9Mzn2r
S++kqHmdQP8yYE2WwFRF+mLEyOT0tORDsvp4FrIj1SpjVx24ebSuH29NqUP3sgg4mEBG+LJvaBFr
wMG09YKCZv4yxqLfFzhl7CnLQyPJUC8M8uAnajMcaZQHSiEziz0vpD25GRFKrZvYjRJGCyTPRGxA
erZgMj33W5fdzcrmZewW1ZX65qHsWvtYcbhAlsW+ifUjOkxt2oX1UEas4e3kF1l1X3UVTHyjP8Za
FZZ1V+zHppOPPcSbx165GdVs8od1RDYFmjRI9EwOahza5y57XW2knIscWZab1f1V6yVjHyHw8QEm
w1bLE5+bUNlbQnbuhhxzIjkrzYE9Qt8XLCFeHauQmitKYo+PYIaYiSMBHR6ZiiHFGT+N1kGzIeQa
wwWeVHVLlOeTlqWhZkJp1zvCMZk2u3Vy68Tl91a1fCK+2TeS6FvBd4EaqH9F1sXfzeYJkyOEMHNN
oxchjdM1ttn4okw2PBMpZQhhdT73csNQdTTFW1KDmkaa30aBRSGWBhnLDf2bdF+useYlU4M4r+Zu
muNhx7L+PIl+t/RKuKTSaW2y80z6QsmGmb2A4r8xjYJBbAdCoA6NLONhS7QrDTAwCM9zvTxUmXEf
51+dEqGMU+xiCPxlK/lKfnGi1Le0Q14PL+rA5jp2/tjXt/it9qIEyY71jjsBfRIxrKyLWn/FdSIf
RUVLXWHumFrtwcziZx0vI0om8ypG4LLJxLDDbrW7mrZlNdaBNGpy0I9jF6RNqE3OjniBo56+LMLY
DbLThiSqvudzcSt3ql806gPHqJdGTo6GPtx0vX7b1uKu54ZZpxQ5WOvUfoflKMC71wbRVMP4lg0g
oglsUYzbPjhch/aVEt8QTbpfGxQ+zA092d5Sc8vqzc5RTCep/SblE+EUHbeL3bM9jDVEF4jjzYy3
CR0wO1ntjnkXBZEWG4dMmOp+yqsQCPnrKprNaKCsXjSDv7akdK/DEvUHKSKrdtYfsHtoXi4vQ2Bp
qbg2Lb/LFE38LZXatyQZCZxVC3bsNjdOBqDg0BlIYraqxTOTNtqlbXIpF+kjcaxLa0zcXCizNdF+
XxLnAuqWuTfEzz7Z5Vs8mQC7qaVt52nb27JE+0LBxu+QvbgRfrpxUaQ5WV4Kpec6ZmP5wo0G7ltq
not8uhls81s1yA8lx5gbhm4fVGfNscZN9QIa676Ue94V4qqJwGBTetBL5d4eO24lFWS60k1XkShX
WqNhy2LQ1cv2JWq7wZircOGF9rIMsJxRVfaA93c+pNnHgJhULe0dIQjVZS2oejB3eIOOjErWk/Ji
jzk50E3j3JZFDgBhLcWVZ+oOZOx3JMJBrWNkreE/H0YkhgEp9eiFRlXT/ZbJ6lmLugmfKxF1QMRP
ddflq4vK+KGX7IQEoHxZnhDzWV9xgdteQvjEOcKW6W+NdjTXkJpMYfd+MlYs5rUYfIXGAF0ErUAX
3Fauk6cpDErzVl5WiK45HoskTg7YCRtQsLl6w0lpgMeSvw5RdKUVmb5GbXK22On7ZnSCpKEKN5NC
nEqla3bsyC1qGd6jUtMFrZFZv6NnVvflxMyHjGXpUNsoGV0FFg0UdBx/VjaJE+GVj5Kqs+/D8ChP
qlOMp7Qmylix6pITlDEc66lpH+Zk7W7HKDVduq/lo7QgWTYtURKAUfJ1MGB1DuyWAJ/Rte1S2ksQ
KyUnQOuZDuSEO292k8a7PlZrr2NNJ8dIr72xzDpQk/aI0rMmFcephyPZ84UrdPUdDI7zfeH5GBGa
ZdeqoIGZCcDJs9WDXpOT18TONchNsXJgCF8dy3pAghpbQ3ugtlae9CRGCYeymJvUab+p0Sh2ebec
KghTBeRjxXlqB/bh0ZFMT5d76wgzJvFrG8QuSSeLa5Xj4g28qy+IyCCOTcKwbvGsAzSZiCLKrU6H
ZDyV7kiaoLS3VSXypn55npZZ8WNEmAXfajHcQqRH6JnPrwm5dJUvcGFgTROLuIAeiG7bHFVbW1hL
uLBSBn0jrRecl46vrI0Il27V3ugJqbvB7KejsukEPVtnJS6ECsijjZFf5mghR3Pye1pNO1D24khI
inR0Rk7FQECeLCWXn6dRVTyjG7C/Um5/wafM2GPF4srqXoaw6cs9QrnBqxPMCDJiwxUuqZBPkRg6
X6kqNHVW1F0KGJ7+jH3rVjgqnj4ra38ftX7yhJOrl1brw1SprrPzXFQJgQ19ic2jJmwgKaOA9BSJ
nTxS9+pGaVwr8c2pOj1kSuI0brREk0sIVRNa8qyds8WIPLNT9DtU+6/CkYyneoSnPq+oKHues+dF
3ZTYhlmdI3SZYZQ07YZaNi55Ih6z1tg8GbpxYPBacreWr33J/RW1s79AgT+axVCQUkIpv7SyfVK3
JxJgz5dcafL7QZNn9Ai54iNnutNiNFNIH/1JK6tzbRnzhdP5fCdGxQn6oXoZjS4KRwRc52bMe58g
+JXlKJ5OFnOdczZF2RapAVQdV2eGFHFZbwjkwAqSUOt3EnYQdpA1cWbUoKp+Mylt9GIPtdiPWCSC
dIyMnVOz5ciTZe0tDoaeZSWKO5mOiwCsP0oKnyUayYQfmakfiBo277XYWfaVUkehI+UwXSuxGi+q
cJZ7+KvqlULN+KrZbX8zy0M6UASSWCVY01mJEv27VGGd0MrxEGuNIHMmKu9L81siwDM0d5DSvsWM
t0pxUMU1qXvPNvdaX31d2NOP5Ypxx6mbcu9Yndg59MopOydyqh1hSPeFWkPEptH6BRFe6ksirr5x
R840ElppXyKHPZPqBVU9W69ZqcUvfPHZadas/EOPiKNAUG2Edu4Uj6A7WFgz9NlCXh9VaDMANaL5
S1Iqzks19ZxbJlW8zmNaHZZIy95aHTHp6kQKy87Yzi2EsbLeL4NCIhfZo+Mgiu+1k3Ej9Ew5O5Yl
Zc29dlgGOZCS2kKgbGtr8rrhRF3djPtTn2ixGpi2JBMT0XYbUGPWpSv5Pdu5Dg/Si67HUk79Xwyv
8Sxo3CbyXF8rs6rvcj5jWJA/AZU8XvLzoukTdpRKKLfYveRDqpVISBdblAmH80S5qHOjPZtpVt7M
xQYzQPoC2L0o9ARk/xRND8NcTauv8ZJYnYR5I6dK8UVqFJ0EFGm9ll3HyVSxiubQanbNfDKBLZZM
yAHcSdTWnb7mxgeBVowFKYnZxGyg8FOXm3TJjcw6WbqRhrUKbhW5QmL7HETVr4AyVZcwF2mXEz2+
Z11qAkNImr8oK+kjas2RKUNNPll1f0xiyUKAbi1dfjJx70keR3jna+ysd2Uk1Kc652xRVqI7qW1E
y4ajlcs251g0yQxBtqdlI3kXC6dqBX9bqEb2u5HUh3Fwak8eapnVvirBmsQIygYSOTVCpC5xk80H
OEnHOePAlEmnKtEe21bxdKEuLjy8Xc9xZIi76B5Sb7PXN6utqOrOG7qWk/uKa9RpW3+x17DVL02J
PT0t2CEj9Z5PcQDq+6KTBZMuepDBgvcHUxzsFt8CxjJzfBHT6GWWEpbO5BEh6Nmp7fbTTUzpel2I
zPANgAsGab+wX+DBsK3XQgMPT4LXfpiIF/Gxb5RBy8hEnr+QDX0P+NJXS9Dqi/0I4z0gG2xkPrSf
io+8Y0Mb9ck1U/NqrF39yMlwDBMj3qDTNXudOXmjbeBNGzQStRDGriczMc2jQ9wxdPpsZ8vxtylO
PjRlgRyW5ntjMYhdU8zaW1TsOKlefKF7gSePxqKbRbADHdLDjDmtQsN2TpVsc1ZMjJOtGd/sbqvp
yO7yyS51qOBl5AEcPXX2hHvMeyRPVfLHolJ8W6DWruzAgdUsxMLgKNxbaCURktDvUOlYJjradK24
LbcFz0BWjtEmWwB5K7prmtR5smG/a03uw4SHz9kFpYOTx8Y9OLdF4dZbqGsT+QN41CU2rgajmYwW
SjmRL5h239XZul1t5eJwjE8rvEx6rp2UNLtVmas8wKszd9yk72BfNHe7J2vMZbzkclPHC+cTO3Z1
eeHOqBhtaR8dyGJ12ekgHKlhZCpfew4KrQ7owD/oRh3YILvVzjjNTvxm2XsBVmIVKI4s53GVtv6Y
fVImHCooASDcua3VnFZ7zHy8ek9RY1yFpMQEADEa7aVbTdXCoZ7f5SS/xBmfuldnjgNmoC8zeRel
S+2wmwuLDb68yaJzm4Df6dLoOBXtlWr1JtdpFNeFmQVVZL+K1Jj8ddnW9fg6VgMuoZTE2yZSD8tS
Jy6WZBLZMASq+opwXwpJoUJxjeTxRySCW7ekbbHzf8mATkV0H/1xBssAu3deSUsjYomzP+dEv5aN
2uWQ5zC7om40ZtygmLy4I8sAYteRdo3u6i25MmNLPKtU5fs+7o+mU1c0DwEG9oR64KRjzR69xa73
k1WdTbncL9od3UdK/2neNTU7SoSbbZkq3GJ8NfTB+mOB1xtBfuP2iHC9Yqrmfbs0LoAZulhIPTwa
gHeTXey6vOd5Q1bQjw76B3ptNMsOYwxFTZqu+EFDwmX92CSKxOaw10Zs6M53C4WnlqGELvKPpo1o
2utrf5ErVb5vu2X0raRheRVjDnTLjr/gMiKxQ1fTfROhNgP4RRJnvbwXKiEqOukRZi1dzJJFr5hx
Uo2jj8c1QnTBiPSYCOGjpX5t2y+KjaTPcW7BYXkidXZkcTXeOOS7Fc4nRjhNf4jSs5Pafj1CmZz0
yAc45UwK1sbnRvlA5PBOgT65nSLaAFf8XV5p0SE25lNdCB56MaxkuxHwFcl3ZS8umUHblYX+ayUT
+5Gvh3Kanru5PcvLs6N210ogqaPLhLStoyyA0vCcpVmYcFQxGy5KgyqkiNpjOvRsurP0JKmXVGqY
ayD5l4cTjEyiPtB2gYRSSSM1yvOSVwcptfdVu8anlr83m+O+jJddPYZSe9bpUlEC6UfbqcKoeKLr
4ObRk5huRpP1xFofFHWgz9/vUicc6Yo2PS7fxeTESItatryotC8MVNxkOGXimYXIpeLAFcRQA8uH
1V5T6tFZn/zFxPW8aneEW+Hv9BT11Vi+5t0TwxaOehwG2Q06zIz1Op/a3qusZtfZL50sMWInMYVu
B3E5rtlXN71Exw3ZTF6xonGafJ7ht3l2XZxWeSDOJXXmx05fNH8gWTpQmdV4hWo/jkzOd9WsXnVr
WC6C6FZku5h01v5Dn4FtQRDW1eG24IC3c7A0H/WGSQPViy8ltkKe2/RIROiNyKRDK9Ltfq64WIlT
cmTsodaRKHvWcctt3GM/G6x9InMIZWaNecO+z1bdDEwYcw2fgdPdYsYnVRneMEcjsJfawbpoJY7P
SY/3dm8sZ5pZenGvFf0HGxC9D4s6Rk+GM2pCHJb5to73i30bZf0cYnVBmZ/T9mDhZZ7xglh8JC96
7e5hA1hSdUNagVvgFfW6hJA+gohA14I6xBX1oOf0hk0ONUKwccyr4q9R/NL3+nK2JmNHZc20DmxV
s7iOYVoQpOqzqt6tLfusGuZpvuy7aXZ2CEOmQJmtxwQFrO1oJzmTb5vmy9SO9LfLx1yy8DP2Pmni
tlvJynHK9N1UMl+r1h8tU3WJj+kUT3ujsKMdjfBsXxGqhyGjM290eTYPed9cUtmgldv4iZxcG9q4
NFkQlziVQ5pckXGSMWZ+lkJMot8ua9hoopKOkoO+vt5szXLOlKPDM00HOSsucXTKVGPYF+MScwqJ
BM6wur1XHOslS+P00HUkQChtiiMWCeIxteDt8C14DP+tiyPKQ5nWmNd2YovMRFD3tebHXEMt5FBe
C+Eb6nStWqsKWpwD1zlK5LCxkpNu54GW2LIfG10wxgSYRU2V+XWtH0a9OIwCI4+eRF6jd1/oZD/2
PcrTejPySJSELgOFwiNgbt4Jm2oJT5pMpWEP/U1MFf24mJXF3p1RmFrllai393LSQ0UdcYXbaQhG
73kppBt6C0+kh+9xNe2Vxr5fs1j3e3mgheWMtPuNI7lZ9xp13tAxvEXV7Ca9lgal6J9KQYA0ghBP
W3udbjDZlCVMmYvS9Wpg6NMYYK/9PaGmdtfMbvdrnX9NloiS0WDzGnMKLQQ771CzrFXcW6iR6EHw
hMnLBXb3k83RUaIfH8J1o+0BsGrH4R6/ujAOpLA5GF31xGsb8RABIEbBZa/FsevzMnS65FthM9tL
Nq4N22IsP6ykDlUrc/m6BHkgL9yAWV0RbcENH5G1GOdnyUJKzeGAoUIpVcnRHLMjPbdoN9XjEo4C
xzH8uMKLdS2s19VLzJa/syDhM4fpkNZC8tZilZ8I7VXceTJvYO9S6uAo9bYjC45sjPoV9ImR4Sv+
020GJ+7ZdlM3aWBjweA1Q1FNHw0kSXcAaedFuabsVgKfvDZXACktRnuTF9ptmk39gbeWuG1vl4e+
bcpjLDSWoGYe/GhoB1frNDKglf4tStZmRwdD9ac2SnypK3ezpDzwPN61Kb0bGlsJpZaqBGLtGfau
tMYiOZ9fwBngp5uWiaNbK05TIWffzVYHiCuS9rjWMZX+OOi09BZ1l8L9wvQnG0G6DikGtWQ6iNno
DpKJVcmpyD6t83ar9TIF2kM2eJvXydfmucN/h/xBTunGDnBAA0KdvgN3fJZKCjzU86EyIkJQtanw
zJZUg95uXmJmSHcq5w/fpjt1tWe9CugjZZ4qCsmfAHZftFVngFETzlRmG73JyR6WoX1cLFLB4bHv
9HZ1ztSJgFx6ZuEp5jvP6TY9omxeak7EOITbkwTV5YCTLnuCCGufu6ExDu1AgxtlGC3nRb5Tt+Hy
2hQwVNUqTJ2+/t5jG9zPKiHHxKQ5X5epk57rvJpfUrlaYTkNC43QmHEAqcKKVJmcfdabxkxul0S9
SjAy6NLyBmxYrA+z0Ca6oYww0J261SwwYyvO97zR/MQZq8BSW2zcfUkllOYOmgXqh5LiHC99xjKi
F2A0LHUyr3Gqq35pNU8mmBOM2zZyA8zPQTfb6z6unOWxn+F02dBzn3C3XkpFTt+YqrR7XOWtq+A8
Lk2+Q2IswjFNm4MFfdLL2gynKtIW8idJCcH0SVcKKkupBYgOy0PSL4rf4iA51Em2Q+tFZHXWXkhZ
bW8BrbxHRlcEaCFY0bpV7bwpoZLAKNH5TtMeHfm8xPJ7TzshkZSdhHy016qtWcXTgz5/Vt1h0DQc
7sZDJ8NFq4ui3mPw1/6mE/2H5Fj/bEIrHXHm/1xn5dXf6u5f/tvp46NIq/i//8uhK96r790fdVfb
L/ib7Moxf0MtAUQSzYwJYg+Z1L9MH13/b//Kn2yOkE3mB60OeuB/qK4kRfkNiRY/gy8FDvMmXezq
oU/+7V8lRf2NZj8/gKicxd7C8PYPyK5+iIn/U6xtm5go8Rggrd3YkrTVP+leVz1DaeFoamiORBmP
J2CaKb0I9bbc1kbfxCJfPRSVDKdiO3bu535vcmoC8bzgIBLJsVp9Uli582C3NIQ2A4XgDG8eW3un
D4GpB7buUXCI7oG8bk0KpWjfEthJDSDOpZq5ik0NvbOyY1sdNCji5mFKEEF5BA6afVjOp2Zlg9jh
BkqXx5LVubskJ+tL91h+n9+N3+d3AMT6DSybNHtd6EBFv5I5/yyO/fM3hALuj7gy1a5jFn9dDW0p
6N6WD+u5fhNvqukZz/IHTGzrq0KQ4df6rX4bPtB/0B5Yv6ISSR5KyEW7Yfmg/1irTHGJzPINTo7Z
aci+mTkUBEHK8KXTQOwwrT/0eYjGyBheC0j0ucKRkqDF7G5afqGM1dSflHZ/+kj2J9sMnbmOZEYu
+mS9NO29XexpTRvSU6Pe6aZ7s/4u3dsvw7l8XL/kr1rAyCp/RY8uRg+JBIWAjAQDlg1TVnfh8AKa
iqKKH/zDQ3X3t5vwjylev3ybnwS8/5fe5g9W6V88Qvb2bf/BrfNPcIP8alX47I37f29V+DuLgkMu
AjYc7Gfk8G1G4D9cc8z+ojRLdCyzOhloAXBWlaPhG5HBarb+ytT5q1f7tEj/H76auj1Xn25oBx4i
+4sJPgdV8M8fDg5EHetjqoeDZ4aLR+iDl/mZz0Pv0Vj1Rm/lP5ThfryL/dg3frE8KT+I03/xBqxP
6xOj9LWJykQPGdoFMp5RkN40210aYltD9mXx+rPMeE73xkf7Hcs/gI8ntAbDDAsd4Q8sKzc/Ng+k
Z0HFiemmE5L+NT1uh8zIR7klnsqP+L5XvNL0sE7lT9INgaz9KX2SJ5f/xX/nH+Me4dHf/g8tstly
USJAtWf0PsB9CWgYIIzJu4A5a88M8TE+978TC0Ff6ZJdydRBmaQd47v4dX1vZs5nXnUz+eM11j2E
qWdKtXP7xSQerXDPFGnmi/Kl+z6G+S2z3VPsl1fG5YjtrrnwoIvIhvuIeLkGX8lRyWO4JWjqJbv1
lfhbjiaJm/6e8Ke/N9+qb823FsZBvP2j0TG5+S7faGy7Y7AovGFPa54QMcBiLPKQ0QgSu5lDE22F
N/WU+iiKJrLzEnd46MOIMQiGohNt5V869395mT+t7///Mv8zXuZfrSbWp+3xv3o12VbiP60lhkyt
jG0a2Om2tv5hpRbjrNjJUuhho8YfkAbulplOXW8BgSU/WPUkjYn3Xxcuv3rJT5vDf8VLfgrn/FHS
0T/EVGUQ6YZZ7tMWkRtqLhyt0sMuWDwgjN7j8xokN97wi8/2yxf6tDn8b7/QDy7A5wuHGYRDCdFD
OkeTny9cqtaJandCD2nWRB6D5AkFEI0dhER74s3mXdfM8d5ywOBpVfTv7H1pcys3suVf6Xjfq6P2
ZeK9iRgAtXAnRa33S4XW2ve9fv0c0D1jdfmOON1tt+1417KkK5EiUQUgM5F58pzZEeaoRKcDpBDr
ejJtjQPc5RxI/0kJyzUAxuBligDVhbZD5egTLG+9r0pA7XQTJhnQxpz5ye0I4i5HTKBW8fWakL+3
KD5fzmKCcpS3oxrNDS5w0Bmwk6hlAwBNBqDwgIEwKdoJgpylQAWC4p+Ahl98HAEVqY5wHJxnDYRr
4y5/BtoSBcGEXnO6392mn8e3mNcgS0UrzjC+CZE9ih74Ah479NzE5/pgPuqe6cmPJc4G5mF46Xej
W++iw5V79L0459MYtIXf/5NPubbwb//uKecr7osNpi0MMwq0uSgLCPOqZ7R0oLZWPkOXLdxdk6+4
trS0RWfrb7G0rl0r7xX95AX+6WtdcBP8ZIfRJQe6E7TA47+F1WrQlYAGs0R1Hx9FejgEpCVPT3fn
85WsxGVylpP3+X0W5iQwc70HXSi26zq4gYABrYi49t3Aa1cvwN2sVITtABzSftWQkbiCq1CfQPaX
DNtyn5Pn5zWzBdde6/ilhMi0JA+oiZGc7FsKVPfVoF7mq+mrAS/tSz2a6CmGfSlmktzA/oEgoDtZ
TniUQjsBJxUVV+DxzSOan8p1dQAmWFQBESb+nbG6YmeujOXC5/NpNaAN4Dcby7UFs1S8/WcXzHf9
9qcF8wupsDBAKjLDgukdaF7r6+bbCk6mcMEaXaY2WgP+xXu82PQALjSiCL1Pt2XjK1hmrUN6W0VU
k5kC+t2Iwd9BDQL18NhDd7+l3EJ5uQc3Gat8sBoyFLm/HtC1HXOZiM+T/nvvmKszxilXPg1Y+xdn
bMGk9gvTdZEG/PR+jd5ZKKhhhQDZVrgijsUUvUgqkz7Q68Gx7Qy1m68n5ZpVkBbm8jdfJVdvwsKu
/ho34XsJRChvWVBJgdsAh9jCNAK7I82ArKguY98K8q10Bnf3DYh+9ujEjLwHNmlYw8zDEz01tkK8
83mvUJNMzNtM9NFj3l1MvK8nRjG/F69+GpS6iMVAE202xYxBia5BwB2NRJB+0sjohLe6202kR9sB
fmrWEDBdYyM/6jtQrJ2Kj/YVzyyp4E3Y+q2jkHvBeas85UljqBJ6IDvwQEtkA1uGw8nJt0/3UL89
6jZoA4nirQQKBQKmr3QGvJJnsshtCQBRSLi0xD0GJHbGTei8zxR0DbRhpf1eb4CTU2+PSE0JNmLn
92LnM/XYkneBuqvENWwosDKdUPupJQleHmy4byZ7Bzyf2LQm64b5TvgCV/0CNWInwqvqRHIj+nrU
diTbHk0GvKy9suChwPSAcegsJXbjoE1q1VMDvwZICT8DW+b62/wBAnI2esVujD1Pl0muuHqIP9p1
5zz0dFzjel4T+qqz7dPAHvYmeUB6iz4cbzLqokV4CxDPamAAZhH3AQ9tG+g2r9e2SfB0ZZ3y3Jvo
FKucrPfn0ykjIBBzQGVqb9BohI/HgSZk8waEFKmdjoIX127ZpqNv9zJMf0YAV2YxfUODM8nwVzXL
t+gtcB43HdmlKw2rDg6CDfRxt4E0AKtsZIcO4XaTb/mLlax2wtWwBtj0Y6oJl5Wg0zrexitA/AeK
yg/p1mAnd8ajjPRhvJ3WyoG/LR8hSMTxeZ8QBR8Jeds/aa5/MMmz99GR+3vxFLF4JCIh1RbdGbjH
pd0w8dF+SlatDY5+u1g9NaxjQAyuB8fY4TYD2EtWAXGhW0W8nHroprlycFP+nkbkb2bx5925pBEp
wSiuo/tFdTXS2CmuFBewc1aFG5HDDlLVTr4dbHY03JRI66dmZUtrDNGZHJuyK1HfNUux1Mb7t1iK
a/dn4ejrFvi2sb7cH76o/J1xGOwdUAOkot8Ah2IWyej6edpSG9BR5yEnohMct+v1+XTl9lw3Wosw
/4fR+mG0/nsarUXs+Ftuymv2YZGA/S3tJ5S4vnMKRVlLh4Y2wi2oHv59TC2orT+HBYwVd2Y1E13u
H4EhdNDRZnf27Mz4nt2Pzuig9kT5Y9MauCrWXp7HK1L8MbRROcVzvpIcyTHXwGxTiWmObENmxk5s
NEozwe4946b3ek+gEAVnAMDhe4SIWjuh4iNDAqV28vuOQaCCbDtm97a27u3ngFnMtLkn1d14NdjC
eYIX7ZnkDPhtSTOGOg3O7IgYUkQ1sKb7mITk7lmhzyD1vxzxETS47+A4PBbwjjeJe7wBMBGBUU9u
CrqVO5JsrX31Ck4SuoWnzcn2uH140pEUCImXIny4hxYFmS9eG276bXMPRQSCfIZBEAFOVCOnjrzx
e/PBB3T+gPvG4wMe50HF29sblAbWNLYTJ3BSN0PwqpLJ6ZzS5rcFSOU7oMgd3clY6fKgwKQGu8ZS
jPm8MteLUD4yxxAqVAUy/5i9DnevoyY++cwrcOV8Jjc94xVOPo3qerDLVb4yXbTns8kGUTBKj+i6
oiWi8MjWPPQR26ET46cc+fXMDlmCCVeY4YDp5vK7yg0dAcmM2IlsYM3xOJ7tFDSyZy9zEzw6eskO
Z97SYuIBJCS9LTozQtDEqbbTI2i/8L96kNzaBn3marYnhkjft2UiO6Ot0QDRdIkYDBeDDwmjAuUN
LgP6PM5kI3pjBiLuyu5otqls5aC7kgMNKTzSOyUDHhYRuIZlb2JmCgdNFV5JaQ48jR16pLoVV/Ne
ORVb9NttW5eGdsByigQwmTEcaZ17ESEIz+3KzZ3MdoZVu2/3oiOyfI1X2p0YcHc0XGf4q2JjYgnz
0LNlaMRBIInAkEb34ChjIFJiI16xRzW5JeC7wzpubYBwnQ3yTghAZRdNK7aOTwMXhKCdbx4kBjxj
a20jx7NoT/Tb6dA5JFoFKwoCGPcan+l1U7E4lf0wFX9aUwFCwK9NxfKw63eqkEQmTEXvNDAUja27
PQz+6Pin8W+OwcdekmEj+CPao+9y+yAx0UZfveu7Ip2AkoAop5O5An3tcWDForXRXEmLR+ghOB2b
7YwBt4oPKA/Q1F2zfNfuhpX+OGI9q8RHHnZeTwfADhh2RWDnjoLoGecL7N6JoviPl1QPItnLj+FN
S9O1tWrd1sXmcxQX6KtVuC9WKOpT87JzYO3sr5MCunHFfS7PQugMBO3uUKuugpQA39EdxUl+N1Du
Hjtbe50d0HHALc6O9piuZlglFRYSeNvLV4WhtZKAP8FNWYa7hwZZO2WNGzsh7luAf0PCw0O3EQMF
Lr4HduGiq8FGZ5RbudILt70JLGsO+wq4vxue+d9lQKfw50YnaPPBOMWs2uHvYHulF/4Kkhc7Ff4+
ZJgbO6M+E3DD+03m8mf99MzmnT+jwEfo8K/BOnWiteRVLr7jHSMbtHRuhnFHmJfUqWiKrwlGltiZ
jWYbzD0YreAFUqfDCLjV91mI68hcfO4yl18Pz1wE65jNXsHH4/DvGCeupMCz+DtfPg/cT/C/g7Hd
o98IJpebXQMBhIGEQkSPySpDzLCdKY8fQPZw0taQoL2Jb9RHwPxXMnxru29u0SXCRsd0kbC5BDkj
TvY8mAFQiYECxM0xCwCh0wRerrPhMWC/wYHmQhIONrpg7X62Yd0p9y4y5gskJViPI+ZAxC7x7ZK2
tKYi80l8o1EJBYWEhbZwjBwwbdqhzeJTiOBEYALcO3ddFRxC7fj25KVuAJc2ORPL8FiL1jm4ZO6U
sb8c7qpDl+cpTKwvg6FX8GZiEt2aTvkB4DSyCOHOR9AwEe2I2u46YOcCqB83RZYnd82b2I0Y3LwP
v+ZTBCVoR6Z2jTun4U6iJGMhC1RQYWe4GrXcatVsm63hnncVXGUNN7YDRSAFhRCracIeJUfDRTe4
QY1dYtnz/eXbEcBPiaPQAECojbexVgO551do4sZgyBg+8zoP9Vy43A4bBKNltd2xAqmt0jZOkAjA
e1s2gevrCTGQNZjpnQeRUmR4th5S4atmpaybreTKj+qr/tqw6TXAymxYsjW3vbfCuRoNWPygTWSK
8CsjG6Ry2G52Hp3eFnaYWkSeUBtwwd20Ht3Uph857MPHR0pPbyin0/Pd/jkmd3cDeUPU52PCKHRo
7/Q92/BoD90n5IanWBpyy9+lwj8KvBeaL4mBdA+P9e4tr2ZIgzC+zCob2lDHADNs4k5B9wILR0ck
2zsaM/H02kG+yR28YlNgYrgt5HfLx9RUWAeQ1mOoCyHq2QJ4hfTe4Cjr0FtjJnk4XuD2D5QvJlTL
sYR8GlMEy1gO0AyAcZ1tkEwRarjFynAl3DhlrT8KSA3lLi6L7mWm0Qk3ZktDj6f3iG25NrD2h+Dw
AWoqBBE+1n6OD+DacAncUCv4rYUpRGO4HeJlhCspC+0Cf1nWxT6dSJYpHbUEwQt6VlEnuWTrKhva
bhdj+lOEyjcFKiiX88n4yM8efEMXezgfJ/DQLOTMrL7VHImpVNpKMLDdHq1Y+LldieDaIYEHBhvs
XZ3ueJiqbUvnRSLdHawYyw+XSBVWjdsxRKxO7iTrzq1g7xC9nqa7zq3PKet2jQviMvyOW0NY4k3h
wk7DMsewwAV8Fbd1iHyR20w4ShAfOGagrU49jCf5LJ9B4fck7cGZsQ1W2r5/KFy0xuKvLJunSJFZ
PYLXETYctptbeoKxcSsLz5C4aCuB5UMn4+W1BfwUbEGCiBOTihgWy8YLHBObjM8STzAitt5I9kjD
+8HBs5DOBWEtHY491VfjBpbZTc+BzcfYekjYMiTuWhsRbH4XMLQoOchLPwwPtduxCnFnBPuW4PWx
CuzYNWFeoEbBJjjtGavpuaYUYXWN5Yl5wgyGbvOS4lBTMvmEcxz2Pz8CoRFnhWwoViHSpTy6xffe
4TNdI9XKXSc3zTy7zv+FNCNcfgUgT41kLE6nWIiIGdzoAKoNbIDAAcke9o0J84gPO4bRrrCAuVPu
cDNCrGoJ+fEOYbUIC2u5aCCF5dwDC+kYW56kNS5mLEDsjocYVPXwFccNh0fiHVKsI+4a//PRhpqf
A5VqPJ9vYb5doQ+NPWEB+Yn9gnueUuWYPcDMrXya4TiDucJKQC8ZkuDguCCo6+HV+CtPDj/udCuR
UFhwbCfj4ooud8YT8JLG07ARViE28+XDSde921Jrle+h+Xef3/drbYfp4kl3Ej4LJzhy2z/rKA5g
Ke19Zq7weVmKoHWkPznUkZQPCYbADxHa3mQKPrlzTe78lXADx7zJ7npv3HDHzBccfwUBRxP/ElQg
KHFyFnn8MDhjE73g5N2AvhMyjQR+CB98NmIYbdnZgjXAfuULGV1+9uBCoABjyXALsu286w6l60VO
Tmn63iFRbWJ2OxRCKsyfxSIsZbSKgrGH0DesY9wgfrfVm9Dlq5qfkKsHfrfhFXHYwVq/5W5IuOXP
5b81aePxf6Nb05VvuOfkp8HQxTEKp0E8m2LZXQkIr56xl5T4P87YP87YHVpZo7xt/us/pGvHiUW6
3tCNdk4HZONiBL/ccYACij5zMynvroEyrx9e+Gg+1bd/HF5+HF5+HF5+HF5+HF7G/xG8g+Mm5Uzk
nxv0eAb0q6PLorIjCVkWWNx8A2qAnPTKNRATX2kCvPYei4LNP/Ue1w9hi1LBj0PYj0PYj0MY4q4f
h7Df/xB2NYpeFKr+pSjauGKPly0aIthKM2tEpWSg6qXuUa544TzfKgdeWOXIMdQfCZIVqO6C2Qw1
RBCN4ISK0jpTbRl1DA25phl5GJ7f/ilrBJyeyV7feV42oe8QuhPfHuY10tvol7Q1d0DaoEMSZwTo
sWAB4G88IcNzHj/lWTf8fHwN93X1ShfdG3/eK71a/rpU0j+djP6blr+ki4L2LwIeXdEg0iZCgXIJ
IQcXFxhr+pYvfmTrkK/jObf7+7f7ib4gqVoA/HCPX5QM2fQNYIIDvio8tc7zfchDrWb2cjOTQ4Wn
QqGQ3N4K5AAowTo/5IfGNY/tg3xU9pD+Oam3pV0ioV0BOWKgXNUgtUSOx+Mr5BbIEVnNlByRiprX
81pcAZO6nl3QZSHV3zkFsqOhI9FiNQHMWjHe9THicB06BH/dk3n9lBLj9PFxDskZZQCMVWBvETt9
oAYAzS78AgAC4DzuOWxTcDb3GyS+tx3x6dtbTIH9QOUP2f/7mt2jtIG8oMYvGBBOoEI6/p0/wq/+
dI97cblHeOXWwRc8g4MKTm9fVya/n0X/NDOLs30K/p7ETDoVWGX+sUHJh36DQhEryKNBnFs04jyA
CYvcjOT20svuArxM7C0B/mULBM0demTsgIBsEiUPXraD4h51QKOLJF+EwgSuBSS69P4NUJvpctc+
gH2J7Y/pCtz0UkL9ao0tgupRmUAoJqMeoH8rH/13wKzdYW2co2f9JJ7k03hsbCMnINWXAbEEHZdF
RgmEUMTYmWc0B6oyKEN4N834UrzqKPIxAVjsmEIxFPocaBwElawNSaj+6esZUDjM86txLwJ1q2uM
vvSxN6a9FKFO+85LoBl9BXEXYZCjATEZvcuczEltgSXn5BzuIN+Byl2EihDPaXN88NdjujTYfTWm
RVjf1uAbS0peW0GFSqWoRKEUojjt1gSOi9fzAIghjXfBmtAWbfySXQAJJD0MzhrYJXRMobKJKmBz
KcooWPMxhgpMDGpEA0qY6Q41I0RNoKN9QovqlaUALqAr93Th2eMcJIiRgPHzaoGJ8fIiLeoGOw75
AeUX/v1TfSgHcAnK1TccvtSjEuffo/YDPFp74Gi05i7Fd17e5kVmH+VnXk7ncCZe/uYge77eoYGE
6rtbl1BnYsopuK2tTaWyCjrhSDxPHsQMVg0qmA2LtiOydM/6YbY9DvkxaQl3j8IvZtFE4bRB3a93
LuU0JKH5iNMVuPbwiMUS4NfUA8cr9LayFhEi5CgUf5TusHl78+2Pj7vte+beHPMEmjoE+w82KmL4
EmIPnj8s1gChxrPjPOfN/T7/OiDzjbo1CgWdx3/mVSCeK0d5Ecn1+lJPRsn2X1xe8qJFAqz/kT8p
WPIZES8YBPTrevz2DncQJiG8egZ+OhrBlMDwrtewGOeSTqSkdyK5y9jd3blgmXO5QtjE09tbjt47
biO/3gffjxB/to6XBs1P/l0c86hXOgy0ukkPqo6oC0gzt3cLjgJza0zSvJUfrrzpNW956f359K4/
vOW/y1teXQ8LyP6vsh6uGWN5kez//XbLNbN7ARF/Wrg/zO4fy+wuIqQ/mFe/FihdiCI+ra5/R6B0
LeiUF4HSHyXovBb2y4sA6Y8b9hvf49wyITzOGcU0NCYsrKNWQOuyTRHqmadvPZA7h2L0Vof83Owk
DyBv9g4khZ2Sd7DuI5ID9oB1d4DR02iN8MLL1sD2EIB9cLx7HanmNsCSgbPK1Z15VyATExMA9fpd
csFV5JR3GYR3FiJv6P2Fp9IFn298qitySnHSQ7PmlVD26uUtzmd/ssvTv1vINkVDkkQdrbxLCkAz
a7Ko5QEWdBnyW2hRMfXBYI8cusWxsCNDME7rWxw/cABJPIiSXLCiFe12HAcaO7xNBNysOoFySmcA
aAXcHm8eYPEBICsn20HuG/kvgGdQIeeAS0B5qII5DejoBuggKLhOj6uB6Lmzvw7krl7cIlr4U12c
8l3k96eZW+y7SUyCXFZ78HUYSHZsTvfIa9w/4hyNlgoRWRDXPUIXAoijS3by6B5PJdplJIrzyJXj
BHdbvzisfhrJYotUPpiMUg0jOTir9fnrObx6mQuf+Rtepsbv6FfXuUgUaEoBlZMaqZrK5ljSZD8j
SeNEsF4vPPnystrL5Plp60LUANZttUfKBuw0eOTwArAjnlZQ5NB4WmGyvylus1Kd7ChvdQ/it152
DlpSeF/fPT6ir0a88I6zbxmFOWLE4LZ1Nkjoff3y6neP+Z9mfuHF2qRQC9mA9agtkEGRZKLJ/Qtv
JpO20JzF9xwITM3jCE2ORE+Z5DnShsPG+Qk+dEJ202RU+ajRlY+MxbBVqATj4BOFpjezDSVRYJn7
wfZvvh74lftiLc+/oy4K4Yz7kp2e0Dp2unbA/r7X+PnGWIsUfFmNYMyv8AabFl3EkEZkYMuiBXJ7
SKEK5JavjBln7xfkVZ0VcdHJBr03ojkvM7J77/j//Qium7uaPJWIaWuCUaKhjWcIIQdC1zW5gS9E
g9MZebwPkYiA5X1cmV2F34UvVo8l4/FP8Z5QzkIshrgIWBXovZJHizxWSADzbPG3Hf9NzyoOZ4WD
b+3tE588wa0J+3qyru07a2HG//j7zuKW5NOd+0f33bXluzC43a++fBdG98+5fBfm+rdavle8o7Ww
wf+Qd7xmgC+ZrE8L7Q9jgL/LkWiaKEQZIhQXNXFhgfNEkBpNhzrJS4j2JMhag7gHycYH2Dp6Rohy
B3vH0EvBi1RXOhckkRuMXxq2n998YZ0hhS0XgjKivzaj1R46L2gCMdDwsbswex0yW/FygO05nN9C
M9UIsingPM8aGqFeNvU5qIlZEWiTNTjMVOjp4hYenBqK1zP/CZB0Z7+HdiWV2UeMq+hdcyOi/Aui
ZXTlFEyhZxH/nFajy1uNYiTsI0f0YvCHQEETHT9nnmiFerGX4PyTObGdAWKNB9H9ISOAhtgdk9kz
j6Ohy3cllgPv5pWbs7D6UxWBhdLHzDADndTQi7hY/E0B1zMhrOQ/ijD9u29QV0U3De+tQbcxfmOQ
x/9TxeJd2CN6yxWH+4iC8N6Abxb+ssKvedTEO3F4PyJ/tW8VwWM/fYRH/hzwB+NQeIsWMID4Ocy/
RDEDJUNbRnHQREfUTEe0d/EqOyi3+M+A+6MjCW3hBjoG+kuDxYC/Qu8UtITdn9D70hp6UvhD88oR
8f/hn35eTgv/lAVS1hUJlpOIU1JFXgKyqujNbYBQD6FhQ3Lm8F/wNZLZ+erbt4eJPSgUzHWQ/0Hv
+hsYbODDY/J2+lhHWPUlDbEYMnZtbq8u/IVf+u+08L9LG/XZIi2calX7eV9mmMVLOM8zFfyDTxoP
32LndnWLHiL0EqGB/BL0R5jf25eXCoHZ6eP+HtQD7+8muJ8SnIf9FY/w0E+7XX98fKCX8OzRDwHl
WD65a8j+Yj/TM1r0IrTolOjDy100uPF6bbw+h/ZErti8q1e38Oh/rqu7brQWvv6H0bpqtBZhye9m
tK5GCosz5q8aKXw30LYkUYKgjSQrl+TEp/DK9/UonUb4QnipBts9wBEe3qqASVg/6w7EdNdXbPR3
KWfNT2+5uNxIFlo9lvGWoSG9jaIJVgqzhgBL+6KGaD/tpd7NYqlmSZJlELwDR6oqgWpUTYglqo/D
AKJ9qCg3VBDLY9bLL2VY0T6falczkgaCz714bcTfDRh+HrG6COWyOIFydwPDCSYSyMWize8tpOVK
IdMO+UGoi/VeCRqQu2cOSljvA/DzX/HAlyz/LwK6T0NYBHRZbaiTDmVpFwdrbqJvIFkLyACns0sJ
p4XhfYMBcEInRFfnjxRYiK/PqDKPir4awSJqysaugao6RrDjp+O3044TIh4ccPpB3ZRs79YxOV15
y2v3fRl2/Pr3/cJk/tVVL+KJpuzaQRBw1ZLDEwPAhVUUuS+kOirACioXemRosZ09MPn0ZGB79PHx
0DAjpxxogogBIDF5mBIe/WpI+yPLAZDSx/3Xd+r7tu7T8li49tHsBUHOMcx7eOsXHmEiKkPYiZQG
D2kfmdtT8BGV5MhJFl9VEAtx2kZ3X/NzCG/s9rxbHgnwoQ88H0PRiH5//3H++HqkVxcyn/NPBufX
X8hXp3ThSX+nKb1mJrlq2ecb9fubyWu7dWHXsyBRhqTEGszI7rj1vl43V158iW3+x178IjTxxS6/
4CM+LcoYCvSiP8AlYbc02MASaEpATEKTXfzQki3vgo9oui8AqepAOQZ+DdB9lWQPcgaOeHrjFYcn
++srvranl8jf329PS1eCiCWJ/K8RRFzxRpeb92nGfgVvdHWRLGxsNkOdvKz5IhEpqMQCAHkRLcED
NJRT33KfIJBvI8OZ39UAopuQAEkcfw8sogss4xm9+fRKZHJ1TEtr+kcY08K+/pqb6R8SuvxfXdPW
z2n0nP+FdPX7c/eX4uMv5/a5jZo2em3+k7/YawFx6CgI2//59z82P/2M3jv23D7/3Q923kbtdOre
6+nmvelS/Cle6G/P/P998C/vl1e5ncr3//qP16LLW/5qQVTkn5UrUcL+ZEP4SP72d/vnDH+3en3n
Ype/+IufxC4FSfkr5FogGmZAtVIzLROxzE9ql4Ks/lUzJcu0IE+jQByBS03mRc1FLXX9rzpUwEwI
XVqWLEFW7f/qXerKX2VVlw3d1DSVC679I2qXFzKVn22wBqFLSQHDtqTLqqIbkr6ItPpeD+suUkO7
S32QxsQZQK9lUdN2tmBvawtC8I2A7vNRy6nYjo0bQnuGhKYckjYLOneCpC+TJquggxi3tC8GUBQX
k/8YT7Fxk1g5BHQTCwKsmQBmpCkMaae2QOULlUSn0oCcV5tCNjaBYrtYloPd15bJci2DWmQuIxNa
qQjsdEtkaSODVLkyofRVGqDgUzSTWfOIbZ8P4UM+y7NjzYlMZLOsr+z3C2z172+SoaqyamqWqlqG
tpQE1fSxGY0clxJJSbWPFAFqnNCGSVfpFPt3Q2cMd4mpVqtWTYJ9b3bFW9PHegUBvDbLqSHJUAwL
Wlk4zpCTuQsCv7wTG8U8xpIhPBdNn30Tmlp7HpN8uuLOFk6Cz68l6qKE0cuGgslenB+kuRiiLDaB
2J4Uc1O0ZRwRuY3BRijF2q3VKfPNNOfxg59rsuuLenQY5lFDM0OUcC22mitmV9pulvTOS8aydoNw
FA5ikAUD+bRrjj/dzr/rneVr+tNZB2OVIdYEdVf+CciItTBheqwXZtQNOtPVIMfyaCVF+CYFZZi9
GXrtl0ej7otqJ3eNnO/lRiplR+4FEdNQDrVot1EcIiFsqrp1bP007RUiRMpYs7lrovBblvqZtA8N
QU7ucsFqMtZrgbaVBaUDp5Y/a9FKGY2i8OJ+UKvb0fdlsOZIPVTtsynSTZyI9aYUWBWEfb7WknI2
V1McYLVNZd/5rMzNWNsqjVTAR0VTrj2kvtGMROnq1o6NsZ3vps5saqKMYXGWw0K8gdxMeRcPoejb
hTDMq2EWJPUsIm0geZIampM9qkE8e2XQF3fqHFtndZ4UKGXH9fwU5ULxHjRlf55juYWmstlO22QO
OydIKw+i5uCMa2K/I1B3wv5JBjk8hUo7vBRS1clkqmrroVZzcQWFMFQetEEBQ3zpd89Z04ir1DfF
9yJMCrS/hEE2EF2v6mbTNWm9U/u8eozmcvDqVpt9NE+E+l3SmsE2QuVF9lojn06pGJk3Y2sIN1pb
ZI9z3tWPeqW1mzTydS8flfC1D+QCFKlKMj/OZQbJWiUCy5pkqd9EaxxzNwzrYC2MhriFbdGdNExB
bxf25WmedW0mepHIXpgX7aFsY38NKzpvorIOD9rQyCJpg0RmRjynBUWYOe1TQQIT3STFO0Npsp0Y
KdI+g3R9TrQx9SEXb2T1nTqU2sYI5HEf+zrYcI0O3Ty9nm9KUbC2sR+pkLMU5GZtmPH8VOSlfKNb
U9cxK++0TdRBkarMJhlp2MKqXHOIo4lUU9a5Vgw0gw5zuy7DsMvoKOTlvV8nBdi0/KxCR5JYlaON
kFiod0JVFPop0kL9AULYilfKwrDpNN2AkqNoPg91MRz6QjKPxoQl5oxzPIUbdJqI001aN9E5lAaw
jUHNfRcPVncejEZ8bON+FlicN+Eqk/I+d2shkL3RqKG93XQCepngF+9nGIP7ArpcYGQdTfl97mML
wLio6FwRuyukwOQ1UFIcTDEmQRZVjhia/vNYVPK6iIU4YUUjpZu+NHy3aKXKKSdlaLe16rc3uepD
VbGth8CxminxIj3Pt/ANFcL6wcgG2+ob0/Ia2bDUVV4KUsbG3Ey3laHVDzBtE2vruliJihHfiL4o
bep+lm3TT+bcw32G92kVM9OZrwy6yWozM0Kipbll3VSlFX6MU9Apdtk2vsi6WauFg29NPUiYggHs
iKMS3BQd5J4n6IBLTJ7HwBZ8Kf7QOtFCG1QRZLspkzXWNo186mtj+hZGXflSYB7cuAmz10poZKg4
5xKc0ThNREkS3+3LUYGupTDWr61lJC+VMgYnKbJG1ZlwC6G/KSp7sURPC/HFtPSyNvIPbWwWu6Yq
p0M56aZTVWq+DcI6/iZpbYQuCoiZR1DfDNq1buq92+lS+aKaFraEFg4QTtaGcX70ofznqVWa3ipj
LkI8IU2VFHg6U5pIKCfpyaw05RYage3dHKUlV7BPI7vPg35TD3HpKfLg3xaVlA7U7H1hnYd6e5Cj
pjm1hW/uJ81vn5tINLdprzVvli+VHmye7wXRnH6LDF3YtGEP8l4Yl+xb1ZcdxEgDuUcdLc4tMHpK
iqIyVWpDkNiWMXiQzSaEnkCXF3aol0YLdeg5OupN6Fs0Nbph5UeaiXyOog13kSXlIk2kPsMNLhCA
6FHhr8tU0p51qRLvhqFtOwifitq26iPfbVutWquJFm2GUAb9lt+WE620vJKpLtVK5zSCIoFxtE+b
laiP1RkzZKKQGPk9iKnntkmdae79m3T2m80g5hkEvnPh2HZhcSsJ87jt5UA45akpQCs1zsyNL/gG
LYq+e4ny3CrZqEXhejRmg8h9YNkw+VKLiCDoVkGQCgdYoabdzHOWxmwMx+ApqGXVaWLBgHRFEalr
YQhKJ5drBdsySEBopbY5tLctUdqXQgwi6SEY7q22UVy5qeeSmv4Q7MQ6qHSWD2Z/iNUkXwsQ26td
eZzqgDVqnpxHLVNVMuul5nZKkIF+sdXlVSamAa69ksp7QS0UgyqzqowHCe7znOGKfTpranNXJFF2
qpQSfZZhLxu39VQYcItFH7qSMon7Qs7826mq4I7K2oQ2i6gl26YLgW6rivIBWj4SgGvCkN9FgV+D
h1IqwA+OtN+pn5Jm1WGOES8ZbfOgq+2INSEFK7PvQCKamhKRpTo4RZOemaxLBNMboyy3q0qTVmMu
5zftJEOwVezSfasMzTntLeVdlo3ONrU0QfefKEzvluDnMYnHPmpw6zXTqVVh8Do/D4/hnEpObgbW
WjL+N3vf0hypjm77V26ccauuQEKCKeQ7nX6XXxPCdpUFiJcECMSvP8vdO/rs3RHnRvTsDnpUjiin
k0zQ91hrfd9aCg+vV0awhhnBd1OvUl1U0JOrlbDhPCb5cF+TAVVGEOL0bQahp6sxmHKX5YMJ2u1Q
UAx2y8RidHJZiNjqPiqvKzaiQdVmulhS8S2JbHltbNeeuzBmV0yHwSViJgyzmSzjIysCsZ61qPPL
aurgpIWnj5Nqc77pSqseJVtnn9ZkVPeYOcROSOZ8KmM+/xoVWburPppFCRupNilSQ9to19Srve3n
IDi2E6qmjdE52w5REDTHvmLcbsW8TPlpWJq23S1uHg6kIQl8VfK+A0mfwywsXdtEP1payp0UJT/7
eAmfbKeqM6tD7LLko30mkjh6LB0pN2vc6DGD2jupsxIT84+UD+S4VNSpnQvW6gk/TpceCXEXjyqA
0LSppmcWr+5cxqo7BhPNg7RiExLy4roc2YJ09WXpJH8Im6g85azqz3ptWgsHdqoxaD825Vm4wW8l
qqSjbyJwH0KvxyZpOUxownn9nFEUPOqe9m85VWguY5z7I5F63hYoqWnWx7w7IWMsh75OyLy1plhP
RYgAvG3owu5dveRnYvpoO5sg2pV9pG67cIXMYyqJS5MR2cBYwW97XN12zENdbPwkRJ7qQcmrEtn1
dmhXsidlQI6MJ8meFRGWEA6Nu8al1w/9xGHs2cRk/UrYXO0SFpiHOCLdjkwdv7JGlxft8ulNq4Fd
jU3d3nBk6OvOoT5OST84vEHTRvtwDt2v0gb9uUsKdeiYn091ZMZmm+s8vzUBxXBjXi27pAyiYONa
XQawB+XtNl+n9QaNtPoI2hHuzEHb7XivySXQLYoJHxuYIQVxN+zQxpXRRsFL7kXGpLsNS012OZPh
DGPokr4veYCeLsol+icuEAraQMtDrwdzXtmoL01u+KHlXX8sE2bP3of6kwiPXYYu705E8KZNSevC
xyEfxjgLlrqhDxLJ4Jp2SJmjXcVb1Mzrazv3TpwrzuL+ANdU1NHEqS9bTMNNWMC2q6ym+gIlZfkk
qkVdsbjof/JlpCc+UH9wq+BHRxGD91JJe5SjGs58bNZj5AbaounImztddrHBcSfuYjqCha1LV8jz
WtWlxSFe/H7q6XIfx638qIZKQrlO5/ojKsr+ZvIEY7UoDd4GxJfPxS5yz6KuP9cdoeAAuy7fjtqV
FsVSWbwrNpc8iyvpXjWp7NWkDdu5RCY+U/FkXmk+6DOMFzuZmSbRR+yi4GdKYoKKeeQ3tW2M2axt
PV3XvNaZiFQOJ7OZN8X1yurklhZOu41vClahplY4u5DeXiaFRnrnWWKeCh/rQ7Ty6TquFkq3Q0sr
djVFtjkaliwPooqr5zBaEV36YqAfRAb6GBXmd8Pw6cc1p/elmpLrWQ+V2gYyxIjGwMdTGzTDXd6b
clO2Zn2o1558DKZZ3TbJewWHiKle2ClPZvpq4i5pD11nTPkQ+Mqngy/KN0EnA/cGTfWWk6W5kxUL
5se4n+gNd3kAP9umsUVGhrj6JN4M/WXtmuSzm8mMglszeea1ZN11R2NzVaGUo5umi6CqmstiP/Ei
gMZmDux7BLI238KU1x0nasavfJDTe1XPw3koF/fa4vBi1bOTgh4K77C4dERbhRZ0eegkHt2UiLj5
KAacuLBTFvaOQfPY8aD9EmUynpvZNveuD5oFIdwEd0VQjOd4xq3YEk5iloYkHo+z9w2EZVPEEA1C
8bBIT8uNiPnyZmi37oPINzqTIlfHGa1pd12FKFA3KpcUy6ttU7RngbIXJuxx6Hi2tAka+sF4lPRT
3p/mzqxR6mxYX3lrm+VQhcS9tSJvP8H6FthRHtTxm46Xfh/0Sfdb9mv7UhLfXU8hc/NOJWF3U8bh
vEvw6qdcIPEA0REDvH1HWp/GJIZjeju32HKuY3MXiqaS+3Uq88Pkhxp7iAfZfrDCdrfcTigbC9/c
9WW5/GLB0j9WyxD+HPWymixX1MkMVz5hP0SVBF+lYsVti2ZwTNVau0/SSj7ua0/YeygVx1PDabSV
YLu3tRzC+5qpDm5+eRlDSjfM0U7ZBlmmm8j1KvJwP0xRf9ChGbstHdb4fQIGBXvh1VRz2rthxGBQ
2w2XfKz4valNuROE97ekGJohRQ0XYkPEiOI5DTnvIab2jW/SsovWHdp6csONtXGmhzZ6iNuEQelc
iElg0nxEH9T4OkaP7UKAMoxjzqUVdf9gXV2xnTCmQtaVS17vOjvVKlvxj9mKkZF6x4qluHQaWTVl
gISwDGEG2rZRpAJ1UqzDE1J5cuFxwbHpgnGyw3SVOU+hCd4NN+R9CZl/CicvH0XZq2sZKJSGOi79
b8BT0S0C0bhTgpVX1BYab+2m+aKWur9vg5nf53NRnzvhyKWXerkNhNbYijxP3w7VdIyGrPOROFPv
4he4waKxC0mYXJY1Wp8M2vqDNp29nWwpP13h7U8zdAR7kBO1hpsuDGaVsljlB5dUz7GN9HMh/Hqe
lXaHYRyw15qV4sWGsDNPY57nDyzs9Es8mv7Qj+0EwzTbdHdYX0KOvePjMWrqmG8bMwAzaguH4FjJ
Ib+eemOedM2D7/TAsXUWmJrcdcD5yruF8xibuKME+MRomhdB5llnnK1YFZDz9U7IyV5QELqPoElG
LM5uJ3GnkDeRZJb2yLzEKUXp/xK1a/NcJx2WEI8J2UlVwvNGL+3DNHcTFgcXKxqVQlmzKwABRBtP
9HLu+YBd7r2fUYHRRbAbLZja4eb0V/Mo8Zh4YiikHAUgnFNeobJI895LCBpVMja7TgWV3WpuZrIZ
Eb4+5IibV4auvAnIgJatlJroNIhMwzYlGQ25LqZRNxvVBfqsKtfBnVDW+ja08XKc5hklVeDqkN2A
/MaTGg9zci4Ieqr7Pq8J5vDIWPW/lUnW8n50QkVLqlHVdNsarub+GNpmDc9N1Cf6dpo18ze+anLb
ZDMPRH4QBL/6WVcKCg9eJnmUqipaDrJcySUqguBF1gN6lvRvXdh3iRS8364msPk+Wfr+2eQ8ajd/
q4WSGDEIp623YrnIxshbTQiX2VxG0f3fGhtNebMiHQ1BBAueOlG3dqiQLdGtPAg+DQ8DC8KszYn9
ByT7b5Eil/LTdgOcH//Kd/ydw/gfMuSm/90+jPb37/Hy3v/rb/6FN/n/hCgJIRX5v38mYv5ClJx+
2+G3/wtP8v2CP3iS8AcNxbdFtGAiTIKI/okn+RFGLEbxG7MwiBgDhv0HTcKTH6EIQJEk6E1k8Gea
BP8VYGg0SqSUeB1lwb/Dk/yLDifikicx3iLhuAQa079Tgn9iPoGj6tJbjolEigtMV9INIdJ112+n
ORoBNOJBPQ+DX6tv3DoeUxNUoDSgm/o16Nm8LrYqbFoQ/ZjPUwOfyKlqny3t4AvV1ckr14m8LSlL
Hmix4OGeEZJ5IfPPv3/h/3n2/gvd9f/z2QP9eHn3v/9K7H2/5o/HT/4ACxeFiWQJk0kcfyto/qDp
kh9UghlL0MMAk0oEhcTij+dPBnjIKF6YgBei8vsh+z9DN30zeJL+iEHSfZNq/yZHJ3Eo/sKLUMpA
9AV4/CKKoQP6L7xIyVU/GELWTSPWVmSg19SxcgEQIiH1oQDNEKfKlZ3bWmKna6OiqTzTFcVs6lSl
6gMhJXBohU4sSEfAfiAoxrlZU8ILm6dSJuWzi4gAtVbK+a0OCjT1xZgvmBmraFljnxIwobQK1YTJ
iciN6dStEByHPbsVtFy+grNZU78ENYoP2JZ8D/SX+xVsj0lb1EDv1TquMIXNq+lhjADjSk/KTJcD
kDoeKYB4ZdKcZ0JXWOgUBDv3VxNinK3VM8wo7FCcZhFVn2jYj/CNwGBfFS7qBM3L4jIv+ulJIDY0
m0IZsx/KedlFIQ3gW5GMj0lbNiiOevi0ckARRkukmSBqR/TvTO/XggTvoQ0SnzZTjBVZZgjfl74a
39rY9YcORFAajU3zD1nNf47hfwXfKs3/PQVcvY+ufP9LCvh+wT/OYBj/CFkiwJQj0lM88f88giH9
Afoc5xLtDCotcJn/PIFR/IPGYMqTUISwa0dO/ucJjKIfQnKB30fuCBC2k38nA/DvBPSnY4h5IgwU
gf/FJSBE4J3+RQyq0XG1oH1gFBFF7RfqvOS1bXiJsRPw4DUj6rdunWkBcy/xa77WGnCjn5YLNWCx
d0FS8ydhVw1UJiDgV/JKKBi1sH7dV2uPPszGkmNTQaklrExQ9sJZhtd1u8kT073moE6nbfXtm3JK
lkkGmZ1caLaNBOaSQSjrIZLytNsFkczDM9AUAex4LvQjvjVUpLZegTTwzpI9gDBs9lr7eMDsTxdQ
OMjMs4dJFltKgJRRabDYypTBTheczmDHcgqXRmDTLwyFs0q5cAnW74FA7LeMFSxKmUOvVZeLWdJ2
EWDs145beghnTU450OA0Gub11iV5+zXgyJ2AnTSb3JnlXgKIvMsj0P8buoYDkC4W1u+N7uLp2QcT
dl4x8C+XMWz8dRR6jx16FfdP3i9RsV2mvjgmCYDoXWnj4BX8g7Nw2uYu2Zk2X19sAfJ4AxFCD259
+N4loAmaBM1oPG4QumsoGcBRBNu4GuUvOxNsZFvHgtu07cvoIiexYuba1Bw72Vo7faGILZ8Ux9ts
axYLnbWDJDKrZlXUaU1nQGJFItdTBYj9p+859NUJ4KhnV9Zdn7ZTgUq4dMCysinPE7upx0E9jRQQ
FJCKb8LQOtCAqayERYUgunkEUMLyMeOA3NGs1IXGxKwOaJ/layuBCbTjlClXBb+mKWEn1pMmToFY
YLGdc3q6Huq+CPcmxMfB7QXGlPI5X6Jdj/7tBDpr6jObTzm+krycYZcTNi4HwyUjrCS0Y28PrpuC
l2SMDeaupIV5DgnhvdIRYHJBPzU09dx0sJcJh+lqckzDGKRrcQ1OGgUwXUj/Aei8feEW8Aqgh275
IEn+nS1MVPPNxHlRbkZgnHk2TjkeJevLlcEqB9SgpSQvwD0O5o4Dk32ugpXCR7GO9K85byEnQZoS
P4ETi2Kr44r2uFWq0qCj2zGdIbx5GZ0udcpVLZAoQPxDOAbIsE9ZMlmzXdDxP3NvtDi4elJfNNaz
37coz8RmZkOpbxaqKUiKJGzNpl16vy/MDJokyENWZyK0xVO+qmTIKl7lUEbYPonTamTrU28r6CxK
HxosKfFAYjNi7VxkRRPKYkc0n+qs4QFDJq1Ajw7AkqpMq9kSEC/J+LZMhj3nsbX5hgUrh+y9t/lw
YbF2VRok1Wx3WhAPLLeRLQeJ1E32yOKwgSBuVc0HTXipDzEZhuu6gi7ixs9kwiy3DNYgG4YV9z0g
RQi3OZsb2K7UyQoEppRq3ljDY7EnMaqKrE+Spc1MOKzLaQmK/FF64MYphaik2JR96e5iG3fBqSS8
jg7AMfn8sPRUB28AmapgW5QjB9VdA8HZGLsOLxYPA1ZxdrNb0sYy12Shr6zJvlnJCkvzRKVtlfYD
btJNiZ4xv1NzKLEyLieD24SjTearyYO53zeu5cW1Zkn5NYqlcGmhE5cg/KCBS1mp2bB3YqVPDOUc
XDPVkvwO1Vq2u1mIONzUYFKnvbM1kM2lInxKq7KVJ9ADVXgkltfFLvaUqoc1hJgJ4olB0wMX1aR3
0MREXx2R7nNYtevOUwAOZNv20fjcNnnt8VBb7tPRTWu9XQZoBNIoqmLABV046i3LQ6HuQt9sY8H6
dtsMZv2I8mbBqoIZSSRbxAw9QR9Ha5iytmSPQKPVkE00mADkUUlM2lUOwpywpvlp7IKWpXjb4dnw
eviAGHgEGN2ZQYKt6QgmAQPetdkwks6n6Hpj7DZc8inYykJ05W5agRUBTQqqI1gx+YVKcxFZWeUM
bItD7D7mokjYNpoDRKkyL4AyD4N2FFCLkds4cQyhpe+hEIEyKClBQYt5PNiWxy8lwn6wJ+ioPizt
c4uQUQm6sUAWh1Ox5uN6KCAzSo6u68fPwZopSJfRrI8kyPPHQcbxcGji+JXILk95w6t1XxdKnNbc
zh/R1KnzJJIQhmQD6LY0Cl02dUv3aHkMF8lhaL4m45N4T4vWH0ZSjIiaeIvPvor6r4UsdEjrgEqk
kLl28CsWK/LXDAnckppaLW8I2hJGSngoX6KRA1gmVRDfr7EYn2MTDF3mymW6hXLMzlu95vOzLklX
ZTmfKMIvnpK9bHBfvsVAMH70uSGZp4XvdtYIsaatrBaoLrQPww2aDNGmwej23NbRQwfgW20ap0EE
FFENTsC0KM9T7OBNXjFMWMgtT/LiXQ/TigXQfUXrdNUJGJg4jwOefasOeIogtH7h8zgLPhqDSHtf
uZhf5UDvYTYM18pxE7d2uSls4dVWNO0CG9lVhm8o8hwCectXSGcKlyzHYs69yP7Ti47++AuuPhwd
3P9eBD/UnXvX/1oG4yV/lMHhj0hEMgASIoE60G+M5B+daCB+IEnjJnPgEUA9vrct/w8QIgKGnBaE
IQu+Baf/LIO5/CFRrEqUwVCh4t6Jf6cMxgvxp/5SB4f4MzEuIfruSiNcI/7/T1AIQA5t67oHwW2b
sHj9DgkomBLqKDiQYNVZj45qSFUiyjKzLKp/xRVKjHUKNhIE/gHSQg/RHCQjmCarw3i/grt9865s
j/kcmleUPVNaNsjfqsmXp6YCh2Dp+hj1qF+ayE+bYembx5VYLELH05l5JvXvGtLGs+O6eJmlW+8r
C1Pq2KmrJl7JATvaly3Ug+1nyD2A3HZxT4DyI8zbRwQU1Eiu+kpC5xPLwewiOTeHkKIk90bYE7QW
iF9P7rtMUm91IXfAhz8hY7kFgFnwpz4HHditzmwj1rjjimAtppn/6hVrHjgYopuZTqBiLOL/teyD
6EN5IPyT7FYwVoV4iTxEIJms5nwfqsQfmmoWd1WtxDFxYjxV1NZIIfF46hn2xkcJQPUFZSedqviQ
d5jQM30tdlZRsU2mzhzmOcpfEhfy65xDZuv6zdAs897xmO4aX2GrSxiv1+1a/ZxkT1DTGQUNrgDy
dMVMP58bdNq7zml4hHNVgOgbYOgLdEAM0WegI7jgIRnctjJaLo417VUOuQLCHqnRsJS3Methtcgo
tkX1eXUH9e9TiLyRLZaC22gGfIR6qlOhhuHU5XbZ9MFwEk3TA6fnv0iMj13ayKWxaB9JRKJLUvQW
iMO47GUk2qsl7PssYpV6nkFqYsdXBK9MMYifVRm9GqqiWzLmeUaMZFedKuCnDhYJ9SBkU2ncYp+c
b81nXvVtOvuGHXS0khNI4XzLLOvep+YJKk+vsqiyd4JM4WWGZjJzyfjVJ6Enad1PwU3jIRhsRTdC
gABxCjFgGUS70jO0sw7DaXys72PVTtniXHOQ2Ki1dytYLe8V7se4jE/BLOenBdvTM6c9fWbD+jOi
tTtT2aizawdz6tsJi40jMm8UJIz9t3C3MdAkxLNBbI/s6KHKDudTPndwt2UFf+vZDACk8BDs2Z5e
oPtctmws1z1Us+EWk4z5TQXS+oIytcJqZ1M17YZUy2sLuvoQBfV004E6w0J0QDkbN/pnipdk61Iq
dWwY4PiBUX7I/SgPdRmozJlI3kAiLrpsRPZ5QsLAoiYLKUobN/DHXUMQUEsIH9eEiAx7U/qtLcv8
Z9MrPNHV4M8hWtidJgnUcbzt0LmIdcOaMfjJFbPHHJqBIJVR3J5s3QfHgFq2Q4X/OsuRpu3YVllT
G7qtVXW/ACF2IBznBCKH6D2pwGigbJ1OxdxhNcYQu7TyGF+lM++yAeTlvuALfqIdXHchG1jjopq2
1IN3Qq0c4IhUxa4BOXRupIKTbaRpGkkDXTrEp3qzcokIpKEKmkGu3UBvYB+asnQnKjvYLHYaazbQ
6Z2jgDfnPORg7uYgeRTVbM5MocwHlCjxNREfpuAcCWgVbC8Pux6mm/PE34t2LbKOtWuaLMpmdTD0
u6iozTkGzfVAyjDcqppfhWt3we7E8jUU8f3Q6VdSDtO2Bxd6LTnpr4pCFUeiUcb61W97IW6KFgr/
WEKNVONIp+G8sHSZ3QR9PXrLyKAxtl7qlEByhuvpcAe7WV9BCx1nVHH5wbX3P6GHL7FIgsuHFsXg
ClBcnTEXEG0r0EOpQSK6sk3CcSZGhclGj+jb9cDfvKC3YKM+yvDAORm2XobQsfA3RQ5CNMVGdKGA
cFLult58fEvysamxmK98MQHnNI2u0paU5B519HrDYg+cvGdHDWFOJJMe+lE7pXRU40aXrt8WNsh3
DtLwo61DjCgP8zPRUbWltMnKqMpamkdRWq/of1R1Cy4hjaDH37BQu7MKwvY4iQgzxWMbHpJ1eAAD
eOMDUWZd5MLtwHRzDemZu52nUj1TSAq3U0jeUM2P6aKi+HZqQNpa0W5Ll7+0kTya8Lsw9mFymnly
AG51olE4Psi12gWFnvZklpCaYPWKIvQsE/yUe+X7LVUQbylvup2aYVrMki9WVbdRqDX0SCQH8Kre
oVGFhDKYg+uqNP2Ji9JsZAMdP8jm9XN0ptrEA85pJfoxDQuTKgE5HtF0LNIwF1HasAF33/dfNtSv
Re8UFBVN+EhaCzVSzTI9LvNvINFLmsigODie14c1JNFrKcr4auhRkhJ0+yk3HOpfhXlc4Dt1Cu48
XUoXnTqk8mMVS7NTqzZX0GhcIET0J4l+2rLgDodsF4gCrCpEQ0Uq1+sg1tXNVGP+XJjvNfShY0e/
zoCEchWg0nVxvV8ciu2d6KFPQLVefCUudz+jgPWHms/zXq4MQsS5fgNZw/aKKnkUw8yOmHn5ckVd
7+IisVgKmnTxg+5z2NXHEYW0oFRnyFHJfhjlwFMqld5A0RndQyLBr1Uy9bcYMpCpGlu/93HRQOKu
6R7QgDhN65hf0LSIHaSPsLfwdXcugtwfSTmjt5sHWJ/aivykrgizqJvnnfcVst24ltOY0pKvPxNV
Vl0ax/3wm8d+xXSwNyH68hk7c5AnPnQeYV8bGfkpaTuIYwGFPFXrNN1WrgToMPr5V9szkLYr4eqM
3kBdMEuPlf6ATNTsrmRYsx1vxAHSZrqra2qOdPT9TobThldYR9R3/Bf0QfhikbKPNWXNlWMj3HMH
vmxz2gYpcKpapnUtxJZiGuZmqXx0MCiyvsXxMeCUWL0NBGvfy/iIQY/zEvqzkKCBITwQhu6g4c5Y
H2HUEy2sLqejqdqDTarzFEPzaFYE75kw7PGr6kvUz1mpPDtBMcUhpVmGDatBVOupvurihu/M0O71
tJxWqIbuvBPybspFs1uaudsJ5T/R1x7zfknXoQV97m/9eC5HLNHpyj3rK4wIqFegg2hxlw5TAe11
rBY42hJ/HiPYRECMBYk1FOiBXi8ORhO8a6JUUItti7PNVjsCGx3fE/RxGdGOQIHb4G+bTNL60BCO
GaG13cSSbkySfBZBAgvaCg8xzsiubACYgbJJ9kWstpOePwx5G/u2wIxOESyXGKlsw1YLm/DE33sf
3ce53YkF3+QyBGxXV/wKkMRPnWC0oUgcMAWJikthusfXcCBobxJfYDXUivW3ylep7xqbVZjLw1JV
2myg9f5loYPcQKLfZxQTCSmroS9nWLUqUX+nAGaPsYo/O5c8ReLkw+nSoOxOWxZUW0Kbe5vD2ti6
MzNV6kZ8x3k9MhwYBJlCIjfWgUp7VoRpn+Qwh+blnisILok8YPqo36zoJW7yYvxVzMsZmw3dRvtG
bGdZPI2cbTWd3ljbPXRj/ctZ9ZVrDAHTCjMf2kCJY/e2RLXitWeA5Mu7HMxqhkGS5opQ0e+YQ+E7
uenKQ2qxCWhz4ircFZPgqSkmeEDMqK1r3PhU6Ch+SHCv0Q04gFAMThfuuQCamvZBYDAUAY1qUV6r
SCFZhmWG5ZcC2bn+2XYGgGxvnpQMTxWGUBfEU4/ptbtFVZsckmVgm90pMNVyQ1Y1P4ffYZO4LOk/
yMge3dqSJi2C8orgJEMseOoxXeGX6WCteYRQGD7lY9ymTRllS1VX123U2hMJ2ujgC8WBGSKdvPQG
otehIeFXvVbRGzSp6dLBSco3J1T7uKnduDVq6KDFD7N66a81HkP0FrBMAQhbpi1AFYxKGGl/O5as
OzUZUIEGTzkkTDtmJHywaQV2ESNH17Mt+80ogg98ulNNyAVDbjDkEYO7oU7HP0eMJOBiFnotbZSj
KFph00GEBbw5GUxlWHgENdPwHFQDZn8Sd9MEU7CD4rrbO0hPzpBC00yuSXMxiRI/Y00bQOGi34ed
7LZjf48BKFx2gkAXb6LAZkMVpmWYw5dmfHcjcHgMEM64hSsV/iqG0G/wYyZ4eN3l5akvTQeytC1P
Q1zuvatevR27m2qMsF5Nu5NuvyOTd3qnZ7Ud5/i6hJrqPHAHRY41wQU1icCs1BzgEMBzpO4uXkJ8
S53Y8WW9DEmOhIfVdEdX1eNhWOfqOJn4FikgTMman8cZsrK6M8szzwP0FWb+b+rObLlx5diiXwQH
gML4CoCkRM2UWtMLQmq1MM8zvv4u9PG9IVEyGfLbDTtsH5+hWEChKitz75V/8i4eue0EsqO1/pbs
NYF+jZNgCHp67lT1uClCcUEefNdWKT1k1Nbgcy41vpPoMe3J881ZEzgZFrmrXm6Nx2Zq6NTCduqZ
ktaskOa8plFkUAEImFcqzLVtBOuGVJmWZve5nLCV28Z7r9i3KKd2nIZeHkXIvyTz1DLmwqlVQ/6V
ss6dLtP4jtNpcv0h49AlDeXMA7+ztCl2DO18k6GMcsw8fVEDSl1qONHbJjYIIKw2WsnRrP7WufLn
3OLJS6fugDRZzv1tnhSpJ+HoWKE7BeKql9kDNfkVWjUEXjodlZKu5BS22Fhj815VAtAAtr6lUuRW
qX0eqgOxmi3G01KhBG3ObKqUmnb9RHVg1vWL1DJXbGC+10ghLvFUj9Bjm9TVSDoOJNcu6sKYVn2k
/m7V7p7A6Iryhn9tzvONinFEz7UnNab7S5oT/WS66lmWj22PNPcmVOQHLaEIn2o5cbml+quqHnKu
QsV9Yc8I1sNQvhBGFDgEvOj+Z6v8Y0XZtG1ENfAQO8B8eppxt9e7t44sI6t4LMfAaewUk2EuxY+F
RVJTx6m1MUlOQjWfY1Y8Kq+XHDXVBo15n3MbStKtipjqUZp78TBPDaU3I5LOojge3CDUBy8OOkCr
Ipg3U5jZpzVukV9qxzfmZ42gdY0xJshWTALMqVeovsQTLVzsTH/IpHTQ1p0dPYZxS1JgZpd2TDQ9
oPvkabo0KjERbef5L6PSnruxyU6DuMi2VaHqblKSc+8nQuNcokRnBWrgqqFZnEuRhtera+lM0xbm
jSr7UACTAvWslUd3uW7Ea2540qU9T5y6ZmtSj/e1BluHinnDkqWXwU/am661c7fFWPwuwSjYJvOk
XNixPd5VTZCfyEGqO6quz7lT8ZE6vR5XD1E/yietPCenfIz9FR+UClrY8AnrZisfnEbL/FtF9yXh
lEi5VkaZVzucd/Fz1xgyN69aP9FDNWaVNdKO4t2MZreLUJRyp6/LXF+JTBs5W3xrHWBXQ6vaoL8r
onRtKmbsO2U5hzc2SfzNUFNKtEelOFucJG4jGuO1LlEnK11jb3mKUeyGJqZnrekZdG74EHsh0lVX
zRzjY65l0aq0Jh/Dq1WOvGN1XA+2qNdVN1hnSTJa+ClwcRDVIKPDh2J2bqsnyhW6d5oRodWXnNxv
eryZuvFkTJl8UQdt6069nnpmlVTbJLAlr86U5lTNR5PzKPHXuHjjX9QmXipydzdUx190iexfoZnS
prLD+lT3A+GltgjcIWS7SqpcW16httJt3FvIko2go5tSdpERoXiRTIrOn08LqhV9O7sUs1wEL+sk
gwOsh3c43DCFYaAox0550zvT2hLk255k6vNJJFXWiV6W5SbMOyytKAWe8qpz49xPXQxbjSMFgqiS
XJp0jZ65tV1tzMKtJDfRSS1piMLlojyhLii9llSY1m2hdhujDstw1dqa+iuJM+NWaZDOxBQwt7lJ
BSvPA7GbZTJJPekZdxjr4FryyS9w3EueAl/rpDLH/npUBkqYamlSCFbTB7vXo7sg9M1LWR7DTaE2
Yud3AZtAiplsF6vYH+dISe/zyrhUtUDiJ4z5gPxn8IdbFKqEdGT5JZv4SqU+p0dxdkmJTTwI9JEX
o1VloRMFGtevwo/lU7SsyhUFgYGqQTAl5wnFQorWmhRvTAp614E8FjuNlA05AT3tnoZCkxI3ivTg
EZ8aWU+NPeE2NGIdFbQlyQo5JhHQNswIcPOK2PjHCP4jdcz/N+mjuhB0/3PK//5P/mfu4ER8lL78
/Xv+LT/T7X9ZsoHkwFoEXotV/3+T/pIp/iWQHy7mH/Z/C6nZ/2X9lUXhovLPQZdIuUAstKJ/y8/k
f5FAMPh7bJm/iUCNrir/q8y8/seMj2j0H2TGv//4ozlffIbN6EtFAleBaquqLpuKMPc0aFrSqoau
D77nrS+8kwtv+e+146xO1+uN67jOyuUPnBPvxPvwnL4ZeCkm/PPzlkrK13GZ4cdig5ypI5sKJdii
uFfk1zq8OfzPXyR/BwfY4yfJ+GIySqO+d381Q+F6e46ca5i7gXMZOpfXfza/tu+Pb9vbw6P+Zdcd
mJa1x7abM5Jl7Mi+91w59zeFA9S1ch75g9c/5wGkdv74z2b19PByeXZ/ef7y6/3219nbDf3eDv8O
+zPg6cvjtfY0Teqotaq+/A6QZfc32ULNvX+8P3v9g+zBeeTfzxlMwrvXq93p1fPdKQTanXN9utud
nl/udufu5ep8szvd7Hbb5X+tttvV2fPt5bm7vd26T7eX7u3t2dWNu30/u73c3nhnZ+9H3t5eR7Wv
vx/118flUUQF3QzF39//ujxKfv/r692f68C5W3jys7P7cxfx+8mL8D+L5T83f+7+MCWIfrzhB/7K
B/hsT6Hz/vJ0+f729AJUdftywxN/un7nid/cvt+/vxUgGgPe1Ps9VA/n8eb8/Am87tIv9ObtyJwW
zeihFWkt9bcP9bUyQKQSUaNHvrm8gZu397PXq4xhX2HXOLtLfjJY/6ft/cv1y+U/ysT/+J0vn9Oh
dbl8jh/GbgctSKyJ5ykZJ5XxEMnPQXIdhXDrys4p5PvDy+8vTOvQcMvH+WE4y8C0JnUMd/F88Xiz
Pbl4vno+e3zcbO7OLh4DupHuzleb7flqt7vaXa2vlhW2vbm9ObtdXW6PzHyP/PbPUjJMy0Dah/KG
+urn32JYclQocYzYYwq8zrqrQ9LEA34XizwijYQIeyozw1ubPM/jSySJVd7vtP5B05DZYtGeX6bk
1zDeBd1dbKqXh5/UsgvtP6i/wJ+FiyLL+22dZu6e3KtDbi+y5LT6gx1ZUAVOx+nWomrZTsWmSI+s
w293xg9jir09KknnXDYHxmR7el3ghjsIxq/XL+fXL0/Xl2+3snP/duyD/rIbG8JE+2krCDk51vS9
3XiS1C6QCGs9uj81nqlEM0z0bAi8qe3n34ef6YJx+vRQMQboGiUrC3uBibR0742TXqHUMKmmh/DQ
WIeaEJQU00C4ZOv9bZRhKSKCagFOJpbuUWKxf8c5OcF/4p3/+M3tz/nvzzCWwjwnP+f8lz1MRLLd
x5aXVu18q89Bi4dAIpNhpHP26/Cc9/f7v2OhiVl8Fix2sfd8oYeYlVGEljfPRP6V2mpeM0zipdcG
dVd2bXTkq9o/vpfxdC6B/2jq9b+NBT984CbMLeRQpulpbaFf2biNkD3Z6ZGv47sniFwYXBa8Ck0z
93hsfV2PoUDKwyVyij1S9y95S9aYrHSyOfz8vpvPon4A6A11yth/fmYXVlpSTHRZl2bDI+WqOkMz
H4PlfxmFiViqTaynIgJBkPZ5K2r0sDZzvxNe19TRJrFQgsHVCn86F5TMMq4HQ1iYasx93FIwxAu4
xxy9sZJlt7Zzug+HduAdfmL7zhniRiBUiLctExk+wy2T/bAEbDu1M4W8gjch7RNhssssjMpNe9J1
/inOu1UqZQ/F4pjB1hnM5YksdCrqxlohDaoYdLJNR3Lz84swNI+EwzoW3L2EUH6N8fXh3/plHe39
1OXPf/ipiAgaajH8VFy/9jasFNvtWhF6JJvCn370y1BCNnSb0FpH2P55KFlB8zKoDCXymJazlnjE
hC45EDryIy/g62JiJGTzi4lEtsXf9/NhUnCZslQUJE19kRkXCULic4n90D386L5sLMyHxcrtADIK
aJm9R1f4SVSPZFe8yOrNlRFHwzodevUSpybJQSvUT382noVRQDAnIXMfoYq+t3f3odDCTqomL6D0
YLVUjwINtcSwLSpzfXioLyt4f6y9DTpqufMKpZ485by+1q+6+/yifrTftMuRQspDfRbfT9fzZfgy
v0fX9hb1pTcc2Ua/BCf7P2EvJhzGKiX/xk8o7sWtvDOvtMvi3dgEW3EzgGO6tjqHmuI1xvjqtDkR
V+JOO7LH7i8jKN8CMxO8cswZNm/684KVqNfIbdMC++szyaF8Mz7UY18fOZO1b4bRcDmxKXHplZX9
QCcoBSQhc548LcxOLdRIHnnIR9gisUNV2slrWkElW3ANOP03Y6uR8/1lZpUblkuC3aLru3Wm29Xj
PKw7zO5KeJbWw0mmNV4mXagF/T/k2bFsCU7Pix1OztS8tsOTojwBw8E1e6pM02aW31Seqiw9mCCT
EqNdmcOIX+mtaMtnTq+1XgMaPLzIvpm3ociGZhD4WOyVey+4iDUbuhDTJRdmv5Jw0Z6LLF39eBCC
K03obMcqwtS9QWIgfq2qwkvSSPGt+7q/MdNi3P43g3DwW2w4oPyWmX7Yb0ZjghipNYOnUx537ITy
Vdpa8X8xFZ7XYv1kteAW+jyKYaNxM9V48JIU7okOp93VwOsd2WX2sx4senx3BluMRcyk7t8JxMAv
CKuehjFJ0jntkNq3tohRfVVztymCiLLGNKoXhx/gsvV/jPX/DmoqGs9P5hvYh+z6QVakGUhDDxxa
sTXr+qXKVVTWM9U22WkqXODKHCZeior756vQUhCdKjbnNSfBXpYH/aKUU5PmqeoiAbcm+d40GOqR
3eybtY6O1dAUuJSWRVzw+d0h3Imw+klUe7PAXMfkHLcKB/yR1iTK/pG0PMeF14l1jLlY+zkWCRku
JuyMmoeGSDxPS92tJjW47ofJ2ib+ZOEZGDNMlLnKXyIUKsJF82SP6YmGEp/lNJhOnGZ3JYnTSFPO
D7/lv+TN/ddsGLjWBNExvua9pxCo3Zh0nJaeIppAdf22RmYK7/UqtRORIwz3d4bR5yczul9u/ErQ
3MBjQuxoTZkZYpcJ7JfDP2k5o/d+ka3aOK+5C3GC70dqtYY6yFIwH5hI0E6ySdAAVOBXSbvh2Od7
bKjlz3/YJKg/Dx0Vhg5WAHAm1yqK8QZjlyhO5IJCxJHNYrnVfJ4YKVB8uKAjyYjyzD+PppdWUCoa
Irc+smCH+erotBEEwp6ijuuXeXSOUOgkHLkCkZJ3f/hUFVT5ypLZ5fAkot/bD9var61ukdzbWT4H
LgJLTqHaBKCwgZqB+ezwcF9WPV+VimgcizobI7eIz3PF+GqIdJJLb4qrK5Bgj6hC0WXAK0ybSj6y
X3zZqpCHK7hp8UZzpoi/PVY+vEZJwjSAbRF5VGy2i3qyv8i7uTs12qbfYQLuOc6GdOPHiF0OT/PL
zvx35CUs4vHKAFw+TzOV7K6vGzvxjMmkzIzWse5K3Htl+Fzb5Ule5MGR9/hl11qk8FzHiEnYIY39
EzoStCLB8J14laZQpDSTZF2nZuYdntfyuz8sVczk7AeEAHyCgoDL2tuBkewpaWvOpUcuSheo16O0
2Y1s/RWUjKmWjkR1X4czl0OGeyakDBOy7OfHmOtlkFttnXlmWTa/o7RNNhlnG53V9FAc2V72HiBT
w79OOgANHbd0ZX/bRypu+CLBqN22kXKDAtu/i+as/Nlr+juKstRL0CSQCtgvVPjz1OplM2Qecm4M
3koYv9S4VI+c0V+eGyvBWj6zBQghs6d8fm5YXQOjQJjl6bggLVyrTf6AY6CEMFtXzZGX9OXBCeIP
CATMihKMsn+3qgY7kuYyZkoggDFAQvPM4sI/cirv3zEW+AaVTEVlJGo5hG+f5zTNapdWPcNEJI6s
U7PUyIpR4rQRDNcIhW7kKdLtzsmraTau0NXmT5iIwdxVejfFqxQuXIt60zRhLddp/SoFSR7/sXKA
tkUa5jD18qhFpRGDfiy8ao77HtSa2qA2ixP75vB3tLcN/jOZ5SaqUFAjEN1b2MZkV/0k1alnq7oC
cXW0gDDPagxZze/Kd4VjR/9Z4MuQiqKzFEwbTgdY9b0hW8mibK0DBwVwjVAtBiqgR2jMD09MWV7D
px2CYfD6aKpqC0L4xSX/8ehMlAG3mx3AIB0xf+VWGFwOVpy4cl/NW2WwytsqnVXUHhEan26keGxB
oUbHhn8COcTJbE/Kw+Hf9HWBLkEy0b5mALknePj8kzKr1YCMh5lnp0RPUawP61iqxZGZfzsK2W/s
VaxOfX99juMUZVnFKHGtR7dWGIbXQ4wb8udzYfdYshga6djFY/Xx8cKKk3KBAdQrIxWeNGTkjRop
+X+xVoiwVRgYfNKIWj+PkoSFLqWlnRJe9/HaGgfV001p+m/mwkzIMDGQtn9kITScKsLH1AO8mL4X
Qh5WTVCFyZFh9s7ivwvf4lnxZuzFmbZ3ZnFgNlK7DJPC7boBAo3XPZorD7hvuyH3l5yaEajuw+/p
6w6sKJyR5AmI65YL2ucnOCPhLSIOy0WH1XlKgppHg/DkznGd3R0e6uvCAzJE8EigwyxJl34eKtH1
BnLMopYUiJ09Ja/yc7jiSekdHufrlFgLBtk6omqNtPneBgJXS5ObggxsHiTGYzkQ/VdO00Qqvi69
VcWfw8N9fW0qxS5V4OfTue/tTytVagNhncVwRW9ua3YJfT0Nk03DKsiym2QakhOZV7v56bDL2cmR
ZnIvA9Cxt/Rx4cRCmjC8GXJeDStDaaRqo1dScdV29aQ7CntW7AWQG49kd/duASxTdk6L1Qjih4f7
9/z7EKyOtYLzSg4ldsrBP8O1mJ3CnUDABa3bDfKp2khpIl1Wiog9OcuHI/P++naX4WGVsHlRK9rP
WAKAjxvyWD5GuH4ezhHTkr1qQ8QHCCR5+kd2y68HIJkkGXEqACxLFvu3X6Qk9Zimko8OHV+So9pz
mK2zTIl7B9sbiedStXrlyAr++qUwqEo6m4NwudrvHQRWLxeZZuC+8xEKrSRIpfA60EUfXkFfnqTG
soW2RPFi2deU5c9/eJFBN2r42GfJ1YZZ3uCzuU8XY5paIWw/PNKX+bBOgL6YZCKpYlEc+zyS1HRd
XYc+1qc2hAgwU4jxlWQ4Mp8vH+IyCuQWFiaRK2H/51GgN0CQtfF29kOV71Sri54rgoknBXFkiI92
gt7OvnR3eG5fniKjcsKRalzqgIRIn0ctIv7PulNhUfpjvgU0aTlNryQ3Q43l5/BQywb5KWTh4VEc
oP0k1zUyj3vLwoiQtM0a5IBQNet7biNjfwPcVQJKFQNjCS64yprapo1xi9mOQBU/HonXv3mRXFSB
hFlLTvlLsgV/C//Urtdd3NPNY2PVwI4XiemRj+7YMHvrBduZAFNY664U5MNu6LUSyW/aZD/dSjjv
aB0qc05QcPkSqbcz2u04bPEEEM2/i0wXFwa2z92oIY8+/Oq+bCMMRbYYatASdMn2l28NFAYbNBJe
u0YKCBxePLeFaG/8qEH5J9nsJ4dH/GZdLicDq5O1suQ/P6/LtNHwpAiIsGIgKpJKkeM5k7P2vqgs
7eXwWN+9L/YSHckH/yLa+zzWJHVxhocIWHjclVvsfMWFqkWpd3iU72ZkMxfWHsXQvx2gPu5X8dTn
GIFkzc0KGQsLUF8bmTuZd9mtlAAm2+Hhvr4y1rkCJYvdBPzhgkv8OFylmVAg8kpzUwPkRpN368EC
CaqV2k6M6Q8LF4a8fFWMt/C1lpzu3uuCItMB4081d5gVxT8fQ6xDG7S8cnxkJX7dJRkIdq3NXs71
Zz9fquEQ72dsDy7lOG0Nd2T6NaRltdNIWJwa8yQ9CIzNu8PP8uurY1B9ySRw4VA41z4/y4z8AU1u
TZThwI0at4/nZnBMtUytFb7xIjjy6r4bzqAR2N8XyE1qb08etRr5BzGoG3dGfxYnEHr8fFSuzEzL
Vodn9nXpKyoKBlL9S6afSPrzzJSoTGD0T9piCRzWpYrkvc2rn+9Un0dZfsXHo5pMdphOLUsfRO3k
9XqlPU2VpJdI01Xpp1cCViGnC3MheGaf39t9iT0mdVrg1l1mmoA129rcBaFpnYva0tsjz++7VwVX
g8OMEBpByN7KoGcK4o+OmYXC19cY/mXcLZp0rk7GfGS7/+aDFuyG3K+Xyh3pus8PcfYnPE4xQylm
19yEM/68GV/UtqOJNFSJPPvxYYkyAS0S8RVaGhAkn8fr8FGLqGg0cJCteddncnBim1lxZFf8ZgFy
EeA7pice5/v+p9UodlkMcaKhNNfiqzxOaT3SxfHNj5c5Vw30D+xOcEv2oxxMhSqQYLanzCzwnzY5
7UkGvPA/H4W4ggs9US8a6b0bolx3zUi5WXO1ssFGMZrWHJ3WdD84Ms43eyB0Fx4WWyASob+Ktg+f
E4CKIGjnGKNy121jbJhrHTY4VXEUVg3eGydTqiOv6Zt1zpCCmJ5Vvkzx82Kw47DSaSqkueU4JCsp
xyCDdeAOK+Axocp3I7HL8gGThkSQtDdSGNJ9IiIH7wZSqeHftXW8Y/gnmxDrrhU9/fyVfRxtb6vF
EDjHw6gJV5esgmJXEu0mO2jW/8Uohs7tYZFtIpH5/PTk2ijsbsL+pqSxuh4pVp+lVdwcOTa++ZSW
9QA6k0VBpLa/l2NfTMF+CcgqU7pq+0HbUhBTjhzA32xDjEK7a11eQqX9LB9sMnz4PaMA45xONfh/
XtkG870vCv0ibPr86sfPjq5eRDAI7mSZVMHnZ5cbICzjepkVuMGr2ApCr7DGf7NY/6P68rtnJ3R2
OUREFnHn3ihdITDnFaw6fTTV0z6gmb2fW8mRr+jbUbhmUY9b7lrm3jqIxzie/J51YA9Kc9HQNvy0
NqLwyBP75gsiIWwCKl4EtPb+ARjWtelTwRXwQoD7BHJsdRuAimn4i84fpnRk1X23Hj6OtrfpsZ/O
tJGShUvfIfMNxRAEDPz2TlJBB3HUHGLf4QXx9RrJPs7ZToZBY6kvHOaPwYTamTUdQPhkSyuhlV1m
Ged5lgUePMRiZSeV3ayqbCx6r46HVl0dHvybrReslorAEAo9Ire9dQIBEO9pzGzNejD99awHIXLG
oYCJietKb05Ii8i2I5mlVRx50N8tHtKOC/sZnTLR9ud5s6DCNq5V4dL2MHsfWxUPoz9FPxTuLJH8
op2lNkdOcIlqPg9TBH2tgYITqCQUyaMu2HuNhafw8HP8djIfRln+/IcjzMrsMDEWxicvrduSyKH/
AE1yjozy3ZdADIinCjE5EpO9pVL6MHbQsiDllvKGzrVzY2oodSv5D6oOxHKH5/Td2kCnSxmaizLX
q72TK+pTU68CRtOhs7gGV3PO5H6wL4IBwERt2Ff9IAdHqoJshXsCdoNqKllUhesy+hHO5r2F0XId
Uel526OfqNq7UvGr4YSmRu05ynHReGqpV4WTq430BEYhvZCNbEBoMpXWKpPm2FxDxgVEbBZttAti
MdmYXpXxvGtiTN5drVuDu/SFW9AoFZSEuBgbtzVqka5JlEKM6CstvPUJFXVHb1ugE6WU1vQkCoCm
YtmH1kbjQ/WXWunNU9bGM023ghJuXIe5ch2Ys4/ovtW03+CIi4uk1GbLoycP7BO82nbogT1PkN91
ZtuvQ7+Y7rK+V07rcNESF/SI2MqxbNLGzaaLWQYld5PQv+pcj6aAIrbw7cANGz2+QklNE96gGlKM
nkOCq7+SjVfQylXvdB1KBadtkgKETV1VsBoryVxPtQl/PI4hg1S+zDmnBw1zamh7dAbCaEq3g99Z
FEr73qIj/RQXD0m48OEM+gTcUXJJnrqe/j8OlNIscQJJUXYdmMYJbwmZDOBSSvSIDb6ZHaEaxbRW
5rF5CxTwkQ7NS5M720ohb+Z5az3U0pzfwEMA85bBWb3rRRE9jE3aRmddaZggfXqzr52qQTuTwtax
6Y1XZthn/XZcgFiVdK03c/wYADnHIx1CVl6BS7NQoqDhbNFMKnPq8LEMF3NjZNXGbOlPjPdADLMz
jEESOdpMq1dJLWswBaEmhhW4iOgJFlL4RB9nyXDqZlR1OFMWW36H2PcPbRy7c9K/PLSpqcGq6NVY
0+FyDs6lYKDnmIhN6yWWNdIRSUDGwG0V9Kdu2tCLxGm1lCYl5QB9CaOx9tDXU/0yTA0mfr81nitk
nOYZNJhwcDpAw9eJ2g2qA32nVxzIzs0u8KFXuarmVzF+7Im+qrNh0j6uKKk6e+bUZ9aqb0BH6RGM
AI/NdRGOyoLEXZAwmCsSS5w2XZm9JuqYXttDX7x1YWo/hCmwBndGZXBGo5DsWSm15gHZmPQrqhTt
N1k/E7L3XFixa5DNrVamCfYqjDRyTEbUa9NK63INbanoxOjSfUa+au15AOpP6uPOanFcOwXg+uum
j0oTIAAllHWlFKBrytBIzwQL6D2UFpvSGEgAvI3BBy1tJCK47bkB3fWTPT1KltwFAK86oOC0roKB
kcJEHTCRw4GDuKtnayKvAJYEOaSShxjOjyknLjCiWWo2hHfgJ2ApYjkXQ1e27qBp832W9tVZQL0m
Wkmi1N4mswd3aiojTQgMG/xhLUbdd2uSRRpZa3/C/R7U9k4KYSBsZQq2D9RrZ32d90KiaVpqPEt5
PLan3JzyM/oxlZFHqNzeRJaV0tzAb4PThK5LMbxHSsxwhGXwuxJS9v50ULlxr+dmTi/oeKj/SQ1r
3BlVPhuOBfBUdWoeQQM0tq1lT1Xn9A6DeHgv9Zp2pdIemI9yynp4j23WGm6bRtbzrIzVZRbzPZKy
zejSiUCvoFVirWTbXowjOGSgQPYqEioblTBHM3Zaw4fUTeeFPIbh2uf4XLin8+z0Xn8lWzXQ8iOe
x3sOIcPcdM3UA4NQpHxcKxIN0xxVzUYaLEK6ulan0JK9odP1u07pm9krxRTSc7qlo0MzZ0Bpe63J
F7gmPa3cJJEayNZ89Iq7tPsKnCGrFNmzqrY+o/NN8Ba1ugWagRZwT13TNNezKIObgibmzyqlrvfZ
iCt2jTHtqHErWeqxcACKyWlTT26k+fmfKCLUcupiTsMrsIp0CG7nabqNswzxM7DN4HdJa/H3kqU1
eSNhU3+iTGHeO2No2My77e/Vtmu2gS6pC+1vjO+0qjFeSHDRM0t02XCJ1FV59+lMdSXFtj6Cy5+K
l6Hio3Y6wDyvdlaU40lHXad0kiFJnyHgDbS1kGxzE4xUmrxIVDAm2ijqfgtfi8EqzdL4ilp+lNe0
oZgu9LgAUdJrGavWwPO0NuBuyyt/BGNDfyRaNjmWZA/QlLOovwljX7pBFCi9TPI8XC5Vn+cBABRn
RCaU+7y3Mlo9Z6C6XNWYQ7EeoxEFQqhDPgbSXiF1S6Hmb0Wedb9JNrR39NFksRlW3t/KCzY0DAUn
wjgMNR9oqlQvgdFPbI2xz0miK5nK0ZynMDlphwsHQe70hfSv+vegHuwcwGQOHGzctPRnuhFy62er
YmpEDhQhBUGQxCBJa61p33qR+6fj2Da/wzqBgdDlvDjWG4sXMLDa3nGwGa829H4YcY0y3ge9iJ/g
iNL0T3AS0bY+INikcbHxbIMV6dfgXOoeHL9WEvEKmsMpSSRmGlmDHeW7mnFB1kV6nsDTor+IOSgt
vKmh5umYA9DPLksAVc0W+43dSlGMJFHTfEeu2PlggWjdfQqXYnBLurICIpz9JFzr6TjySus5qLZD
CDIefleZz960+FzWsxEUoWOZM1155kRhVDvq1XCtGWUGWacp9XvfmvWJjlJdd6tKBPUrYAo0MAXI
KGYsrkVQOf4ApcIRVdM/C6tiFrVF660NTbtN8Og9bDg2Xc16aBqfFvBtADHO6/KeCWhYtIA1RX0G
oJ94BCRlZXe/xmQ23xpkibUnBVzGeCwNkFouKdbvdMjVh6oaaTzYT/RzZqu6kppg/j0ORflbChVY
j1T++sLB6+krGE/t+AL2M/0y6ZGcSA493UKorhEhkKp20bT26RNpr9XIiGVvLsvkLinCUfb6Wiph
nigDyES6+EqvXZuqr2WrFNBzk5oMhFyNFptOqj3ImNpANrWpP22MpB9Yh03g499Jk5HUi09caYFb
45NntkPfRr9VO9FMyJQV7T1BoBfFk01+MvL4FlAuxghsS9uRDap5p3rhS+p1AuC28HzsbPFZFsJ6
d22jYIFok+UbZ1DKi3tkqnPiJSSB6lXTJnw0yowY7tz0C3oEjvTk7LxhKqA3od4RtA6Ee/4Q97rc
rSVA1YFH888muB7oYkGzTF2kQwXuNbKTTY/OQfPGAdcHERpbqUndhZaDW+rnDRNPYxnwXBNEGSis
eqDNuRtJXWnvrLJQpJU2tLn5OFZZcEdvu3pwESnUSeAVZW0EpyiJpPnekurKuGqR6c2ncGLmdAsB
ae4d0HZEGC5dZdX0TEqNQlp1kGxDwIXylNyEIuzhu0hT6wVCluRtT7ytbvVMT9o3LSTQ7B2llhKa
BXA5gPdSZN1E7q+Np83QWRGWF6Rotg+LLZIDL+zLPqLPNQ7upwCDJ21rkTNVZelowp/sLXrzrDmv
lYngjy1F625TYpzubKTpnnYjWs5K2YmMVK1X/LNFvJ6KYLB/0ZYad8Wg9zRnh0klKCMR9vjugBIu
vi2AuWa/rEFNeKuKKSfBg9lZo+y0ZmTJj3E+NhCHtbxLIw5QnWsDf6VunTZa1dMeKAtbmWsBEnkn
KTPoaYKzVHENNQEURqBGi4mEA4HeuiZH5gaq6JDcKRUvDgRRFhpbM2rqfhMXLW3dpyoy+18KpL75
WgupRZenASAlHCgDFt4ItE9uhv0fwE35Avwvh3xdCSmT8fu1oXRvqk2UXiHvpdhi1kGnz55R6r68
JWEs7HXfBU0Eng+JZEZcxNVFcU2NZlAuAOf6nmZBQG+DDhXsnQVshha3PRVgr0p9bbyNerukmdAY
0CqFrkxF8dh0Cp9XT/IgWQt/Bsli0uWIS1nTsq0J8E8MzOuLTsuykwipbNOvFEchwmguSznv+X5k
VU+rdV9k/XzW+uTZ38lBkAIUYyzUFyPPa+uiMLK235VWqosNbRzTJXJsqv6ewqG5hAADkHp6rbQ9
XTNMs/Prq2zOEcY4lRQXtUvTkZprnx0V7ZucWAnhWosadOHDhJcFzcsyNweFd1r0UT+fqrGkq5xb
SpNNsCCrPF1HYZjE53YDwOzif7g7j+XIkbTLvsvsUQYtzGYWAxGKQa2S3MBIZhJauMMhn35OVGVb
/9WLtr9nN2PWvajKZGYUCbh/4t57hrn0pjuDwBnYtq49vnlk3K+3lkQvElpS6uNPfLxOm/jONL0u
pckx7XuzLWLbl4T4ZPUWPCDFgqttrQV5powr7DwRejm3+1HkBogPW3l0FYFNjtxuW+QCSv4i/8wT
Zomip6wT2+R9p51npDfLoFHiEUxlPaeAwGd4f9Q4O+iHRfbQmI1nxcrcFu0K6QcuX72xSMoKNJvA
tkGUk/mk+CHClKCYNOI0LVv988L5cQ8X/ImlQqmU1+03seDOXwffIAHaGVRzXZV+Crd59CgnnII4
8gOhjqO85ipP69ulagLniR9IY77KDGwke/a08r963TeLXYBNojhmI/mXYWGBjNipWfbfqbMMPwzi
yroQZuFI0ukKWivUM9MpD1M2Zw9BAKI0zGwUcpHQrbm+yjRRdRG8TwIeRsQXJ3SPloqCZqSTYtmk
GcCjUUeFhrnQtvZ+sXDitDOpj6NLgRSu4EWDnYIqfVurjjd2IY6yF1G3rNPnslZtcFdhb0k/C47r
/FTSVfpXwwRP+HWpGGgQTKav7Tm3BtO5mfjE241mm/NMItTg0HkGtRzbhHrWriM7x5506PWF536Y
e9u9yxvHKyV/50KkndsAPnlxxlzr37dSLL+KZYbTdGhT/p4HL1NrGuH0MJqkMRr9BA5248Ci/vHX
5zG3OvG9ZiDBskOhgsG4c3Wi8Zh2dx6YIXLgwJjRpxdjmyZjX+JO5jtVfme8SkFSdqVv7XIIMTL0
cjVyEa6Vf1Uzf1VXgdRp3WuE5KeUKXAQVosznl1HOrwCQ+uDrXdIaQ5RdZvfajaIwWO4wI0w8I38
cqbMpwkbvOWu9DBx8NbU6xx2xIqRoziQb77jz8PgYWqZQxDkBgl4G5f62bDMfEuAcwNg8YUYAGg4
yj6vZdZZsKcJndoP+IUBbvhVPe4JBqtN9OWemSdyqrzvTZb7aSWQej+6/XQGA0QoXR/k4zuXcjOH
mzGn5DczRdHCpSqrK68tZBGPXLhzUpiECxhi0j/B6BCf3JWX91vqQlKvkbNf7ND/rXGRzt4T8gsm
CPiu0weV18zqcmc2SSklVOzLnQ335+JlbR1p07I99KpZma/phrj2pOXxpG6m86pkOTq0yvhOxNIY
W6QKs/gQKSvMnSDmzd/TT7b9jdT03s3CizYhI6i0WH963oCxK7KK1C0jjUTkD2drnLMZpPNGINsY
6IlD8OUj0xFhJHZpyMfatzY7bsytWKKZFcgL1Ncad9mMiy2e8W68ST/wssidbWmC1KkGERpWr3+L
pV3tZDHY50frrMM+KTWDlaQmYaXygyNPd121bopIpMjefacmMh0pzDyFhD+VP4yiMfvIMxWXZhb0
LZHGRmXt+klbIQ1D3n2bCfTX8qjqKsM4KAdVBnCxjOqjpEEco2FoDSOclsngW7wMNtvdtus/PYuQ
vku6cQ47YGl+DWaBwgHs0w9jzkcvQtGkXQgLGkV5TrvwTHwDAY8+2FSiI1r4ANSBbvGkF5IITqXQ
UUTmOn3nLcOdaO2rrd8HZWb/lFbW5iwmmvnWSpeMdAuqYiaXvqqqkEHkeLXajvFTc8qRtP7AG5+M
Gc/BQrordQWTd0LnRz3YImdseuNk1nPexgFZtz9bVXlkVHay+AGl3qvodSj4SbbXNyLzmLl0RIEH
01vqV4Yg3TCgziD1lBN1wj5cm1DbLWkRA51mZOxnlsHcjIOFIFuqje5tMQ3ZRXbKUjJi457RmxGG
TEPakE4Xy1njlDUWX5fsAch+5ICdHQaZ8pIOjPee3M0C+MtPkE7opabUDhpouCVgngCJ+x1FUA9U
wP8Ttjjpwy9RLPzNhAxnxM/43NdAcCWaYKWMrDpW9qz5odsUpZvIPi3IOxzJV3T80vmxVEExxGkz
Cl72aoT2O3YGw2EhJpnfgB0rqiTlSIP969c1p0/j1zDiZG9Sb1V9f6ZGFBdG1eQbUQn6+tW2BFpA
bwU1BxJI8JJUahRAxUkvIO1yXbxfwMPhWqErbUhJd1DzXdkS5kdSZN3wsSJUY84I2xwMlq3IrWuV
NaiwQhIy48SeCVrOmbIwjXHs+rHX67W50bTcrxIzD4p3HsZ6jXyuWiN2aYj2Vt6X43ESrtISnyF/
y8FB7RAtmZHBYO36JtvPQddvSZpeopLHwS5odXSvdeJMLf0QlpZoc+42b+IoagPGFeMiu5zKtTNu
QJebeigyJQk/VWa9xCMayjbRNFmomEh2F8pyRf7eQUtbOzgCQnN+jYXS6NpzhlRx4GfZw8yC5jFo
mhMjKNHH/PE2ETJFOpAmE8jaCO3RWc1Yn4xGJr0ZTGtsjh2oL1NArY/9anP1ZHLW4hv+gE/85rJZ
+bEmSSJzY7qUaXmUKeifaLrIHeN5sLwbBF90Ji5yul8+ECp6fMrEq77Rl2FvEUk+ErxIxQiXw5we
1OhZz7weRFdLxG9nckoNEuC1erwh/YYZhtZUE+IPTU86p+yz2JgLXh8mXs+l2RHQXZS+/pZizC+S
oFsZB+UWov9oCMq63hfGwlcvZXvZqW4lU3Cj8wDfybzQtRiuGGNdJiXaoyybIuNy7/QvIy1cnyJn
kflxm1W97As2H35oTm1/u7RMAK4RROkjncK4ksRlTsEVkedkbhI3m6uIxldvoX07TRatbcdZlfmD
/+z3gcb1B8+ziDf8MCp7YKmRN3eSLuMG1qnKYzgJTInStfvqNc/OoNWL+jsQUKgclplbOLaDZTBX
K+pzUU3IK4zFvkQ9OfkPpnnk2VSjbA9e6jsFFxrfZOZJ63C7jONGWHS7UhSR8lhdSVWLIGFnSbnL
qpkwaoauAqpLG6JqQ7+RCw77PeNU7aAWa8xh1QWSoZU2y/wv98n/1wmLKKP/y1Iu/lAff4NLn8fl
V/NJcmX2XyMW//yivyIW3T+YlVPR0BJd4hWQUv0jYdGBjwTOCK8YwUgeG0N+5TdWydH/wGQSYJC8
OCUwR/MZfgcswpe2UWQhVuH+DUyU/f9RvuKf8sV/aqQRmLNdth38LEgQdJQ9/yK6WntuD2vM7NAc
lGLMtqyJajjggq6WX/TwQbT0YInysjHuYScxpBFEkDG6AHxrEJU6VVuTDKkk6U765p7kBP+FdNlP
lj+KYclMyjtAojDI1EfRuB+9l7500n7bFnAlgvqZ5/ebZdQT9fgcunkNjizvYUVwM0aqPavcCU7e
mj14mv/TtouRXWEvjssmPDYTuRczgHcj06y1qzZgoCny9FMswfymCE6JFt6+x2Uu1qjPypEHXveu
FZdI6Lpri92FrmqCRpm0qqv47+SkhNWy7fyMkXaOpeCWAN3gkLrzcg4kObZZPrAVUO3eQwXqt+l7
Rgr5iaHRfZ5aoIp1PmUUOJPYl85anUaNkLQKWmTUjMY7+vN7My+XPfaaLy9f6lOgEFE1hPxSnl35
+WVVlVn+ru2aT7oza39pCSJIGGJHOGvKHplYWn27dEodefmin4aICdQYQQZgI+P6H7NyzXCauTSA
U6rTsgD1GZT/3g8SCIQnzc8O6id1l/Scg2028oo1ATg6vaN+mL3nFhQQUcnNes1NqTHzR01LR19B
bWTfsNbbsfG181wMBvHIUtzM3crZ7pcQ+lbiPQBWPoC3cSDgBEPct2Q0m4V5XTtDyQeV8BuK3GX4
D0rZ6eWLRQZamAoCEVJxQW8F4tkqVwqPDGMME+gXd+ye9AkbhE9MQ1zn00vfK7WrDE7OebhsIJbx
xkwLQcO7YigosGTX+Uo+uLYeipTJrJ02DIWN6VXNpIvbpngcDMqUdZiuFSMUdl5tl+iSCVzRr7u+
tXbO5ROUfv2R9ikkQ+PsCPwypQG+Roj8ZpvSOh5S81NfMzehtuK713e73tbfRtfawsokpKbBLMhJ
cIWteQuzbCV+OoBFOBVZWLfbLSL9Z3B+u6oj/p6cUfpK55WGJt2p1F12TKkEYio0uGwhJHstwr0b
a5RPc68ffCv3QpnaPzMqf0rp+ZUhI7rdDtgEpcBCSVcOSSDHNwrfpz5f0kdHE9OhYNGeIDna+6CQ
49U2T+bgH7CHtFx/vUsYtUc6Af+Vxo6JS5swTSDbv1+GI9yNIIQI8TYgZwxnnEYhe+r0UHIjRlKB
HprG5TAp60jf6R+C1dr3TksXx/P1qiv5qVy9wrzGBLi7/BCy3Jp3LhFKu2Ly31kYfvmTeMalbYYL
Nx83NbTVgc/EZnUL9tAnXRaIlzSXqb7pscNFG1P0sBu8q2qEJzCZ/XaRf/enoTW3uEV7HJdOh5/j
gufsDEwtORiwHDQFCdSmzsKseoUHwITIrkDDDfOj5ZRvRTEnauuZ+5iTBTwSC2+a91U4GVAUORvN
vT3gJOkcnxYNO+gUu4br73xN3TgSUAG6+EhdFmI+EJSDwwB2Bx6NgoD9Lt+1yn5YvcF58tqWIj2b
6xhMp8ECgdM/Noz1qrHUEbmt5FVzi6Ssc7Z0bHKSkYxr/OBXCKU5VbTCiNoP/EfLA/C0Y2r10D9q
Rv4pY4gw2HQvnE11E2Trp0zZLmlqc/3ISdOfOakxHBn8v/Ceg6CE3yswRZtZqsJi3J7H1vuc0uZc
TxWvaMfspyuFtUtT8VrP5B20c35oqyBLGqF/bnBR9rXniogpdrpLS95OqZaw08b1qvQ0J55nqKjM
Rj3okkt2SAvvVyVHEHA13izfmq4Xc/nZrdrCPLRGzzR0RyuDZ+qls/+XSuY/qjqeuob//c/L13x1
/SqLLFd/xhD/85+uiy9iWbpv9W9/1/5Xd/NBO/qvv+lvfzIJx78/3aVe+Ns/cJVAwrkff8n1ATlC
/denyH51l9/53/3F3xXI09r/+l//44ssQ3X50zIQx38rQv5d3fK/5fj58S+/+3cmtEsmNJZq7AeX
rKZLPuQ/KhbN0//QEYQh9XPZdSAt5Zd+lyyG+YeLevYSKYfdhPoEYfrvkoVfQhqoI6dk2uSRc/of
AdH/1IP9s2LhY+HPQY7mI0HCT0mF9HcllwZEDqhy5V3S8pp7R595YLctO8zUXvmxMebm6LIhfhp9
LTsZqxi3vQOuOOoJdH4qhp4Tq2DxnEk9AV3LDUyqgnHbFyWCG7JUnJOE2HHjaqX3YM5++zhR0nc7
E8zF/8WD+d976v5fiyVHFfbvHj5yF37CIv3b43f5ir8eQIvil70LP1niVYicRQ/4F4fUdP/gTL0o
6n8/YXzJ76fP9v+4pEdd9Kdkbv1ZFf/j6bOdP2zXw0RJGjkmBvI6/5OCGfPe39VvGMMupjQLg8LF
6uFhIfz78yc8YY9FbhdxGcgzW9N0SmxYL/dlJQilmOnVtD01752GaD/US89IYEYxX5tddVvZelMe
usLVh50khamDT4JVAAqdZ73iLA8S/sCfCIJQPahS7PQB1zxzPa5NbNIvukFB0Mn+Stpd+gNVKHDd
IC0fNqjUMUTua8fVgn1dZcNJH5Abykb7Nvt5uTbc9dEd+p9soCdrxyiyB+YZKKB5xnAZuqc0nvaJ
VpW4O9scnzfmQDe2k5KFm5FGducQeN2SRzkVVVzqqcnFJ2ZNfbF90fOnCwYj380EaB4KsYJikMRX
TZ3xnneBz6jRKoEA5WwmmFSIdPV2xhToB272Bcc+ZrjIzBzIVcyrgLKhS7ueTPGi1kaTe9Nc0wdA
GNmWTKh8xiinW8bmvxRHA4JfivTNHRKnEtktgKlns8nNVz8b7fPiDsAG58DgF7NL7261ASOBQbSI
C+lyW7bR/LA+araCBVM8Hc6YaEnBmhpmVN6SugkAi/R2yJv+04cuCXbwUqL0rs2UE/YYuku2qDIL
nGenIbTloHmi0ZLcS5enQDOc+wE5WU1osmN86RREJAbxwwltTQynVCE6a2VlEl9CBi+yk3EePzil
6jOuR+c02ZmtQUZiVl8zhU2E309fOevfYzlS2RRStu9M4qnLsopQIEdeWgxXc64mVTnU9FK7VVXv
jsc5SKcrbya+K6YZfU4vH350UR5lA8xCiLqop0zTxYJw12UdIuq+nYK4Uk75bsqBuSl8eAiN5nU1
LXjkvV4UUOODgsW4rKISpXy0bjZ8Bm0pYrttXAYgGVx7PNqhqYM/EQMBdumAVkDJBWHUyDZjaNj9
dv5r5irI4ms2hqveqdBp5502F+POkTbxmuu1ywyWrsB2k84r4xlh3j7QUoKyU3S7ijTX1qtDCarF
XmHm+oM5R6gC4XGZ9+6SeWceL9J4yGCrEYeAyi5Q4iGICTV9S2On3d6yZTPjouNpyFm/7XtE4DGz
MBQewYwoxnR3U7o1ZBYzc4Yvz0Y0K88zsKQAu3LdOkfg2qy6FKgdi0iDuE2VOvnCzhLXGrWTMplY
F1Xw6OSr3GPTFKFi7guaZFEHZ6lfWH5GNou+S46U94g5fowsTQdjmvGFzWJVAbpAduPZYGggfPSj
tPxrY3RPiL3OXpa/Ot4y7tLBjODDRKZOYI5jPDf8lJ5EEXg7GsGHWvO/7S6zr6jIYITZ5de6sUYu
EA7pBGWQ87C+9oF1W9UcLWZZ/fLt7m2tC2LsRc8vN0uR4EeLapF9loiooy2/zCqJHLsy0nrBO+X+
Wg1EuTk/EOSdU5zP2nYrl94+OmRXMDdELTIY+i+0EWKHkMH9Fs743gTmzTIb20uWQbbSF6d7lL7R
TCFDKT6HKKKB9+/bARt+YUyxfGM7uJiHJtO7OXarskUagDyoH9gjzFzYG2t5M+JtTivEbwvrWX+d
6ud169F0mCOynNCHLXzb+ixXjepMTF96dsmcv2DDnCSzwTqikYqs0bzfJm271zaa+WLOfo1z351q
9kMHzSjcfa275CGuptsf+sxbb4yinj+ID3WvBBDkuq/zyESNn4xmN3bXxUzGW9jyBrw4vbvVJDjX
1SMihUWECPIuOxxElLuy8QRqINtITKcq73lyCAHflPlm66t/7Hjak2UW9n1DLgd8GtX7J1XL/gXp
c8rJmXP27hyOVSTWjB1DdB+Cp8q/KPk8aPMJ7vplT8o4yzRelh2AVeMIgw0ez7bUPP/rpd2sO7TT
Cq1cBiZmtyGxYx4O883rgjxE02SGm9eloAhBdObJ4BijHtVNR0p/GjR7feplUk9Lyk2IDJRtnnnT
i6A/w0Yaopxe+AEVgn2GlpUmYLsZ4ExzdgYaKynG7LEH4aNZD0XucVswtLGdWE1e8e6um3cr2Irt
dKeprjOnIlyiRj7Ke3mNqOjHvB6nmk/uuPJgsaLPO7e47l33rhtFl0id35vWKBUqBIG3/gwNSCMc
D7Vtt5BmWW1pJFy7if3RNWMzK121a8ttr+w+kkJpr22aaadcH7q7OjOcnYGj5g5jmM8WvE1IHGGK
zoTAcrtzIRyeVWSFzMrrRNpNfzsi/YPOGFuEeeo1sVBC02LHMbNkzScrWWFXArkV5Q5nHTvuchCR
ZqiTO9TZQ+pyEXnOY7Fkn4WPQQLdt3YYvEDuWbrTWW3OhG5sLYM66XPzLrB49Na8vyHN8Y7Qrf5k
1Ta6iUWzH8tafA+V8T0ZRnfutanjGBhbku5FE43ljecv+V50FXBOnrwHgd8uC8EqPaKZZW4GXvCc
oeHceYPJvsUtm7NndfodE57yxHBmPNbEcCVmk4nbsm36O61mL+UNjfFp+IJWsk2nnd4R5h+U9nXh
BU9Bu3ZvpiHyA/MLnsfRfEFxvrGA6rnQihI+8WA7vBJ5ekCTyTx86cW9YA77CGwwe1mX4XukgY/Y
2iPR7eb0BmcxsDxmj6FoRlzFrvswLf3ljxzzAwabYu+ipkwIaWnQizht3OVofPtFkyehZrRZ9jBc
t05+tprZj3K9XyMGJh9Itvonb3GG+6qa+yvX6Cxe/nY7An2miDLK+RoxIwhMvBAn8tPlgZ9SGhXt
aqzsPU3/nNpIoRAQnDrdK8/Y9cjbZkpxdEFMHbt1q7+G2bTZ8Kw6MR/zc995L2XW7mppzafJIKpx
cIL2zpvSJcEZC40wb73neQ7mW4gB/i1D02eDwL6QyI04txnoaVz0D2xoId9lU3fodNSEknPl0Qcy
ekWm25AUXUZGmOljkgjnzSvehGVrDPN4PZx9sRb9Fbyp9lEpTUuYZTpQ3izXvGKlhiNXyWoGO0a2
aey6Xf1ROXpexJ0MPjYZdKxw9eLaR648HxVTO2Tb9fYxT6jbgWEPnP1D5jy4C7q7Wi3dS9M49t06
BiwYc2c4OY73zPTROVjc71cG5IBQLrl+HwiDSVo/5BScUCjfZjefvifLbZKxXFHnggkDzxlo1c02
NuKwkW713RvAMlg9MysSZcGGKViTnF/+2XijOJGsln9vmfurbMY0amd3PMixcXfQqtRZz2b3QVkY
uD2O/giJjGnEzEGdaBVWmkV1p5mHlXRP6gvVadeSl0GL3drxnsr68gMviRpFJ1ej67bZA05DEOxa
gMBOohwpOFCR0x8RKIAgVY518oacYO9RHmyPISnhDZcDSm2s2ivrZpPC/Krc3uETMepoieL45iVB
OmVver4rhAeWTxGOc3Ll8rowqCold7lyOJy72nJfFMvYK56/HqWi+kQNlR2XbEnPpdcNkYb4PCYJ
CX115YzPPePlHdjpN+AVS2IawbhDG8rgzn/OuMw7Wz+Sk3Ny3InJbOel+9wc+n0/j3G7VWcWw8CW
V314asfsUaguAvxwzYVHN2LaAJeLuE/rM+6R+wz09+z8xM8X+S4Dvs1lUZx+bWnu7pd2uGvZZIIy
2z46X7shkBJ1N66iXV9q+s6m0IxmnZpHoDgg+Jmi2/SSwVZx28h93uOExgp4LUur3/vemCUExBeR
O7Y/+2H4QS1yTAute6YdyRIN5OSLpnj/PBIvY301T9pqtHE9b8ZtOmXpRYxTx7m3lq9d3jBALoIB
00IbHAp3KuOCJWOorOXT8sB0ODOOaJ/ClrluzUfZjK8l0GS0GgHpqKjMitFVe9+G+LnMiMicdadT
dADEhATv5dWpGtJvo+xPIgcBn9JcRNpqNY/5JtLjOhs+5OhMxixL65Oq0OOrOQ1OYz9nu6osNM41
hNfb1vYRsU9pUntzcXAM7aQtPOVWlfaHCSbhOevQpTIGmmDiyU8DLSbx6kvoVNaQSKedYnODwC5G
i1W+RyeDGSIbKB9g0LJG/9ANo7xuNM265UB+bZWQjy1qmr2pTAquFSKkt9oHdGFLzG/iXq+ViCfK
5nPP9zyUgWpOGaoGH1B0KBEajQNCT9SMT3VusqzegoMEWtxZCBrhmjapyNlblMtOVMGL4lQJLM09
s+UBW2pPwFFXvuEyy+DQkyFKqbwMu3nTOEa7sYydHCx0H7SfEB5IjPW0IvaW1j+Dg0lvfYSrvps3
B51DmglknEsr4ebX8vzaIVb8UAyW2tFFecD2rG6f2i6eSCtPHM3YdtLWxWGhFYilGcgDvNJnBtRj
1AhtPgSD2vlBjhMWOe17kKGBYDOFTW32+Zum6aol7yxWLjV8in8Ptmj6wFU/7VZbnI2ZP5iBFfdN
eggyfiTGRaLtaYkYO36k7bMjSm66SyA4LrJDx4Q+0eeRKjvYIZPVeHmbfW1V605W1ktdlkaoyrk6
Mvodr7RRzXSiDilPFYs7RaHhySKqjOGEx2RnVl6eAIlvd2yMqb6D+qnNCNfS+8u0OT3I6SLuumBq
BgxjCRa7UzGXQ6zNfh3rpiSwdjWx7Gljvt/KcQsXmw/PyX80zTyyWtWeyhUC/KQXzmFr0SstJVtE
02jvgEjLQ7WN3iFvVHdYyyGl1Ha3Yz0W983W82KS391spAq267FcKrQuZaGQT5c/IbLcASzEByIS
/AljPhmUjNCbZ/CEB0SuP2RvaJHVWBi6GCLWRuXGM4fEufJvvOJrppVlYuEgMjSNY4C8XRgpV3H/
o3KnJXKb96rsu8Nmdoe5nhnyTCCsW5eM/uZd88yJL6FRNpvxueqEGc1pfZMvByO7qF/cV2vxP+3e
kiwPUIZOKgCmuKZIulD/cwyXDg243I5Wz8s4W8UUmZpVJE2zqVPHabafahyRYyt/6F7Tx9o09TtC
d7qYbVlGO2wYvC8bE8zGdePW69ZjoRtD6K20qYGYH9067xMLj2EGGNklPAIX3Pioy8AKDX9sQk3M
n85cXqO5vt9yKBdVS1YVo38z0cqW3ZGBo81JKlbXB89Q6uAisYoql5VbSsVm+rlxwMUAB9Jb1YYU
f/qRue4Z+UmkSzOhytbZTwQbFWWPnZo6lfkNP6h0aqeobAgpUC8+fqB4mob5zmSQxVG3yZjk4ysE
HG4kcujCOkGwR5jiWijMprsymgUaZ65RzQySRqXX6JtRjjn3k5fR3i9wsIWfrGUlY5wCd1M+3Db9
fJvVI10f1yYiCwYDeDfS1JtPRSoyksiXP2d3V5eYiyYYXYRFnLtEqT3hw7rOGeCErpOj9ppmLdxW
sWJxNPwk17fiIGi+Y7ku6wMc19uapJRwDQ754PefvYlw1BRrez0y/DloWvmtulohO9TLk9igjAbO
xphC478G1Trf1iz4bquNYVDdfk35TG9R8r0qlK2dDCwwJyKAAYsP2pdBfAersQ5HYcfiq+1tdLqd
2ew7A0R84SALyV1jSEqL9SvioeU2xdqDlI3HgS6juqZuv7Sg1iN/573vj7u1StU1yl6N4Uc2JakG
8qRZyj4inubJ69PruebC7pyvVAx7p9QeGlrwA66pB7azDB/1+kHmitVVvR7XJrv3u1ZnxQgdXMkd
UPMXopR/4kutdkbdWRgpkH3X0zQTGSURWtvdTN/mXqDT8EeGV7dY7R3k28fF7Yd4c5s74a+fNUxj
J4fdikVTj/LcbMETCz8iFOobe/xemFbcLttN1yznzPAOg96ehD1/IP9EnIOvZL9my5TkS6kzwxib
uLK3dte0nAIm3S47NePNwpe0t03tbsj993o1NermMsPa0YV9f+fbqIxKJ1DR1goGS+P6PQkL66+N
jKJq5o+1Tq9cbzFRmrOD84MUvaqgHjKXdNs3HVQny7dYWLM+2Y1T9lHjdJ5zRPqmLU5Ssk8tWcFP
9mQ+LOngRRgESFzRs/uhqLgOfe1t8ut31w3uGEDbsfTqIp6ycddgp8dzgZgCpJxWqnsNbxzThjl0
eiTDS1s0oe2ipPRc6OEmvPqo3qqUBM72VpFZt3ivGF++ka8rGn+QJCkSpsDlRMhMr74zA1fbWUYt
9rnNEGUzM3Lu9THU12Hf9UWzwxcT7Dgb6BxoJnO54kiWV3qhrscaxaNRiV+LqV4yOeyQ3H+sTTUQ
ku/TBNkm48DCO0iGLLFFUErE7SziocZgjIr7ti6Wd1ZRn+NKm7mM3kMV+Gs0eb3HA4oVCLsIDuOA
gpHdaBWhMZii1lQYS7iz0CweVYa6dDPkg38xWOe6yJLO4vGuS/VYM0GJoFJ1ybq68G1USYylDtR3
QWwY4k/BGZdqHVZl8azN+ntlo/tKl8J6qq3+hWYsiPvR9UKrKm8IWHzsNvtdqfbLaxcUjIGIXAuQ
lIGBi9M3Rx3umTKcLO+np3szztAeXWde7uTc3LqrIkQ3c4uY0XQRkQd8r/GFjG/NNO6rZp/yNLcO
AKvWXS/G+E6L2hYaz2wvWQIe20gsWWEB7io9sjYt44n3MZSjeNsJof200Zkj0XDwUvgMHz3s+qHb
lQSOtUxJclO9VqbN1W7Rb9PyIK/+trWZRXfepUzNBAahlMI907XDyMiULpHjjoW2nSkjxHNnRD25
ajvsjSoayhUfF1JPJrnat1dOR1wAv+BGc00Yd+lSHaU3fmRQICNzs14Kz0T9auXEz7eh1PLDuED9
BZWBBFwska5m5P5c7LdVRyQ5gkT+XVvqu2biHfaafN3luh8kAZOpCDMmWlUERpG3VA/MIsJRcd7Y
/ZFoe/clH+UVvdUnTfNMhNwZsfIeu90dLGNcdat9NU2oPIsuPS1UzEPNvLP4MvrylDvTj/EiwxUf
RE2+YtJ8n/4PeWeyJDeSJulXGZnzIMVg2A99GN/dY98ZvEAiGEHsi2EzAE8/HyKrqsmoKlLy0tLS
c8mSlCzS4Y7NTH/VT+3QfST9W208b/ZOpuAdU9nhsVNxurZ5+BAd6bN9BrMdfrltbVqvPJj+TKeQ
+wjm6RW/7WOWtvGBQdKGX8s/zCQ9jerdZ+FUxzmDjDzbyGb62jUtHolUfmGHSOJ2lM6GHBxo7pSN
dReVDciQbKNd69S69beaVx4GnWw8+Yyv9hkouKOtyK+zd3AOrqmvNALeSzqzvFNFczP1BkJ8fu9r
6wbAwheYkP6KKGC1laJjIlEjlVJt/haLTl2Eg8F56L/Sp4G1eljm/H5Yrb04zLYxgR1O4OTu4IYz
+zfs5gwd/WzMgzNSbOcljLN14s3P1Uz6W1ZxsKo83oGFRyMM7lD17s16nFZhE+8a17kCcpOu2jC7
GfuOIYxNYqSP7qvQvi56+3pMo2uWdON2aAX2ZD0fysK56lgVrUoHo1ArsFPnRD5Wie6Kg89SYmWk
LZEP/KPs3MybgegcH04USsMD7rE2OzAnubjgqqc1Toi49XBYupqCb78NbmNkCKzfurqqhGLmSVvz
X7Iu/A+dEC81DP++uPryvYvfm/ylfGt/mhIvf+rPKbH3h4SBh1lJOGAL/7Qi/DkmprfalQuJj54E
wJeB84Ov0vrDWf4Lf9B2MN6YTJD/ZlLAcrk4E4C0Wr7p8/Kw/8qYWPIX/YCeXRjBuDTBhYBcpg4F
sfXnITF3dEsYpwFtAgnjHoaEXCa6hC+53xRT1azjuZmRmN62Hq6s1MZQuTU8UBfEUCzeN2O/jWnq
O/luGDzP6Vg+qXHEN+/A+4dAUMa4HqI6CO9trGHHoBa84SZv2v3wq1//6ar4sX97Ocz/9Fp8fA3S
ABQFUlBLz4r85A4V9uQry298XpozqQ9rwKcnIrtdWVFHKWxeqNuKUctBG0F2FDN9jr/+/I+y1386
ACDvC0regoP+adjOLrgqGoqTuOPz9LxJRXbR6cRF81DAbsJwGeW20RCe6sw3Dl6fEf+LjLvcjdpj
WU/bYQk4WsF84Cjbq3nI1BU5vnavGxXsa79tjtbigdlCumD0XdbGAy0LBiQCN3hO+3a2L+zGTFE8
vGzeOR+zv4+fupiH33xVc/GtfPqqLj2VeIF57tvS/kTzKXGKDR4smVWfZPVtxpj1sh2F0+6I1AYg
a6p5pHEhIM2Rjb7PM6ceu2Kd2ZDKciSGpwBx5cVrlqmBGK2AzN3iM8PY6fSOwRY35Yr79dkhAvlP
x+wSvDFdMiP4m/+Jb6wte8jNrrQYbKr80jTHd+bOM3KcZW952Qxn9PCEpy4Y7yT29YNXaAK6Uee8
QsEorsBblPmGPFCBuz1We2ypeX3JxLQ/w5qnH3Dv+t/oaZq6LaUnuHinplAPrM9JrqSBPk2J1e8s
txTX/lTt0rC095xGtTOAa2zKurX2Y5Kp1wyYxQXVYw2rGWuijyAwbhXsCTK8SJthWDOnMlqw3syf
tt4wYndtsvYM86N35U+lv616Xd55zhC8VeH80FCM+shoqUQKLMtHEmzEEk0L2kKUq7NkSeaFvZrY
LJSkSBJcWy3bgPFUzKl7WU91e1HNZXnVSEIvTThYT8yow3PHnAnrB9mtN8ztZdglOtuAiq93WZPj
UCQIxZvHCImaOQXWff6ylTdM+sLzjHO8h90xaufkckzbqyEPEIAcbIo2lsBePLNsiyWeVh9b8GiM
lHoZstvaeSAoKJl0yU5gQHAdnWhTjH56EWGm3Lis5ddhUHFvuzjqVqohLuNn9ZM/GWSS3aG7Vl6b
bTPRn1SmzF0zFtX2N9fX58ePibPRc62lT20p0XI/PX6IzVFkQsqZwfIA08QdsaM7VYu/WrKD+d5j
5zxMHdscI00mFjAZUVbXeyIYYxSbJgPgsxqxBKDb26i0LlGwHGN7chiWu196RcsKy/ttwxpOt59u
ZI7atSCMmrh2cAlZnwxqAMwsz6sG4km1ITZpTWYpwLHJQx0ZgD3fgwfz490MB71nomgxo5laKkyS
8PnXP9/nB8pyHFj7mfnTDrOwOznOH5Bno2VU8ZKsXLOgVfdBwvlNPZVs4n4ydxJywL1dm7/j0/7T
Y8yE/I83D/KpSdmSlMuv88OnokJEkm51YwUVF5U2Bkf0xSbW/q3PLGaJLuECjVowlw9ZVgXsYBjq
EoKjlfd5UMheXRzYzwp2zLlBsHxV08Nx5qpxk4kCT+yvfyGsg5/PFYax5fXmMrGg0nFZX/x4tDD1
gDUYjctEbijXTu9dcfCv8VRb1iqTzDYCSqvNRuFEqROn2neDezbEMqrAAiHZMY2nGLSUL7VtV7ik
8uYykxNFtI1M9oaTmxtth81raRkHhg3JaRg6NA6nfLImJda2qVj6lm1457oS16IqxB4J96EBVmVu
Zh8wxtBQxxwHXUD2Kg5wUEfmqjUZMDBQ9/pLX/Ava3biEmuTYe+DKMcLze7ZsAtvNU7+ROZp6J8Y
OyHg2HFwjd8NmbwPRbiKQgzMs5jjr5hFplOFdQ6gwcLBCKJwl4GkmqGqEVQ3tHLv2qkSBwMv9T5j
fsf2HMp3IErezCq2n50YbBZVkfzlM32fX8bKAO+lKtgd9pTp89IAPw5poD01xGyvHUe1N51RDm92
hOWcx1l2KWrMyJvQHuZTQTpvZrUtvQ1TihGpXlkXsSNvqjbV+1pa9Rc3VNU6CiPn0mn75NogpnCK
QmLS5Hyt45jmzGyqgalFtdg/siJmF9TMpyZ3h31hBRES4MDoxBUR++1QVwJnhOdUB4x49murXHPb
oTgTDusja+uk1lDteqtO9ri7NawWy1pPttEiz/sT1IosCTdQD+oXM6pq0m7d2hdzeiyipL+cEu1u
AFuM52nnH3036XZF6HyRIrTOLBU/upA4yLsETLwHxqYTK0VF0HcldNle5oZTnTPShTLnzMFrwdtm
X7oK1uOQVx/iQF1hLug5z07lX3R+8zCjN120WEau/GEOCOiU+YU3gHAKzdrZt564Fq3xNW6T8XZC
c1u2P6Fe1cMgyYKh6LWgULjk5T41kVLaNPwSZVZ1o7WL8OJOVGuwFnpAUzEfWUbLY0W04EwQErWs
2d/DYuow22dg8wjbrSNGobfdNGZnTFuI4aTuU2mwdXINW183bj1dD4GRnIzSZ1ZUsJzNKx+Y0QCQ
p8f0shl8hqg1e3pzFQ9E0uecZEmaUBWKIbL7yjnUd7nTfQ3rPCFPM8rrYUicc4dUzYnXnPdF0Ty9
Shlw7ly3CDdFZKQbq2cPb0wG4lsPXysYLcwoaZnL0wzMc1eQmoCmGDKxVPF7hUMLTbHwEji6KH31
YN6HJSJMEs3qohesTneNpICo44a5wdGUvZZVdEG+a8QC0lTfWIsxpRyC5Qqif+9k4SO8hSrQrGe/
odRZyTvCjvapkC0OsdwqzLV0uJDnpGIewJ6/2xQkNw85J+CyNGL7xeSh/2TgZjhUPHse/Hyur+pW
Vl9YqsbbmRDNeWtFGStj5prp3k1HfIhMK8otPqRY7xzGxRGTIBPhKQvi8IuBWYLZYZq8NwTcacqL
i/IiaY0YBdnWxzyScs81pl6NkeiSKpn7NjR4GB5BnTwO3L2Jx/LMAxJ9luTJfNXKxjnzHGgsYJKe
rMT9XnHH77Bq7nk1BrtIyGJtptDH8r5YFwECfpib7r6nAvFlSNxDFeRyLYi/HFjNZB7dHTEi/RCU
AQu0OdGPnuyVtYHVnG+I8Jpqlxh4uzTBhW8TSgTq8TIJaHWGXlQO876P1LBqnBbnUd0xTEsnJrYs
BS7j2BXceZk2LrUayrs4LQ0eC3Wb7HPWDqyvwZCHWAZw+KDzDWaXMNydxtepj/wzVVflhZE4pFB9
kjfEdsb8LXHrbN02c/HklxGh8sa1X/tw6u9oDufBTxw/bA3/JRhsfZG6qjlwQ5uXWQAkRIO2wTpF
J5cLBJUE1WkYS1j5mden66ikMWCV2GMT7j29DEd4/2PWUxPviMnVzcnkOZauBVI1d8By79d1jaaK
XHogyVZcJfliOa0dMwy2EJXltE3GUo4PCQj4XS3KottAiUBK6yxhvul+rsyrAXWEpsvlk1KduheR
ZZEWDJfbYMJOcirUJBwMrMT2cCpPWt40CaaQtz5gCl1xxJdDFVoF5i6LcFkEv+OchfpE/oVcaks6
bSNmhxdwmg7Jvi778VqXMEvwZFXJPh1nE3NSDXm+EdaRakrYi4ULCEeP5njNiAs87YQ05GxrgED1
rm1G29rpIVGL34o1yhltXTnXa1fw64os2eukTPbMsv1z3uPBIx+eq1tBND59pZAmsq5tV0lmzixG
aPkcTLoVYQwIwn+mX/crxv9QzmpBWLFozcs6TZrDx6GSjbGPddMl+0lq874WRXNwyty8LEh6H8wm
Mi9pFNWrwORlzOat8TdTx6sq5C1zbhaQ+rBJ8e3hhwTbws6m2yaYQHj4sqoeKqYwDAyiiSWQVQ3j
defwaxmd5w63o1GYl/FcGfmK5aT9kuLjikADYGzAqeeE5i5lQ4nLJ9PJvg2Xv0iUeXNomRKfOzC3
NrNl5c81HJ9zc8hQvzzR1M9B33QKY6lf38o68BQo8agj3TikXLBVbB/7pOeLtCVkq3VbU8S6kYaH
IbitaxwSaYoWLX1OUt6wI6J1Ry+eN90cGqAraGWmW4JlCIqYFyf2JMh5ZAk9xwgeg6jip4Pu8YGM
a9/sygsep3mKFUBd33RZUYzOSx6a4skMhnYi5DWO9a6u7OEahS78PvtGemEHlb/DaOetqjrgAo1H
ol3FqWac0ax7YqXXZTAbWxxUpJU8G5Qzjev5js5LrI0DNJ5YlDeime2XHCvw4gM4aqPEizW3JV6k
MT5FBqy+eJkwb9phxiI7euE96mwzwuxwvlVxB4VNs5vCh5dPBzL42RXci/oGE7B9MQei21R5yZ/r
rOakc1LtGlYOOzWcQow8o2rnw155xbNOjsyqdXVYvGhnZkeK3wuT/K31WHUouc9iEaTn1uSzUqEX
9ECjbPkdg914UYSdIAUY99k6xrEwr1ygOcmuVHX/PHfYtzqrNuOVriDp1GGWOKukUCY+T6uc9o2y
DqgqMCvws7ZAFGAyHtwuDifeoFZyJhWvaa+rzGOa29S3ubXZ8GubIe672jXDgxgX41VrjO82qcQN
1FU4uhYeCwB05m0KqQTWCDv/Q2XP0QXsiMJFm50eSSk8sca88+LopollsjZU3Zy1kzD3ed/d2pYH
KcOagDnGzStgmWqNK87BxOpFV/XIQmpyCgoBwbatR5KLe+iiN7EWwTqI2UsCXJm2AI96PosXfSed
8Srqhv6sAit11RbzeEBF8L9amI2uiy6o1kSMrCu6hMutjclsazpJstZTE120eRZeYttub8pYpQ8w
tp7qikowi8TQpVX2LwYkn8fGqaFxGDFwOmwKCZb3LjkEYfsYVcp9xp4ZQFyJmrcmIVQyz37LddAB
MJwxibAw9O09/vDd7NPzYKZdd4P9T7REFiDqxiZIOsyTNmffektK5wGI6sXMfAbbV7P9P7j8KLtg
QrlyWv+SzQtzLm3nW1aiDyXLzmQSVwJv/6oc2bFZZvPaut2t3zvfZGY+lQPPdCXq2ybs7zIjvY9j
ZnhZ8iJj8fCxE/tLSvf/lyG9gHjTv9fBr6uGQvWX/CcRfPkjf8/qwQmg1I86atcjQIAq+fewlGGZ
f1Cpi3YSOBZ9KgJ14O9hKfkHDU0uOqOJorvI4P9QwcleCcRqMOwkANk2/rWw1M/yDZ9A8SDBKykZ
8qFAfGYL6AoYIcK2t47azLskap7cYBpSuAmj5FSUScWea4FxqjJLLkTvxnc//Fb/Qr3+kKf/U1Ll
AGz4CGjxriM8DuOj0/YHLULXUVLGFr4IjtR4MNrOQKjEalvb5XgcEBNXNQn2YWV3bXLJM4P8OHbg
YDv7A2NSXBjz2ei49WMxuc9wguEDqNHS95jEWVIade4Mu6b0tiVho/2vD/1Tymw5dN+00Tb43dCD
TfOTMKHcCXqJrKY1qALKJyaRmO6OlZiNMYnc/JeJRQpvq9EgGtKFs0yOAIrN7GwaZRv+Rpr+XIDA
PAUqn0umkzIBspefjgU/TZsrOY7r0XEMIs1lb7oHfL8YE2u4NNUqKyMJLSlKAg1KU9S/LR/+Wcr6
+DUkCEFUtaV7kYzfzzKNmqa2WILj6yob9bwNht4nTMQkVexGhuWvEM+cnQej0N+EWTFXGG0BD2Eg
LDqxH+siiU9kGzCvShZE7FkMkebbXEfIgJB6kvZMCq3V5jfncBHYfrr8oGrQRykYITjLr8d9+6O4
NMwEpEwMd2vlxCEcKwoGAb2MAbYr1sLMklVFz81JoHkY14U9BVh2BlJxWDZIvYe3mcx1uwVLbrhb
jBZ+xl5dJd3jXz9MLjf4adLhGJEsfz5MP0jcRLDFWXMnZbwKSA7eCeTeXd0LEa2FVB2WB1hB8pDO
howv65mq1P0Y1SASpJjVyKKoMa2NWyqfNHlraXn262P8NAfiAnA9ZkCe49tLkNP73D7NZS6npsIS
EIDgb66wwdXA2uKONFw/aYBYTs0IoBgCm7jSVPi4LHzSQbbhS+9Q9igIAC5S/zRXYf/axlrt7HrE
xK6c/DVV6WLnGLPmtnI6vEOu5RDZKIlq4KYxdCi2Eygse9uzAxyuGu2Ezr6R0g0fePXrBy90SLqJ
3mvbjdvjkv3ddfTzMJEv75F4Drj1pMXhys9CrjfnsLN7qsWGKMWbYvuSzFwhBEknLQoym1Wo2C9r
TVRQT1I8xUjQ503XoKcNlVsScJEpWtqvzwnpgU/X95LRtSjTYpgKpYYn1s8XjiJA2vvIeytkjtw7
mpVWR43Yk+Iqq1T5mkIYCVcsVaGs5UV3LJO+SreptjBQd/41XGk0FnMYNaXv+bgmN7GDq9U89qLX
96BPvwSlYx3zMNGgn0GoxOuuqPF4k2U6Dzp4MQkdjb4ny6vEtPt2lUhMpaClur0lmpREhi/uYaS/
lWUIzNDLHygqcC+nBgwJLiW6442wytckyAssQno7CfgOpt3d1R6IiiZffFyuWvVQ70bRsBvEbVif
aaNBRSggfhxkE+cb6TXFGTwJjsQQgqV1N2drLpf4LftItAyK4+VS9fxtC5EpXhnEhC6gpS4Gcpaj
0qNTaxrHW9x4zj4iwnyY67G+Q0e/a+fahCDBlCMf0/nCHnO6IvywzHYkbbDcjzBfDJWDTYus+CKE
3oEzJHS/8ig9tbSJbwAMBQeE24itqCxPo6ra1RB5i6+yMz22Hk40FBv0HedJudG4zjzjDoolY+u0
K4+5OUV7sxMU+GINxs+b4xEiNEwgVz4EocquZE06w0wamCAQPdYNznsjKc+nyPC+NMVofG2IslKn
IFJVkm7qZmID2tXOKXCz/h02nXorGGISZ9r6VpvtW4rcrw2/G7fKD4s7tK+vOGtG/PHluzVKBdpE
jaShRzDtcHqFS0zPbNJXAQoUJvi82NZqHabf26713hSBzuvA7t2nZgz9d3BeJTBVF7Yhuxjj0k5d
FIeWDtM7aRf90fXmcrGv4o8TFAM4bXCsTYnb0uM8bCnZsjYANizwIiMQloLh1I3uOn2M5iY8Esso
qr0GXQvyLvVXpudCc5uDYU8hA3CL1nc3xlSXezm4MeibcB+Vs3WWQrzeBoG2T+h1IPag4tp7ihHK
YzdE+WGeMPesDGeoHmo1fBuyqGHb4pTNC+XkzavUi5m31zbMokSWd06HPRaAnOOuyCySxJ4J+r0E
ZTTt+3hR8zr44X5bd0+G50lSu0UieIKbvHd8aYhqPbipvvYZGnZr02RupfocedzN7D7lTsrKFuyn
6zULaibZ96kNyLBIvkSGY935XQMQekAk5MGaHbQt1ddYV/k1u0SNHB42eN7SATJRgpS38AkzHrD3
Ko1IVU+ei1PIt2PEoMUia8hMPjgJXtAY/BFroJFbNsjM8FioPjsntzxfRA07194RZMDiBMgQTQFB
bAeHRSU7Q9Et18ko7D1W99dazP2DKbliydLK8YSDoNnBdSBJWdj5KQ81nvHhuesJ/47Cx08x+fHC
9sTsPEtT403KkptgoGEaCqV542s7vo3awTjKQZdob1O5bwovOLQ6bu5H5Yh2U3gZ3dCBuObfkscU
c9ohozICZ+5geEcs+9F97nnj62C46ZcOzV6uy7bAYevV1SWMu/lgZtA62R43pJzDqXkzqwyjkpem
5XOXTcNhWgoO+JGmQ9iMDZaIHAfbyiqbHOD9eGPlaXE1Gu70GsxRt1ZT91rYzjuMOdLFtWXEZxYW
3buiUdllL9Ph+5gowdoXMue5YUeM5uB6Hlp/dg8Y8jh9VqZ9vQlHjdmW99xD0c7sWZP+i2101S0o
Rpy7gHZPzNNG5IblR2ACFX8rUj0fvaIAEirYrgAqgIY7pthNIwgDy9vDnvaRGUdb0w6sgymNZFzN
YJHVtlVd+ShpRbkCfDevHA8Xr1W17sEU5GRkyMClC4ebshvTkwOuaN/WGUxehxBYM4IzrDUUMPzy
7WNY1uF5rht5nPx0ehzDZYBNtP2q7fg0zf872tKizKSemHRD2h0UDVRBotf5mhWYfkqysrvMmmJw
9hQANM4uzBceFwV+6soHtLxKGt01q8KJoneR1N1A5I/nflbAEmnZSGi3g+7AGor/ZUA/5+8B/NSL
wi8JBBVuc92nA0w0ovPr1mVsRgL+sSYlsXFgjIM7Gt0v2OWCnR1yPwMnD9tVHzK4Wi/1QMaK4LO5
xLRuokZmGPjj+NZk0nZMqxANHLcD1Go7GJIjUUbxqNiYnYcVAZpK8dYDkCSR1ymQ3+dJ0RP/wXwL
Jdb41njDexJUkrCU9E+s+CfaVQb+4YU80Za4YrMJ6IY4tBP7gAY9fEvGosGA4Mv7ms4RfHe9/Wa0
OP38uMCtY3f9cIV0uCNjuEqNun9oi9LcO4Nw7+vKkbturPvjnFUSYlqxa32v5mfpZvPdqQMuf7KX
1yFyyZ5F6Pg89vV8WYdmf8l4e0IATdqjW0OeXSnYjFDE6/GMbuzpCoSOglKl7E3pInDxBLDOyKZH
D2REn5iTBSfDiqCjam8iIBvaGJljuAGQrzJmGuy6Zq6TPQ1v5ckureFQjIPBSC2v6GGR8h0shL4j
DEBwbnm2+ANoPF+N/r1jWi6crCF393qU5q4gX3/HnZ2fzarp2nXTZNHaZwVOlsbCZmHM9naqHOOx
cyZxCXbDeyaW7h0iFSIQWmFItiEccT0OGRshZQ7+vQir5lFFwvpi6JGnPBqjfjfZmF675exjlixI
v9ljVy0+ivlFDvZd4WNprHkJgSkP7kL6Bb72Qx7dDVLa3/VcZe/AfuObJAmzHdBT9+Djv4LT1sZM
jGp/kGsTEvHRdbsaclr81tFKcswyp+EIBUSdJKiJg8aYtZZzJu3IIAtb8q7KaNs5pK4Hdj/lFrEm
oe4qiMnsLGxWF6PtWx+i/xqPNJUdFsy0Gykb8BCUEyRvmA/kmZRtyc69NJxvQBlmqsCGzt4Sgpse
9VAj9ZER1RtjLrS5qoPJ+TLr1FkX+MvvBstRT6pKiOi0hf8WS0f4G9+yeQLgD6MkpxTTtVPVLVvt
orZOk5X7V0aS8d27MgYqy41FiDvgrt+BSozPC0Dyt72RCXMTiOmtr5wyISk3NXKH3dR7lpGG/y/M
in+y/PMfbDP0GOJYAVVKXKyQI5wm7XYAQ8fxFOPS8h8JbZZEInrabNAGHO52TeAmWBpJChtGRhZg
Imf+yn9oxkoFN3Q2TRgU5s6tyV9EA6/zUMnahVyYT9dcHVl0HiRTpHepIiaw0WKi2UAmLg+cSFJD
2rdd8GCSfniTVkc8kM3e90i5LFZ7XXQXYz9H13RSM4wY+p44bjpPkJ1FQJ4w9jCME0kqL2KvJ4YR
m8FbKTp/AHk7sOSJPPXMmzc+rz1THOiiCaI1fav2sO+FjZIs4NJj+8VNSTqXCDcxyjo+TwOT2RuA
bdJFHeubDW+e6rlQkTduEbfDB7fx234n4OPXOPtzkBAo8Jh2GZwpSt6CIX/rtOU/5ERj4Ew0/MU9
auvA31kZL+Aqk3zNEhNPU+p70X022uELwwVvXJEcKvYNaIsKW53yH3SSLZD/NveeYcZQxj3CYe72
1JrRyJKwLCfbBLPgJaD3eVPk96wI3a9uYoBqLrxOxGtRtdklKThCEJPhlA5aq4z9HfO66nZksc2a
xCfFvBIGE4eNVnA68ZrIeCFUGAzPnDhfL69rsNY60foE/sR/MJU1Ontq1xyTIF9fM6jssyD9WqKJ
n3Mrl8ZJCBJ+e5YHALDIpFXkr/gYiA/0deZnOp67dK20xsXSM996THDuyVVViEHyGDW4XmXp+RZr
d+VUQJMdo6FOowZZaLFuSc6oJPAe8QQSADRA4SdbpmOO3nn0XXlwyQuoy2HVAc4eRe7d4DRKLiet
860bpJytHEp9gJ/cmVaOVMxQ+9F/jhvsadS1MMco3dK9xfF4itzYvVYgh05kpwyUZ5M+hs4m/rNK
8xTXnq5dg6mcjveUqI53DmSH/QwwhBFYYwdPdc8Q3a/w1mxpB2jOevwcLyMP78sqr4fvAVqkzW1k
VAcZg4q+SWJ6jBj3F+w5+0bqes9YiN4lJm/o5bPfT86OQ7ews9tDXa4xDpbGpo5xHPzG/bbIsD/J
R/iRPTYVhK98B+3yc/GtotuvHUKT/J4i1g54hd1PEjVwrNMAunmRklHLZyMAIdKn7gutjJZYM+fH
9eYOkjySl+O1vMKzaBDi8JdaBgtmRLfVjqTDbk66/rmnZ47ZRKaLM4iWoFdI1uqW4cFYkXDDJyjX
g1AUD+a5bex5tBCg9/FPkGyP56Bbqa5T4bJeIGUCVa1Nf+PQMj9raB4GUw9qHMA3CZHuw8D1g4Sr
ysSDzaTa1VxR/QUcjFLFIWyrpVCTSJnV67VghnUTxT0Lfl7oUN3d2ezWnZOZF/hV0iszT4j5WQzO
f1eF+TMKDE0PgTwgxmIjnAWUw372uilfd7Vi1UcWJn2IQpONXyPmIOUKVMVwriM/3ef2KBLYkkAp
cXcpoK2GvVCyfq3GLBrsj1qj5wsM8VRYE/JE9V5mBD9qjVFNqjYdBsIo01RvlrQ/scWRykSSy3OW
Or+5OJ1/8XE4C1ENLeYHuAF+/ji7DFqdJALr1GS/dMZYP5JhntdV5wYvv/5i//KTQCSLBR3MhbCI
Yz9cAEVU0QdD0Qm6CfShZArESRWxXnf4J44fH/VfNoRaPugfQMn/JhBILtl/P176v8V7k3x7Kf/X
3UtRcV7eP+iUx7f/+N/LPOJvMyYwpsyLLMkgBRjpx0zob0A+A4noD1JU8CCZDizMR07O34ZMdIv+
IWyuShIaggAEA5h/TJkM0/7DsYFMUpdmY1HFnvpXwhafLn0wkBwdVyH7euQXHpg/XyFNF6jBJgR3
J2dTbqIJhwDV8d02y0txDKkt+vMy+bfV3Z/FaLIQeILsRY5dBhKEfn/+QDLZgWLIMNx70G5D6lgp
clyhRiAvB22/QR2QYIOzaCdQoPAy2dG+nYwBgB5i2Cll64nfNXHocaYK4mgl1vReMpAveETr1XJ/
37Ijzr9aU9QeJmfIn0JUL9qV2iI5IqGkL6OdRQK3eDqS/ivpsEptv90LNcttPari+Ydr4l+M0T49
gj++LqEZUOXovBSxf7rXWb0VIX797p4XJIwwUG97anF/Kyfzo/3wAONTmFb6LBiWZI6w7U9nMegE
vJvOBW7iJR20j8g8eiqm3sjraLyklLc663Ukd7/+bp/nbB8fS3eyFI6FVZvEzs/nEsJPNbKyL+5x
O+CKTnqQAB0rO5sazBWyNy58aGxrBMPz0hu/TW473v/6ED5lhbht+Obo6DTN8q5jYvTpCceMZWps
WRT3dETIy0g1+JP8LsCuVlxWHl85QnnZ1oYf4UmZbwQblWOAiL4RGdWZGdmibZcZeu/mTfbMOA75
rJbGPkkBScnhO56FGqm5aS5YGcjDrw/+09MZZrm3gOqZcVH/TjTm07URzT3eITwzd6l4cmW0royT
zJzfTBo+3+DLh0Dd5AOY/yyw/J/P0UBvmJFEmXFHCnjvJu9MAfbc9fsxffz4Nn/pBfA/M29HdOqH
E7vAhn+qMbitipcy+ekN8PEn/nwFyOAPj7YqCt956jm4h7hC/8zaSfGHZHDIMsi35fIg5tnxd5eB
z39iSeTBZV16Cjwunb9l7WwLkCtXfcAV71q0if8lILAjf74+PMnbh7GYy/IQjJdtfo6J5Llv5Gks
oBxk6AvPcmDYBIyaQGlOhZmiCe+Ktxuw4GJOYoL9HmMLYL/GyB7m3i8N271sHAZkr2LC77NCRaXn
QEdpHIK1FiyeKx8C18sIFpF5PE8mdeXRjWKeT2Kcqc1IixFMRB81UXyf5WFvXFRkUYNoZRV5VZ2X
rpWKW+BLuXNNa6XpHcnddnd+r3FH8Uy4tkiZzsekp3MaP4hBd0tRO9GODXtxhc6m/E3PxlehDpXm
0g2AGNYD3bNoRDsPPdiktBVQHyQeBHpFeKl80sV7O8j9kk7VYALa40xsB/iJTAeZIi6fbSBG7k5C
WxgPJfEhWN1Q5MLthKADx6C3umwzj6rBhG+w5wFzVrrZ2jdAKu8KV0fGjvZsnO5l2+roggdmcFFY
/4+9c+tt3Ei79X/57tkgq3gENvaFSMmSLZ/ttrtvCLsPPJ/JYpG//nuYZDLdndkTzPUeIBgkk7Ql
Syyy6l1rPUsj2GAfxBPRDfPZLGeAUkUGVIGIgJ99Hsd1fMCmSiRtyQZNbkLB21/63AVaiKpmHyjS
zdKIkQvkNFMmJHHx51uqvLZFM7/iHQcKL7Pey/Zl0kPzdCZDUs43Tfa3bBmXjwVZjSQOFrI/2WDz
sol7D9ayOXNahBrbj26CFJpZydcag2V+YcQwK0rTWaIS9ttbXOJYDRoKkAIu93PKKfNlAUfgdR1S
gAfgRlSx4FiL7nyVGwMGZEMwbE9loShL9MtrDMN4JmNLyEurHqf3RK5LFGQa5baS5YaB5VjaVXWF
0sYh7tYrHFLH8TIXY2RZk3NFO0P+GdAVfaxergHDUKne8uuAI/lOlgDypmkkGrRjb5TphWN400B7
mhgeK9Wk5p66qfaCaOuc77pCkjuDw6WvV4P2rR2VXIQz8BdPwc7JHdMiz2C7CAgCXygOnWTZrxA/
gRDao9GFNTPKIxxi8EulqMYHxocILBbI4pd+6jvy/D7vnkqctrqVAy4epuSqoNfNc+sbOny2t6r9
CWEqVf1T3WXZVx/SwBgWMlcvc5qlXTS2cnmaBheMa4psae3mrhuN40KHdEXgs0++4odMn3tr9dJI
xFqAXtIpNCc9L+33bkhKP6pgQt3XHIJH4rCDcd/VlFnu4X/GzG4Ht4QmAQb006wUdAlGD3wBwmis
q2okZA9p1ci+xo0YF5pGCtLwQSbdeysvkmfOfXa/CWLwzTLqBXckXuWrWDKKz0w/MdTeBIhyW2LO
KHbOWDnfq9RIePZO/DsoAZ7GZ+Sp+Zx4NtSYMm8e+smbILZ5gzhRURgT5lX28MJu2RrPXjctR9XY
Nv0RdRxcc5hm7FLSQaUjs5qAldtdoYrQrlzz1jdw6x5yKsxAUyxzO12Kzqay2JuM4Ws7G/O3RvZr
eaKiLEjunLaj+3m1zAX3+8jd610uwzCEFf7RT43XrnxGlIbX3OCM3qKbsCq++Ell6wOqausCizG8
51GrygsFMyEqTFXTV/tOWcWz5YIZjMZqql50IBU+kTX3v/T1Ut/5WFohajhdAoqCyCv2jClFiDcY
7X1G+WHMsgQbW3FErNiZMyCwgxGL9LuAzNXti6ptXl0iBcMl00REYiZe8blOGu0fcLCvK/wg5tH7
YYlN/zC6BazTYZDYN/x85jtCM/SfpTBALCX0ew0H8KjVzbZWgwPgBnGkFhErWGLp/K5rPWbvMivj
+7g0qh7wRN3ddWOXvLqCWlQs9UGQHHlREFALc8v4NKTY5wkj2gDnlAyWbA9ppkkju4vLt8qcpRf2
M3e1qGMJ22Gb+nl58GbS3xQJto6OZEIEiknF5vePGxc2UUqQL7RzTlU7XOfGZQsMU0PKGtYvXpz4
z42Yxm9r5a/XpSfwLBDTKj4PucKgazVuQzMuNXdwneDvUktcJcXjEIB1inphA3VYA4uUiyza5XGe
Cie/mFHJqDpZvLqH6V3lAKioKCFxEtRxdZAQkXLMXEH9kW8NGCFN0/FXX+VEYEpnVWgakltp6PEu
nzF7MFmDUTps/BXO6uPs5ynaemE+JCtskb1fyR4Ef25PEOxAe0QubX0PHJeIdeo4B/C59Cp5KekD
ufWWnoTQUm1KXIU24IcUt6639jAHNM3LhIK72prXr2WSgGvy0JDwAOEjDvG8jxNA6grUjeHSW8gT
1Xvtai0/WbRC0wtGoc6yS2efYL6/BvbLVC7Wg2HWhGIp4eVy9VTrHWerRqhqSRvAAhR0YRxSA9pL
OFPBCja5luab6dmYHgZ7ptHXh3t9R/ieRwzdYPaA/aGkaEOScrgzCt5O2OOTpP4kEcPHyU7hC/N/
GAeeWcBnaFW1nnkwNcWloybBU61X6z5LM2nsAzrUQaRXA0SNgedte2gSqrgjK7Am/kN6o16xKk7V
HvnJuAkoTAGoWMFUCauunRc4KK7/HR8Bloa0Yzu0k+uEmOgYw/SFnxGXe9yg4lNip9kdZq9M4olr
gbu3MAsvK13guPdbiObRVjP2GOArjrf8be/vbbYIPYTAeriK48WV6OoB08N0KVlvk2UW76uj4d9o
sVXjNp3NQM7mW4zavB7vrdpulsuqsGhQLukaDhftdhBQ/YWAixeLvAE4IDYVOYmLV4vixiwCqd6d
ywlOKBXuiHFhNRrcsBdsUy9OM61b6/Ugn5sisFZSRmJl0D4a63QYZr0p6MuQ2nub7BCZ4JZXCol8
ICtN9lKvx6ZuvSp0WTQ0GRJlfHKzFc5rl/L50ylHbpKRb6b2bBsz2PICr8zeYWY57Z3eIGQ5u2x9
d/GqxPtkaDz9AVi2t6FIks+jnqzusnA8yE1tVY7E8v3BeCgtZJko9VOqQSm0AHtuFZzigYOp6T5N
jT4hjIYj9VThX1HnfvW3pQRpG7hQb+Zna7FRraZMOWbY+P1i7AZMAw8zQtADE4vi8+whP8BTGfIL
Z5qq/NDSuziEWdtwtYLxqpeQqmkJp0lYJLXA824ZKB6kaXfVVUvWHdrBd9JP5ToZIAVs+o6Ce2sC
N13uSO3YzhWrdKo/Auzq532elyYsJsclufjR3Kw/7xowenHdQKLunrQZs/Ucubbqr5qGGdCJsmrk
J5rFR/EfjSs4DdgYGfnsHU4rFkOhbZzxw8AwzoXhtnlPmJ1/Db6hyKKAJP2XH85H/2Io8svg4LeX
4VBKHQQHJZuX+8X8FvRtPbDbK6LW1gt9aVmpHy1v5PbInjEHCmuJ9uy2JGCB0bHXM3sMprGX9b+P
D/57Zv0fITno/b+Hl08T7QzTj0PL3/7AP6aWXvABr7CH85vrgPMn38/vZ1acV7TY0Me3USu2uSQz
i38MLZ0Prr3Z1X+Pg7tQXP48tBqW+YGzrLudgn8bhcr/ZGYpfh2cYLs3GWbgjre5Urlmf75KB89u
R6d1xmdWFBitZXKvNPe5R3yO9jGbBh96rWbakfTNnVCyvbTbuD2Ui7veDVKrq6koSrKX9QWs9hQM
b1ecg2DsniyKwc9ebXZ716J4ye6H9SqzVui1LenHM8DtQoyIZH8jP/z862ynf4zqTO6YBLg4dM1f
RqKm3TtA5KT96MB+j5IKagbAiS/mnBt/M33d1tU/54R/vBKndcHYgHG0+OWVpoq6T3a8zqNgh7xP
U+2fVk0Yrnba6qoLUve6nSCG0OFt/R0u4F/8ktsAnAoioCfCDX5Z8qnfsvmsTCrVoAXs63VIoFLa
9jlx3GX/w6X8L24vf3kpLjIGLia/o8Wn+evnmXPdkBiuuicD39AhXdy3yk3N0NCW8zffnNzGiz99
oIwcOWJwGbo025j+Nl354X6JvOYmFbnup8IDnwY3x/edg7+O57qjIUlXB56wxK1OdbJBCF8607i3
GhHm+VUSv1XeN9gdYU8UPp3Hy6W6M/s0Uoy1KxvbaPlIM/ozyJJw87CU7XBF+eoVO727cXMcsd25
+/ef28+jIK4Oprh8XCZ6BDNkLsSffxlfLzQfAg59sniaHTxzIAIW1wIYBSDqzAYH/O9f7y9XI9gz
6FOU4KLTCq6Mn1+vnbVXAJGzn0wKsC5W6pSPgaGR16u4PrVEOe+JYFNN3f/tFbI9xn7+2lDfHQvb
aYADG8bUz6+MDVC7QZLZTxOhy33S1vCYmNT/zWqz/nohEpzhQw0kYZqAbe3PL2OB488NQ4unKbaa
I47A4mgXxgoEwgNoDeqXvophw5QyC+hprhuAd++Q0Dt4rn1200613BvLBXFtpo9/3uz/xQr5yydv
ox95hHoQoRjb/zp5RucocZPHyTNFjw1GrHG69SzDDkkm45vBLLxXVvpgeIZ3/+9fWPzlk+dxj6pF
pgO7omv/Jg/9sGCskaLk1HX6Z1xHa18DiEs5wHpzfd8Ny0svFQB4gvFeElATUsr30UyiGeavV5F1
StrpLp0ZWwFnfGtG7AWT+JZYjC8oT3tvSDLYGw2w7fbaVH9zsf6yZ2F1OKZErSMyJjBa4pX6+cs0
WhTWZFXLc+eI63jFkkYEtPEBTQXzVU7Q3KEWODPsF2v6/Tr67y7lf4jN/HD9/GWy/ohL59uvo/Xt
j/y+T7HoB4ZuBDOH5A3IoA2n88c2BY4dyS+fJxyaB1Ewbi3/GK27H3xSWCgv/A+C7I+jdecDm50N
vPNbpS874f9kl4J9brth/vM24wFgMtnukP+ytk0Ro6qfL5mVd6DcycnChUT7R1Kz/jtAOCZcHZE/
tr0JII9wSaCy7rM6yNuotNjZ08BtE9Unfjd/GVSHPOoEfXOEfQmsn14HcWPazGSi0bGTL1C82cIY
3mrcEEbGzmyWMcDNqR3INvtSYPiBuEmDLfIjznGJhgqVBPurkBd2GwziAhpe9pz4o9XsGUeMdJFV
XczxjT3Tm2hzUBCq34oY2tUm4qeY4jTRWmstowyPR46ZDsoHMztJXKXQ1TxEhYyL2ykZCNUPjhzA
WrsxgRNZS956DU8k4jjahQGGyvJSNg4E0USSJ5y7OfgMIcxdd7EDpyRUTRmsJ13opOachkWwtwYN
HDkerLe8abJr2KjzuSu1OntWsyy7UU0cfIelprl2XFNmEj3hRW/fApwwriSD1eDCm1QF5Y0dndjr
vh5f8yQhB4hyopIjlTueijqYga9itbsHWesBFA9ZLo4mS6FeYwa/dDb7Qf9aJY79ybMS56OX6Plz
0QXdbewiaANkcxkxOb1MDZL1kM7CjvO8BMCVKaI2olG7GKzeRpnG4wmhd2wofk6GK1pVdtKQFZpB
hq2RrqjWQMV4rfRdb5dX0NbCeElgGtlH3kXdAfW2M6pP6RwP7GjJxIGT1JufEr63zo3qsCWvLyu4
w6No1vFmzTnOJUzAHYPoduUxwajeSaU9+ziUQ3bPYYs84yzMC5fp2nLGC7dat1p0bLLBZWpYH8vh
W97Od13ysURLtBll54n5mk01Zs5sh2P2dhohIRvMU7P4ZCnDDGdbXsTpAExm60dmrDGTjre7e5bf
jpA2OMSgvuDQHFpQg2fvkmIhGOuT3mlXHKpepIR20gsMdufVJyIjJC16XnUeTR8pxHvELnnK4wAc
czKKJ7K5ElL72nzJzeEkNZegP2tN+0RJuUQjwc8or4wgn+7VbHqPhZO1Kmyx9YEyxbLDc28xXl0b
wrTdTd8FUDTXz+8c32+vaofMAwav+WmgMLn3isMUT5dpovobT5GDhZaQqO40BmcAVhGk2Dt3MA+Z
XKMVL11gvZnLzcJ+rwgii36kGdGXcikrXl7Kwt5XPd+pxwQxvgP9v4MGhcMhYJglxkdoGaEBRSUw
cX2b1Eytn11b3cfr+Cg9TK0wFgF4cLEgqlQaXOFN6bINxelqkuof8L9xs4xsskDFCO3FdynMJvw5
jwmhyCu0ETgvxqHLnTOxjijYuuvM+uhIOjVs3gsT0GMzNo+T8ZyWX8QUX0kPosryKlwwEwFUG+af
ZnaVxeWBJQsT6IhO9CV1Gdok9CBQSMOTcVCfUps8DDKSlz7OgfXU6bqBfx28G0bwxlV3paqFxQGA
3QFOHxkUxQX2FGZ99+R1pQIloKHNVDIEanJfae8APzndde4sd0796o7jWW3Mj8UNwkLnB4q+xAlb
b6Tq9YKYBe5IRYsGv5lrdvAqLcqbROjG8zeHTpxmZ09C3Ge9M0eQDjdAcnGX2f4+nsGC0YmzXdN+
OccXsVMAXtRFdbCA18DinfQDWHXcp+qThzzC+E1ds5W+kWvxgvJ60dADFXq4CoZiOjmr/1itALeH
+cAJjfbVWzMDv1SuhwbmU2NzJauhvDHL7B1+2m6waMhDGqRoUXYl5Sjc5IND57mXIPrcwxqziqlk
UdbnrtJHr67yx5q2YwKxkV3J+9bLbs3q7IBmTgr/olXlk268G+bWcA2KhZFt2NI+AlL6QRjzyfbH
vTXcGQt+tCx5mLfpWVdc1uObUhTm4NDpH0tvvVbGd05gz4vsH8R8Gcwkgnp0jpaJTqV3FYVAYrzQ
oB9wuM/6KlnPHk7n3uC+bOXZLc7d85qb5xI0k22zMGcCfR3mc5Rn9zf+DiXaNyWNdbI/z1s7XtFQ
Ij7UQNeJ4EVevvV9jR7lhuZKYQrsDwQqrNeYtOHdyHbhVoOQHa65PEwi/j5o55T7xTGbvfgKZkr/
VjluEZnKP3otirRCh1rpuA0LpZ7tuQqY+XKCAAyWFHuqvRAMZiwTuGPH9jwSM3MIg/GcXcdbBLfz
EH/pS5POkT706+YwqooCzI2dDcYKSFOWCuzG03sHXctc3DvGlzsh14M964PTltyP31dxCtb61tPo
U2DghjuzEtFsXtmYwV05RBbu9KCpSK1C/0rf5DoCzTSwQTOnH26LmHFmie65mPMbWfszM813O2+/
k2q8mhZwt9JeiVrZZEfp1h5H7ra6P3gVajo12Yn7BNiC8s/Z2jKVZ6MusQO0t0hn3H4bWT1PvfPJ
X3vBavvSeQaax/i+9tNhHozmvVji7NIhz+YzgR9in7AmbQNYWxLA080r89g5GjLzbqEuKlrWu8A6
VUyiyd6wuJoI0mLY8gRbpD7KauUumL2RA3kToOx3JuBZX1yLUR87buY0sK3R6NqIysk5CQzE/Tk4
Qn8lPQfe0sxee8PjSyrOydxZ90bJj18+muaI2VkTE6YMioQcrmzyqyOM7iDkWbrJ+A6r06GxHErL
Il8HJKOrfiWkMTvX2uu/OzzhCvBkke4oekLIcJb52GyP1YLjmH9r9S92BUjcb59XLa6SpsLuvAT3
Y3znJ96LzosTtY+w64Dq6XffykjgN/oKPsg+d6bQSGiQk9klBv+nfGrzndAqBFN6mGyG9VOadjsI
7HsQvi/gIr5UINKVuRz7friZRotTB8unGU/FQsx9pc1QBtPXxN3ay53smkj6ZTMm4H0cAqd2MUTz
Yj25CZQG8NvyNMN7QvNA1RmccyKJY3pXQ+ZccPsgqdIb1zm/n2tG6KEXk6XMO2zUYS6nXUajSQ7W
FRM0fZ9RsqWkcgYXo2bg4tI5v2EGHss8oXbICbvis8ypW/HrTy2xRRUsDz4l6HL5LMdsl8H4dFd1
nw2EnO0mrItP1CjtNL2J+OOxZbAbxNWPRJXBPjL9o+tYXyc3OQpu8oWyMPyzs63oLGFmTPAjZPJA
9lSSJKkPzgaewf+QG/rOsJB2FGkgEG8judLVbj66tIzk2ae1fUnzAUhfn4H7MtDnUPRn16aRC8WD
JBgkIrzURnMzV5PnM9Ch2b6T7qWfktO1oe4cM9GdcmFGi+IXXa4ynyhv5zzOAAtfmFgi6OdHdiaY
A6gnEWSIXVpv12WfxF8mipCjqqaVM/mqhE3bADtdNpMmwsP2gNVAe1AoCOo2+w3Db7oulyh1lYu5
PnM2InyY2Ae/p11V9vcZ/UBUSnDUWCnvnLHE7EY4kG0hPqruGxHFi6W5VeZV1Y57uupAqAK5yu1D
SWGv1ns3PXvqTVPjEECFGEAbGdZFBUmh/hY76lRUt0ObXjpjczVQQfXKmCG5X2a5fptGDNQlzGGw
j3x7ZPupxt3jpEl3xVS7BDi3ME/5KjuLnW59l9HBBIZp/EhisTuRKAoDkUc9PxkkkUngzJqanTfK
R3RCNkVRXXTH2RtDRJIw7er0As7fm0eFCvXAlHvWeiFl6n2FVxkthvnk4BkIKD3qkKNGHsply/1t
RNxEF6SXY3jPkI21kF/HSc33NVK/JFOyxDYGovjSZkDnL5+7/lJSAxMX5q5SV7mfXi8Wbc3L5NzX
ND+YDIkN8a3y2Jw09L30hC1jdjl1wEHBhMA0sTDieD0Kew09hssd+fptKyPIg2wxyCkVh7nLnzLN
50/BYqrf51Ify1xe52l/4bUB2W7nQvXfErPeOxmwiPgLStvtSNQ+AewBQirMpzJMmvoq8cqDi0Sb
p+Sg1MPgHavqgfca7NgBh1XqfHR5iEzESkRQRWKywkbU13kldpPvHe2kOKzqu4T2r8Ty1A/utUrM
s8998IaY9wW6UTTN/Z2VN8yocgL1khrmVNLFYBn3i5u+WRPVQkj4kdNbBbUtKhtRu8m4B2Rg1th4
pGMJb4dzJkv5WS+qOia5d9RdG58KNxlx5Bi3gTexk0HNtPLX0nsofRWVDHAtzJGeQaODSTXcm6wh
ynj+XZ0gZxZgsfq7ODY9qOUepbElqNxLSG2Rn9TX8C5IuUxJaLkLHaQ9vYXWzkBqJ5VeOVRrpIV5
EycfF+ZRc7bPJK2nmEeuk5WyK41bA2H6QqVbOA9s0C6f5s+pz61aUFi5svOrOAAn5hu2JFa3LPES
ia38BMg4h94nwQKmpREOBh12s8W5Jc3UZUnkYMfB5Sx6ltaYZcfMmYZj4Awba5Fo8ZLH6BAG65I2
SDu0NVTbqi8PbW/aB2+rrmvaeMMWruOV8CZA5rj9v8H97feZZZyLovvSDfEFLg6Hr15f4HpNqVxN
l6jrkqtcUluDYQYtl9Qv0J5O08fe7b2+rMFVHqwt6T9peeWs5sme6LUe/OvJ7l/qZTlu5RKL32Tw
cVOYYAmwumB4qxJ14XWCQA8cnf2cq3DJQznTWDVU6wnKgnroJAR2ISKd4dXeZtpVVPfuxeKfRzgu
dOlQZ862065N95S19+1A9L51wS3SJdSc3GX6TjPh9t1NIL1afkhuZ2xKRJ9TRcE2Rn9MA+Bg4Vj6
w6esIz2/y6Z4/B4LOxZHIlQbUjcw+/gQWI5PCoqiNB93VGviddQTxVET1AEoQXOzsD1GJ77dVNZk
VwoYiDR6WbSw29ka39SM0kl1d5a+HheXhWxIc7hsKVYUYcV29DWONwkpcXRsXriNa1E803Xtrap0
S8vgWlqQHDe0+MjCzXazZbXGXluLdxcEPjt+O59MSoymUXzOLS9xT8MoyTSqQdopDvKGM4+UuXXP
Xojj7bIqTpRFsKavaAT8PD9pVph8bdCffxvA/XcWySySWfWfQ/S/ziJJely/9Vnd/KSabn/oj2mk
+OBY1F8EDLUZIMJS/HMaKT7YTLwhVJpo3eC80An+MY2UHwLipyis4k+l9Z9GX5JIDBDhRv1hD/6/
/+ennAUpmZ/++ccyit94Mj/MIvntfHrFQZnbOPalF/ziAx/pzhTuzKHP81grNVCIC3qfqMwAWRQ1
ywDTPZVUiObq1iCmb3XZyc7H9mCK4qnMxZ6WFqQ7tmQObQPnvnE+ygrDk0R93Rv+UO7TgO63Xsn+
5MKE2JV2XEZDB7g3LXK2Ykb8rRQzVVlK5rjPyCdr0/vutWz9VECZTFC/eFh/IqV9doKT9ahckNkY
R3cdRtGdqvhvnIGt43Squ88TwYKdReIhMuz4qVLi9j+/zP9/ROohCf3bRTB/+/qt/mkBbH/gD6e7
/QHU0uZMx6AOe227BP8Yx5sfCHUCWCCu5MuNQfXnAnCDD5tO627ecxzUOE/+NA04zgd0XE+yAH73
IYj/bBz/yzCeRenz/shNoeOQhfxFbeyAlQDIqdcoD5g+7/JGghXTonUA6VGzlHKwLuYvjJ9IN3Pj
LLCL4ir/aNKr/Hey8S8qGBEdwegfwQIJ0sUo8SvcrO+ysouTlhbLmW1cucaYDolOM8m3zDx1b+pV
c75o1mYWoRgTG3b5pHEhBHF7q7kJYYtZBg82e535GU4GQves4ZnYdT7mrqDSXVsUkWki8PDbCXvC
dEvYOBWM56ggjMfmNhM9dJ4yt3r5N6J48OsHjdSB+s73RnRt+5ufVY9eV6oGx0Czb7qaF6QLsnyf
diL4Ovc5ULCkCPitpNsB9s48q+dgHrTj8YfL8l8InL/lqn643ZkmzDOUIUwoDrkgN9je5A86Y19U
lR7Ghll8GZTmiROGS7VIi8cqrLved27kIIR9wD6pPq/WYHF2Xzv5NBP9lyfZN8O4+/fvyN/0wZ/f
EVE/rAKb/YIYzpb2+PEdaYendjxuBWvEMczHzkCBxR43OdVhhHiyhW7pUji4qyCvbXB+e64H6ZmX
I8ZvHJZzEPfXbbZC9BmNwW6ihXOGvK5r3/1oVHTD7cvRLzbGR2K+1/3iPGK/U9TNxpR70+SRMiSe
25kOolrZfsuE3RmpqUt96xlEmKmOvjkKLIuA6I2n2TQCFyMtHS3nAfYtKLfS1M4lKJLxSSUr1M1p
blQ0F1RJ7/vMT4HOVE3Jzsn1sjmiNddxD+ZiNG7InWFITrNEy9mTxEim0Kkb5d12KZO3g6N641Hn
QC72ljnqKsocl35dp4ICsluxjgaPRpwU8kAR90jFuq/L8su8lEX1Ito1yI5JHa9VJF2nwfmr+605
dR2qlpmbUX9ylV3b0dAOlYqCoKyTqKzSBN++PS8vlUu8jLR3FuQ7U/S0BtjeyqCiJe0CqqduOCBQ
e4LgRAN2AiiI9of6oIIOqA/9FWzSuHoqhWyVuahbQ8Z0699fMxY3p1+uGuJB0kHF5C/SPthZfr5q
jECUaGrSCmM1FOOLYzqpOg70uLuhG2jNiNZx2uWkrcoQjAEnMZ5bDK5FJGU3+wc50OL8sVU0FB7H
pGEvnnGtcITGpouzIldeftQ4ixkrdkFNf3zGOTgqMDNPYY6sQx3BjJFyR1EWlhCKa3T12tuJAAnC
xkDsmYPMnJGWHPFPFB06hRg4+HHTsu1p7yX22u1hpwD3qyZjLC6sKquKi6z3u0++AyN9HwuZDQ80
XiviJ+y+7JAgRZMc5zZLSaEO/OSbIp6T/hm4y4p2kXp2mA7lCsu8pywXi7ct+PQF/dSc58CdvKCQ
OltjMpP2q3Ww+znUnPtwimNzNqJE25WzN4Z5yi8xvKzF0bUz7UdBJ5OHzZbICQsbQA3rPJ7NkNPT
tlj80nHO2LxxQMOos95zuWzOFHfeDLmEAKjFNsXCtYo9jIFuOzoOhH3DoslEMXKliV6sMbanpHCx
jiYuWC0/m8a3eDEhuZBtKHP6Xrlf3pCJUJezRGbaF0GFHFPSQDDvRMrB4XpLUb2lpAacaIhVVeyN
QMfLqczcbqVhYYZSYAOVjHdq8WJ462a5bhkfr/MiEPsxIBY98103cTNUT1oHFt+gxHX/omdV5GHZ
cWxg2VvI0klvwf2Y26BrD9hoaKNBE+Scy9O6p1e0Ajq4c1qE0sgA3gSvwwjoEtJ2Pb63BalDMIbI
GKERKz4DXEAM4stZla9WCTtjV81V5VwyY6eTkowZK23p4k4f6LqpF7zHfvmsE8NniFNZnKKVUumD
tuque7DqnkFrpiwiwGtO6XTaTNQpjpmi2QorMDXAUwszJVx8S+0hvAQTQbSAEkvfHjvcLStTBbqg
g1HuXHuUNBGmXY+QSnMWk79impAjrAQ+jJUvtXmwqdwgUDHSYR9iGiqMs2F4zffNRweR30sDhyzL
nJZHglwZT3GUzBXPbODeYQlAxHO8oiVurOvW3AMrzZiLEpN4Z3ZNDalFZ9lnLLILM1xraUoqBWbU
OFpEVuQ8Jnsz7rCZSSZIkIn7W9OW7aPvDT4Mwta2vglZGyVqtEIlmGCKir0sh5YHmk7yRyPoFeZt
U1vmeVolLrOxYbJJrTdNFzufjEpxGAFZt9HGt0gi1wSyjk5nLZ+rTBu0DojSf/XctIYdSQ/Ce4F0
fw+6JfNoAxhxLq15NSeRlaY0OxJk1S9bnGQFhKgpDlVEHyn5Kbz4BUdCfz2aHeNYclTtsHexytd7
buawJkpnZmod21BLQj04oxc6chR3yPH0YSYyCx5wywswLqmmPNjmemh2Ncg3O2qTQUI86ua8vYQ/
uLjYDXrL2Y+EZMTdWoK/g7iW9D52d7ECxEfu3960CfK/WQf0Y3Jkbtibc8lkTKaELKxlXo1DShdw
ecirtkPKV90rzCLNyaShD4qXrtk3KeqYKqhp4J0o0rNiE23WojaMnFUnoILjFF05vO/Q3Tz/XJDj
wbSHmH2hq6FDnhypqo76hOfxsSx0Vr/MQnXWFb5NLO1L6pHe0GpZ05BaH6nuzEb56XkJ8sEk/Q41
n/l7uznUPaR/ipuL5qIjXS2xagh1FEtqoLjQMELxUl4w/+l1Mb6bLaS2SDGYbbdRv8F9EejWNZiq
MjtwqFU1t8iKp3prFQOxeOhJiPAL2mM0zlSNRzwu6+zQ9F31kIMR+eImyv1GwEX6Fwa2grMLvyi4
Eojp7qlmLFWHVePrbNemfJQkhEAR7GRemwlqbJCau0K6q0mHUzmjtrqi/lz6i2cQtmsaXpgZ+H71
oDPDGZxKmK3MXb5DDDTsnVdZPLONsvYftKozC4V1W1hVWdZPi5lqvkdqOiiKgIHU0kXU6q96aviD
a0Yr8YVrJDXGf70SYmtdivDofjWy7xTFaxQH6mKg1ueiLUbCOnx+oaeIEO1WNUmqbVBMwfcS6NsQ
RUHy0peV3W9YIv9BmgmSoRObNr8bCfIM4rVbypPp9pxgDScD91OwYJPrVrdBQz9MnpyYECXBM9vO
pUfRTZsvwHD86ZTGmVOesowU2l3j8B0gQBrcJsCFyHfDan3oRHydRzHExttAKgoulj91t2tltl/h
CuGUiMlAYIxWoIloF14CJ1xRmY2TUfg0SKN4m3eCXIOCzhVMn2inlZ/xbwdftdl4XojflC6Xvu9I
uHWTskiYDFNB8XMCM+Gy6mVGziRJ8/nQ0k8Bwc/NXSqjrdxjmtjT/Whkk3sJqatgHKq6BNtLFbCr
1iWRtRD8dLzsAL9yJ+uakpmorUT9KrOxolRSE4ow21g//S9zZ7bjOJJm6RcqDkjjYkZgriRqcfm+
LzeEe4QHd9Jo3Pn0/alr0JMZ1ZWF6qtOFBJZyAyXSyKN/3LOd0Zn5Id6vRPeuBjpSMPusSUyDzRu
Qu71PD6UGQt9DjCdPscVsxTGeCBM98quR8RSXY+1pY6x4UYeofJfaTfa/QY0FBijLKQuduWCAkVX
dKGbTtmze1wwYZIVVmR2e1X3LCL2y+guAUBcxOZbG7vxG9SAyd/32EF/EGzswriT7Ch3Hg/XJ9sJ
kbHMwWBAi4uKzLy59R0ixBNMDyzcl2Y9xDgsxkNSnbVVfTrPFVdSZv+wxqDtj8Halo+6cVhF1IPL
HruhL7xsZhPo/Th7+kfXm6q4GCoMc2ygiccp9Oz/FLobfxiIcDwbyasPtyC+1LxtnHR+c4GJMX5U
LJvw93X5C8AdwwAWyl8IlZVS7dRPCZi+eUjEc0dpbxGlbfGYlytfOu+j0MmWmPn6c6qD5TC7HN9n
DrjMrrF+kw+ODLZ7pec542q1CKodwQx+QEYTITfbktK0YJuTEp7CfqtrN3a4muWYDDq+94yc3wL+
k2W/LH7OMzI1zYWVO47a1oHIPrtxipkS419mbeCQX7mRRTDbuypgqgxrM/RuQSN3DOHbgpCIJc4n
JkMINTL2tCVrXyla/xSTsVRxvS6K7CTuI67UQVOHGDrCJ/AiMydTUha/8E0hcgPkwUawddrE29Ik
uG+FLdi4BTziWFaK0GLWnEoMxmhOskiKnji1uJC5hMRYUyIKa7GvmmWMEaT2nvOM6pDArBail9qN
lsXmvoJJDNLTcssl6uceHYhkkcCB461DJHi1JSKnYv7VjTXcNVQOusN8vVZfWJTY+ZGdy6N6JZvj
uaYUu+EEzdwNBi3zqRUjcBZRgbtw98bpydFnniL10vLkp5hRa6y2/Aej7KB7zknDrUdA0q8pKfp0
h8arNJulY9ANEDaEUY7pESnuhIvxflq7QuzBow5Xivye3Zqm4iofrZbADD91j8LJmoPtdJg6VyzM
iS/Xi5popqsxtFmt+5OOrCGsb9cYmQFNbI2qw1B/9QxfBBFG+3lU+rbhA0cnlz+7QNk2pnS7p0m2
zAxHu7it1/iYkj+1h08zYRi1lPPDjv2UtjFrL5Kqnw5xjxgLRnx2IYYOVnT9ZAncdfZav1ShNUQc
D8GFqmfvAqPiEZ91c+O7LG7qtEk2CayULXe3dYAarnfkSiI/9monaqpcXnOVWtE6sAkGjdgdvFKb
G81GEohgslxMtWFz2Yq3NAuSCB96BHx7Zh+FSAhjfHqZDsOhazm0EbPVh2aW06ESeKG7sfkR082R
kpS3p8Vxk0et9LWc1HU6JtZBqbT7PM9FvU1dlETxGNKy0iTs6ar1csuYv2RlU+5dxbWCSfmn8DiW
/QokcjPNKetCAmccxHkHB+bofvHNNeOE81BgvaDau0X4b9h/K0iBFNEfA+azCCP4fdidDd+N3Z46
b732C+O220EM4rZpEd20dT8STO8md01dYZxv6wtHZ5KpsbtvcPw+eKVdovQJg6NqbSgLQXvTgQLc
KCQyKFwoD7RqSDlDv73F/fqMukddDmaqH7gHg2PKGHq7OitMAFOm3yTMPQoP1c2SN+VRg1VjDEkQ
/YiCgdXIcKW7sLiMUw130TI5MPQA3+PgO2iAvJ1IwmzHEOQY5DYwyFwo2OquXRw8lvg7ex6Dvbt6
xd7pitOY1CGlMsI7aG0K2u4o/b2jJZodIKSU5dNDoNb2pkpQ+WSYXcUygEdHarelebgqBozV7ozk
NgY5fglNbr4n+oG8rtwybeQVABB8000R5IL81BhKPddX3kuS9u4d0uRndDtJpChpZqgLaAJmsIRU
bD2PP5+Pfzsh4AVHrZZDyqMdnWWALmMIZ72B6trtyjZ7UFQS93Pgn0nYdX0CB9Htp5rFddyGM8oT
UuCllSP7Gyhj+F3f2ejRRDODSCI7jEF35Nl6XbRn72dSHKli9sYy6UWctvE7kMgoLUXITabuA3ri
y2C1vldXWTe9D9cB0vPVZI13WrWneCme576GKQ1eYac88gMRH23KNsgjv1UOsV12c7nkqDuLON8a
HmVnRAQt0MQzLJVUhvaACg4SL8d33vns7DD0bhn8yV3Jd7dlV0oUrAM8Fr+72Zt0PjN80rhvGeie
TQS1HA9FN2O7nd3bLraT50G5801F7YsmIXFouhzrvS7DU6ywOdejbfY5yEd2cqu/mzmvCmVdShL/
7mit5x3uhTgKZBe/LP4kDz1aUCIInB2GCzz+xrH2I5Lwt4l00SgYU9bFWtHWs2+R1RiDQgduySQm
vKZ8rfbJ7C8HeQZb6uIn9tJw11pI+aby4HVnARUUOf+tDuSxGP32lHbOdDCa25JDyT1gho1C2BiJ
4gJxCYnbrv1yk3nQModleZ4mqMnsDtNji2xqQwIDNFVKDHmeIbUK11wflM81K8+dzORyDe4kJWPX
Cg8jlIJ9y7RvW/cQKXkOTzsxBOTqxaW9tcHOf5nFwbDehj9Ki/O6iJNxl3Sq25ZZj4zam4DIFAE1
YtAxerHC8TWb/OFlmIKXhW3Xoaope7LRXFjk11Bvk6x16ekpmLdZqV5KB7nn0A4DGbbTsl4kJJRH
md0lYXTGdOzaTu6yJX1afHnpSwYERci9w/qIr7uZXmLDPZcWxZWVMRsKcy+9WFx0aqPcKTK/t25X
fllZlV313nBTjHFyLIKWjmc938KAG09rmkDSgAcv4bJGTTYPIFpYlWcxPWIALyfy63bccfbjiA/P
LcUk3BtEq4/AS5uDC6EjElMyH/ppAcVaTLcxU/ANtPh3EbvcTL5tcc9pfkPpHaEzWRur1tMJhsBN
3/fFrgrL/BUTprpMQglBdKm+40x+jDIdjg4udbg5k0dqfefBCScUNe/Evb+Wnz1rGbMZQq6QbpGP
RiTzs5hKzyf9CsBI5w/MLwLTInbjBAsBX2x6RlCoY5rmUKLfPFnr2N0SfIc0hcEtvGSi07ykUgSp
0txotEB79g3TtSjRX8SZZW1pRgRj9mG5hJ3KVwEFzAFWfrQtlt75QEwvSuOHnNnHplJhehy8+tlY
goARYFzoWbEMvFYIA5qNLf0HvOYX3CLtVlNObqi2PlzRuLvVt4jHK0YGuUtYvMZn+OkAzB/KBxCJ
ok/EoUKxnW7rXLu7pGAu27mMNjIl0t2iV9x2YWhu2KKjtssBdcJmZdkOEwknPu0V4ulqPojJ5dfu
l+s6aJDqGgbvlTBPhgDFo4lF9kYkUralpYr3aWDgh6y1uYjtdDzoslsjkVsIwt0CZUHqz97OhgR/
N+X1EREKvJKhvULDGN/AQb8bS2ufF2EdefB8Nt7Zs1TaxaukPdyEjskekQheJmCUoirgScnRDNkW
06u+EI6+o9Vij0A5dplmhGcMBTBb5ArOO4aS4+oPZNAOBXoahRxyCC9ZSMUbyzALJINmTbZhHtzx
E2HIU0X6M8zTqh+s09LLk4XpdMtTz7c3himK3sqAVBqeZJu490gmGDTjYW9ITkwbKBSrbKelS/Jl
KdvjqgpmZ03mb0fiAUnzsC4QtYkn6ed5sZlDv36IdXFd9PqXtSJmjnTh3q3gaUHJKLFvp05G9vwJ
JYDE2rzWx4kMFlfmANsyxJ114D/jMb7vutDd0++cKjl8FHrwSsSg+QNP+P4DeG931U0un/2aPsIW
ni91bn/F/VtjD95HnFjPrSfPdOTCRNptmXKlWV8/OalNc4MYry3Q15c88G4Xiljm5N10G7ZleO1b
fWS5aUczzLQ/ZZW5j2Fl9CB1thgDEGtY2BY32Cq7qPZ7ghTLxrp0bCC47SJPC0Gyn6QVJJGoK3Zz
ARNQFL9jxZ8jOPPTYhuJ9sjqN8u4fPfzxxwzCPORcZruZWhA6Avyh+vwebYJG9JLnV9nLCsY4Npq
CNGzM+6Hrju6fWXdxCm5nSeYQ96C4o/b+lvDLU5vSP+Y4uPUZYycuB5Y0mne/nmOvxB4UfabWDX4
E6+HrFYuiSRpUrd7uQwZT6WhbdcDRbROLGRLiF1uQwaLLg5+kVqPGK0Ki9BjK11vMx/n9pcWwIrc
jWprq/4o2FTYdFQqnNH1Sc+nLRly13slni30T2R2Y4Zcpy4RT9CQdH0DXRoNW83U2342gTtw+YZh
7R07m2XSjZicwDm1zHPLK9U26Zu1KMPgoKG7OJjaYUuyqQgPaC6JLQHWkxRSzcfAIUOqxuaxquZb
Ut/VCG78QN50nI3jQ69DrejsGsundxzXyXaOBGmK6bpldpDfi16P9S/XGse12YJvWTliQLz6fOm1
RGn0sKaeD9U+RH+2jb28Ky9BrVvOawzfwRyrbiKtVjmNM93YqomD7dzQSr2wjxmZygU5VO8KGfqY
b0OJ3oyLvpLNjjmTbwf7shyblg3UOLY+B9uq1p/WfM7dXqTs0s/aLoLigLJDDC9TM0/Bc9IqaDVM
Q1ghvE1OygPYTfG/3CEmEi6HRRf3Z9eTATnTbd1SjExDcKmnOioM1AZ+30H6x9GnRHwUs1371HSF
Y47DhIz4le2DwbWWMNTFiuxnPPq/AqSw8mvgSpD9QcZAWfarzEhEbpKhpTQifpoEHRsXfPWmlcyb
n+FKxuOOxob+ZIYq3uM9ah169j4tHXGkxY7l5WyGYD5k7jhWV3ahW+9Q03K9ETMwsKs4c+XT2TAz
IMVD/gKti/mpTV3m2X2RNte2mtIkQSSrzkEKBHVtMN2p9NLPm8E/TrZG8Bgz3W3RZSdLeKTiBlOO
Xguxs3fehl04/UhuAIQ8Rlh25Y925GYT1eViDWN8iZZOUiqSg7tsUZRVH8w0xXdfl9l0kDSg+Y0F
1LvdBzz1TrVXNh/l0FoyipOgD6KQbMoa4JJL+7+4dzofPlNkq7vOi8cXn/t6tzKEv3W8sfwqOK/b
MUeRByzqsjbn/iAmzWCH7I2HX+1ckUHySkMi7mQMgUYHnwz63/sZYEjAsv4pGOarlDwQ0CUVnaRd
8s5DNI3YG9ytGQMm5Abs/kWSetZtQtj33VARDLybl9ShpQ/V8LNouvjaSdIiueA38b8YYHBD19kq
H1DJidu40OVL6mmLtJD2dmAK+Z7GgM2nplBf1QzyuO4Ijo5itmNi7JFeEAFQfSTFolm6eNm7Hyzj
Fwvd8lBAZD9kxPU+mMTjrM5zG5tPsyJhz7w639tBPV6uWCJPpIZ8951ZdsUa4DtZdiL4GkPU9h1K
olYsH6hStm2oTpPXdgckEQkq3Lw5Mcm0j7qhEfSwEc2zc+uaH8EcngIr52vPiYU1eb2PSTwA0TMP
7VFqU+zWxRwUB8OeCAD2G+bsxCzoylpGUyDhf8KAvUSDcrSCtNwvpImh7Ajv0tILjvZZJlVYnw3a
jy1KSwb7IhzuV3dNrpYGeeBW1kOxN4Gz4ACzPS94n2vLXeE5kUfDcHVezXHC+QQT16Kb3LDWDL8r
R8YE9Ij0JPIUa0IqQbHHVmM8jDguWovzgVAdc3NmPAwt6+8AM07POMun2HBR9E+Q4rVsjolL3Rkp
qRMysbvS+elUox1E6ZRk5Z4IwNjs8jhI2BOw57xP2tKdDta6skkYqpWuCNdV+FrySZGKy1DLiajZ
Eu+kXVKNdvNU+Q+FFYc/lmzKKz4IWoVdnfYA/aqwLl8mvyDcCGQXeJyxbGkT5xBw/Malb5HQvzts
Agu14NfMTtccIMWNzS6TVKMkakN52LSx8d78rk1/sRFhzbyu7KO2CSDLZC+k5T9R9NJaDonT29uY
a2COgl7iskTslmomfVlJEK/whh/pkqdVxL7IyS/SapReRKIFvL8kaNEs2LIi1qsfV1ucqFW0fWQc
GBJJgXjnRRQL7hlb4RzdVA56hH3vV0hKh2AtPgjAWEgWZ0udAViUIM8WT3TlbeeqbD45puFKxljI
cLUpQZRoq87LiMQcDa8WWN+4zVRXX8uGt8AJDpIWHATF7LaeMufkJDnm0mLN/Pr1DOlPjio11IU+
FdLNAH3x3O+vFCptJjq2Z3EN41YVoaVeal+wwGc/yyDSnwLnJreDDB9akXBl57Nc06gIgxwfK5Cu
54yGmaRAgiHNruk9ffQtgtkZu8TWD6ty2XswcV7sC8QI4fBC98OoP8APWZ3wkgW//JYddGTFXt/t
eFhnL1L6XRpNK7XTa4JQUV4VPT6FSS5tZW/+puAtNQ0EuqiRzuRsXbiDmkWIxX4kzn2zCb1gelNt
5Tz/LWU1Ok2VIBKN0/8CC8vMUm5Z4juLVdSyyYO5eftbIs+crAqvWyyr7nYijgXrVNHVm9jthp9/
qxlbl6s79uilVxjwGJfHH33jCtClHkEZLffMul8BMer/gdX/Vn/Xj735/u6vP/X/PStz/4uL/p+C
z/////4pbvdPf+h/B0wdntQfxC//IK99LsxnVn//SVp4/hN/lxZ6oHKFVHaIttC2iXRAzvV3aaEg
j9eFnANFBIktGkJkV/9PW+sLIACB49iobvmXAN3+S1roef+HYSg6RKQ1DnSOfw+ie1Zu/VHZ5aOa
dM45vWjeACT9jsFmNd/mgsFllBciPCUy905F0pl/ISD7b1/Fk7wf9JDI039TAslMqyrTK+E8cQax
zM5hjM59tXz94WP/b5Rzf0aDSJtPBD2i/E9Izxl48ZtwjsNKuy6+MEZcUNnalGC7mFqABHaZneRQ
d88WUMXLpnCYH/71S//GS/n7a6OgZkUG8cVWZ+r9HyVyNbl77STqESgISegfZduolTUOBRStJgEd
5qpaauExvvUZgxPokLz0jnHeawGyIEqr8xPCGlziMBNLigRPtd3UN9VgO/Q7f/27/uO3gaQ7RJgK
Y+IsKT2jX/6gL8SWCYltsEfUD27/0Kksj7FT9MS5/vXrnGXZf762fJ7zfuDzjTOQPl/4f3wd5jpq
IqJ1jvqy6LtN6orZv8WM0E7XqpkCM2z0QFbuWwrOpg/+3TepfArDM2Gd/2FG/k0yi5U/d7BsqEh2
Fk45MuIvXRI79n/9Fs8f1Z/eIqIGiFR87XCt6fd+e5UW9VicOK2DrT/v3sdA4T3yXf3iZ+vbX7/S
+Sf99kpSAp0Bt+2658jeP3+Y7MDZ9DKEizJ8G0g5gtjftGOMOGqercuy8Jvl3/8EaXZtIhakw1jT
/011nw0DrvIgxw2F8x8OxojoImisv5sy/qm4/x8uEg5EKgrpB/BMwIb/dt+Qi+QZL+dVXLbmD3lA
T1OyUSZrM3MvhN2+uM1S3v31Z/mvXvO3C7NCqrd4K68pVIv2r2LX6WA50jg/XxGi0vnzlD39u68Z
cMQiF7eltDnTf1MWg9mgPctHwWta8YnMnv7Occk5QrsASsPPQUFvRjqv+F/chP943UArIgedo4kL
FOzCn6+bpJ4slbe9iFrASQ+jb9JPNNvBhuMXou8YVMXf7Qf/9Av9h1uCE5C/HGwkaNWFL/78gnRL
cVe2vh85PRtRJ9StjgYws0HUqn8JhUNlyoP1jzcG2EfiR3ih0AMAhjTxtw/WaVq9SBDJURfEJeli
3ZrXJ51b/fqa92zfCC8KqnifVKsghLUvKYVZUa/lpjxn5PqOaZ3PuZxtpoYJXGVz6nSpktNi5AIB
xay0/w3DJlaOs6bXMmXuNTvH+HGwq8emHnGpzQ7iYdmhwBgG2Tjb0eDV3wg1ZGZbmaXSt4aFv3e5
jNKpT9OK5/BVIZOHhJ2U2251L8IyDdF8VA7Kx7ZOmN7BHp37Ly8jAAS/Gqauq4kwq+A42kzIT3lA
veqYCgJ8lln6ramF9C8C4unxjPopMXuMbEfyOvuGbLbEpgTF10t45GZkCXHIKL8xemKgxTRa6qG4
ZrVIAe4ql2E0sa753dQigsRmKtQIzHZK3X0rpH7TCwP/fU6okd7PfesxW5cWYxR4+UpvHWOntwq7
hHsMEpvwTRs56lY5SWEAZdV6SX5wOno0/lokSL2wlnYMr1mUoPTvNmaV3nNvI8TckGK78hGi8Vs3
5GCK86yQ+GsQ9XX/ssxVnRzCsmClSQInorpEyNJc0tSoo0BkZu08tHsKP7kX36PQn+yDvTjhR6xk
P9CuL2MbXNrTZFiMeuWsnMeJx4Vz72Gu7w6ojCugB8zo9LSxUHQlaFWLfjrOa7iKfToTWA3ZYQ7Q
cVn4d55kU831plkT8F48JpKJ1qJnIOs6OeKvGP1+cSecrl4vxrb3UHHYeDkuYhOwUyTbhGw7ldfO
a55bqojiqfAvu47vneXqagFEYP8SPiWA7IC550B8NgSYtS+KTZENCqRnvgxB0ituEHzpZY9bK75g
wNRzJaRpCe6j18HjWU7BzMUtWuJU+JfsM3SYoNQwnTgDcGv/E4EhBVPLiIsoLfpe9QZswfuOWRss
gCrX0dnbVgnKQhANZ22QMLUvY+9aT0K0jBRcLNETAWIx9ihoQwzoSC1fmw086gnPB5cNAZNpk22D
Ro8Qibs4fimGscVMheIIPSC2Lh2tWnBbIF3ITs3qT1jHx17f1wOq1p11htBGFjeRy20VDi7LxyZ5
bcoaedJcWJhSk064Z97M0n6xOEZ6leXNiGRXBIvczqog2yUfRkZI68qCluT02PmJsMJUW0/jKOPy
cl20d2Xco2UTKPyULHkYwXs+W0otszQRinbWYXx3xXLMUA16+w4lK0krrgKS5HtiHW41hdUUybTU
DPPZGeqnypqS5IGHYE6AJMMXIi8zt71Z4pAduoN07B0ahP1mjaDlCR7zCYPOZmZMSd4V2QV5vdO8
CdHdqmfhuvaJW9d+76dxSXZGW+IRi8wafhRiISumZZZrIdBRjgk/gGZV6Z3bITTJNyNCCn5OZRcd
A2Ad+y3ohtGreiZqk3l1vMp0d64cTEf0qTM8jm7ipxd2g4SVIUAfp6SX2QUP5b1aSpFcuIiESTRA
i5Jf6ZIqb2/E0gkQS5nsHibZCGAXqocadqxwqDBsrbPC/MyLwpmfrDZju8S9WZe7yes89Z0Eaxbv
S2rTfAupB5XlsFgzhLAJYeu2VDmFAOOq4UZACAfXw8QKmWa6okfzMvdDGh4zW8xTa3JxtgXcnyMT
4J9P63qPGM19I1wHG3GYj6zN43jMIm2s/h3LaXHZ64roVCgZv9LcNv6BMI78dhiL1dxNSUlwZCvU
B04w+cQ0vsDRkCncGgrNwjfE5+nO9pAZRjFwwO88mQXzCP6ZFFK3z9v96gNtuSjJkoZ6fRaoqDFk
0FCUjSSxqlf2AWpaUrEcrWvUvcNKeqZyxy1KyGTYjyKDIZ72wUS4t9egeUpskq/QRmEDAyfUNk+Z
w/GJv38h1nLOymDX9UQ2E86ZN+/Sh5y1qWBepMeKBgSKkDh7yJCuWD86yx588PGyeg2XxjytbsDg
nVgkO0cE5IrvmQS5ei/axu1P+YI+F9nkwIY+abjLY2R5R9SGsbnohj74nBAboChJ5+GN9GR0c5XH
upLx5zLfIGZd78uOiGiQIAnelcQPUmvDtM5ed6BVM4f4g1I024Zf+hvCa/7pAtjEYRl2eRe1qZZd
VPoEMm/ZbRn7ADEeHSUZceredcrW4PvpiRh1Bnf8VMCpfpBZ7FJYIf+1oTVMxNE6AW6hwwKp9nqS
iKewWs8ei4vahfmQdwnfYsVDB0J2+rb4vP9IIduodzx9ifMUM/qoKEVJhMEgros71pGtifoOFcVx
RCdImkLotTy5pcZA1q+Z9WXqGLXhZDXME8d0SoNdsbj1Ry9kHN4sc1kMUevx7Hiyl5EAiIr40ut6
Ghxnl9ZK72p40vFRdnX2nZawrbe1JbsE24ivfwQ13KB9MeRIHjo+0V+5yo0VMS/iUpiDGlFO65px
5wPAJ+63bPh5Wiy3sZr8+dDKcA024bKk/gYuePkq5jzr9gRQ+HSw7M3hRRXMxvHkUSqzenX8dO+g
gkMN6qBCQ8XXZHez0S4ulqxxPruEGK+NY2c21oqiYM0oVkt9omqOWV/2iFuLqWElG6NkeV4ndIx8
sw5ZLWs/NJ+WVQdl5NsCg8eMDBwaXjYDkA9MN38oARZwb8LMPIBbYJxHz6KHLdO/ZjrUUNjsrdZa
zhGpXeW8K5Rn761OgFvRKm7Py95q2ZHSBgfQo9T5yjgMHxQP5Rr4QQw8bVRg3PemPidJ9FRdPaGN
iuPSQVhAyrMy0t2jIrP7C2bH4OIHhBjvgB06NyoG0K+MQ0U+QEBdUC/CgkeazS9or6g9RXdEvm6e
FuApZNLV5aAwCnBqkg6zavtmStgxRsTf8q0WfZ8+YCpsLXR+6Ctge5gFRfuQ6Z2LNwBgVumPX7ka
gXkkTUa2O0vZINwQLO7DMswCq9566Yp/YakGADaG/N+bHE/rdOxZWWJpJo3D3ayedi6yWoN64YXR
BBDOMb+XqYeKISWtfTxOgewf4gQ/zAmEpc+Th5RknFguxRhKPpSVFobr2xbIq3ewpyAJjtKt8n7n
5i2Fb+Z02euEZ+jTiClXO+akSkYe9JRfcZXDsuncGLvoiDvk18jZCPRuCE82ga4kvHTavIyo2156
kSD2F2nM9ZyuFZyJsPORvocSOVXSBIHeesNiXqa2Hni2y0F/zU3aPNbZOD53Rq9AbozWR9n0vGmD
TzZASq4MaSlTgjxm8cDDrOQB8SgughocypgjVHV1iqSkctrXrhiRqPnsD1lHByu7hMGBm0DAr3wB
h4uFhqA+iBXwpkMkRixA9ZYHDjWpz1jD3gadaPXOM0ykuNNCp4lkHUws8TwlLxGUs7dLkQFer7gc
moi5lpGo4NC6bsH8AfEzlG/xpu/tbtoqf9ThaYmXcYS6FwSPtSQL8KAdv772Vby+GSq7HOleRXlo
dyGFnMhyz966aztdsFSpX+MlBiNYNVV1w9cJCmrMVY8PDFDQfYBW7yNFEFJHNSFaj/2Y249CLPVz
l0+gyNypj7/HbG5hhcBjuQvhHVesxAscsEu1KHbefTdvQzMnL+HaZu2WBUsTbimt5x9jWtU3njuf
ew2+WFz4a9Z1u5HIcgpfRGT4I5JUcWr1NuxklfUU/v5Z56cDy2VZKWfxanmD324GnzUDVXHOhz/m
TX3h5wG3Tkyher9yQhLgMoxNvg/DLH5cvIGHCL5pXCmsKlq0coP+BRdjyADkze0XG3DktkHqmtsp
j2kFoGxVatN25IbzuYf60RFE6MmGVHg016sV4HFCOhKl7I4xAM/B9J4kGMk2Yd3619bE2R6N3dQ8
5iA7OZx1hqAJe+iEIYro+uoUuyirNjNH0TNWjPQLcoAGllPFCMHBd6GVx9Xw3i2QVJFfzeoRv1Wg
2IQ3w0dvAp9/TCb3MIGEqyJqgfhFcSEUF+Rk8QS3R8gafZw7VP4DmwjGCYwgjeqzZ4d7B9IJNpZm
41h5yGZkrTnYZ8uz5QYzK7uqeOSapPDyvF8V2u1mMziEUfQpxK9Nqk3Tb2v+DhCp0+cA4GnkQLUF
HesOjXTYoFopQ7ntqqqiQ6lYXkeTZVgIjxZN7GaUWQUcoatETb0L7QyDjC3RIXPqbsl6mbPtxC+d
HgzLsRj5hOM+OWQarix1lP9eCemh1PJzRNYxQPqNGXtccAysyV0X1AKX7ahtnlf4zwA2Tk4X3w+6
pCCcgmF6HwF1EvbtwnXg6VXfDMZB0stAMOSIMTbVR7s65yIXSzlZJU171isPSJ03IlvauznMyWpP
LMQ8HJH9sOzGfCIT0y478YPUUPU+kRvyUhf5au8WHv2wUUpLf6fo/cGWYV35rNaQBkxVisPbKS1c
nrjjbDQbbHN+BbOfPtBaDek+Jsn4o/Wz8VuLYa73c5rxEDKlsfzD3GGtZsDo+TGq9SLF49jbwS90
wQCx6sX1cHiO6xJuGg9IUhTTlsooF4sg64NH1HfKcjjdpnlaHhwftusprhMW9syIIPDQQRSQ0pf8
O7NAyGB38JKWNaAA+CgTrwi2EvENQmIczFdu7zVvw1C6V0lno0nCuUNLmapAfArsvFejmft36EuZ
tZEIA0Ejunn/0PbKh7Sn7TSnrHVyOyp8H8yWWqA/7YNex18UAuc8Z2mD94itgN/jHAJcbGx0NhMi
D6lupCzkI4Hq1jPW0/YzjsuVZ7ibJU8DWNv0Io8bwqGRCAWPM+VSug2rrI2v8bOE7iEcQ34OZQBz
iYW24yfrxPQNnYp+jqXImNijm++RNQJH3vTd6iCBGj3MfwK0b39BG0ohaYQpeB8F9cVBT331VPBF
V0ClfP9YJI3XnsjLTlGGEsMN5yyhfLfn+pK1g693YrGzCQlrsU7bFnWbtU2Edh+moGidXdYjDEYI
6rcPBdncNaYK92yn9KucknldkzWSgweOcmkTSk2rKMw9JvIQW57gIqAk58TdWfCNzq7W0U8Og9/p
W8+yxHvY92LaCs1NGXECY9ZTw8AASTMluRqqpbEOMZrRNRq81MGh4dVwOysjPXOMQxqez5pNFgit
tfoP5s5jSW5kzdKvMi+ANndo3/QidGREMrUgN7BkkoRWDjjU0/cH1p2errrddc1mNrNhWRlFZEQA
jl+c850ZJ99Yu2+DruuGXfwYoiGQAr3w6HgZ0N3Qa/eMqZZi36p+SnZtWaozsUfK3+lqHswugHv8
Sr4rwxi3H+QHkt8Eg0+HbXBjGq7NG3LoZHwaFDlQG3uwANYS/oYnlyBof2vnAFIv5Thr/oRHDxqy
f3gfpyb2tivoxUH/GPAzVI6VfCD452Uq9JfqopFwWCddT0m5wefKheUOhlcgVy7kzqgQSJ8czGf2
ycyrKdvRCugkHqLuNhUyKc+jQsG06UzJ06zP0F1BQUb2su3adlwOOu1rtXdjD1VpqRwCMfj6hkPm
op3c+R3XCrpK5gTvgnEUlNcqCTCOWlMfbqbSI3LNYZUIbxUh0VFmHSBCv83YzugmsmE9leP0wh28
AEnsmIrQKnrZSdMs+YeKFTuOE69ZbbeeP/3MZe2801bMM0dFv3y6ve/d2NKfOOrIR3z33Dl405mt
P+PSVWvCQ6JWw+3o/WQ+XFB4uHEKu566ZD4Eo21+jMEEiY+SvP2qKl/ehX0TTzxTSCjj+QTCwM25
To/4nesHthgiuA2127z0ThnB2Batui+CKn9nchHlu8BKekrmtiM3uZMdkMg2WJ/w1hTqemVT4UHz
mhTNW0gf8blEDUMXiHJ4Q5ss9fEnQLna2SD2sZaFUEaI2oyecB/qZFsGkfBul7CrMcJGWIIJecMB
LfuCeRJ4AGc85RoFx32XMg3c6QXbFlrNLrBPad/iKvA5ZvGNOk3l7ZaoQmvBULK6txebO8LgWflV
4S0bTnBjqBemGMMOvG+E09tMIIt8sfKsfplbtjWwIfvpudG9m2yNE1Af9OQ296ch6BED8WF7wW6a
suZaTx3HuYuKgVNhYIfAZA8B08b3Wptah/nmFSmEVfB8TlBUjF7KH8GJWj2EBsvyRmq/xO0mo/wj
KZBLHAZuwvlgpUhftlPjh2+iVOjNkMXy8AZBNPDCNSFwm7Qr/bsZu5t7Klyo6lxESfymLMY3WzPX
Nn4XxHfdtksD9wfbBC13BacBCXK6QdxU1UUGrixBOWt38AVxHUtIZbW95OGJo3l4D8sKEYuYvYpK
WzBc2sQlIm2UqhXaSC9qm7e6reufbiTkU1aFfbT3TTLyZTKgwrTTtS+cmMMXGy8LpBFaSriaHNC/
8Ivn323U8Tzwi8kCCwmqztm78yDfIy+eMjwtGln/gC/9FseGiCHDqtbfj/m0uHurxtWKXG/N85t+
Z/t5DHmZZ5U1+pN0zhuM+JYT40EkFFD9zgek+Y8e5rzCoJasAYJqytjpKlXZCJDWhEF3DRsk/I3c
wcySEaY+NwpfgmxNJtSdQ0ph9zuxUPQFeWv17yRDhvOkGmaBmUOExEF0RdBrIPD+zkDEfly/46mv
2320hiQKFdvFobItjGfTGqPoslXlS8s861sEwaHaLnwI9aFhuBfvg99ZjE6tqntKvPBzVA5ZjQkp
j2/id4JjMxDmmA5rrqO014zHblrzHvs1+nGAZs5Tn/NhAmEi80/Wyd3Kxyiy6sPV0UJVvEZJBsz+
Os5d4bTfh8Zdon3fBgyROSNJoawHTxTneiSc0gFp+UP+TqzkGaPNTfo7ybKzRksdanSTd64TkHWZ
y7ETe8/U+bRrW0Uepr1GY2pOCIsT0cynwDVOf8UA1b0JaSPiQnZtn53RDPjWG+1+Fk5MvFzbRsxk
LT+s3jKRhuTZiTm8W/2YjzPTnE9BkCwzoymwsNfWdEMkHaXhEXUZFhBPBoSNVn4JFXCZrduJRwUy
vs6xTyysC1JhWx+Pw2xazCRNQx3aM5b9qVCGcjIZq4S20AQRcZsketKkL/l3IgwzGP8pzqFNYsDa
b2q4ysHGUWkewDB1OGBnbw6G7djDAdzQm4UUfyhv+1ONQvVmjSP8kXkiwbppsRfgvBxTAOwh38/B
nXNMBRXj8DUoNsKVMjMjs3E0BulXGbZcJnRlY73Ff8r9S8Jwf+d6iAwn0u5p5xyqXIIXTQpuYCDm
9mixiCWWVMz6OWls96ddLemwy5pu+lK0iO82Ao0eyfBpjSq3zS356CRwbQEiIO8HXowDEMUTlwUi
3YgUPbBolKgzzXR2ZoPm3Y1OP3S0o87ARGNkerj3dcgUwGEsY++pGjDO4qVfTfoBSr6twO/zDH4D
QqkdMZTf+FSL/qXxdertjAKNee47AElj3Yh7uV7VFFc8andt36DBCgqHoXLMwndk7dMgC8bRzTqo
8gB3wrDCboF+BFH0mM/cy4WubbGXFhZGCgErCo9JwgryoExEmqepgJbsm65g7K1q5i7EGNY6O0bQ
IgmA42algLR5MN7mzD7hJjJhW3BEDNXXMvTxnjQql8hJaSgfqESsmmBVl7orILb2pWjpCPZYueCd
8iORfCzZTdbHblmC4n60W0xNTEB8hrfJTN4VMRPI35oWgcy+mFr0+EvOAGDLI3upd1Uw+j8lPRkt
dZQT3oktG1yAGZlqkaBTql9QIvzw2Af8xkbXOjhHztqMD7SftxK5uU0SpAwQEWP1hwhqD05xrNhu
aLS10RpK1vjmTLSTBYCvKRmaEXtKUqhwonqrUCj+dJdVbJqy7Svg/NI6H7qkA/IM8UDLLVlDRD/2
Ws/P3LYlPCW352lsFg6FQxOI6C4tHPeLqHFCDWloLduJsUwAsjlv5EZHE4GmxUINtJUFZpydxy3H
DB5nEFEUUWPNHG5z9OgVkdJHRbrjenwzPt8EsUNvKmhgT5TBYPnphBnUDKHtWjfUv4E8Qv0VybNg
Zt1/phg+SMl05oTLu4xCsGQJr5rf1U3l6yNVPhvDmsFmeRkTwWLTs10AIZVd1IQCz/RjB4cG4jK3
jfvGw7K3T07T8qCtUl90Bxb1RXaCNmWAVnssOiSZIfoRQSjhlTXHlr8hfnt4Z9vPoHj5Iykb0Amx
2c7vCO2Cx7N7SL0yCFFfG+dAnU/gti8KGLlNZfWPCJLSb12drrkJv4O625bMbob4lKnGU+UTQejq
FjXLHN+6sdvgTScZ0jqgTUySQynXOHCrBbqwmac1JtxBZA9ZnN6NZOhsjRIv+eyoR35HjDu/48Yn
Zym/Sg55WosQDQsT/MH/qht8vywHUtGjKq0ZPYis7PWZVy6+KtI3LkPbMW5ocpH9YjuRv08pkrlN
sxTmU3mm0T9oX9BZwWVJSTOpOazKlrKVrc63kKFr+StH5KvflsK1IMSAlWtwD9V6vmH6VZu99g2r
wSiowNT6Cq3AJpgazgenYE+4ARIRDr9auHYcbZ1mtOrkVRw9s2xIenqpUX+MLjhm/JpBG+MBJz3+
iF4fjSo9Zmih2o4Wb1sgFzjFZENLZsUqDfdCI0vaZzwnn6owo+5lrmTOkwrAu3giK14XTs12n7F/
by5F73OuqwWR7xZUjLM8zal0pqObhDx8s1bk7IrCQsxM5X2g1rVmy7jrKX4SprOIuHfa4g/hODeO
dW5GT92HFHnlPrA66WOaSLIIJ4HxgFyAa6G0+iBM0CyvTUzwzrn2kwa3NM08H1QbkKhzGKIQvnib
mXIjAm6NdRBdxOlG6YiZ6rCUzLp0h+iU29bUPaIvn4cK1DRrIXJixOTGKMMfb8bRTOgnylwdooZH
GZsgF8caGluahalP1hwPS9XkzVnjYs78UrEpDguA9hXOD2sdBs7SoV5J3Ho9pIdluSG2FP58IeOe
TqZmHb5lTxNy5zV+9wMNrHqyljGiF7TYB27xXzTutphd7+xGI4EMpHoaJohVBMoNeEejGdUKkl6c
TiLoBkpcMeiAZtFdvEqH48XygPtuR9U3y1GaNFM3kvX17TL3IBGyoJDYyEil2/p52YIozcCObd0W
TgXHY0FSYc9Q6cY1JK4c0RcCuGAYXS8v2DrS7JRAQQAHJVvYG1twi2I6k0Ljf9ZBrT5l24/LBjyx
PSoma6DqbukZoI2D5GDgpBoRlC/Yg/rkPs6novkVVq7GSYx2/ctYMOQ/D0xEAZ9MTP33PbrgO0ZL
Xb9nfkKEg7SYxwEOZi5fvc60rTVj8KULzoUVp+IhooT1zoUcevfIsxyLT0osPWZzGTLW7w2UVfiT
SthXGTuU8AtzLXF02Bkmd5NOXbVPXAAe7zaPxOoeh0Frbb0JUceWkQVTPgck2B+Kr1UrHP+s7/8Q
yv3BlP1PifFf/vff/0fFMf/If/6lf/9bBfP/l9pkBFb/M/r3pUr7nz/+1yWt4h91+WeJMn/xH/jf
f0NlvGrT0BuvauBV3PqHRNkKCUZF0KUUR6si7HaVX/1Do+yLf2ORirQZzZVCeeUis/vf/F/FbwF4
JOjUJ0GQnLK/4H7/Fv/7Z4EX+i7+CSTKvu0IP/C9vwi8Spn3gukFDaPe1bi7fB2f/stH8o+L40+A
4f/uFVa9mmt7rkve3p8la12Xt5q2nskIh9cSnESc/T++wl/Um6oxI6wTXqFstynvIei7/5tX4DgK
hA0q6J/UmnKJOz+z0BxgYbY89wQm51+8gr2qtP+PBJUAFM9FZKU8CdbRs8k//vPHFDO3RVG78pH7
2p1uE9OIJ3iV4Vsau5a8CN02Fe+MvSROreq2ctNobzdBQRpX7LUkuMO1OLSTKd+mVrqsCmIxs7mS
gyhP5ClpSTwR++OrsKgEcGWv8Ke//6L/LIbkHXD1SFgGqAhDmNLBqiX8L8rnloayxS0vyVWQV9H/
CFV+sz4+6tH9F6/0ZxXkH69EQKfnkBG9xv3+5Qu3XGZaorDkxp6b5yjU2WUIlocqKZfd37+l//6F
yNzzadUcvvg/v6WloEHF2W1vXOPvSgSHzli/pmp8//uX+edPDvKkp9DwB3z3/3QTYiomOl3OhNqw
qKddq7cgIHB4+SdrzP/Fa/1Znrt+diCrSNhef1EcLn+54dMg712RVg6pDtMZu1xLbzA1C/OlSxIc
/v59/QW2+/vFeFO4BRhk8t+/opXZ/CI94jHIAJYliP+KLTgOLsqC7Rh+BAMOvpuwvDr4a/7FCzMb
/+v9RJIjbxBVt40g2Pvr1ThSqRLfqskrtD3zHMghI2MEjGu6Q81prtWoJmeL+jn4YTP5u4n7anl0
Roxj7FpbMtE0qyFmdnN6l9XsMrcMJsEdJjXLdeaGxnpvRsyIAzPhcmvbVnXJWIC+zMrmavFM1j9H
VJNfo6VbhZEI0zZdWFJkIQ+K0p3k4c84tjQI71LHH+cdeCHWvRnS5mvWsAupw7Ukawlb+F40wLUO
uHPHF78Jp2CrW+nvC68LHz1Tjt1j3GNUZCnsonhG7SOcC/xA8d11A3XLPAtCGybyli2Cby03Aq2P
C3NPpY+OiX8OBsswNXgE2C+Gt8wiZKbk2rFskk/wNwm98QDEhEcTwu+6YcrZPrUL8VLnqfH0YW6s
7kc6x/29BybpTJNfnUp4GzDP2PJvEohMNUPlwdaAiHzn1nHHbti27EIFdsRwpfwM8Pd2PeovgucQ
Pn3PUoucAgxpDTqfOS+nu2ZpO1xpdlveIvgdPqLQ1BdWNM5ORot138xFfS+1DY8DDfw1XGB8WoDN
3G1cmox5hyfqO1vVQ3kYhl6YpxgoQUqB33b2xs+7errtrC4eL7HfYY7byqibfHadqOGOnZ2Y1TIe
BPPOyerxqakCll5dGuZf1aJuMk69k1dPYB9C7TwwMlNPY8VJfpQxarsygS9F7gkXn4OuwZfR1dKK
cMQyMvG1SYHr3PCV2oeuRWIzhdFww/QYIJnQMTWi22TV88i9s7eo3ScGkxwiV6MYVkC0TchK6WOA
MAsTj1c4svBjlDEs//3MuFzbvk7u81kE27bL2vCAnIUCvmfjeWvwKO47y4K+0Ds6PdtNlNSPpp8F
wmOUNuZS8lHeETPXnke8wOWpquZxfs65gtYNedYyiEpA0UGyRI4eqmeir4q9sePlovvKX5Um43zy
upormmyUOiQqqWa5h+BzPHS9CIobdtxJdvQwyBc2bb0t7LsRd1T2OQjHl/toinrrNHuqGJ98gWKN
CB1VXxyc32cEvhV9saoJmJpL5T37eaWBtmARJQ8kZVK9a32dfWshyjb9zjUdJkzgO/bRxTo4of3r
C6dkrB9Y50oL3+zqWsIHztXa4NsgmBxGNAeMDOopccv8gEkDyY8v7P7DLtzk4FpmPFnzqO8noXzi
C93mly1H95SRznZIkRrjqtXmA77VuPfiFPTbNK1pNdItlEZV3prfASQQm+fQemGtbsO6GEvkAlls
kh/wCsLHAEoYsVuZoi1PbPtETxEeteOMTBcblt4qyZD0QZWsWCEN3k1nNwv6B07hw4CJ/50WJ/zg
BpaQ8Sb0vBZQuvvBZPxEICcXpphteZP6gIk+QAU4DGNQEJL5hhx7V7mQPXaNDWt377siGbcs7wy8
pKXoAL7Mb3XVJB8AxKurREX+ydaICR7DQ6QKFLV43t0yESTjWViPoTdF6ctM2KyzKTtLH70ysjQ8
KddN9wIZwS9s8+Eub5xRPaKNIPhFqKbwLoIxoH2XBKBn99Jp0pmVNsbZq+emgsQ5K54FATqTak+g
hunZmS5OGJzdsb3FoFuY19J4IxlWrSjcFlhp2rg7UaXI5Q1H9gGeFNtNtHDTMz93tUsiHYDz7AfP
eUeKprYGtKgLbRBtIa7ebCYpNguATSQW1dlGl9lwrFrAS3Y0yvYYrOQCH8PJTINq65uyRYSwRWW7
7AMguO5mEJ31mNA9srBRVfqyRKX3UpnJ289ATW5UI5N4h4U33rVhP7+GDciAK3IvcWvNsPWeW40+
eAv6s7rvrSw5IqcOviNoJK/NKC6Rg58vMG5EnYTOS4EyhdSrmDmHjnVATidWj3ML503vc/T/ymd9
NjfjE3C6bLkpyJqsD0G/2O590Ltd+d5H7dgeXPSx6YMvQDcK/HI3WPdr+a0AFVztwtRr3fuRgvLa
MpJ6iDOsuieJUy86IcVJdvFgx18kAN/HqjE2BG8EsDaOhWhA5Jj20FZhR09+/OFrvtgv7B3maoNz
APYy49youFMMtZdmE6RTdWWwMV3QO8SnGo1MfMsiivXCBG/iPNtW/VQ2A3qTauzT4hJ7TF2QMtas
RePRVvvJxihyQxdcEHgcqBn9YQ/tYGsizZp0E/HAhtQbsXp9RD0C/CbD//+I61m3J/x8tn/i2aDB
fnR1+UWDqzimIvbeyhgQCd7heRoPMDj6E+LL8g1N0vK+cAAEB7TT1aEjTCnbcdoO57bAwr91fXzN
m9xO5DEW2tyjaRmCawnIWG5dZOfyAJeMPUM9K+fR7ZeKj3Majw3Rah9xn2rEsCQrPjl5J2gMImfv
Z3a0X0xITOpMbQFQbFX3ymyiKGHl6CMOTzxOsID56zFZsDUz0Q2csxaDlFcc3CMWQllH1aNbE+a8
xzognogEs6pjp/iy2TBrFYBDnONHi1alOoykPr/AeXzkmJbZzi+nqDt5MSK8NwG12waJCDsZdW37
pW0Aa1whgcBjBeuozaV3pyraNxai520Pp3LeLILJISO3EFgv9qItUjxxlF3J31gosJB5FuU3C8Q/
NxuKUlQc3ZgXSBBSoOoyx/PitJhXCIxF51GOjE12LArEyfUKk19ZSWTksoWOle+kzuTKFoezzXhR
tbO+h9nTjSAzPmBEtEy43DF7HXuZguGAiDedjF+V/aOeEJTBUWvhAOG5Y4EQCf4JDcbxfVECVVsY
9/VxwKabc8LqXJ5ixMXeOWaIW910hIDtwnaEpemUXR4/UrsYfFVVnSPjX0q9K+H9HJTnL1RQzfyM
ob8bngQZIzJNs5swRg8NQxTsZOycWnD/XxIX0Xs0quTATA4aomQTHHPLs20ywuUbnqYTu1dnX4Se
XqCt+BCnZSG6Xy0+D4QfXbtbLPXmxRnmefARyCKQzMCBzDNQohE+hoehHNt8D6s9VycUZP2XRFXi
a9lOTc4xYpo9WLD50tpLcqqDgdU4g4uJPEK/c4v3sclWU3yN7R7w6Cyvdo92FNWXO1wFlhv7VuUu
ILbJqOJ7xkOWAgFgNGxQfwVG5aMPpXj07zPAH/fTHNQhMvghRgYpqmZnd4vKeKD5wVdS9fQhcZpl
zwpupKiwxFdrAhuwZejSPUyOXbExLTsfaagMGUGEWb2Pqj4LjlbU2S/2IAZE2ZHlbJM5Id6TNirU
R/wTqjy7ixV9L22kkBJ9nfWVzsoszOCa2XoKqiQMiLdOS+RB2mTf+7Ia2asmQZnc2kEVtd+BN5DZ
bQKSWohsTHX5hLiMU6UnzmBr0KFSfk1lAFk4JESM2Gm1t52ajMduYNQ32Z3zbOaSBgJtx3wzz1Z0
hp9WQz10Iyu88uQgrSVRMbJxt21/VS4auLBiBblmi855fjGMk4GTg76qlJ90ZIJpi0TQNkd8Cc4O
nEl0N6WieG66Q091D+6YyESF1hLFitOXd4vXkz0H+AZbG6XlsuzgkkCh0vkSPIx21jobCLDoVNus
2tN+eF+MmGmuyAX8VUCrfuEuDI8BqL5Lpxr7QCqU9UtiUePCFzV8VMiSkEa6JhjPizVJOhHo2qzQ
5ir+9JGVH9tlaVCkObkzIVkLI9AlmayAXjtaHCTwbpLO0H8Nr41y2cDXCkFXPvXFXntWxxpi6fSO
lWjzLJysyfYBvHK5Bc5rHyM9Rcs5hQgSM4BdKSmcOuJYjmD88G4MY3aGVRLYZ521cXUFlcxiC/tC
855qlhu4mdhKIWk3NTmwZhlJaick+sx5CRSzNVGB9s9BjykRKXzymACVkS8lbp0pARISt2tbhkiE
VwWoePCLIThlcT9ua9H43anJ4mR8RBWOflb7dnZPUGX7vQ264RanvoekDFBzVCszbew2j+qrsdLx
XQz9wL6lmkZj7yrj99Y2ivsJOP9SkK9c2yoJbvqoycrnvgoXUg4rSo2dGfiyEddXOt9Smgwg1Avn
weJg/xZ2UgC4nPzlEieivwxe4X5MpR3rbeyWorpdxhGSr532Onl0PBTpmzRPnGrjGGu+WEM8j/vW
FdMXCFAV1MDVJTGQSE5QQuuTIdoM+pMdv7kz4Pj7M9u58CsLMhTRQ7SKelRzWGbkNwhNkuWrJ6nc
kSdpBwZMCjwaUlWGH1XaAxqvpCy2A5EZxQa5JrKffjD8O9zlCuqM1jsy97DptPYMh3bM8kMrZJJu
xBxX3TFTFPt951FNKPZnpMnwv0oNhzQf4H1PWfHYEKGwF6IN9gZDJ9vsSoQIH5P4W8Yg7hkkEed5
rTvxqiXdbLUAJ0ajYbE59juECYDBv9q6CZjgyfYS2qn+krBNLHbo61ZFezIOb8pv0l+QXlhD2JMi
odFN5i/+MNO4975mQ4VUHnehn/Z3c+3axxwfffdSu94MCBT1wiJJhjxw60E0KoAFbcvR/0Qxb93m
Q0uMRQlz7YEStf5qBul2lGIEuZYLwrut60QxSUBzjFUJDhNNaGORG+Ugiz36w9Rd8zQvrlzTcodI
MTvwo7cPgBjl8+gWT1EFya9y4Wezy6QAjDJCwXYDKNN3DhyctWrE0hf5yXhmv4QAOAe89tZp05DX
6mbuFy6anK2oZhtOk+t8hiLI96Nu6/O4wHhBJN2NIAA1zUkUuOrrus8+1QTV1Ig1OhZgTmfxFCmQ
GU77AGhZQ6FXY3HiRHi1LBZiNk3mu58gsT1X05I+QcRznkXbDsckLRGeD7GfP1hpOH21dFw++i1I
ag+v26WwkOaOOkIf6shAfqlD2EnD7OSPOmK/JdrQ21ZBUd/1XapOfq7Y34W09ZuOTrDc+XjMvhmD
tJzle+efsomva8c14BFZmTupPvCQWiUSIebOceIH2KZtFb20/hQeF2Q4Ox/Vya8onynHWzsD8Ngt
pziZsrOeEE2guAS3yDoPRLEZ/VdFfOlDIiXISe42/NRpWrJ0Kz0WxQNz+idTjP4RPw2hCJM/lCB8
UGWdajtiloHKdttGpvM3tQEMLUeL508w1xE4zAjn3q5MCrN1NaTM7Uj6BA089vuUaHU5PeCjTGig
W33FL4AfrwEjibsxPXojB5sn5wamur3+pU6V5WsxZ3Z+zDk/5o30ivjgNETUj3wQ8HMxEVwrqZBF
DL32fsZdjhS+aqpvKG/RUYXZY9RJZ7htFuPt1rL6JZwRMJeEcxoK2sDkn0uomrdZW+5wAPcvEHis
YEtuN6JwCIaqG5ZqIeFn/VJad3Lx/Ww7rrPDbZtNuAdR/wd4UekP5msVS++jTl0o8Zq56U6jufIO
eMQ1wgRdYKOec6F2SrZBtk10xOGSrIqwvh0+h8g3e4BE967MiOrqGhordoHjcDUDdw60KRstXe3e
d5UX/vRnZlaU0WjHeztZ3lUVue9RN4+PjMdoLRXOwUtYkE+2rcPOhJsKhRDeCWPjoFhY6OzRzKdP
MAezA8v2YK9kFaWHho1TRtICF8EeniqKqzBIWg/hrwyuHrvOgpwvHT/4ei7Y7LKGoi7mykM0Te7G
U4Raunm1rtT5WXkUshHnrmbDdcjJfTXdVRRNulel9aMnxQENPv35zwhurtxbUSm3lRyTg4f66DLq
AF1hT6pVcoKO3n0EbonZKajdXWvAqp3mXvLSY+cgu7YEiHnbauTdhLN+p3Jh1gSkEfIVlkNE9H30
xUUXgsq1JeRoK8DQeCSidc91Yz6CUA/IVdfjHr3zdYFNwSErMRnfeMfkIefyO81RXwCMdqnUj4H2
zPuSVjAqBAQyDlv0k7fM7Oe9UjXtFNa55AwQAh+99lr/1ceMcTOGpLDjE50G0guK/kdDmYlYToXl
bmi4NDZyFIaE86VC84r+hnFKjkabyvh7Uft8D8s0Eg8hRJnXuwXgES4TZcbptgproONak7mFUBlR
FBLZVl2TEWT2ofEFCjibBGRboO/HSYipSJUyAWTC8uluSgZVb7RxOEIw3OPuyVQ7BF8cp6gP4dAH
qzmE/gPGtDd+t82YpkdEh+ZsJ0WnjhFtwAcmSP+YNEMOidQNSX4YIetFxDuJAw3GPB7TVt1xgz7k
8I5RJCBP8TBXR2eljYucq1vZaRXlszoguHPAjuI928RIB9G6xfq9SQd3q0G3krygyugN5aNRCHFD
vNQ1X96rz6A2YKeUdc6jUwc4L4bMPfvkk/QHMSIU2ukspIJyBhsmeppEI0bDwmV46IDBuY3iOfzB
0PNnbZcPUZITTdpNoX03ezgrD0syRgXpc1HxhOvCHAkNTpG+rtjBqAPIvA8t/OxVQL4SSVSzKq8g
yTOPmyKJ17E5euMd8fbzR9yEpSC2wEyvLqqXFmJqnl2kU+FAz0CtlufCVrE4roIUYjHGDk2oW/qG
xG2AAfm+iEvY9JmFCxw7ZckmsxdYdZ6notP9LkhjJESJB1sD1ZOIbkPoz/mmw2LYHfMKp4iV9raz
UWU8q1NSsgn4kkhfzZtYe1PL7mFOPyUD9IFoCfDWmYunaodrag5Ozjxn1pHNNR5jNH74N6ihaH3j
whybulryBxg84XPjlwL0Ntf41QRrRgswQJEDI4U9gCie6QtI5ASX4T28LTiWzPUN6wE+sg2NbDt+
lEkHcrB12vZjYIC3/Ohpwor7gRL4XHEaTify2cDcdo1tP0g8iNAayFV+JvvQzk6x60hCsMnm3PZ9
Ve0xXZR3uFC6J0P6N7N1yrifS+okh6kizQ1OB3EWW6ghmFlJ6syuBZ/7YXK0z5RaigME3fTWHfpo
OaK70A+4TM1pJJyevkqr5a6PRHpPVTd+qZwOX08gJ8gL2HH4U/4U/ahmIzTAaC93tmx1Y0TCVUZV
K+pydC8OBhpyDUDBV04odjp3ZXob8IMRjdMzqX80aLL6bcpF/FouKHWwnyQWRYKMy1dt5hxmZWuK
ZL/g42RaGTNZ3Rgrzl5xDXS0HUz8sa8U0W7x3e4a9zBnZiLDQG4WIbuievoYnDqPSCALW3Q5ln4p
kHuyg+PZ9dMts+y+wPSygzic9EfISuG+8H1cF2XYJSUMr6V56ueFtLeizh37mnpG/Sp6WllUqUYu
jEq7bjxiL5/RAGJgoodYmpByvlfFaaoIId8SY5GcqzLHek2gaH0EGdh+JVTdu40IFzgLVF5PwhEZ
z9ligCL9UzWN9VBaHZR99SMNNgQTIYdnJQrHeaISJX2VTAA0yrkUPzs5qnY7TOj8NlUVQT/NYTG8
EYDQEHNuyKRhh8L1zPZZvTAuvANq8BxJj+MVy2jUbkb6Tb5F0rD7fjLnEsf/pUzm/tTVfnDrBt1s
LgAbBU+1yFXkpHphkzFBZHZ2NllVsVbgq/4C2asivg+xG0bFKB9s/EuLFV9E4LJLLKsFIXUUMQTk
G4fnzd49L+5Ehf+pqVge7Qwk74gfcmXRTjObrU1S6+ZEJFf52K6P35gwtNUG1OR6G3J3f2MlSMxr
V62oSK5Ud5/qlWLGs8V+7sqsuhuCipowZzbJR0Ufd5gYmkJHAIgpdxVKfZxtKeDiGymH4F0iZb1Y
Y9nNd7gQDf7ayWntbZXIG4y8Y7orxxo/a87O4nsuW3K+tEbc+NY07DU2cGyS9Kgbh8euTsESEy0X
sAgq3fqjbemBE5VN+UPFCo93FkLkuZe9Fz6khGhUN0WGL2pXVoH1snSNuBNxvLQbAWvh4pEZKfDo
L4L2zvZtSh7lT7dlswRvjlhn5LHV+8TaVYV/5VqKDlRU4qDm3lQ3Uy/d79SefELef5B2XktyI8ma
fqEDM2hxm0CqytKS5A2MZLGgtc6n3w/Vu8NMFDZhPaeNQ3YbOXQEEMLD/RealJc7+mEvkEqg1Uqx
AgO2SirjuJUT06ydEDF1+bkgKQN9r0gSsnbDsSFeI4z6oxrmnYWom6NSpcB2Heut8Jq5fYEUAUcq
kO54+MWHk26Q5QgjdMcRM5GTQBaeOiypaLu0kQ80GTOEp642kUvzFLdyIjiUsa2FZReO/al2XycW
hhpHL89RMEWP9DmEphg7cdf3L/WgoKcxeMr1QB37gX57+CPFs3AH1j0p9wZ8rWiHS53yS+o1eR3F
FnXMxB2Mco3TUfiUSkNhrrocABwMs46mVtjLpLm6h+RZrvZB+1RnLh4HQN2BzbstoNcNkAfgxDGk
LkqOqReLeB0a+ocASCbe110OQTRJ2CVtxYqrPYD7KvuV0+QZXgQ9lfzHyk3IVnQLAg+mxCoVf/jh
3UvbYkSP+14A/bnrLXJm4PLRim48XgcpFOBsc2wtwX+o3VEhKAii6juizckeAqq/U2HLoDQQxsfX
oFLUj77qo6cgNxt5D1ovuZUVHaAedQ+xWIVF0JfQc7pcvMbGSgpuI6RbxEffH5jmIRMMjwjO7X2S
DFJwFdKO5obq8wnQhJKbn6pu1rdShH4vt0pLfwhgyqFqU9TJPRJm1ZPC1V/FS6TNgyu31vMHz5Nw
QOpkOUVnJfO+Q37mct32LsVIGBIKzFlFem/KVpLtxqsCXAxRUoc1yOHdH9DfDxpbUr0ey+a+Ce7x
nVKOe7DWRfYGv6S7xc1T5G7uRfEbXnk1rRKpqp9rTUcCQTfw9lD1XKArEGRX2NCUvnNE0wa7JvyS
NGQSuVLYeGFBUyQvTq4p88UPPLsgOaoq1ervaGjKQ5tq5b2kk52gZgJUtRj8m0yDH6fQm3cgHbZX
OlUUwO4aLQYUVkphgBsEkypdDYB7AZACszb6R+CXtEgNsZQfwrSR31Uxt3zHR64bwGxlyt8DEkEq
ogMwCvgbtbGrWDT7Uguba1pyxg8pb8yDYqrarY7yVeFAA3ejbQefOOFeGEAaVUPxoc3kdiuDaYxZ
iYP6gjwa22zbsCsZNbYPowJvT1MTW6qd3KjcuYLUqov1EZmCNZIbxw/OLeyDj3lpoj4dxj+rpixv
4oTeedZHCFV0rgBdW6ceCNZfCI1uhYp/3jwWciHfVxA6NkHS9rdYTsvfpLKWrmEBausi568qaPO7
wM9xp1kHBR1GjO7RMqqygVmiwoBsO1Fv10orhOYVPaL+jbpRuiF9Rt8iGXL4rYrv3RgaoggiLi1O
X8rNbd5xxw/AsQ5OTLOa64vkUemPhx63GBeEwDtLyV23eWXdh2VDtSp2eSBPV9Bpk8Q7JWhCyjq4
QjsJe8pbI5Lhi1aFjoermfh+uL6cfLgeCeB10CG4f4UJAzq8bsymjMUw0mC236G4EWPA9hRKVfdD
SQPEnymUVqT2GNop937g5hXuKUiyoXKi7zD+1JsV6pwZM1oUkscBIATNzrAI/4iye/wuVxotFNEK
g3JH+XJ4KY5iLd749Ad5F2qSu5haNaq7RmxG+aOwDLf4KbqlgwoQAlepEMWPnmdShKjzXHrsal4X
voICzJFA8NONL9AUtRKYYbYXKOZLcnQzba23jVGsKzxYuKglSeOg5XNM967lCRhsNEaO5ydZbYnY
gjzs0tg7xs9DcIRxLyTdtUxyBwktYpPbZJxrB2CCjbSNj0l6r5lkOoMr4R9I4oewDJ/WJXkZP9zG
rcis7yh7mt6PdiTEClw7xy4YHQbHS1oPp4VKSJH261XlVUazeYOeWAVruxA08g/5qFKFNgtmrwVh
gC7OUXIMdkm4spUur3wavkf8FNf6kG/ZL6J7tzeiAPXZOnr0G8y7qbT0BwiSxxea8V51CwHXDakm
Kt6O7qj3nAsB6wov5FtP+tR3NiQP6AnJerjBi4QbLXf80a5rFD+yBVJopz8K0D2G3i9/ly38arTI
6vaHBqEKmbbCT+4hgVm9E9EIi20K4Rm2T5GYPsKDpMs5pMnBZRu75R6j3zV1Xz5IwfDpjZPSx2jh
/Fku3C/XrKMWKbEcmYUxN9yEWaUaa1/Wkl3iqxaGrZqWPdJhow4MZQfdFU9T3f3AWdNe1bre3HVF
CxwSWSM0jkq0+ZHFodCA65CrR8ggqE12r4SqfIPEuq8cgOJl/V7RAypeZilm90KdRjR+sM5GUzYP
uHAU5Z1Xqhpro0u3IUnOQXL940+3jLqnEsIA/Xnk1q5RVTtW6xyCFVJmBlnWBgc901xJedzuKWTL
rzrp9xuKf3CeXU2hDaGin9hkLoKKLDs3u+9HwXTcJFqTPG1Qr7ooKEdldRRw4Vn10QqtD7XbVmTg
VDgQ2ipWePjRFkPU/y6EtupuyBWwUMQvtdLtDOhQ+kBXwh+ewBnE5TdyHzikQoIjGmqW0UeFHK+w
habS+vdlnoryzkxM75fYqpaxKtUMG7Sx04tcqm72lOtB6mC4UkaAm8SMkwNtx215rOUXQ4KT4FLh
WvOuxe9gAGHwtJBEe9nhIkO+z5ndcYc9alQjaKvGbMhJG7r0iyravlYmmmt0TgQcmWtO/oiK33UY
yOo1FBZcABMQdC8KRIdXVRENJzJk/x1NQ6vclWqfwzFrMjPksogV3fjEvX/A4LN/s0AEArG39FJc
d2DzPKTdNCV/tczSfPeGoxzhWJtRTwLGWKZr8vc+sjVsOG8GWBnUuc1u+FanavgLjILys0C4CKmp
KDV/wHkMEXcpYGzR8PfMd58+hsXmTieGWirWhbYA+JpNC+W7fYUV7l1Yo9WwRhiEeqJlYE60i0LT
eqCWCTxE9szgqU1KMcf3HJAECxDFAyiwXd7eJVDkrnyp7X+LnKh/lKzwUbqJZHaczJLHGR6a/TcZ
n8ynAesRdAvLIHB3Y15m0D2kxoSdATiGFSrLUngNXA0esJuYEjJGslV/K7lMHsLej+CtVKMwbsMW
jXwElni9g6z6uEd7LcUD3B6o+Odq4UU23EINW4SjSxE8QrPlVWl69RecrnaAs4j2kO1zqNZXaEJk
+p72ev9QR0KTbf+n7o9pg5MFxlRBpKDtU0vCMzJ2lLmR2QgeoybFsxApu+uh97qfclgXFGNF8ftl
GOlX+K9hoptrWJJO/iSOsuOniOask5CbajB5kKvHIQDTwJK18K68HGUGkUtXchQD1kz8/NQJ8lvM
Q1cY6pCGvezbovAY4P5qZbf0dnP1H6bGGVHj/4/F/8TjWqgDWIDxNQS/zMmAAG7lcZVQ2j1SMxRF
9znK3IfLo5l5Z5YhIgptKIxHNCeQadaO0DcRIZT8ITee0+Oaav7lEF/h0iZOyaIC8EyDBSFPIMzo
9wOX8QuVJnXnFAJ5dbQVwdMi/bqAIza/gIhNEe14znHLMCXtU5f8BNKeFoaCOAf0wmGsrlLV6wKR
y8FO738n5lVgLeKWv7AAdF6ZLFv43wI310dCyNmMgxFWih7aQVV8tFtqh6J0lZbbANZgcON565bG
r76A0v76xUZ8tAqxQUPGGCu185iyR0vTAjSH/fEj1L1dm9YbpVlf/mafuPIzfgMobErhwLEhCVj0
5s6jwALP8KIle86dzsbofds6vYO73QoZh3Vmk146lk3Z0aY5a9fr3u4clCBXpISr3Ea0beWuDQce
8gKV4FyufVwRPJZEFQCYuKGr0+mamzE6wjqPJVl3ffNamwsK3MpXHDoBeLOyLMHvgRtxPm5MvSlS
m1a3KtbjuFundWRbtikFrUhN/zNuw8bI2+ltoDPOP6MGhGl7jmtTSrXzhRUkjW/77GuMqHzIP8an
bvYnu+h0nkldHsM1lNBMGvYB3QnPQeAEhTb9qdpIt+5OSA76quELvPirp/ell/6pD38p/LjuTtZV
K2IjiZQWCZS/QuJPfkAwKN3/uMtsNNAoqKI5sXc3+e430JYVesWr22H10a1CO1z4/NK4V5w/CVqc
MG4UCSaUzk5//iQVVXejL9GCUavGLiTos9lbiJhdOQAKkBEWEXLkdNufcvVaUU6hIr0PMPy9vDi+
bDOwWKD8cMbIuokhz3hCnLwOCXdP2bdQxxwU7S7DaasR68chxGWxE6R7uQgdWlG3l2N+ci8mI2fN
i5IuiZrJwp8sSD22wPL6Eq2V0Loti7e8I32s1O6hErJr3BTWdJFvaeiOmiUluFm1vu9Nxa6U6Dot
jrvKw63e6x8Xnmrme/BU+G7AUBmZMOPvn7yKshrloaGJIbb0K8vVg0jSriHxs2qzG1Nv0ABEpi1t
Xizcr5CporOk/JJVaYEkM/tBsAZB1J1jWTYnH8RA+mbwetDYRQKCVxMcC/mervDgrku7iMIdeLLf
l0f+JQsY58BJyMmSQI0S/EdKyJKJr1Ehg+vc0axtym6X+Qtb/pddbxJs8u2RGgI73xGsBV5Fnkcj
3OD+eXlEX84VgrCyDA0aviLzMc8/JfjaIWxSBWvZQUO2adjmEaDtWFnYy75kAwYcSGP0OBh5lpY+
WcGeIdS1UCsu1zzzfkjFD93UKKYl1QtyDtnrvx2TpYrkaiQEuqqTRZ2PKU9whqw1A43OAHwqOban
tK/M4oU87ev8Iwz2MyJ60zqssHHMJ6sgwzKtrY8WDmTSa42UFViLFIQJaPfmm5Fr9uVBfZ165J8S
JK2REgY7bDKoTmh9NI+xb0yJulKDBmmKdh31yUNkHddtelyIN/PFyKlUpoQk8ut0dQVoxSSRhI6z
iuAEnlJxXz+mGJupqXe4PLIvkTjgmRMMyuIl4jV5/h5hooOsD3X0nirjgT+Jk1mLrkKBbiuiz+LC
TPxyqHLIy+hMkZdC2oUCeR5NLPsSTaTxXtzYlfokaR8dDKNUpGdsrJP2W9p268vjG7/M2R4+RlQN
pogFRVibLrEGEZfIE4mYhSoaQeW60f646K796yjcSjTmO0sZLuRkXNQlBxlkvLIq+9s+/66VGLpF
C0fgzJcihsm3QhmW9H6y79P+zE3VM8jlhWs8c1ZqeWXEb0Pzenko0pd0jCxXJemh/2ahKqhNLltt
rQwm8tlcTypBusa4qXYKo+j3ca+EKPpoH4juoL/pUZzE1XOHpj0dva5GWTB0+4XZ+WXdmdzAdIrr
JrVh8s9xlz5Z5V2FfWxvSBq2RdRsDADmWzNRlWcFV8c9NRMqV2qTLiSkrK+vkwb23khjBovNPJ28
6gKgX6ugnbByHOfgODfO4YZ/24w/NpvVZr9frfjlZrPZ8G+r/Wpbr/bb7epxy0//7x8dpsWv1eNq
y2/v+fWRP8efXY+/z0/2+MPmH2f8ybZXjv3w4Oz4cdgRyxl/4n82P8Y/Mv7R8T+c98Prw+vh/ZA7
Of91OPDj/TD+X3jOw8Jq/TrjFFWERa8ZFowkijrnb19tqIPSKASzUuN6Wv7Gw33jRteu/nx5yn39
yoqq6KwdmLdgcqdkZW/QimNZy0DpmHUt2rp1oB0SgEt5YOfWx+Vgc4NikaqirhoqcSeDShTk2CSL
YloU5/eQpPdwiwHQdtetLOwuh/o6jRSVLVUWGZgOa30c98nsjWCmtThlGqskjhzEcquicKh5gUeq
1mn9m5765Xhf9zpF4+hGowBZFo6qcegn8VDNVHIlxHT+2KrlQXST2KHpnl31uIQsbKtfN3JC4S8s
QivWNbKy81CjfKeqVYiGha0Z7SUq5zjSD4nTD3oGnEcMdMzchvYAsOTVAFeysN+O6/58V1c0Zsq4
HRqy+mXG9O2A3qjboFzWoj8uwAYtFvySpC91BlLs0xCTl5lLCBtKtOppmknpLmuFwdEGnM1L0JN2
MQBdUKT0PcIxw8ZC4k5pxMK+/DlnZuq48riBmDJZwOcV8eRzJrHr+mrLEyD8iapkK11nekaaM3zD
MfzfL3U4qJqCRSBHmDzlgoO3HyiCk+7GNRKKwpVo3SQJ6Ub1v4wzHj4nY8KKAyqwRBz6xU4n3aAs
iAKkaRfxwmk5N0MsSdYUHK84P8RJXlO4ceQ1EkCGIpMeitz7HRrCwlhmlht8Vs57iWuxxP54PpbO
jwCMxlwPsUfJVxWOGZrc4zOnFQuzXRoT9Ml0P4s0mYs9zHHTz3hrjQqxLbg/MvH8P7WgAgfGEaGk
ztf8rMBw68JS6Jk9jNAaBwDFXf5lMkiUxIcaVBoXb+k58O5onKvirqjuO3kr0pZWg+usvRL7bQ7/
E6mw8hqsTGNtNAR8s5+X18NnLfHra/j7LJPXoIZ1gFEHr4FnGbKtV99m4g8XQRBFu4bdq2vboEey
/OCGLfCCtR5thmEhN5iZVqRGugxIk5KVMj0SkWVSMr3kdeQl6qpKk3NgAUG6PNCZha9LKicG8jaU
XabFjga0NcID9EBgln3ImbYBCP8HQuq6QMr/X4caRXJGpzSZ5F+Vz+dw4XWFmkeKvqK9+tYGw0Ne
aQfgkr9xgFjyqPy6XkiRdTI6TBkp3U57BdgtFAUCOsxiRdgWhflbiWTI/Nb3fzskwnAjlEXq+BKo
zPMhDQgU5wPukyujbq99tLSgd6yDbFhzDV+oEH0+8vmMHLcWpHvw/kRLQx2ny8l2ZqnIVOatb3Li
DeLPLqi7V4jNghOmcXKllhZYypxO2t6TFaF7Q+yxCDejVF6JX0NkvqlK3Ye0z4+cYEIQdYNNZTvY
G4Kn3sV8GPfWLfPuTyyCUr+G1wPXxNCzClv4ROMGUB9p0m3oTccfA0YvcEwxMH5FdM58KE0luGIa
9fjftF37nPslJLFe0VPqeHkab1Ul7MF6+UH5YuBY9IwWcQihKK/3Ydo3f1wjrPcQgvpwYdP8uoBI
5hULjIVhwCwUJ19H1sq20kKsldPsu6IesOW7/PXn/n4us1TH+JzkJpP0Lrcgp3oZ5LbhmP2qwToc
O+P1coivy1NFxOdviPERTj467uEtvBdCiFCv6FGvws6wjcapIVRcjvSZIU7mF26GTDHurrhuWpNT
rNX8VOxjRJ6xyVn9+KcertyBdl4NazKubbtBZMJJ7D/dBqagsnaf4KlvuwMY+NVr7oirj3c86zeG
M1wtnX4zL5o+BaU/ZTz6FHlyMGAvRF24wg6qUSqwBQj/KEvDn3nRZyHG3z950fWx7Tpohia0YfTL
E0RG7TATu90R1Yl1lYn98+XXPXPA0PmWJTJbJqdB5+w8YJaC5W7M1IJZgPS5kl/lUYSlHGr+yIlA
0jiAsnpGm+NRRUbX9CEuZekhg8VlQImR5PDh8vN8vRfpNCERHYDNQNlJm9TtrPIYxsEoTiil6qOq
epCbS7QLql149L+ZR2nh+vD1qP/s48m4MdPs0cTJ69byeFDwTjERCfsVgBIJzfciqOxjcRuGe0Ne
SNC+Dm6scJl002SDo+cz/z75uNw3FcCBKM8L5nGnKO4DIJWV1LQ3KomncnT/dTKtIunEt6WDRy3P
nCxaEWu0WqoskzqXhPbxWlO6jXFEySZdCPSlfsLdkvIWgFvau3Cgp5XJgPZ7JpcdXgE79wZvqWrV
P6ooSlx3jnYPIiZZ6tBMl8k/ARGYoBqqaZTXJrNW1FJdlTAn0IyfofLRD7gouneVvnAjmn6wzzCo
83E/ICmxpp3xpsIqsvT7GIPo68bbi/Jt3B3k7KHRf1ye9l/S3WmkyRkhJlrW+DWRLOwvjqV1CGtE
4xWIJJac03LDoiLOiq2MCktfVe+59u3yA8y+UEbI1AS7w/w8f6GItkOxtcYXWoIyQXsJQdTaRBD9
43KcaUL0zzj/xplsN6YgoCocYg3gmYdQO0BXEpbuW9L8V/sbY7zInyyzRBqOXQUo1RYf9Adp74O8
fqj+jEK1O/2pRqvvxUXQxQ4cwTHXl4c3rRFMhqdMagRRr2PPFvAa+/YNKNCq6KF0wrdRyFYwtRhu
RWV3OeLshxt7lRKaQnSTJxumYQ5yJ7m80CR7V9UBM8YPf3A8OVhY47MvVaGXYlAeY81N4iRD0MhQ
WWKI6rsy/JkHz0K3xudEkzb/xYDIVRXGQ7VjmjLHYKAzsPeshFjY6+WHabW/LdwexHKp3jH76k4i
TdZcCb5swNEV2KH8YJkbNXlTKjrOXrQwKb701T9nxUmgSYImFjG4G1diSIV5c+RcVfTSbtPwJa/U
xzICUCvmdu8/y/lrGvj3YE9IjY/rDro7hk8D3JWjHthGEe7V1l84AZdewuSQaGKt0MET4tVROJW1
ztUb0XdK4fHyR52es59vgAMPeq4JfkWZzB4PRogsoQ9gmz0yQR8tWM1wTwFrwKrx/XKoLxnNNNbk
s/rJeEAhLgGuIv0mb9M7v91Utul4teM9Ww7cIje0s19L8IXxRZ3mrf+EBSvA5UjVcL8533VwcZI6
E+VfO+rvMumuqrXV5YHNfqkRjPB/A0y+VKQIOEHjUWwXVG9DWB+1gyXABjL15TizW/RJnPH3T7ZP
Q0YTT2+IowU/ggQzMOlBin5djjG7m5zEGMd6EkNAHnyIxxgDMiQhOuM5EEsJM5fm0SwXGiqz7w3T
HPr2Iy5s1Mw9jdV5LZwOnD9tRGZ8QiGpL+I+shBldoafRJkcbH5ZdfSX2PlxmkMPZV3Tps3WjXgP
uFY1ny+/vtlj5iTY5IQTvRjOSEMwVMBcc21U67LbWNKz79lVuSuC75fDLbzBaXsMJhZVsuEzOfgG
ELPPt77y7C01SufPbWvUPMaol4xyMio1HxTAeuO5nRyMTftNXHsrKCVIKwz36aq6R2viqXF+Ditz
4WybnfF/AxuTU1vKM6CjGYHR5EJVIaKoWN8g37C//Bpnd4iTMJNNEAJ0nFP8ZYoASwx8jO7eLgf4
UsD/3INOIky2vkJRYFY2RDjKH2ojriCDddarqj7KxZsvc6pIV2a2dLrNruWToJONDzo5fSckAAFA
c5oBhyQbd6LAX9FrcBTjvQm0jQ+gH05LZH3vsWwSmrdMTJ9bKIyj0Gyodi+XX8TshD15pMlWKTTI
sOWwMmw8A1eG+ZTnmzJ+LIXt5TBzH5T+gU5DGKQEVfHznSXJ6wSksh7btewEyNsneApdjjB7szoJ
8WXpaXh9Zb5BvnwbrfsVdC53g0bgttlE7y2qQUsXq8WAk0mqZ56IDgwBw+vmA87LVXvAJKAvV8cP
cQVHX9hcHuHcpzod4GTKQm+EVoa3lV23b73o9CAyjG/avy0vjwvjNMpkjrpg4j2lYFRD/AesmOyh
ANT/qJcarXMbCVUrQNRgOymYTCaE3iF40hcMBqa+wYVDUzfHcAl+PP4l00TjJMh0tzJlRMHlkiBF
gs6F92TBggsfMC2qwgPsAoqf1cIsnDvbTiNO5oQIYQI5ViLqSD960P1Z4zLqH9fde5QutQAX3qEx
mRCm1bTy0BFMyJ4x6+7bF+X75Sn3BeT4ORuA7wNxpMnD0j1ftyDD1HJo6vGyWz0beoFj9CBvjAJF
lQw7IIzc0SitUBUJ0Kq8MnU067IC7ZtwbQW/KfNea0m3UfpjvZBDzO2kYOTBkuHKBDZp8p4tuVF9
MWvJkltgV6iOeTqYsvgnqAy0hC6/hLnXfBpr8ppLL4NvVxErL4A5G7J9LH+r3ULraG5xnwaZvGhS
Is8cGoLg7w63XnKyuL1NBBpluJVcHs/cXqzTpaJITbEG7Pr5NyXtwzMKDWcbzpsGZtVPf14OMPtx
TgKMYz1JWcVwVNdICOBJcIllxVaaAFL0a6auJUibl4PNjQbw/SfRRKL0NBlNY6pYlvZIHGT9j7z7
XXQLb2vu65/+/ZPBFH6jGh5KJrZ19EErVo5vPNe4gVwexdwrO40y/v7JK0sVapxJOI4i3Lfo0olr
VQK7bXLDfbocaXY8cN/AoXEag5I8jxR3SWaaGSfxoCIdUcFUcDeysbBvzH6Uv0Gm5dtUQ/Cygl2I
+TUemcbWb5dO3/G1T7d2IKu0FpjKpmFMhoHqdIdBC8eUUuyOlQ2TJIUz/d8slZMo5iTdTQ0NQReZ
ccge9lIfvbvUYZXm3xQHIO1cEazaZBwImrG/DETQK5D66p7aAgzLoN9GomO6+7x8Y4VG9TZHLKJj
vXLLvDwf5l/kfx5AnwwxRFa3hCQ+llMRmjZXro7Sw7e+3V8OMz/t/oaZbNiYLUuZhJ6DLUn+yuRs
iJ/gdFyOMbuIwOOBf8fUgq7Y+dR2B6WS25ACTSq/auWTFuxxicuqdbhUu5w75enn/ifQdE+QswHZ
EcphVBHl7qbrXgZhp8LyS3Zqurs8KHk8Xr7M9JNgk61BRZ0SyXuC1biibYwntEVXQ7ii2X9/vXp7
O9qr9fV6ra92Sr7wPmfn5knkyUW9y2hUDwaRsU6DqJzZebBwjMtLISbTP0y60PJ6Qih3aPxVj4It
3OJOtoW0vy6cYp/b61W/9p46J31Rrz2oPJff7uxN+uRTTqd/apa6f4TQaZs/pCfvNntF0KNehU9/
hB/VvfRw1Tho1d3o68thFybQFHOPKLJajThaW8bSsIq2RXRtNtcFmjjRj1i///fBwFUgQkS7gs7d
JLU4epYaN+Nm3EcZ6vxoZxjavjmWu0qy7AASUV3md5dDzm5rkBbo4cEOk+nWnS9FpXahx8akpllg
uwoUtNEpEmkB4c4t9poJVRzVAuTUittIvjYip+63C08w7lvTZXP6BOPMOzlRBWTrpKDlCbzsVu6d
o+do3SaPb9CDKJlfCB9y4f1vYlI3GxtgsESnhU3N8us6QIsZewrKTKqNjEGQ3wvlASkr28XSDrcL
VP2W5vD4MqdDtUQMYugG053WJztEbJopLsaEtbAUf8+jIz3g3uoODdDOfYrZBA7kx3hbGHlvG2Go
cCGROy6p2PTxZLW5bZsuWljZc/v92AwEAmAAIJo2QYALZlEpe4ntlo+V8hZjJBO42cILnzu7ToOM
W+fJN8bxdagT10d1VVib/pVu3pEuhd3C+53bo06jTOZyPBwNDB8ZCveMlVHgy+ku7PFL45jMVRfZ
CjFFuszWoocuoWpIDHQA/SV4zdwBCX8ZiirARJrak902Qi26yMsQUKBXviIte493xa2i9weYYdtK
rheGNfvi/oab7q1REoTa0UVuptVAF6FsemTjubzkZqcZMAiQXBZSuPIkrcAQRmu9hBBV/lsB8Rj5
6877fjmGPLOVGCD+uQazoTGfJ+sr0eOyFYsisTv7uLGu8cW58v6UO//Ne8h/UfJRHk1E2d9RhBq7
pamdpfvo7fIzzMyQs0eYHMWNXnmIsueJLVaDi2hSHuUPfiYov2Tu5M2q6zVU0y+HnH21ID04M7h9
GNOLAkbWcYpbNNUFV1kN7m1hfgBQW1jBs1Pkb5DpRaGnAax2FoRARFjtUhUxzV1YvdLcWQs1CyoY
dAXm/mSKZF7neqnLOCCkFskq+RDugkN/yDfpgatpcI2sNwf9ca3f+ldL03MWrGABZAE8zeYMuOR8
h8IpoTKLipWd+TZgdNKL6+im6J6ifeSE28ZbeJ2zC/zvrjstsyKmqOIvynIYYn+Veb8bPIAj6z3N
74ulXtHs9PgbalpuldTBRO6UkSEs6AThEdEp35H7bgFXMldlRTnA5KJKt4OKz+TziZhzK63K4kN1
cRUiKYdrk5ui6Wiso9weHWBNVKqk+F4p683oQnJ5FczMnrPwkyNGbOUQMwWsuit1I9CfAtnVOhZu
EYp4JwoLh+ZcV+Is2uSoqaoki8B/IsaqPNbUHI71ukQSyvBfG4XTnSrctYsG9OUhzqzBs6Dj75+c
otoAcrWWecN+fpd7HZn+0h1z7g5zFmKcTCchPMXM0IxhXILw4Gr4Na/R5XJU8UZzv0XCOkjRuHxX
EmET+ms/ePPDxm4H5I0G24iRwz0gvy5634fi2Wzd9eXRz79zWCosznGOaZPdXQkwwEXoDi+b/DVB
sKf9qR03XW5uk/JZxaqhVR0EjBY217nWO0hn+GPwKtljp0QjJdCyGHcwVuqV+Ef9XkDQ3hWOZkfP
mt0cMBpad4D5l8Y6sz9wl4eXDeGXBu+09OeHaC8JMsdIvxnW8k/3h7w+/rZWSbbx/qS3+ia5QxRU
2YcPS7vwzG5BYMUSFQOuyhc3QRGdHEz3UBlGrSBUXvXsJqw3lz/k7Ni434xUTo3se7J2YkFUesVA
gr+Sla3R/5bjzeBVdp9u+3B7OdTMaWzCD/tPqMmKKXxK/HpGKARBY8ERm52Vbocl98e5dXkaZbJo
8r6AVTx6CpjRFhuvClWHy8OY/SgnwxiHebIq8fTJ5DwgQCjbuvcSoJAcLGDg5w5AC8IoPRFYBCMq
+jyG75dCiQ5nbGOAvoaYtTLxF4p+Ra4TQB9FSjHCZ0FegQhYGNzcuj6LPEmZBCXOYWgQ2S8e8GzI
EvAsv6gQHmlW5E5Jp26pxjUbEjEU0J1Ad6iwTgYr4QQTKy3dEko1MfLp3o2EeWGEmTZ2NCEAcGHg
ErGwlcx8RQCyf4NOxyma4RDlBE2P95l+L0ofqOtcnigzh+BZiEkWU7reUSmwgwGKaIu4zxsrfe9d
g6I3Fz7aJ3hycpU9jTTt2FVYZnSSSCQl7561prgKUcoOETas8NOIasWplY8y/qZLT7hIFfp10vtr
yQR8A94eyyM81vdBq28G7KA8/UV2YfzLvwMYOSApUUtL7/tOuwuxPLn8gmY2hLPHniYpQevjgcVj
Y9i2krNNJ71agCbT9eUws98BlhXAwlEMaFrg9FQfUcihonavH1V8dK3kB+x1HVcKVfHJZjV29jrV
R5Vp1OT/fa4OlRIeLvcgtF7Y/M6XchcXSVp7AbCt+CkTD2m8MLqvE5m/3+BwIoQ2Gvqe//0JWqoo
wvH3I2S6Qk/BDsVoY4nfLr/DGYghYUDvUi6hWUes8zAj6kPLtAhjoeCxrO0u2ojKtvccHQXpyr3T
jk7RrgzruraLZw3DGNvGkBb/nKWtcW64qDnhXM6QUayazJnazyX82xhugbZ+pF/Xg7AdGnkJLv31
WASrzz8wteH9YmRzPtw6TqUirgsqcUjfP4vIRomvyZV7bdxopY1L2U3yntrJIb4yFvalmaSPyAb8
FLzLYQNPgdJHEefWXGQDprtgybaf1OX9gNxstBLjur4t6+LY2kGmVA9ZH6fcnBOpxJIWH8V7idIU
atZxFaC1a1W6o3SuvEb0vwUhrzcJWqly7GWruoj8Z9doqufumPHZFDEydzKuOQu5xdejeMSkklmM
THTW3XRquhkMOX/cYw19Y6muU5T/kvAw8pRPI0zO4qGgj4+1A0Xa7KF1D8fuSQwPVlShPvx0eQF8
3USIZKGsimwCdZOpykaD4SMynR1V/eMtoGux2Ln+Ou1Wmmn7i3jeMek638/Pgk2Z4AVHR4ltCYjC
wsHUsBu2SbE2o7Xk7XQVOwEnq+6Qs87cnaksyW6MC3kam9YgZzF6eqTZk9O4aJJYV8OSAobqUVDL
jWYdQwCzDQHN0ELGiqKMuVLFobsjL17CoH6Wnr6E576qoZKBJsy0fiK5MeSAks063Ms/3J/KKr8W
aCxYtrp3nexbS19h1yGGvLpK7tRb/8+/hwux/P7G/0xWTrI7AVG6ElViFn784ekHFz6Y+6Yl28uz
aXYXO4ky2V60KG/xjSOKWT1GozskrF/p5XKMuS3MQGkO5gzkUG5N51tYUxlhlSstZXUKGXKj3fiW
stUxyMFLdWUK7sLGNbvYZfhd6F4hVDTFvFSFInhSw5DK1LStUl7J/s/LA5IX1uBUNc0VEoT+VJZF
cVs9iMi4vVj2sO627/GN5tzUPrQ9Y/sm7VbeHgMuCC25PaxS27S7dQIydyF7mfuGJzuCJZ+/X1HV
QHyNO4JYXJd0NC1ssRY20Lm1eBpicjnLfct1pSMhMGprsIcE8nh0uprOIm6GdpXtLr/gmf7TuO9w
vFM1ZZubVo1w0IhUxPDJWPNNVd+Lx294oJjV3YATSf3HVPax+iMXOpBZGG2IPyttoWw1N4dY9+Qx
INy5C0wODBd/77DBaRoDhMo2aO238sLCm42AfxeVC31kIk0iYOuLHJg+QmQVtBCTGxGD5IWXOH73
6Q4Gb5kjnJUAIWGSKZW4gCIZD2GmQxddPyTDo2TthOjGq9cZNgxWtCpQPCz4sdA+nFseJ4Gnp0Zk
tF7dtgSGrGbhraP8CnESGF7+D2lXtiM5jiS/SIDu41VS3JH3nS9EVVa17osSdX39GnN2uyIYQhA1
i5lGPzSQHk45nU6nuVlb77W/x/Bjp/9xUtyKKVRStJo7WUfVup1+1LO+V6ABeH0tZR6JW6yBzMbE
h7liw/Dt+S4vD7iEEPun2m0BdJZYW9rQpz4Ju40BttdmKvcJ2Cvns+326fBx3aGlnIxRUFCsgDwO
IHQhNqBeQmnTMeR9YgKyQpPfCShyfFA9T9C5jCCPZrd6cN3m0iLyDh3nPQbdpEipMYJNPPE4EK/I
nroOYhuBor5UGoRuwOP9fN3WwhKC0MIBxacGiCEYV89zIpT3tEqxYavz0PPVTfu57mxoQjqJjOaP
/yVhl4FB0sQLI+50jib27COV4M7rIlUlJSSnp+Q2qu4xzHSraJgwNm5j1Vi7Fsrj6/4tPItgDu6P
2Yv+/chw+EGqG/rt3rYqcyiIOGGUvBoT2PQVe9/WzzSKDz0Eb1HwBgSY7oALaKYzhOecFzOFmAgz
A1P7uv7DxLwGXguw26INC0wf6iYxr0VZbSs6UxXc7hNyTFvnn2HuZklbSvy6msv5W1GUgSiNU3gK
FQUYekkVQSXFN/sfSaVCe81ZK0YliSFxj3xbwSHggmUOBsVCIqshrw0QfxTUrfbV1eWGQJZ6VBzP
7+lQBlrrSs6EJbfQYHUAqAYvABBl50E7s3LqFQ1Cy071XNbQmk6cQLOlM8xit4MT8ToYYub0pybo
+vjPOKkscx3d8krJ4+DwXvigzPfBY/b1FqyCB9l7yGUweDjdTIApgF4xYOvcUgy8JwHrexzoGxqC
UW2zObZh7oPs7HrQfa/M6SaES2eG+A85cWkw9BHCoCQOIOH1zbBMwbKcBvYKZXtowEn+Dx4P/cP7
e3jjrW7u1v5u5I5v7r9M/2j6aN6v6pW1+vLv0TTwUbP5b5vVU7B9+PXrIKvYFr7A2c8VvgAEQrOI
RlgXxQGyMmFlsikxm7MCWv/RQQdNAk6+iCsPJQAHi4L7D+/sIppnHCCxl9qA8tBUb1a2VWVbEA0k
q2gAVcf1L3Hx2I52CKcXgDXc28D8KbgWp66l9a2WBFO0njUQWJSQsZpfSd5v2+yV5SMEp45Q2jzE
eQ/pq6CAoMi4sQuoOWbqTmG3lPx2nJ017CQ/7CIW+Q9zTRvXEBWpWtzNM52GrDExXTqXkAcGd1oK
dgCvbKGnFGl2cZNNVWIHtk0hNJYoNuu2VaVb93grUFZqQhnZYngjivcUX3YCGooYIfRg9IcB4jN9
SPuphhS3MioHV01KM9CyHLrTUGMHrUtTNMY7cxLIpIDKN2XhddcWPq+F/oyN91UUQuBfOQ9+ncQe
HTroMgzt0cLonz5nUDSVbLGF5QNtEW7jGs5VE3yi50aarKlVoxwycKGwrQWtKmRNSdW/4AdcAKqZ
J3YAaoVsweaIGTmFHzPA5nGsrluQo6q5I8lK4oH9n1zhcuAxHyMXGRVyojid2yBXxC7xDfIOWbRV
1oJ4hI1bAxvCtnIN8Ezr77/SNwuii96Nw+f+hAUcu5KlhgPRh84LNbafgTzBTLvEykVmQRHCuRb/
z4pQqE7erM19Civ9hAYF+LvZGKAzibkH2cv60tfCzQjXeg5+xtvguT+1CvYBt0b/07GznQJhGxNa
u6RLJGeiWDQin4BxlVPXAfkEWLAQFAbVidl1MaDoJjBoLbRRAY7aTx6DzioWsgbokrF/rm+oy4Of
nyZ/IoT/ppPTZMRrjQaqAT6kO+4h6bVWG2fvDs3NOHZrkNZIAvJiJXHD9QC25NU4GvTf3YYTczXT
S2i/x0kAIcZ926iQBZ+GQ60rEiDpgh0+mO7puNZC1UMcTTeJ1TYaj4nUzXwLQslMPWb5+/W1u/he
nIL6xIgQgNDYxvgsqMyCMUGy0KJ6x1sx5gCqGRCD5eSfeKRP101ePFIi2oFyQr2JUsPULnjb+qQe
IN42JgiN5CEe9LUJ/emRql+aFj2MGT9n1DcoG4LXtgkTM5OkxotwwS7QVeDLTLD4ALwu7AQGxGje
xxhiGtQe1BuD8+Vh8uBHYzAt0EDSjuH1cnq57vPFMn9vC+APwDGAkBFRUR2hZIocbAsvAVlUfyyG
Xa090AoZrbjPZHt9IasYCE/sdDS5cQbwFTiJ0Jzo/aioNAVepzCOYHebw3ogdaDOvbrVksjeXvdu
0R74PxFHoCC9OGwyOvcYNoCqkRfne737iBJ9HWEbmpKu/cWOQD7BV0OhguQCQknBryTP8OCXtPBr
am4RKF8dAbZYkQ2xL7nDqY5R2AM8AT2d8+VDRTHHqOrSIE8/NetX369t41cdS3beshU8CQCuZnNh
wHMrSaJqMUuAYozUXTf/msE3EI33Sf/r+rdZWjMTBG/gZ8f1C7nk3EyadzhAiZcEKZLWRkmsYl80
ZoInvyStJPe8iyY8sj/u1eANRtVoXVaTKciDKyfB7K8eD+rrWDhe75dxqj2Mkwr1tQnib7qvKrr6
sy0HZ13iof4lh1g09kOqOvcUc+iAr864xG3Aw65CDUxtya+W0PF5jqP8y3Faa+u4JfTppt51Psy0
0iTN4qX1AoJaRYZQNdD3cnTqyd5pGCq+QSVJwMwpJDFUKr1q6xHv7w9+49SMUF6UOslAeQszULNa
T+M26lTAkTPIrb9e//5LYYZ3T7RFoYlgat8TGSf+eGaj17OJ+pIVDjQaytE03zQ3ax5B62V8zXaM
Evu6xcv8jgYsJ2LVUAR8ny7nS0gtombo9GZBCilbQwsx6TTbGA7Cl107ehk2rPY9uopLyZoufDrY
xaMFT3t4txDWdG5iAE9ryD1GOE+MzMJrlxJGjra67t9SlIMWB1wxQLmC0lKcgbTb0bMKilZ2D0aN
qI7BiQOanhfOK4ZGHNhWu2TVkL0RbfrqFUjY0X2iahD3P+r6YHIZwdXI7sCFef1nmVjVszs1Vh0P
7WiA49IIGQah8rKzvrESiOZC1X0DCWhfwxl+3cIF4Abb+8wE/wknscTGBkm5hYn6CwT+ZonnZL/f
T+/Dz/FDxhm8cEpbvIrEPAsYXnE7Obflzc3Y5BVsuUiME3Rq27tON/2qDVsZmf9S3KAAR9uRN6ku
hgIjx7ajxGtwkYnqLSTWwyizdm6lSpZv2QxnEeTXe2Dmzj2aI7M13BFmomoObNBwW5ntu4akmb+w
btjluCoBPIKTRSzAWy81kEbHFPikDErfaq/cIHX+HMsWc1bQrwRgf2gkDYuFHGN+M4gC8IB/fyeE
k7hQiKs0QGVD1XAwjmkzBAUaipNbbMlQSIpimSkhLNwZVKlNBkLErHqtIaYOCUsId77HfwvzQiyc
uSTspkRVO8soYQeakGHUtiunS7ZsNv8+JlAD438gesS0g1ipqYlKTQopU6ycGzKN3pKqhgIvXV/f
uQu5wfSQi+1vZDccOw89o6dVmjKucp++DQAwWTKUw1Jsg34e5FKcBApU7ecGalJnMSCaWWDHwz9J
V6wrA/Bx8tc8lfxkQVZAswFcFhfyV6rVurFiR+hq5NUR/LqgK1f3rPwF9ntIb0+Sj7OwlYCl4bcj
fuMDxfS5U2BUtezKAHTJcO2DinZX0TuhzeAf4MNOL/lGC0sIazi2gGDAcM1Fx4a4EKa0oAIbze5e
tUA06lorvZWUaAv7B8zS4JyCQCC/VAo+MWvIFE8p8fhc2Rt+X06L2h+KuPXL4e+r9TNT/KecZIXE
hIq4Z8OUQb3nnNZG7tcW4KDUnqgEdrUQ3zAFnwzEBL6Y4FXSVwmchilM7ezcybmbNBnAVWZC8Gay
4j6qCUzQevQe54imuPZH0eP1jbr8ef44ImzUeILg2uzBijso/ozUbYIY9dFQZEf5Ymgj66C9jNbW
BaPVQB11LqGuGSSN+cRlDXqPbGc9XjVTdmMoruzOvXT/5Vnuf+2JQNPJNeI8IhXuvzVkoVsaV0HV
R44f6c0HIe46SqJNDHDy9dVctArEH28d4jYslkRDHlltlACMN1f5HnSzdf5bxwAudEoLQwuYKzG3
VB9xYoF/7Qn1kT6UTqs0sAd2lmCik6+0FvAkahBNTwDCFmhgWtPKS1fX3bwY2sFhdWZXCH9TqyNV
jWFXI/PGiNdm8zAZz4O56eAtyPmrdgrmpFyzdmfLquHFSDrxWdgXNsA1kKuHbbySIXJsy1dH5X7K
AcYGWdJsFZL6hvsilLlnvgo7xMSkbRFX3Ff9GGmY8W3jtQ3E8vUlXdyHJ17xyDrJXXOdRozyyJk8
bzVa3eeAsT9EbAoZHBl84IL15/vzoRuGQVGU1xibOzeWd3nUtybabp2lgAmQUb9unK+SP7Uk5Dnd
Vsw3p2NJEwAud6q1idMfxLaDPnrvK0n+WVxd18OsBf5/KaPR61DpYBzdPiYgpnWTPaqGyM/dSHI2
LK7viR0hagy3wbsER8spuhYOsx4onY6K9TP5rx5CEHpoGaETBlysUMhFDSrTeuTICWXyfKPyGr/w
KkmlsLRsvDeFuUNO53WhRGGoY6HGHG81Qk4bFxQNFMKsc1//PirRP/TQEwZWzhWVhJ26V2KwcgMS
ntrlsw1Sxx0Qn+wYgyj61SpkU7BLF3kbYyR4Q0LLFrEpNMLiPkF/GDOjQa5kYd/t0Kyq+g8bzf1p
z5Tcb5ybfAhbsr7uJv+z4hbHdYzXXvhmkGY+3w/VUNo9i4CnQTQc3a42N1k7qb5aWe292+3j/HVk
FQWL5V+2fgBCxPA84h47ETToIgjFSmrmegrm2zPavYwEOjJET8MSsxHhdQcvDgpuiXNDQIADytBQ
Rzj3MLW0OMcWQGmke3vDTSMIjjcr0safkJz/NXv6a1wYgV6V9xq0RK8bFwsZHTdcG/UsLokeFC/F
ZwVnjoc4oujGNPZBn2ow98nALuJu4BZc0OTjsQ5refFix+/tTswAhKihpeRP6pCusq7wEC61bERj
yZlvpSQc7kjXYokOREuu5LpTBnlU+5Z1L50Ku3gg586gjw5gEuLRxQ3q/FMxqmYZJRgGHa0W0r7E
OjiF1a2VKb2LVeWuaE1rT/ThqCnK3nXpTtGrl6aZb2o9ijCSoq6hyX5fGpm5ya1+X2Hqnyim7keq
IbtAXJQB3z8VQDTAkBFctgiBHmgPwXbIjQdUsde1VmxVPDhMNvTtezCPjDF44kigjl/RbIWpFgVe
T/8yD+IX2OCbBFAFAqccBn6+WG1NgGycFMzka/sIVWVEH3Hr3VwP4IXwghGIU4McAJPy4jYt8qIp
6imCGDU2D2nVjY0pICkR0Dcj+mkW+vYFOsfIs0C2XoCW2hwPpLqXVBjetNbK7c8xLH5AXBicOE3r
b6Yv+vbYB+5deThmd9TPX5+U53hff0LeQ+LvQrbAquLaCwQQcFQ4Xs5XlaVNqRkZHK7GbAUxYWei
MwR1xu3c0JBSFoIs/FGrwSZltbJUtbjYaKpy67ydJNi2dbPB8Cxsm6n3Yxq7YKy1Qx7Pkg7Swj6G
i3/MCPWAVVJ0LxjMJFUHMXn7totlXMHiqcK/J6eqwvMbuuEYij1fRbfB8Hqh4Hva9NEkt335jhGI
bnx023fT3DIieSW+ODxFe0IJ2U2dSya8sUCzI6zobTb5eHwfebWzN5VPz8DL44vSb6/vjUskNvcS
pQiOMQQt6p5zL7O+9sA5kgPIu1W6jfugQqxe/8C4hR2aYbHrN9nXr+smlyLk1KLgpzEnVVFHGeiq
CvVuMqq9Ho03mkMlx9aSGdzsAQ/Gs4yOt5lzx+zGSzwlByuWlU8r2k27hrahViaSQFxKoogQaH2h
I4wmuhjwnTdkoztW+Gx38XFc97s2wLv4Z3U0v1JflXRjpNaEuMcTCtGmEta6dRcqW3uTbCBsc5hv
0SsZoRt0/VMt7TID8A/gvWy8O4prOKRu3Lhag102lRD9+53JDFzO2SP8Ti3o51/JcWqLqQUsGJqf
77p3sHfivQ8APVsLs2O/n4MfKOv+etwdViFijFqRYzI0cbpfT7XZ7W2IeZrqs2btDcyu5bK44GEs
HgdgmtK/H7V4+XbuGbGAbKHjUAXlLr1zb57tX/rOu5336lMWBq7fhgCqAcYVXv9iS1EPYVQOgoOC
DXKXYBWCvhUxGJIWRmxLakOww/alRc7FDZTnqlMzPHBOrrtTCWwCrXtkjTvMLfYhSsIqcJ915mcb
56Y60ld72xy83SzJHfpSUj41LBwvFoZCyrqAf/rmc4Th+Q7cvUhba+Op8rPf9bHBbE4fQSBFv0v9
5k3ZrxgL8h9TiPHKXSPLnrKfI2xHW0ntSLXxc7p2hYfmpzboD3YINeWnugrb9bjyQnPbHJO77C3A
nPn1b71oHANs38+KKJ6FDBfZbuVlFSIssQ8s3xRtHmoDsNJhSX7TISwqydDMQkTjmRT9Ktx4DKi3
C2uf95SaXtbVgZGogAmOvj48dNV94iZ+noK8R0a3shDLHFsMKUVgEaA9yP0/CTJl6q2GqmMVZGU/
+5371UeoVQ1dxgu3kOVQfKJsA682HqDFRnppaDWJExUf0aXKfh50zC701igpdS8Hm3HCcp0n9Jux
e8DbeO4OpH0juxgwMmO/uJ/OkevAgXXu3kv8tR2OAQvnvQ5i+xs0N2VMEktp9sy2sF+blE4Na2Bb
D9p/ild6BB/PAbTeLoLUq4MZNK1+/aK+XQ/QpYU99VgIGIAGEDA5rLbFYQS/sGzgZGEDODZ/ugQ1
qwHFSGED6MzJKjfG31foqlb9ErC31H3W2iMGZfVoM8ma4EvF0plB4bSCoJzX1TU3eLA33VE7Oof5
4K2U320I1grNVw+tJMMsuoiD6hsHhjpUOEXygVhDpyI2nWrcM2/cEIya2N4/hvMTF02faM4GrFqS
lunidwMBHZBgGFTAfj+P1KEvG7z66LyG77ZONIDoWvZcuhiRcEsDDzW+H/RSz22YzIgrzPlXQVSA
it98zZMdJEC6FJIKAe1fdGhjzPcghoiSHznb9CiuZKXvkpenv0D4mJk19mNTmtgTZFb2oKbR78zG
+rq+BS5zJijNwOypm2jB8WnDczcLxSIRZM7qgGVPAH7a6b4bD515p6h70/x93RaPhfOK49yW8Nmy
IVWqgufnif1wzE1J/HQ8asmNJ+MplDklnHpAuxXMrGCoi8LCvU3Ji0eCIX2syuOoSw6dhcusDqAg
mCqBq0OTwOQ/5uQU8FRiFllT1uCHc3dV/AZAWZAWkAdzwGdWWptpBPdU/kQ8WYjy5TpfTg1dvT8R
KuRramQa9gAiFCiIlYJ/g/1k5ySyU5wvlmgGBNlo5UPTxwWA5dy/yVMnjHjx0weX5a52A23EnHZy
11TV+np8LDl0Yul7pU9W0qJzksSFVgW5MW8Lk6wBi1jNg/143cySQ8BBmphWALIKH+3coTzTMAIx
EexsWtw5HqAkNLlR0WECAZXszrxgCzNOaDXzKUeU9MLi4fGzyA28EwZ6Wh8Yi+7nyd44tABbgrvO
sm6rGvfQt/fzRscA3a2uPWEA5Bjhla0xftIsk7i+dIc//T3iEncNSaqW4ffMFnmrem1lUm1v1eU+
zeL7tnBXuTaFDroygDrH/lj+dbZBrQQYD5oVnOVWPC0G6E1kQxcBEdKCNUzbjRog7kEOCT0uVdB9
XP/QC/Hkop5BtwtzkYA8CCl8tiM6FXUCazNIirET8x9zLzmKZDaEJG2RKss9EtcBTUp/JptyisIG
9NrXPVkMoxNPhJCNmnpUtRaemNnG7T6U5DbOw1j27CqzIpwFce2xzmTwxQbNVHTMjR3arLoMjLy8
YuhEGJy4DufO+fYDHCB1EIZ1kIPJXTO3UBzEBO76v1mwf42I06nxyAZ1pvzTKzeleVc423QKRiZ5
9Ls8ZxDO6NMDROiBMl684DSlQ9LRwYIprYG6vNvVRnNkZo1x/VwPMMGx0QdHcm9fWj7+0AFsFS4D
AI2fL1+O2RrqgcgicAFPyybvqBblxutknBkLxQfwNDZAKGD9Rq9UMINxq1Sb6gaxYOs3YDDeVOTn
9U90WQ3wbh5n9kFvCmA6oXKM8QCtUwO3J8dNinDoodKVxUOxqvL5SdOS+lFzokKS/y4jnJ/V4MbA
uxgeUEXEomW3FptxQQ8AVt+NindoPOMhpfZNH8eyZ6lL/4C4RlmAuQVwbUG46vxDzSitOs9ELd4l
Ye99mNDPZvvB/GQyGOaiIfT00d1zkFzFMyYhmsHaCtVwzd5H+4PQXcReqb6fS8mmuowJePTHkHh4
tFXmWPmA81mj706G40FGus63/nmpAb5vPqmLZh6wnuLjV2v2c9V1Niqa8TB393a5UeI3Gm0bPo10
iGTQsaWFOzXHo+Wk3qiiMmWUwVxeT8Gk7uaJbkjyqYzbLs0lGXzRFnA0GCYBhfCF2nY/Y/IKuxoH
r/rauenWtOaHyqArhTK/NkZJ3XGZJHRMral8CA+TZOCnOPfMUro0qvipBIlz33HWg/tC6tX1/bu0
l1DS4HjFIyJ4dYQ8XqW9O1UDOHRZ9duaHpv0CDXcVJbulmIOE9w26ic8BF7Qj2kaSOMwtAgr2oNN
oAAwPFx34zKH41KCBI5b5HcWEpaKqU1dgpe6But2aNeg/PuKzDsj3RXgmpRqvi1Fwakx4a6APnLM
WI5jyZ1NP8l2lvNgWTWGQnatrBewFALAh+CKAPZ8Di09D4EOylqlFWPhGpBu53TDucCsWFaYLFqB
MjjoJ1DP4cQ4txLTysKTMOiFPOVh8jD66z0qzt9Of/EsinLhXyPCqrnNwFUxYWTG5qx2bfI1a3sV
8mHXI2Hx4wA/gNoU7WnARM59Keu6dbIEZtzMOgDwrWzRwWh9Mxo/HWbf6BEpJFto0SLIbFWkO5XP
mp1bjK24hFoxjiNS/OLHOTSRAfdUhjrsqs1155Z2K5qI/2sKGI1zU71Zdm1aAYvdTJiD3zUDJlYs
lJASM4vxcGJGKBtsYjWMDTBD8pXdf7D4sU5er3uyuGh4k+HIbAdswMKieWls0iQv6kDXH/p03Vl7
1SOQLg3sRJIaFp1B8lEhBoTsIA60xSapB6OAM0ObrCGZGqR58T6CVPq6Q4uf5sQM/+8nx1AOpLwN
JrI6yDAYkmNwNFlNGnToKknluJRKUfb86w5f2BM7ie3kupbBDgXLqcHc13KO/pvPf2JC2KloVEcl
HndqQPkereQu8e7mUdJvWf78f7wQPn9reqyxeCC3WraOowOD+g1Y5GMTkzvS6zsPV7EgOVky8RpB
vXxoGxPGWAnWNGto0b+dN4r1aTM37Jxi1c8mJGxZGqRVv81m7/+3nuLMvu2kpG8i2Ed6Zfpzb25I
K3tdkES5pZ+HhZ73SebWsJFTL3TiO7XzoB4iya2SGBfxhI1dDaB1gBEtCr1u1btrS987sgbSYmyA
qBRANHRcwP9x7oqhTnGsjbAy1F+k9Jtp1ecPOQGfTSar5xb6wziUTmwJoR5rQzI6PWzpG23N9slt
dVu94EVt68y+6Y8oHu7Z1nm+nioWvxUmzV0sFg4o8YiKTadFD7JGelWfjWaVF78dWQbnv/si5E9M
8CxykiXSKO8Mlw/t2OWrW/4ctR+ZF/Tukztg0NWUxPdCP4qv4h+HuMMn1gg4UbW8gUN15WuJr3+U
B+Agb5RNEnob49f11VsOjz/GhEQLFZ68Gkzcaali+EbCwngcA9Tfg/Wzsl6v27qYqfwuWk48E2Ix
68bWamMYU6dtsVKD5BW6Lyvntt/TbbbzXhTfW/Wrbq9sjA19TMJaVprJPqQQoG0U9WpTYWljam0B
YOjHN2saQIb3odc3vf5f3DhOP6SQloE1zGhkwppemj9zZ0p8IK3WE9V219dVFjHfKLeTiHGMqAZ6
EevaRStKnsFu4AD2NKfbkYWVva0SnKHxlqiOJINxB67sCxFlOmtjbNU27BKavfZeuvPGZ4twm6Bl
x1idhqehhkoqEMk3NITcXJG5jSMw3wRsoOtCf6j5KKK30dsPyHD6xfB1fXEl6UWEnahz1mQqTy8l
iwHKKALa1Y+54ki8ki2lkGJ0kOXOfQEzavVlgfug2zuMoAe4jQeMJ/it7P4gc0tIMlFex8powB6Z
bpzutqqe9ebp+srxn3wtOoTU0jd5jVYSTIB4eZx+GpOk6ll8ZTrZXyJp0OiSyE57GHDH7nWelEeI
Bfi1Fj9EQI9NtnVIyrs6j8K0sGU7jl8NrvkmJBLq6o2aJjBtm9WrUbBjmkcHx5n2uZnsqacGc136
lWavrFGVnA/L8Y8q38H1CA+9vD472ewlYQUzOhxGqWIGufqlpvEmLua1NpOwoOnNXNkSANtirKCA
cDEfgEun+GRvzJk55infcdawspthVYI+F8RdkmyyeBSdmBE2tslc6qUT1rSDakbhugEdkrs+0cPC
+B17rWQZF+BQOGZPXnmFdbRx80vMAg+i5FOJ/eSzeLB3zQ3dRr2v73AC7dPR1z7SnQwdsPj9TuwK
btq0M3o1hl2t0/yuyAKPbboqpOoMlYO3rP+vVvXPY7ZwgzetdG51BY/ZBDQFAA+7b20VztAolp2t
SxnstI8sbAlNKcsK/B91MOrZBkpEQ/XA5i06LStwQkYx6r9WJm2xFDGnJvlPOtkKZhHVTZ6gV9Dm
/xTuQWH/jN1LFpMgVozwejJb+mr8wgs+GiBT8XZ2boqyvhtzxpNZtnaIHyefunskU7XW9dCNZLxk
i6nt1JwQJEXlGDVrYa5BleKYuzzWfcV9cIEymr2jW63q4jezbYmTSzeSU6tirMR559QG/4RANI2b
HsqaGQAr9t+SyvE68NSOcNgZlZNmHXpLoOL7zNRAje+zSVJ7LR0+vGeuQ7IYQq3irDqeT1hkN8hZ
lVvd9jV5xBkuOQRkJoTzrayU2q06iiO7JkeAIVZNK7u8LWVejO+ooKIGPyIIBc+jDo2eJildbF4D
hCNa/NGC1zy1guuhvbhx/zWCptu5ETSnErcdkZCcafqcu+fEg+ALmrDjz1Z5ShPtwc1kdKeLSwfA
K547wY4I+uFzkyXABi5p8XWy6ZN692YdXndpMZBP/r7waUaVk7byoi2x7a3rJXdxhrf0qFJWZJL1
I5ZtgewMWCGw/YhMYzYG6IZEgy94E819R2/vp4FtqZlsmlj2rLUcD//aMoVPxZwx1zMLttQalX79
5mHYOpWdwxKHxONeRTnjJLiAAoTfY0zDd1Mf8yhJLNmhC9hKZAHwR6E3AdQJGNHPgwDPwbrbA5Ec
TA9W7JOHcPyq9nbqkzUUdt+izbiHAFiY7Yif72Ug4MV0fmJbyK+l0nYYV4ePE5+oicC7GxcJhsvA
Vzd7GB7P8u2AS8z1qFw4riCpypnr+bAlngfOHc5LK41VzwHoOgc9XGj2D4Af0ipUvNfrhpYuhACx
g6wNCFyMiYioXxAzlXZhewADWmxlTsVGyec1yTDkS+dtZ/7Gi/mthb5WOtnH1JJBAJb8BJYIcGOw
fCN9CVnLntWhHFIAakzWsNDI9XKlcVZbllUdZJNBDoU59lGyuAtbg48GGhj84ew7Iu6gjInbAWqM
qHXiXYl5WVKimcFk8sgyM0Lg2Fo5zZWDkgMoS6oXvskif5BN2H0/EQnXizNnhEiZM2+OIn4Qg0/g
Nr/r1hCoX92X67HzZzCU8kZa+7OH6DZIXiTruJCaMdyHQQvAHDDZKeJI9RKE10TD219OGAjM55/D
5MUSGwuYXDBrGvwNAaJbDmr+853Qz1ZrFwwPcfYEmoYe2C9Y6w6u5pZ7ZYKwGzh779F2cw4aSrlA
n9MfqZ4DJWZD6SiJrMJPI8ltciloMXzBuVnw0gVKwPOfVE+6WowG/O6tL6t5yqIszOoI0TtBUsCT
HLlLUXRqTDifGF651dqGsTEagY9SLCiE2NTylXj6eT0VLBzuWGk8FOPihnUWc07ZoBfjtYhXOvUZ
eOhwu8mTRAm1Sdk1U2Ktae5pfju2v7tRxtW+kGTPopiH2kl5XvY2+Ob5S4E13Wt6oPcPXfuoZ8eY
7krZQ47MlvD58r7R5rGFrWgcjiWzfZq2gdm3qz6N79Pe29R6L/mIF7sU+DmUsZg+AHSP86vykDrx
r/EglZ4YzPKjFs+83tw5RyUe3wF80lcZOKr9grlvStrPb91QT2GXTmbQZsljZBifgxa9Gi7NbhV7
mjdZr6Z+FIGB+/rXFzczfiFGmfhO/sapitge6He2Csb6wKRuPHf121C+X//74qqLf5//95MVKIs2
NosY3YBK22TKq6M/j3hcKDaWG9YRk6y3uGlEY8KxYqalOdegv/RJHqpR7ANEusZOluSBi2k9boZP
y4A92QUFqfhgorddzx8aTB+zsr7pvFrZp2G8KOXoN9Yx018AvGn7tUpudGlZfJEXYRvYZa6Rgcln
Tn8qrCceT/LGwCCnrn1oWZgT0C/0K8f8x7GCmK1oOwQWejDe8EKydk28Gymz3DfU8PTo+c9PMPAq
jnYP+JaFoFbsynbHHkHtTPVKq8OMNH6T7DtzFQOSWit3DK9+fQpCCDsYGy0oq/UIxVu2UiA+ZN7r
uIzH2wbkSRPxIYkWdOmmd57L8WmgoaHGgapkQWPFgN+YwUT4I/WTSbcTdDpGl/pl+8MsozBTbrr6
szB/t/TJc+9Mb5NO6ibCoxUIRfPiiTn7spTRm11cukXXhWhOEofMZQ7XGyT/2M79EeRj0eTH5h0a
6Qarwyl9tBiRxPXCJsJH/7PiwkdPx1FR8gFm+2nNBnAkYx2fwO6NYIsgTS3T1RRPBMFL8bFgHobM
bSOYqzAf2k0TlAP32QgwcB/oQJ/a0y/Vld3HFrbuqYviQ0FSd72tlL2FAtuGfBQ6XUrhJyhlrqej
C3nE//gGwRewB+HyL4oqkGkidsZgZ5rHIPcKn5KnMv/tWXuNPTgOdGO9cM7CenobaBba2lo3fqGF
gNcu29eLATMtHpBnN8O4adH3UBQZPuz7MfJyd/35gcKRSIrItCoNi2+hk9O5+3RGzJsFzGHPO6C7
/51PuBPk+soBLj75rOpDVhZ+p5ZhOUIsBoBq1XtgRuurzZ2LmUnq3Oqt/eP6Ol485H6vo4l7Cmbp
wTIhjtGD906dphbrGM16qDiBl+H+t2ugGQJpjNSDzLjz6ILcFcy5XvPGap+Nv8zKXV3/GYtRc/Ir
hP2oN2R0MoJfoXYQmyW/mlbDTbSQbL+lhA/Y/R9nhf2nuhVLcwI9roF6xmM5ayrnercOozXToPa8
zmcVNH0yooOSsCxiDKcSSA+zdFi1RuJKwPMXfenvtUdbHxBCLgUjzgP0qoe3A220MP/wUOhrFEuG
maPhCNCiFzLv3ak+VHx/cKzhnx/WWK1U72OgYI1/vr7836n+IlhPfomw/hV4EQ2jxS9pMcqZNlvW
mn6ZNQdX33sEbE401AxO7nSnto+quo7m23F6MaEdGKVbBgrUNJ18ne0piHqhTg9ClSBNDH80O7/I
3x0bEPeq3lz/zRc33/+sHrCRoGji9xf9/ARVsnxwvGGy/Lh9J/rGcT4UI/Zpa25GCICQfg46CIM4
PtNkM0GL0YpPBkYUYBEumF8jDKdXfTJbPsuHymcd2uyF0v8yO5ADX3dSbND8x8c/loTvErmEmMb/
kHZdy3HjTPeJWMVM4pZpsqSRZKUblq3AnDOf/j+YL+wMhv+gdj/b6/WWq7aJRqPR6HBODUmI+IF4
ldlCiJavcaMj7P3fJDFHQ86waX4CSYEiOj5u7hkDakr6oHbebUFX7I3MmthbSc0r05hCeMGo8h1T
tWYZf0y3ZTc7WXTshNiV4SoDyZ6FO0lcyco2iHagzwq7l5S8KeWLYc74j49hOgD/1qq7+5yAhL1y
C/kFke9Ejrc/eNlFUtwjE3DUOiZaLw1NV1IfQOX4YF3w78YQk8G1cQwkwD21o+IlKPSP4gxMQMPJ
CPlI/M+6FsBaBcrQmfRO0fYcZ7ls+WcfxARuc6hWIzB7NCsHp1oxob4ktlZI9k0oo1WKNoruGvFh
aHXL+LsABtg8tNMi/UmvCwlzRZe6yORMGKIMjiJvQyAfCge/T902LTnNektLPLXtoh0ejDdX5F8g
4APHmYELYdQEDJ0G4WDFU1g62dSCTcpvBA+5Zn/l+xRgtcYNmyUTsOl7M3U4u7/wsEItCJi+IkVy
NdmugFTxpzjM4Gbiuvk9BuDcJdKL0uqOjOENUmhPfjBsTDHZE7G3MzU86oN0H6mqp/UJpzq7pBUY
IUV6xaNBwez9pfaLGJioZYpDGidycy+DuR701+2nQsoOJKdpAoqNLHoJgjjfhdMc2cIg3pshkjsc
nSiQw1wXYAaFHdDgC81mjAEaXSH5aihpwNspMzc0SeXIyHPsJb8IwRMfECvNh8FWSfwUpllm68MM
brBIk7F16PKUDP+R80U0g8x80cUuMdFWl5AUdRXYZUeBB7VVX29E/VDMhkWCe2WwazHbGtq+yzjO
YeEquJBL//7sWexXSkPyGNYRtfEmNQYvmnO3aP8+GDyOHVA9AO8AHDY0uV2KSYHGLEV0eUm81SnU
V/vxTxR4JoG5aaRenSLUUjSgKd4FxuuobJpsnQyvyngEUgUIulR5PxS8w8U2V5zcyZlUxp2ANAHl
YhPr0oxf0vzqC/4qFbdC/lBHP2kLeguQjvD4DBa3DHgEmBGRYcUspJLWIr2gT1ipqsNj+Oo6E1qr
yAknu0AVdmWRZ2IYhdZiHU4os8GDoT+3HFYAPfBzVxkfCwr50nHSPyf+tFviGE3iOSS3QgnXkID/
PfOE+ADipCj4TkMA9SluliNmwJDHl6RK6JzixGK3VYpuFcY84yyV2hQXktKE7kDE+14pDn1q/pPD
9l+VXpWR5jRB2wp1f6X22LT3sf428xzJorc/E8EElUUkhmI3YteSWbDEobJ7geOqeLqivvXMY6Aw
ImpgD4KnCsOVMiILMAZbUjTu7QNNPQJrDwAZQlkc9WjKzXQpJqhGsGSj2AxwZsWNMATjmwepasFt
sRN0XrFy6f1wcTHRRZ8tKlDNUmti7EwlbfvpRwvldd6i7XK09ThGaHIvzp1djYjWjNQSKChGszLH
J9KtO+2LqHei8lUYX2jlUOUH0uZOUxSOOuwE47ep14DmkTk32IJ2Lr6X0Q5Sb3j3FvjesEJqRNZb
Ea+ert8kaKuyQLJQWkEbNxxvR48gsyUXQhmPEGSyGbUChGazSxvqh3yyMDftgifG7mLVEpVfpsHF
llm4GeHlgDhIs3yyxE5CqcWo5PoIQ9CG2mq2cWrCpsHs5Jh3qXGfT/WPqmePtS5sbhvg0mP7XLDJ
OIWgV9IUWqav2+dueJfkn4AAu9J8LupNG4MjcT6Wxq4CUFHH4w9fOGMX8Qmj6VDuGiQ2IVrXMoAF
vQ+gZOxzzkG+6nHG5XUhhXG54Lqsen+ClBgevU+aVTS9FNMM5+4o5m8UmyUM9SJ3agADMUefIKCf
5jxGMu6pjFsnibwCgGoEGdTUmuc3jvaXt51itKM3BpOQ9O/PTmSTA4ernBCiFd2vcdphml1JvR6s
c+O8DiZwMO0yFchNnE1fSstBJ3+JZfxnMoNmjuR40Q0EScbETRAQRmnktqCsBMAfyn524f/u45UU
1laRAm/YsMEiZU3BKhUeM9mRDQxP2THSk625a3jfRzf+6gjSWVMZb3c6BX2plQIMkFUoQCu6Ojgx
2rSTtrdI9+AbmyZ5n2aOiVzRRJ9M5EweY4hCEaRF1EAdcTSukUyRosEKJa8sN6mwjcpfmCzQtEM7
rDGyj5TkYULBNw6+4xFwRUe95PV7LJ/Js+9hTFaf9UzqY7o92lvezZsazQISXF4X/ZIFTGC9TKqM
rMYzxuTCkXMjLSXdKZPYf5TPkgYAkUQbUZBG7RMBV6ntU7/0dP/goyCW4blUfpHwMzY46Yb/RyoR
kWSjLBynN9XZQRBwCdVGq2jWnL6TVLS0/C3APIxR/dLNTTU2tmE8CarAWSxraCh6g2kdfUJ4qQHd
kp346UUMoFaCCYAkcaMBfGEAur22V6SXun8seMhvV8UkGcVXSs5FMNov48nMXL+ULKyfhSK037w/
3ub74dO9ewocXlXuypqpGJPeJf+aPmTnsQKhVLpwziL7RbNAJ21ZexA4W7a75gSzhL5jz48pFQTi
DzzxNdxYAGO7PKayL6eFHJSR7RzAW/12+NcPzzt4Bwti8Qs/3H//gz+srI2FXyCV/vffWa5rubm1
39vO+nhc/xzXzu74cnz5ellz/Cw9McyngmkKUBv0FzjsmBOVVa2m+kUH9km7sT3Pi+zTjzWvkeIa
uBrPPjT4AC8emG2UkO1SJ+IA8KhsgvKdneN4jodFuxYn3bi0w7TRXAWxO8EgI/s2qhWSZVVURXZi
7XYvO+fw4a1eP1Xr1eVs8VUqA1t8IYnxjGIeSD4JIWl3OGDbQH/+DzYGBVZQc4HFSDXZADgqSBE3
EZIgu4PjvB28b2sFc7DXnKDu1MDCGsC5HGYhUp8VYVJAzuHj48/z83NgzdYzuM1nQG7O+DP+C6Ld
vWuvn35K++nnabDoz5/JQr2R/ovzSjqVjq+/SAEqiwlGoKv+lhq0BnlIOcAdelw29xuol5K+2+u1
bXOWf2qWuSWMSUkNRi6OWkWFObB+y3tc4WRCkrN2OKKuWOapyUgqHWw0Tnz2TEgjjk0wtaShog70
BHgbeuypI8DysD6H/rptRcu6PJPJxDMBScauqVrIzCzFwm8JGO0z6wWrTezI/l69rh72D/u9y9nE
q6Qzu1jmmdhVvRyKCQTDAxaW5z2v3u07nlNZPO/nKlUvnYoRSDIYIejynANSZfCeDytY6i+emVwF
HuxymBtKj9JaEk+C3hxvs7LueBJOedgrQwQSxwk+BZl6JrRT4iIXEnTp0J3aGdZb73Wu460ePkv3
8+Qq7TU9A5wsz/LxPxPLHP9E8bNsliCW2kdivXX220vjDrgOJrt10JTkAEjUe7RwU6rATW6tFH98
RcOB3booXFu6leMn9M+5mAibWjtp/OzDmPvCzEPwsKj/2lp6jTqH0284OPTw0BsV1yg9rPQ3/I4f
e/z7dJhwnPDDocf49nnS6Xm5sUvsSLlQ+VUnXnzV6ds851+3N/0K+i34hRuB/uB9wQnSkf0CWUT+
nM53AEWB0UtRIFOs1mhwoYIRUZx+wEU+Wq9Y/Z29pW7SOXq8oOYqpqF4SMBcAqseYrWrRl2lbkKl
NyG378AN3+komJLOIonmKimPduw0o3KxSEYY45XbOBfi0FRw+RXWfWAFFp7Bdm9940+zNeL3gEZu
LtZrYdmr/YP9uHlcbVwXy//5OX5BLRuPHqSX4259dI4vL7vjurN+MOtjff1t5BHEx1QpCAhAeHoF
haUlQ5aj1JRgeFb0a7uYkqJyZ0nJG6SM/M5YzcYcbYI6TzlOdmFLwDyhyXiuAvzzijzP9IVqmlXw
pI/obbbwcOkc1P/ftEmLt0leS9Zt46eugNkUcJoYeOKg0wI85cymkERRkrrHOpUW+RcMv6mrwbQN
pCiM2jUIp1hE7fiWNMYfFiRPNA0QLvY4PwyDpZI7Xd+P+SpCo1e7RXn19uKuWiTxyrlYHeMIK1CF
xZ0AeTmx5jf/p7GU9fwn/RNsik38WFr1KnmenOEPb4CK3hzsOjE2A5ZSQPyTa4xJpUprH0jbdlke
o+F3gCG0mJcu5Mg4vTHP3pCdnEjZ0ENGlfhoUUnQ67AeUOi5rcIlczxbCftSlVHYH8CLkNgAzXyW
B8XtWkfsB4wD8ZA96N5f6AxzbfQtBzofoG4BzBJ/f7aenlTG2OkaOjrQr1uCoxtkcx6A6J4aQHTp
3BzklfogDg9izH7QKS0ctEtxQDlIUeRBvdzoQreom0+lRWJYEDlF40UxCn270KmAKzxC9DlKaOw2
U7uPy7e8F6xBqh8Id5iFKodVHpCeAcgFUg688OlnnCnPiPRMU0O0evhmrrlmlcSPY5q8De3QuZHS
7TO/vAOh12uBoROrn/WDH2QKrGaurNGvyCZpNN5c19J+nshzoFxNB5rX5SdlWilFoMuGi0cHzACY
q2S+Qw+OlGwz8vw3jRR7STsYMXsBheJKuxSVYxQ6bJKYlrQ66RB3gW/7eTvY0pT4g43CfMvrtrnK
KWKGEG9RChGFSjMuCsZaAdMIzvmgz+yotirXsBLwyFv9+1uxynCP6V8Fen9scPvBnPezvdW+pjUP
d2Fpz5GLMCkMMOqw7BRbhxEXhNH4hBpZXKuTQYbbxa+3NbtkvucymE0MMmHsVQ0yfHOuV4AilDZy
E/4xsoY3EL1kLjKIdxGOUFxYdlKg7+Wq6am5EC1GoraY0c2hS5aBK88GoHloxfo/EkkHNPHox/Fk
fVs4GgFYj9AKMI4e6bag38A/H5Mm2yUPwuUq40ft5TQM+m9ZzJtNjfQ+1lXImoB9k4XrvI8tvBrF
+a6dHUU5Thh2rXkJP/nKezNSGSen+0FcNGOa2UOW0Gm60YgPslQ0H+BDnQ4mxgfuJV/Xvv1hNEsv
aDvQj6W66G8CUeqPw5TmzjzLEggyhFHcEKmve7upGxPI/0ongRFNINJn2AS6O0SBguhhiDG+lspK
ufaTKPgV5uqUOpXQhl6ETkpOf8DVAaDzDxIAoymWnozc0OWxl4CkEmVBgdWJyqsxNccG7vy2/S+J
QCsAZhREBTcFi9oojkM3kmTCZVR2uq1U4HkQgoYTg12ZPtaBZBCOMaWTMFg7rCOjKJE4yWwJqWBz
eFby1g60R0FV7FnhRGCn2Tv2pqAt/mBwUuA1deapMU9xrylgU7UVDwAO/kZyMChnje6n5AQuYJOO
gatsDdDKphY6k+NtvAEniputMbizGXeTm686q3Of5H31lNu8EcWraJQ68r8+js3GK1IxCALFDps1
kIMoTx3Z4CNDxKTGIe85UMFLvu1cGJO6GQL4IoFqghiiLFuDUIvf0lCZj50Qpe+37ejqIGKLwRcC
0ickATAhyJhq5Gc9mVIVpmo+6f6PIDnZ/NCNL39fCq2qgpaLjo4Q5h6ctAGweAVidzEYj7HyB3XW
Q5mbTqXPHJO9au1AK5+JMTW4asBY4JphPEulgpgkp8+Euqmcsdv2Ck78mhRrQd1JGuJ7V9dBJjC8
x8Yu492+S9rE1C6uCfT8IVhkhJMORNxln+U2AB/s0FgZ5gY5VyvCkPVthV4XMRiDZNx2mc2GnlGD
1I916Eo72TWd3u4iq/AmL7/zXdH5uS2SZ5XM2iYsoqgSej6Dx1bdlNLK5xFlX6ftmVUxwQtmAPSy
GSDDeHqL3HnTO8mHbIf3e8l+mNcPvpWFlrqPPMUNvNur4yqUMVFtJjAYGaK7H+N5fuvv/wDmZAVg
kO1DthrtpOTs4LI68bAALQmOHetb5RI8t1qHsCLVfsb8Qe52XDaGRRESLiEwrRqI8Jmz3SGnHw01
Ym9Rm1bJIFp4FbpJWXGuout0Jd01AHTD8DHXfDVdIqddIncny4gKa5rUP0H+mXXpXm7gkaf0q5YM
W1JjGyS96xmA50ESPXB2jxrf1eVBCTH/HdMzu5ekYivVCjVOgNm6gD1/FYkweBoZegS7sbDyNfVJ
rM3UEsUIEwyR8G7E6WMmdbqLkU+Bo5IrP0A1gqoQfJ2EDDxLCCOa+ZAoNO6Ple9WcgclsKp5jZ6y
28vmiWGcgA9yzEEqISYp7vzYKf1DF2MHNN7oBf3/XGkXlB4ggNWxLrbQ1Q1pEjVVktlBYsReD/y9
mMT7eJqeSfca5umhTtGwJEavnS54eTpvNPnt9kqvc+9Uo2efwCRMJCkOg0zFJxiBEz6bpRVj0PFn
civ3Xhas18EJnqTJajZk06P5mXMhX8VBVDi9vZAwR8MGC8/eB02GxwZi5FYF9u4LjM0ai1UdfWUD
51XOk8Q4QPCBgbmBRuN1qzkkeRNxdBqj2EbdsCn9gbOxV0EkXRcuSUrEjDZZdl1CMPVA1UcUjm6D
EU3h4+TUncqb41tyQxjZRFsNKu6gE2bCGVDCqGB9yqG9yomTXyOgM0QujfxVAh9LUVHPhwNCzV1k
35wVhozVSkByRgzsodiO00tnevW8N8WR4v1KhsNvo14KCs9l0uN5ltsIIh+I1gQyZTxzCxDdwM2U
v3vlTvG9SnZm/T6s7AleSHirZBujjFYhOm220YsNKXita4t3J4b06Tw7/CDgYy6/huQNbeHB1wzF
Dj3lmvrtj8cytgTfGmTEdkBIcCXgltf3WrJTCsc30c+37Tq3HN7Rc1TEnBt1yTkhVYyeYaAho7jK
uGQyFkj5pF1ma+L33LyVugFQEdNWJR7aorooieB0UuwQ/QriwiB+ENY6JDVu6hRrdYXQwZOcdN/L
Vr/WvLfBkjzjPrLInWA1qw6NzCg3v4eugjy/aY07yU02+Z0JaC5r3b5NCDD6l3nlW8fS8Q+h+3Lb
ly2dB7yoAFFO+Q6vnm5d0mB2TB0QuuHlCsuZoweT12O6LIO2MIKTDBEpc+aaCMN7UQVjQJP62tCq
g1FIa0FqOI7xKm2OU4dfyBUCYBbNNPRaPjsBQ5KiZ4u0sLkmB/ffPEjoZgbGybYWq8xR6lY89h1G
3TCIIur2lIX5621dXifS6ReAWOA0+ALmWsZhinPj18WELyjDlSxuewxfkkMu2Fm1ClLHrNJVLW71
Es2c6qdvuqH6jsFBv3uIeMCRS7A9F1/C2HsSB1EQj7DC5AVM2bNT/6mcCmyE390qAUjZJtxrD6Fr
ut1av+Ohei2dAKSoKPahgUETFoVNq2bwNJqQLQA7Q9LWIOyMghcyc/IaS1aFgAZQNDSth+rM5XaT
Ia0mCaipIGSVVvUoeSY62CdfcTmbuuTM0bgjiTBcdPCcyv1nZhVoet8MNXVlE0l7NxtC7Ufo6y6x
0Lgf+x6JOt8FTlb7mCKxasDjCRFGMFHA5A1oL6bH0EKBM0TJYK7y1wjihBoZY2h2DTzEzhr/jLqj
1Z7gCWAR5oSxS/o9z90y8ZwUt53hJ0hqzoNHlA8MOIsCD6hn6dI6l8Ec2UTsyiqcqVsOHAz8JPJa
TgEbU3hVbuvK5vZOLi2I4kUghykbCn5eGgzoOKJZ73A6hWoT9O+iv8p43n9pPecimMCwKpUJZQeI
qPA2FPz9rLvR7ADPGMQwJlCkOLa5uKIzf8M4VqVKlMasqbhettWMHMJRc6eI1wu7uKozMYwldFWl
V22FXQLCDwZmjRrj8MKr3jwTYVManDUtPuDOnShjE3IQyajsQhqd0kzf5sCwwuwXwvuwfG1NtyiQ
/fsWqw3gsazbBkINgH1ZnKfxGQMBI5ohBDnuwvS5Ke709n6cD2J8Hz3dFrOkznMxjJFkaC9tShEL
9JOnoFEtUMQ3qgPWjlldIbDnLGrpVgSwEEDvZGATYgr20urVfszloB8RxL+Bst0MLfk93vqPU2D5
nJ1bskYgRcHxo/MTRR/6JWeOstZaHaDokCRqOzNepfIRAyC3Vbd0tZyJYKu58qTU1VDRHRpe5+FL
Bu98bWf16raUpZfIuRTmWMmRnCjdgIW0II/EQII19c5tCUuqQmIQY6AgKqM580tVaUmJQo4mISJS
9hpma7LZ0RXOKpY2/lQoxrMMDyoWcp+MwJ5rZB2B6IRqzWoG8UgWdpZcBtZYrto8cYCNcHtZixfU
uUwmANLzRNJxYcLFBiATyPdtUAOyZCdm3jDZTXAHELZ64Bg41RVzakFjDYAkjXbzIs16qUuhDeI6
pHPksgwmDaA7kuw7nkZrrv8o/vr2Aq97JlFJFMGGpeIK0a65o6I0Cbqo9lGgslW7fxpUK8usqbKG
l2jXbhQv2852/oixkBGgQA9kQ1ZdbhFHt2JXbWxeKmApT3j+OTqNXc6OnF74aHYRsPZ8b650O38O
3OTgr8F1He6UbfQkPt5eP1cgo+xgmKqyiLH+SLfMTQSa6+AIJmOIGl98O92Uqy+OROrur7f3vxo/
taWdLXEeMl/pE0gESlFkARzGHrex9zCj/pKDwiLhnMyll+uFSpnrJ+yGwcwqyGuddq/s594maA4s
rPxetcXfxV1gveq1c4ctDkEzDnfqcRZMz8itBTNnKAc1ld4Upw9oDo3swcZ07zPYvqLQ5BvoRrAw
b8Lp6V6wa1RckE7DZCZwElBluzQkLUi73OgBtdlpFI/Vd3Szt6bE7Q0dqBVfJkYBMXdSIqtFghDP
Zg/VPuD0/CjxfMiQaO2atTruifHUihvdfAy6HARxqWM0XsbjB7s+7/RTgeoGirDTgOTlp4oRmco5
w6emjRsNj1L2jixLD+wdffy+vRVXOwH0DkoUh/cFSOmuEqcNEWa9AcQUiOJAGVzNwERJ0pkHN3R1
F1ApBFAkmGzCyCfrvzSZlHoeofcF7LrztimaXyORwdWT67/+/nJQVUMLI9oxaGLmUnG9ApQQMuPB
JIbB7wxJ51kOOPfzVWiDtdAuXnQJoDlJYjv381ZQUqQmUSws3yflqZ2BJIrKRRBYefSi6e7tBS1p
DnUJZHU0CUUFFohNycsJsCc1ys5R/aJJwd4M6xcS8BAtroIO2h6nI10IcH1kddj0Rd0VRt3PI+YQ
hQ+1QlxfuKpY2RIPSUlaFGQABZDiMqBEQtd75uqCIRIVnwqSas2SdLuTRzvKkZMBwpjihcJb4P9q
gC+av8rGChhdBQaCR9fUOYHDtZOnCz77DvqdZ9/RJmDN7nx8hx77lin7Xko8I3vA3J1aHip4oXxv
oGtacqu8t8xoTwRO+f3KjJgPoC7g7AOaWSjTScYHqFKIDKoZWJoIVCkNjiYXEzcLfLeWNY41XfkV
RigTlvvActfiAULbMXTjcluPlJDFE/q1ML7fNtxFUZi1BDghxcJlvW3jk06uCNpJiVAgVALspZvW
kSP3ju9zutyvzghdFUE2DOkLQ0Iv36UqzaQw1KAGKNYISrN2k/WvMw+AYlkEeiQwwoa+MhYiOhbV
Pq9kzOmGEzLMozNJP2nwdltj16/C0zr+EiJfriOsQ3+udaCmiI0hgtvQFxtXUILuDS0DYOwzY3Ud
JLP4lIMEw0vLcthLZMoK10AycJukkca5MZcPCTK8/1k1402rUJ7LSEXTbCg7hmjX4E7wTUfzd0b/
5IdHEm0q4kUdYj/jEGl2LfE+gAq4iBNOGvmrJ5nZWblN1NnI8AEGQFRbCUTkrqJudPGgNXaBxpBC
cEgNLEYAQH6q2oazH1dZMUY6sx/CpE7aVMGEC3EVtncz6Bbk6I+JNuHhVTS9tPaamrPiZTv7a8GM
xgnITPqctkUr/keaPE7lIVN/bi9r8WCe9XkzsVdRibNUUhFA9RPrTzPaZuZ9PwMck5eh5S2G/v2Z
i1OzQjTTgnaUx9Nd0X0IRPTkMHdur2fJkSIXjssR6Ruis29A4CeqNQkBCQaIwgBETIA3mt66CJVw
bTf4q9vClpZ0LoxRnpRq+thLEDb4YKAJjrGKCl7/57aQpTvyXAijNx92h7sYQgw4G7k/ZLqXAgIW
zXi35VxPccHAFWDTKZqCh94VXJbZ5sE8NXCcpaZbxeeISu6kZY4muXWF/pbwKQXamlRgKgMNXrUz
Kffh+LvuOJ+xuNy/vuL0WjkzE2Cw9pFQ4ivyeJ8Nv0dtq6RPvsAxkyUpmIHFCAfadVGlYU8WgefU
E9AUtPOdmjjEvBNG5++XgaBRBDV0eB+1iSueDL3sw2bImhSJgNECsXiD5rkh5lSRr18yVArGtwEi
JlE4U8ZApkGKRUKlSCLgx7q0SlWA4RXmOpErlNRw6hJgBs1p7QaJ2R1MEwG9GA9TcRh1o6ltxUzN
6hvEvWiV6uMiIDLSnmEH/phU/habFH23tR8ATbfQcrHymgn4iK5qZm2773sFRFJpBjopu67VUnVU
JQ/Ef7BZYGRAqyUKq3ieMAtMc1kSuqhN7UqSndx3MwlojSZ6WzjVf3pc2fsFI/+YdlEQySOJdOmh
ylJSKsGAIqs66LwyNn7SUuPRay4KQS0D0/2QdIV87ndox1clE6Fm0ewi4EUHOa/rf8m4MVKAhxXA
vync5OU69D7sqnmOUjtq5cQZx49aqi191CZnrCbO3iwtB3j56PxBrhUJKUZnPka9q2mCd6LPY7M4
9imnKLMoQEJfE4rL6OxjYy2T9JqQpliMRvGnu03cft72e8sC6IuXZnIRMl5qi6BqGBA1TFH1Mb4A
umCbAMOybss4tZOxpkXQi4SfeOvoLMRCAU6Gqo7j1B4bfyVFLpHxjsgcQXcU7SWIB/RC73NTtMBJ
dVvy8ur+Ekz//syd9mXQT3Wa4K1d5b/73rDVQOYcmyVzO18bczylJjUzMcTaAvldkxVHGV3B1Dxk
YG8vheBTr3SIji5k2pE2QH3ycikA8TPMeM5SuzYkcGlVn2ONp9LwWvfxAxkD3VbzdC8mvJmtxeWh
ioCuFpDVEhZIAnwlauv3EDv1emhLleIksfEnLZSXXPi6vUKqKXaFSCbIMm21Uq86BqtQlYupgaMT
KnI3RLItDQoyyol7W8zSis7FMO++tFG7otXh51A77i1lGO3MKKwI4INxl67/N1l0U8/sT02ADCn0
kNXn72a6y5NDWt51PMD/6zQ8vQPR4IR6jykrV8BRQRZNjYK7ysZg33fXgN9T7CwjxfiLjoR1WD8k
OXpTqj9RzeOMWj7auNslihYDsAvGA4qYqc71AiM9fanYur83ivtJvwujjax8F9Va046C/Gz0HL3S
/ytrKsjKI1LTMESGly6j16iYEMjBKvU6fJAB7pl/VYAHN5OVOni3t3DRhSAbCPeOXBB6TC9FFWof
GpUMUVWLYdBGqtcYH+HBdPKEMK+rWDRy2D6EREPyMoAz2ch4IhZVhrtKRaMqolyWikeYDDLOaOG3
J6H7roJoU6JEA2j1tTl8VHXP0drSQ4ScSWMWpIh4Wg0FvGInzQikxc5FossKht9mKLz6PbmTtNfb
+7T4QCcEFJwwB0DRioxNIAMqIMkJkUVYHocZcyNl9Mswi5dcnKwB9BRaLjmU4M7ylTeFTI7cqU5n
lq5R89oclnX916cwLsbv4ylNK1w7RBvsSoBzuWsrt9NaNx05N9yCopHDl5CqpC1oV+1nTS3PVXaC
1h1B79GsYsMJtbVuZE5gfgiDfVvJPGnMtkad2fZzluPcYbpWn39VwdsYyBiNx5OJbPV8fVvcgqtG
TxEmCoHag9w/O5XTlLU2y0OH61szVsi2dMKX1j6ac+XclrNwt4IgHXls3D7AYWFbUdWxFqI66wEn
D6yt+lkf1pqwzdW1lKKZSsbrueRk6Zb0SBuMZEplgqYp5l4wsw6A8j4dhJwfxsoO8xEzFJsudvuW
1yW3YIvo70feERUAgm455q0nCnodiCVu1aYzdyPiCmvsQKShZWgISIwHXf27oK2YLodAtIAq6EEA
lheztjkoRj8RcBnFg7zqwG7aIpE84Jzd3rMl2zgTcwLVOLta60YutZaK8fEsiptD2dh+KYP2hOPJ
lm44sItioAe9bQSYq8wFUBGta8t5QIRc1gDtDoQ0sdpcrnaYXDoKYxMdzWhSPv1Kb70pLxIvjHWw
UquhnnOHHRaycGizI0BgoN2VwLG6vIyE0JSz1pTwLfG+NBsARbb27NPY3VIwuSbCoSGLTarft3W9
aK5nYun1daZrwFJnYx/KiN9H4VgVOIih/lKE5kog80NloFaY8/CGl47k+UoZrYtCJhnTAJHR+BGJ
H4PspTNFkN9qoh2Qxop4qAi8NTKuDa2cVVToEFhMAnD1Xqv5V+YHYP+NMSb6IYUc13Y9KkaPyZlO
mXeD5o++0uRKapfy91i6Y7+S1U1A9gbZGOo9aX91mVdpqaXFm8HnZFYXfQIGKtC6gf44hZ2764Z2
LoICZtSKgSU069ZQvN60RVCXDA2ntrO8UOQUMGeEoWzMpl4aTwIytV6IoFhFL0UMMUTA3Bkm4Exm
agbGB/9TDeIS1FyDvEWD/ZPgS4ozGC2dK00JLvEw29y25qXVoygKnlMKC2CysDJkKKtYy1VoHj25
hlbu1HgVN54pJKsqm1e3hV2PxGOfz6SxGT3gWAZtGQHAQcrvMRxsCRUIArv2COdlh4XqDFns5LV8
qEKvlBzZNjZ69FzGezhpIXsUDSt+GB1Qw/FmrxdCTnwXrfohfYYGANaVKI2AlBq0MKIalVTlPa4G
jqKXXDQAjUHLhfyCabBjESTxw1poqbdKIiNxwHUHJNHJGDZyPVeRF42kfbqt7SWJCvI+GJQBg61G
GFvrK9QpzByopHNUx/ddAHLrTpyTQ9VLkeMHLW9GeUke5qxAbaTjaoAeL217QjGqGytcrmUOLBUp
ED7mdN5Gknyfhj4n0lt65Rnn6qQfc+aF1a5NZITViKlJbBfV7777pc/uIKFS/DrKhyxEPP9+W5+L
RgL/AEPAWVHZ0dlMFIIkrrGD6UAsP2v2g88DAF5SoYw5b+Q3kR26Hlf3pWQGpFCKLv69mO6M8VGQ
V2Q43l7I4pnHHmmoiEqY1mC8rQlux0ov6JkP8odEEbZVWD1NZuQGXXcXBjUnoFzUm4HgTkVGGq9G
RpzYBkObAQDdVrqq2TV6Qfb6bL7cXhP9nzCPYCTs/hLC2EMZIxcQ9hCiaSPGtSpLiBOnkn/flrJs
dib67VDsXRjSThFT5nGCrphezY71IIFqqtxEQ7gWfEq8rq67kuwG7dsg/yjcQdYTHfAURfOqg0UH
OCLxI0LRaBSnjd4lQbfCWvZ6sMlj2GGVaR9DMa6AT8nx2kuqRR4F8+LoHqfDlJdHDWkTTQAoLJJt
jeD43WbGTRR+cxRLnRG7f+dCqBGdn+dxbsSBotP0AiHo0YxBPCq4qYalxoNV9ONqRoY0j8lxNOh8
S/T1P34AY6UF6m5CmuEDAiHz1HxlzO+Bf6dOq7YJ3K4+yuKzqfygUHlb7tLhOF83Y7dN3SpmpsBJ
a2j8F5SVqY/ObQlLsZwCXwmXBfRovLIuNVsHUqA0zYTjN+S2IrlS/wtTuP9H2nksuY00XfuKEAFv
tgBINts72Q1CrZHgvcfV/w8U8X9DgggiRu9mNjPTySxkVWVl5jlHFW7aOHIS5K6um5t/8PJDUohi
Rm2mLaZOdG5OmzwOuIAjTJKYQuhRIUZSNPoOLmR33dDayp0aWuSodaFlPuMQiaMW2Vs7ZXBibFEY
rEU+3c8ZaUpeYC2fwqHqJYrZka0FzVeTfkP5nP1NEeHUxOzlSdxrYpOU6Z/Uvv/E7WUgn8f71Wl9
MJrPpbRxfq1+nBOHFkFuxZZYhh4fZ4xvJYhaUKC3e9TTh62EasvQIqwHIZLbLmblIu9WMj91AJPr
V2Svr4fA2vehjUCPjIHkWenofPGGaDIn3WN60E9Mxp+Fb0VR3vR+9nLdzFqkMdHPNuXCZBJyEdJe
IGqTanA0mHGk3ome1CKzIEWfrltZq9khNM2kAqJozMYvm7diExlZ21NPClvhe1sqB1lQ0L0QnVFD
dGEI7vv6Q+mh6hgruIj8nc+WMgvfSVpzYw+vPvNNVQc2b86sBcvRCaXQe+rrKUf+1ADnCrvBjgd6
v2qODEDu9ILF/F2Jul9oI5/h5NOWrNvayBMNeYnrhkySRV9EajDjDCOTQkOKpxXyAz0CxnqZ2C1S
s4lwVBWgfBkjAT7yF54sOZpZbazCxWenNUuLDlgoo2ps/sVnh4YyKRijypwREZAxah8HX/2vkfXH
BOxcsFkh0bwsYcg5ajuqlmVOOfrHou4jO+yKn9fj6mIrzh1mXpo8NyEiI3843yR+0Iam6hUZhDkf
Jjhk41uFrIrYb5i52It/GtmzthaPaFqnSzNtFPeWTk9lVO/y0mI8yXCl+j9PDi2sLN4YkEj0ijR3
bqoiO/CuuY809Z80Szc6zatrBm0a68bZD6HG+Zo1oRZZeYcZX/8aZh9D4tll7dbjx/VPc7nPZnf+
zw4v43M7hd7kjF1iJ8lqVygP0/BdyW+nQLYDPbY16zEHbVY6SbdxcF7kBAu7i9Bm/jLxO2+2qzY7
U2icrLNsJFZ23YCitPIqgtu97urKijKI+efJQS4CSPnc02zwwmZo0KOmbYcCOj3Gpqf38Nkb/msL
GgDDqaHFhaqHQiApI4ZqBRlmI1TkIzxX+d1YFd9jI9gCZa2sJFkOBLCWZqAvuOSka4U0biWFQ6Iu
4s8iMxUNjyhbTDM7ErMHBZClp8p/sZYSXGBMflOyucAYx4YkmGHUks0xB913nd0FroUoj1duVOZX
9vQs0ACifKbcvACVh11flabB0QG5wq2ZMo2tS5A4KMYWofdadPCa52mjizJD5ovosEaxgDAUj0ZQ
+KH83lkvSrILK2Vj5VYdOrGzCI5AFBBPCzvOQs84hAjSyfSG4nraXw/2yzIfQXjqz+L2GrwA8HaK
P8h1u3E8kXvva2Onj06h30ox75uAVphbo3zYTnehsrEHVt2ksUmEkLIwTr/YbFY+w9BxE0rZHUOJ
O3lUd5Kcv153cz7Sz1L92ct/zSyVkjy1lRIhwYwfAIvxvvdK+aaKudvI0k1ebAXjqrX5Ip5R9TC/
LJwKB6TBepOBQ4uwEIv8TlQ/wvCX39VuABrmumsrdz+VOug7ZuCDSuHifAUloRbhmsQ1JcyehVS5
N7baCKvf6MTCIhRLcaz81MKCEXVO5nc2bOyvapxshOKqI2gw0tEjgWVy6tyRJsyoy4m8/GrTfxGN
4U0JN+rn68FOpmgw8SBb1nKAEu05TU4ZCHSo4r96MytnTst+Ai9hm29ZtpO7F0N9MH6JcEdnaXO4
/qXWjg5FEXlszimOrC6uskytS08bx8yJTJT1Kifrf4Y02FG2vW5n7aBXYHGd3SQjXVaxKi3tJTmE
0BItpocJ/fkh121vjG3LSg6dKdnIy25s40tMDBuMQqBm8QFpIS47o8nUZ1mvqplDR/OL6qOfHKbt
dyNR7opGe8jaWncmNXjXK+M17Ife1uJAOlZqL956aXmELl7ZF00J26ykfLq+GnPYLLc+Qy6klEzj
aQwWnodVVWhSH47g9KiB2Urt6LXtl/si/eUxfD9a722wEcdrnxnRVoYYOdFkvsK5QSB6WkjzNnMA
dNte+2EY+6yYnHCL+G7VsRM7iwTTLI1AMHMBfHr3qRmeu+yIPKubQuRhPUjFvuj/4oo12Zvo47BN
YOk99wstaU3w+oAXgBk5KuBuQejtutpq6K2dNqdm5uU9KTOoDbKAksny6dZzz4RXM/muab1fD4q1
LTI/NXi6Eq+wxZ8bMcM6Ta02zBxpePSCh7RSbdO4oWTWZLtg/JuFOzG2+FCBWOV1mkScOqpol+Wd
HB7qpNjY9Gt3zqlHi9Mzrv0aZmg84sktGK2T0bMK8vsG2bGtIaHVAP/XH3XxFOgmVewTH1O+9K0w
b4b4pZLfy+J4/RNtWVmcljo4kqHWsGKZR6v4MhZP8I13W7qqq5uIlyZxQGpMQeM8EFQ/6aIwJQf3
Fd+12l8i8hFYM+rcLtDGRZbIMcet/GAtxC0en0imgcC8oFALo1xOK4OAILnaWUmJ8LW/M42NF/sl
zdF8JtNRE5WZSgXQ17lv8CxBYaFw25UlIweBYveMFepdVVGiiY5y7u21Xq3obLZ0q0EzQsCoZQ+g
Cvcdiudd2dul9lsry41rcG3JeceAA9XIVi5QdVz8Xh8FVBKyxnAbeAF96XfMCFQufcomR8gfii1t
57X1NhjFp6FJ14+b4HwhCkNo4HpL2O1lGt3QikOXUQmGh1xJdPd61K6aYt15NjL1TQ54bkrlZPEy
C+fyanqwRmjUBvFdN/q362YuK3DYMP4I35EqwUc//46TU5IWgJ6K83N8QorbiINPXRM+1N2v0ftH
6VFLD5rA1lrRgTPsTQqHnSZXhSvIItrh7abqxtppehrPiwSxkUp0KSziWQA+/amNtQ7G7Bq97l2n
GeOb6g2StzcBWQCXlY02dQvJ6n4Qmb07WpJfOIbZJYJDSiDlr0zeNp+HVgpnFrraMhgyrzjTxgCK
OqvKjY90nKzXTq+SgoKDZL5F3txqAVTldKlXfyv5K5DHQz/2NSnN4dAEuR/vfUHtGlsuxLS1pXoc
gpfMShp23+jVgxNFTMc4siLGexV9zWLXUr+Lb+rKKJ4Lr5xSO4ySiope0RiOMWjFvoTNJ/UbIYAj
LM/gkQhop8Ew0ZePVtVIk63rQ/aP0Brh13EWmbJDA65Lu/BV3lKDCl1BVpd+66hRIeu3cWcormz4
4ltfdkP00Kqj/iwFqTXsmq7o/Z0xyMlTLIetCwesTzdN1ZODmgDWsEtB9D6rnRm3t3JTp/4u6hXj
SarS6kiD1NgPUUdO4Jk++72sGXp3rTEyPvVR6UNR0HbJQaqafJ8iMJztI6up4VIJUQaGwHL44TEi
3zr9IBS7QJOLZGO3rJ3xp4GziOJq6ifm4Dl9UzhBau+x9ai8y7YZb1z3l81QtgvYEtDulEihclkY
qgG/BtJcvRyHpyy/CYxdJO7H8pNpojYW3SFOqgg317fo2klwanKRxwxmVxuZQLmlgq+3kAGkdwy4
+sX07bqd1TVkyhkYCBMNXCnnJ4FVl1OXJdhphuqmh108L6NP6OW+Fm2/8bnWl/FfW3/+/cmpM4xZ
H0pznXnSbyTzQxxfmAtyRvOHWuymaVfHL1G1xaK+8rSgasULFzTafFtcDCKJrV/BJEsF0Hrwy+e8
f6iGn37wg+p+BGCjphP1zu62JYoHBZgx2Q3jr02yUQC9vLXOf4V8vswInZheE/ArurgDxvhWjbGL
MJ/jBW5ffAlCJ6w3XquXAYRFJp0gkGXKAkjeucVMi6MhDJqM6VbNKUphr4YmM2VbZlYqu9jhNmYe
eRaOXXZdvb7Ti2TKSbR6/U21upewC6qbJmAwWAHJn8px7wQKT7smrI5hXpY7VM/NjdC6TF8Z/5GZ
JUF1A6LAJTJgMmM6NHOZN6zrB/KV4OClZus2I0K21jRS6kXxfONUWFtgxpMlSGZnIdklQq/orMIK
RWi9fB0aoCpNascve2/XFtKv63t0ZePMawzwflb+lHD1/Ft6EoS5Uox7afk5tH7FYLWUipgRvgnp
j258HOX7cdoill/z79Soem5UTL3Er1RCdtCmm0jSvzZBu88rdSOfW3du7qRQqke0Z1lVERGS8HK1
pt4A206aPlbWe0ranD6ZtaNWu7R+SL0t5trLU48FhSWb5YT0g9LeuW9pGbdWW7E56vRXVcdOBJm1
N8J3t/HlVtfwxM5i23uWlY+JgW9VfZsnH026k7ZmnObPcF6gOHdlERtVZLVQjOFKU71MYm4P4xZt
/NZiLQLBlGtDCzKciKH25U46xqH5YiR3Jgzs9vVIXz0mT9ZrXs+TGyItzIhOEc5k5pNg/CPUuj0N
R4VE2JPue8mz62ZLOmzNO3bUTBU9c7Is0QaWUrZDb1LBlhvVDdKnMXzMOuj+h//8jCdn/NfOUs6j
D2plFAPsBFJ2x3DVrtETd0p89/oKrkXcqZllZA9Jp7YiZloBTiuI6YO0cou03vBmpRaKO4yGASen
l38BkOrLvghFk6puEfYTvaDeU/dl5yNjr7WmNLh1FYU7OPopzJml8BiKYbdTqjH7bvZpdyczAx3a
fQWB23X31wJo5ldCxwy17YuJPyGjzW8JUCBakdJ9Fcepr2yvl4zaFmvV/JHrY/2khczpOQL9BDI5
Dt3d9Z+w+gVOVmax5w2lUnmksDKm173lnvRPbaiukW884dYcPV3/xbaXsnoqRo/vbPRfrKawpRxp
qPIFjZxAnEiBv6I68hd+MRxE02qm4VteQqh9x0UgU2APQ9PbR6Wo3eZwttHATbSNr7h2pgEcnvmr
uNBJus+PgaZOGj+fTbWtco944HOY6c51b1avHVp+cxSDrLgY9gu8OGomkS5LOTDlAiPAeCOLN023
V5qdZD3LemA37QZtwdpZw/IxXUhphVR08dEE6D/GYqC0rg2+bUgNQKDxmKrqTs+aja91+aiWGIED
GwZdItaWGZERW2U1hXJG2zS1J8GdmPKX9G+MnGf9bVZ9ur6aq46dWFvUKI0UbEGaYi2gaG1mB0Vs
KB/Wdh5urODluAwYP+5rMnqITjh95n1xckMIU5XU2ezXqImuqTV7FNHdEPbOphacyJDcfvwCabQz
lsODlxh7Lxo3ImfNV34ARWygY3P0nP+CNM0Lf4BvCCmmeu+lP1szcFOYakVra/BvbY9DpUGSMlMz
XDSL4TE2M8CN89DMU2f2+5n1snnWzHsFdMgQ2oaxNQm0FjV0fkyTTuA8mT2fbSera+r+ALQ9zJ3B
/DFJJJjPKdS1tRTYxuD6dbCxlCtpOws5o5jnYGVC5NycXOYFNO3lTL9qlnclU/y3cF8HPVQX3B4K
pZBD05j11kz9yvHCgLZCDRF4CiXOxTaEvyYf8vlJokXaQZjMfRFuTUusmsAvCFmR8EKV7dyzTk/j
0RgNtt/kH0uZ6hDd2/+85ySUNBBim/fBZd7cjqU1tRo3cJreyCWQnuG+CoFlBluUvysRDwKOvicz
9CKqGsv1AtEby77OyR8x5tr7LqhPLX/x5Y0za/UtaSB7IjLZYqArsUhetLAjAGNWLc88oG09kwtv
JUPS2XdtfArjp0J90vXDVDb760s5f41lDg3g9A8WgZr88msxF9uqfo+DjfBDUOW7jNJV5m88yFeK
rtJM6E4BSQODxGT7eUzoEMrKGjSajiEHdjUe8vx5iF70lDLnAQBWrd/J8n4KVacn/ZS+UWq77uXl
Z+SJTAEL+LwCmeLyoZUmjQk4J21gpP6tjzsrfNfr22RL1eoy8rECqwgpAl0DsF/nXmpGbVrBGHG3
+YGyUwvdd9Ux3CKFXPXlxMr8708OKkBEQVfA8eOEo+mmrXngRkg9YdZ72oiNyyNx9gcmYJ0aEhWk
RS6SJ2nIhAmWdKNAtMYRWsdLfzSoElpPQhBufKMta4uLdFLbgHQ7aZyhau7qrvyVGLBEFp3U7FHu
HG3GVUM75Vm5kXGtr+e/Xi5O4jYGCWT5eFmNbwVcQ1Da2dkEu/fWYNLlnYbuH/sbiAUn8MWQpmp0
bZOFiDpmJljyxoDpnT66LOxiWGeR1nBT03J6ZYuSY21dgV6jPMzwNJjvxd4rQ9WPKWo3lDkfIVIO
qjdfOvrpR1CMdhUZzvWdtpJczl7+a27eJCfhmWeN3Ikd5oxA3MXao8Fcby7eeMqz1n8Kw31Kh3WL
03jLxcXG64oZ15dg0284YtRjRsdh0B51fycaL+YWe/rKWT27CLhznoyAQ2hhbhiYqja1HKX08BPo
XKU51MIxznw7Uu4lGW5YhDRN14AUdmNt1yPoX8PLrd+Xni4UGO5gKBWr7xHPuuJTKdSOkEzIr7A/
FOE4IgLe6sWBSV0319pDlyqHOsgZYmn3XhG5YqbsdfQ0r/+4y4vkfFEWh0VT1n6mCET3BAG67L1m
+tdo2LBxmTRhAy4PiOtmmVRrYaOqKt3jIc0LNmgAVloZAkNBz2yknrS7sc0eyUm2NMIutdAo0J0a
XZxLXWpM4uAXjTMa+ado6A8GZGlF1tthmO8puwMT85yo/FYgdRdpv5V4elClT4ko2IrRuRk0XKoy
8ZTLDtcXfD0MT1ZjcXCJut8O0EI3jIgiuCN8Qfi96w7JCBlmaGf9zi8ejPS222LsW/3QkmrAq4J2
LMyB5xs8i8ohiKR5PYbsRjOaG9n0b+qs2HLvAvr/Z90Z+OJ0V5jFWpxbJHgpCFQ2dVeNTOoAcdW6
XYOcttaAPFXldzXI3c6IX8Yp2LC9dpHPHGT/3/TiDFP7GWo7n2Gt3t2GZXmEQ3EjlNdX8V8TizMk
6+W4LWI+ntUM+4HSco1qaaFudZgvdZIWq7g4MsjsRDkacaVEqMClM3tof4c3KDbdVzfZTWY6z/Kb
aVu9Dcr2Zny9HqJbTi5CpcgojiVIsDPCRVnMinaJDhZ+TDfSy9Vj8eRzLXao4dWtUc8XqxketWlv
5q8WV098H7VuJQKBe/nfvFruu8ZSKriLSPMkt+4fdP1eH/65bmIjAJeyB1HkAYWRyIWE/H1QnjZz
yNW/P0+iITWNIvHFEEStkqtOswvZU1Px0Li5/vtXL2SApBBkgWI1lngUPe1yI6k5Ixoxvu8hy1Gk
6E0r3nW1uKn05K4b6o/rFudQOn/HcEqfWFzEQJnqYmnRxXT0EcU/OJ+eS+FGy//xmo1gW43pE0OL
r99boh/nI4YC86mtNUdt7XDYgtmvesOooGKK1LEuJEDjfhIiVSk5gHqutzQZjuKY5HYgUtctITEV
N77XWg6Mkuysn8p0/kWXH4I4z8vTanbqpla/mJKrW/vmvyNS+EawL5D6zrjRZc1DQPPBN3WWzqf+
X4ENiZjg6vTakfwbVCHgnd//RVD8a3BJmRM0OcrwPQbL/GDKj1W1a/Jfovku6cf/zdDi9e4LZukP
5eyZUJLau2Nlx/GHLDnWtFEF/PNUXQY6aEikDOn4UiVexF9qjL4/Bg0pH2OKDmp7t7oz7PXRDm9C
u7Pjo/bQ7x+j22/Pnms57de3+q51kzvtUO4zmyV3UMnZ2BKXlB9cMie/aTnXWDBPVSl6XTvT01dh
598qN81d/pJ8UR6Ku+kx+hIep91LLNrac3nnuygzDdrGdbpSYeAnMM6lo2Bg8b5afIEYrJjCYGrt
jMAUbpXD4M7jBXbnNLvIjp8VWz4EG3KMl0oqs9snNuXzTGhMvK7STWx++JMj3Q9fxOfxWfxaut/o
TbijI9mVG9yqd6z6zSY/+dqWPTW+SI96S4ksK+tw+HYW4cx33ujEB8Hp9/2zduAZe588mntza53n
8LoIvxOfF6mRz/PWK2LMoublljvNzm9j5uOd+ud9+a4+mbbg6g+GK7ryodw4pP6oS16zvciZGobE
xFFhvZUnaT/Zn42nYf/xqtvtXnelW/FZfLIc5aC6ox1/eWv3ZOjRlvtrF9vpqi/SqS5rql73+Any
gyIRYs3udbKHveD82XrZPv1aHIxbZWe51w+Y1TwOhD9veFh8gNwvPvfQqWPtd6y7YUeEVr2D69Lu
vir7xjX2oVPcRfTw7ah00r0H//TGy3MtXzi1vvzqdWKVjBrCOCYzUNLtZGuLMnfNAoV39hMwD1AQ
C/8KIQkJ56F2kiSCeAxQ+Sav2VroMjfLg53lg8FmET5SlvRRKGKirmzJLW84pJsPIufuZ/a5sH/5
R/99tINj6ySfza0FXNutp7YXcaPWkjJJHratuHP83vEzGOlEBxzAX8QJor5zuVWeUbqLdZyHlONy
wpDS2tNPy64d7Sn94aMqpb3ArVU5odM5+TcKJLBUHjZPpbXs6NT8IlD6MgxTfZjXeLS1n8PX+CGq
bKVwfEa/bNOJfyg8NNKnfza8XnsrghrBY0iuKDMvHhpR00Ve2YNRsaTPRkIP+Jdu3Hfxeyx/jjQ3
iG+7LV7v1Tvv1OQi4QR02gddhMkqtOOX7kayjafMze6KY3zTa7au2NIjmP7OAe+Ndli087mvP6lb
o0orQa3xNgb7TYmW9+ri3vOqOg2GEum7Qf+U0/tP6RRAKrAzEUJsSwaJNgJs5QNT2IYdyQLRDnh6
YU+WRzPTpbJykBzuDoOFmqnqRR0PIWRJrn/VlSMBIBact/Ogv6YtoSZJWISdKsJYT09+bxbjD+AT
G9nUqjcnJhYfEdIDUm0NE1Jd2k3ONEf/1I2H636s7H1gOTP7Hdk17D6LJdPLNlLCAiOTQikUeucW
d+J96n27bmet9IohCmPQN1LPXr7qfCmF46xtKqeXbgfSQ4vJWfWgeLYvINd7NJOHIni7bnPtG5lM
EME6DzOTvgw/X4mKKO7aCuhhus+84kjRfiMM1upcuPWvjUWaNWkQSyYxNuICLUxxx/ObLllhN8q+
atxptP3JDZp94G8M+qwFx8weTJAjDgDo8Ty9K6ysCC0TRUdlZETuVzi85e3v68u3GhozlS3fDNql
ZW1eHPIxG7uucpriHb0k21d+GknEDfv5up11V/61sziWgyxEtKzBTl4A4HhU20cmMK6bWBlPUEwT
fXDK4jJgzSV1mmCEyeCJc/Sl+csUeSAZ4vxzNSktmvSqfzP604Q8eJHd51JwrCzlm9WPiZtNfvp6
/adcStQTLnQaJYiQ0LqhGn/+5SQ1U2BZGyqnSwY/scFC1J/7PPCfjWQofo5qNsg0cwsD5lBdi92u
zszHIA5gYGyFuATmHGU3/PH8kMXGrHNJXnI/mDWko5Wl+/AaTNOzb/mQcgrFcAjzprwvAr/5hDSI
XtlJX/SiLfpa+Fz2fv0SCHr8ZlpTs2tGuTmKw2gwytpLhRuoYfsSerFEFFf2IA8RLERy9JS3c93K
K0bTlksm8vJ4zH/DnMXLyYQqdefTYX2WspLncym10Ei2rRluHPR/hLMW2Tb0cQy4mdyqBgDV80Xs
hWYaTQAkTqYLjpl/Yp13+ZDuJ2u6qcHCKqNyS0L14Wu/xbJ5M0cILeToC7cGUErEIxGIzqrvdM9t
te7RSJdoqXUb6NmVuGYoiyF3asQE3bLjmqD1KJYaH1puwrseIck8H24H48v1eFq5Y8+szLv4pKUV
TmbWaiJWrLroH9VArQI7MJGmtkU9nI5iVsevsWgdfAOwbDH0z9fNrxwSMIsDw+JthfLwn0zkxDwE
vdBMCJx9TSRCzdMBIX1TzN1Yb9hZKTqd2VnsGsEzlXFAtwJFDHAz0z63Ynfikde/dd0W+9DKh2OH
gnmmGARl8jJNlUU195mhJI2gfJpI1UEUsnvP9//ifid8Z2ovoP5g+s6/HLNmqV5EU+UErfFUiB2o
KUQCNHVLgmXt6kXhhVagwXA1WlSLtZtKqe+MFH8ADfl7Qyo9oIB66ZZGV75VPtkwNNGyIydSb+tm
DWC+zfz3/y1OFod8xlRA18QVa5qGdmsNNlj8JN3Bx/gXdiREgpGG4+RWF/lM61uNItfEidIEbp65
lfZQoM9jSBvv/bV4ZI5CImUi4eRNc/7xAm8okmjedlVODVR5i4rYjoBY9p8Gf9z/d59ObS1yDNUL
eGCP2IIExaoOWtA8iP59YgjHv7BD04xXCjVQKJTOfYo6rq3JJ07CQDZfRpn3gCbU0m9rZtCe4H/8
dN3eSn42U3jzPgAcAqHtvA9Pzo5siMMpnW9CK0U8Relf036r+reylc9MLE7HrlFLa7S4J3qm2SJF
2lsSDDld/RdHPbBQMD2kYqqyzKL90JTycd7KavVRAaQavLdoC7OwMtrNHz4xsgiD1A+0GmntyimN
P80kERqX+GsmHiXpk5IcNHNgIMXpm8fWOlhbsbFSW8I4DzkRVDWTc4vYmGDGzJDf5Z0A04Kh3vQ1
mtD+Y0yFN3DrbouPZ+1Wg2GIYU4KItzwi/s9hTu4Gas55Iv+6EXqQUI6ikGRu9zv7mdCCnFSj5rS
f/7vEck8J0yxzO4B0VqclIXnC7Fe42U01IdGzh8Rx/nvp/48qv1/JhYHIcD0VNHnUNHE8KUT09co
mLW1J/e6J2uBz9eSOJ1IMhEQO99bFOTiyWgzHo+V5U75tJeL6Wil44YZYy0ueNaR3cxototx7dKg
zCyreeW0gVTmdmLxwZBo03pXTONKgxxW0/dmVw5vZlt0j0WSxG4ilx7/kcCPtAEgNKNtiEEt29HQ
lIYN4DF3Ra0SRjCWUfyM5JbyIFDV3fV54j3JTRQMtieKw73XGdOtih76l2GSI98uLa/80nhWikAg
0Bu70ZsQzsJqerHUvnivI2u67TolcDskBEz4UnR4pPKp4X9ViiKK4ERXUs32qdj8VDQIyna5nOc3
QiZZrj8E3rPZyyX3pGz0yB4OzKkWandQysGKbLk26VkHwXPVKeFe5I49Cpl3jHNBPhqCtpsMKd8r
kem5U19YjN5Z4xPUV9MBblv1XgP4VNlB0ubprpVKc7LrPjN/poOq3IxTPX0eK11K7d6Iimdloulv
J0PQePYYZcnORKbwfUgG6dCWafxN8GHjH9tQZ5CKtGlrSHc1mzDRXpg7GTDyLl/VsiXUWWKQ8c2j
ovehV6Kh1FfNUaVA/JlxPQ+axqwd3EIYzEfJbKMMds+x29hGq3nnPANByYIzYqmsW3ZjVDbF/KCj
sNS1v6s8Bky4G7zf1/fRlp3FoVvlWVooBnmLJCd7Sy/vRc37DFHdbW9NW2PXW7YWp4+flmMNKo2j
wfI+dN5RsHwyPFMlpt3nxut1x9Yu39PPuHAsoYtX9BqfEUfuGe59jbP2cN3E2iFu6jK1P1peULgt
7veeN2OtUvNlplBypjagwFT4PE6KvZDkH7mYO15kHgt9q2G8lpvN/BiwcDC9Li+HgCyrFzplzgEz
6R7ij1xAOIICZ5Tc0Ay0r/u49s1ObS2KdGkbDanRsYyFAeFGizbHXtDFd0h1q1ck7JX/MewXt8eo
SFZZ09AkFYxdRGMqPd4V8rvHbP51v9a+HTit/9tfi2+Xy2OctCqG4iGzjXbYdYAaROvzpNDfCePn
tCrssd6iULmwSiHylPZ14Z5ulUlqZLOiEeTpWbuPjbus2yNta/vU1to8RxHDue7oxQdcmFw4qsFa
4hc+6qtWNezD5qMOD3mvuFPzcd3OZQlqYWj+ISfZrpZZY2jQ5wEhA0YkY1mL3nB1o7r1Gz8ip7Jc
o/lQpvjQ99kukkM7UbbwtZflysWPWLw51biTTTi90B9KPTuREWijRG7+mrSfpf4xBg/N0Dox817t
RrnyIk34Y5fbAi7AWTp1sco83oMYphCIrKXoxjcs28q9ezl6a0w30j8o0V9f7IsTYGFusdZlDje9
gAQjxIDTl2wsd52q3xagkWBRA29l/b5ubjWGoDGYUR+8BZf9z7AJI8us6QvGremOpZsXj5N4iMbi
b9ya2w4z7Gim2TkPoSCc8lYNsVOmb/Om6MrDIMGjVT6YW0Ixqyv4h1WH5BHa1EX+WFRpoFdRCQGz
KDmif6MIbprvR+9HqGxUdtZCYxYshLILqIexLIMAFBiaFl1QR6IGqbm69NLFT6LeO4Z0X28Vguc4
O6sbEhinxhbHtQRW0g8MjDGckB06+GRswVSbI4DYZuNjbZlaPGEg3SzVVMKU0j8a489EeEb7ZMPG
WuDB28xrhfkyg+fZeUBIM/FLHhEQRVvacZs7UNfZhSyAR9uwtOrNiaVFuhCB7JisHEt+09iCktqS
99h1367vo7Xj/9SdRXxHJS01midoEaihXSqvNUPjEvMi0ns6lnY9PMFScd3i6gKCIvn/kjGL85DL
xm+zEcmYIXhU830hHsPkXd6azFgJcZprtFEg6KXOsQzxoUCWuJi5xA31t2zsOpDf2rGDWlk0fnab
euIrW3cWXARIBGSQStgi8OR6yOtp1iVItc4ZQ2EPfc67qg83lpDfpb6+NcarXu6pmSFdJZuEPu7i
0TxJ1dAqCmuIjPmu180dQl3Xv9JK8M2i4qhWMbB5OXGY1XUyVgpT1oHwvfAfU+DpUbJRONyysTgZ
1CQUjbScJ7mBpmcmVM3CvWQO++uerMTbmSeLb9OHsab4BZFQRblNfz4pj6HyJjXGxopdtwMJ3vnB
QBUP2MCENyIUOrn4hARsGzHpsEnruPbxaR9TA+UfFvniuSH6H2oJfwDLViH/bbfVSCE0YAzOhR0l
hBbazIN8l7alBSWqqB4DaEKPA8Ktt36oZDf0mCzkunWDlM+UAzcOhfowBUG0x1r7KxNj6LUqCHqe
zcby0l1cRcgShcPkG3Y6xl6/a9h1xk2LdhvkJHmt7OKkkKlbTsMXr5/Eb5Ff+/dWWIzf6bYZ3kvW
Q4Zlq1E0vfai4R9M6Lb+8cJ4ov8mp7IrQJ5wKIoZQ6EPfs+8z1C13qHyGqO7t6pYKPdKHUvBoWoN
87MV1vIXoSoVxcnyPPhGV0wKbcH3KAKagI1uUEHM9n0EHcjGgbx2pgAWZLyC/gHseoujfyq4EcAg
oLiYNW6jHSoyuUK9Gej2qbvUfL0et2u749Ta4vj3ozYcIxlrBvyBbRHYAkx0Juoq182she2pmUU0
UbMickbMSMo/UvoSe69d+7PcUjNcy4IBWhrU7knXLFKP86ClPBVYCvwITl3+LKBoSw+K+hQHFICK
OyE6oJpslc+6/nLduU2zs/cnL4C+CeDhMJCI6pR/uo7pxPQ1qWO4G3eaxgiS+lQLuyYEyXjcMLzy
9aB3nZtMnM6Ey8JfE5pEwVLhtoO47qeaf5+6YY8WtN/B6lff6v64Y1DU9mPt+P9Iu7IduXVk+UUC
tFLSK7XU1lW9t9t+Ebptt/Z9o/T1N2TcGVexdIs45x7M0xjoLFLJZDIzMoJ1pzk1HjHYvJujcj9p
5ub2b1m5nC5+CrcHXWNlEKHDT9FHBcj70nAlo8IQUhc6fZmCvlLEErmSU2DhuJxAqLgUr7mIG5Cg
iHU0FpysJM9lVgJ8VAFvloOWTiq/wJW/baf2GT2iX7cXej2ahSovXjqgMwJHlIna6OXXNkOM3DK7
zwH6fzUq2UdJ8s0eCzok2bPdRjS0ZCcDGYzSAvEXsYcYTBCdET936rPeJ8dAeWGYbJU0EQzu+gsg
VQQCT0Np2EKLk7voDAMEuaMpg9ZRqTYgA4SAgDNaxI+jnErZP56KWxJTlIBQHsYHAFblcheA0kqi
tAG1RsdKdypMahAoME+lq4bQrBed7D8qDpf5PVJhC+VuAwypROEB6HMOyiorznPHT57zY0VPzvbw
eHC/bHcrqpD8maS8tAX+jr+exbPPG6D+GiVlyJ2hnHcBSCCU0MpNzKrr6M+RgY3QIUyTQzK3JnDI
kRQcZDOLAXGs2ugrmDRZcrqUKM7CSvMgq1OyTXL0kagupZlKpz7ovkepwd6GENKrNNGjeo95QmM/
yXL2ICdItoqwFDzG1mIUMnD0MxdafRP8FpffKwnntosGBr1uaRicwOqPsoVBErPWv6PvlXpAcL5A
8+fByDDvnwJHyP4x7AhdrgVFjP8W7CA/wBrM4ZybkSnRCFJUQejbYw8KBbfWBVHxKnP5Y2fpdiKV
APnLck7OojE4aNpIjWGnqV4yDUTi1Y/bEeAq6nIGuING0m6a83IxwJ7hF4ryGDHvtgnRGrjg1hmT
lqQdTFhR6Bt9QIFCFGSSAhP8mEqpJAieyza1EaF6+Cbbgu+wvk2YGwZPIOgK/+Clzr5DwFQy2Dai
gpWgszj6TfOkkn+evkBtGwQL4K4AOIDPUvXInCUtljFgLuXfNC3a2K35RpRMsFcr6YsNVNcyd61D
CZJwwW4eE0aMGhFhGkEVC2VEo0VfbJOjfX77u69cLkChI5qqUCzHqDHfqm+VEZwg1pQ7tfqdoUCj
vw+l2yhujg6X/KpjlrqnUbRFb4pmIaOydp/FII7dypqj4v+7/WuuviCyfJBKANhp4BzhVrk8SXKW
zBJiElJ4I3fKaNtPYPUUXSQr4RZfDokH2E7Q2ATtw6UVKUP3kkVz5rj+8f5l+e9pQ6mzd54nuo3o
dit4EF5/TCATDFCvLvhKkFcuqz7zyz4Cey+D5rMTQuoagrXM+KGqb6wTRImr84U04dwMlxAt4wB1
W8JMDr6rUT9Ntoi8b+XChwWUA8jCOnXF2mVkU6zkBiyUGgbRZdBxu2mRbbLZCwrBWV5bDOCVuPMx
qbcc58s9I2QO4ArIeVI76R5AKAGN2i7PBf62ckkpaDkDUo6MFv0d/pKCprCmN8B4Y1LBRttX61Qn
Nud7oPBoUEZeNcs0mT7ZkPtZCyl44/m2v1+3QPHNzu1z3ywJJWMgXZNDIhGQn3qg9SSB+lOJTnPw
1bSxP0l6SBeVeiYqNa99TIhbIpVFPoX7mdvhEsR12lwAfEFAXREPRxXyQXi4BOwwpyL1ybUTcGaL
F8uOwTitR9BUcLQZw56K5ZTsAPUWNPNu7+fqmgxgwyERausYLL30GmBb0YIheBPkqC0q4Mo0M7+f
Tln3o5A2t02tu86ZLS6KYFSp7VMTtlBTwnv5t6zgvbwlQeno5ueMPkys+yX019nLbcMra0SFZGG0
01CDxQ+4XCPYm+LWBKc4AMhfIagh1AJJlU7lZG9i9Pxf2EL1D+6BYjf+u7QljYAgJT1Us2y1pQom
LtSNXBlO1PaApQvO4oqPLCh0ZIsKJDegHH1pq8LcmxpOYKO12w1RjnOKqR6m0LkX7N/1DCWCyrkh
7sxVGiAQGYOhPj+k0XGuNkz7pVoeQy3fxLRZcUBrUFbfynJntZ5wrn45V5fJPswDTrhQoslgpl2+
79ltUBgQrMNDEWofgLZIeQvIDqTPFrFU87loK0fVfqWGwFlX9/bMJnevaoimar4w8M46sAeJr+TB
1tT2RicCvIoWxwWVqu6MpGINxKYwBALIKhY10T79qRiB2+mDE8t+bH2/7aTLj7+xofxYLnKJCbBA
LK4wUQrfd6076z/mVkcBDjjVZvfPrZ0/ernPNzF5ACU9nqFWCQI7jKmnzZ2EAnxaM7/uQWxXiQjO
ATS4WuHyFsVLCmVRQBE07vPNaRfNSq9EwLAVyrgZsip4n8O2x0B02ZiWjwGDdqBFJdnSBt12+9BI
YVu6aRMpb0pex74lVfoukwMzPs1jaH0VpaJ+9o0U7KWYhLspm6ADkIMn3QrHymNtmTXP8zyzjVnU
1YMsWeRAgOJ8L8a62ZR2pUPRsauCwCmNSf4Rsy7+QZTEjJ2xksg3VPCLwLX0AnISKmP14EIsoZlo
HVuDtiGjpD+PadLb96ldlInbzUlX0NlkLHBDbaiGnQ08s+LnaWK9gzdQKtwSBdDG6zPIl/okyO3f
VRmQcduFRoiJ4EDSMYo6yQrbNKkMrqepRencaRRAn7xiqKvaD+ucGTvJ1AfrSbWjNqZBDCDgTg9y
UK3EQ5unexm6uNi+PqzdMdfYJol0u7sP4izsdiSrw21nkwkmbJZ/j8o5ux/ntNKduGxNwy8ssIPP
qjUFbmVJaLnn1TQcc8MKkoUhMEuBUc6Yuck1PfACtYHMXDGG5l1S1mbpoN6BujULBqT6Bi6W1LEz
ffoFBgQDzfWKTMamAtdE8xCNgdLtpkTuRlcvTLvBbMaUPZfQK71X1YrFHivK9KhOUsAg6QIol6/W
tjRQEuvF90Ez4mrf2IDrQAl2Vvy2nbRP1NCI9ZhhTKXxuwhqGY7Rtp2nz2B09JMMimu0S6Pq3pz1
on+ZwazYO7ldFbVnm7nd7gCekj9lpZ82coARHGpMSYgiNki3xkOTNNb3SA9NMHAH4bgB/9eEFjCo
cF7R7YlrJ8nL7nEYK61x+5LEL3ZnNpgxVKXi51gZ468hIvV7OY3yUUfJY1sboXnA9Eou0T4cTNMd
7cHKwRhBgEnMKukltdv8yWZD3YMnNDZdLY/qg96HQObFmak+V1ne+EGtTjPGVKBYCnhcmL6VSlM/
NIvcCw3ssd1aQDDLtA2TEXzY8xB8gNWP/SxBQWVBbqidNwCQyCAwNJt8cBMGNJfXJ2YNJcRcCRxL
moqPfE7SLUkk7Q2zK7bhZlZQ/ka9uNWdKjHJAPbUfJadZjQ/AMdVoauoBOVj3BjVpsH8Ue0pkWne
13ahgjUtleeEDrGNmk4vh2boFXk2os6pBcmHJSlqjx4CXBPejYiekr7AeLwRLTLHSlwcQRkGlCQe
IGNHZzlEx5DgmXCUWDrJfoEj+0kmJcXwbD4oItmpq+CM0gWIcDW8svCKxavu8rYLRnUc+l6RMNHh
gMBLiTAeSjCWJB+t5BHl0tvB+erVsFiDlii45xAlr/K/KDaKNgtgTbI/IHXijLrgjXVNhsBZ4LK+
INLBZpqgLw6Wyp/xNtv58/a3tpH21VvsfIKYwiFUdlGk9EU8DFdX658i0N9q1nJJnOUNA8JMXAOq
TwsZ5V2U/rtTW74lE3gfGKN5u13GsW5vp8gk9/GyfESZUEVBJZx+ZEDbyAUtcSAyv1I+APF37EBw
uS453sVVzq2R2121n7sBw2gSZexkqb4G1RclFuRC1+j3xQi0ZlFlBA3MVaI5kohIZIAR8qpu3gc3
fct247hRNumu2LTbent7E6/1STh7XL5ZF9BZUqExRQdfeVbeh3fVeUqdoHXVh7vxTr0DjcTGdAVG
r1IGziiXpujdnEaYF0ItLEzdsDacpnFn+zD0TqKblJj3kdTQusdQd+vKIgWvtWNILLB+2ZDwAqkm
Z1wJU5KaDVZsBsd6kXn4pwWVP4v7+/e5fAgEEUPS5/j70kQcXRs8TBDK8zEzBLsoWsdyPs6OXE20
0JgWdyxBJJArW8x9OoLvdJWZXy6FFw1o9F4C3y5MoOhlhu6P+HG+G7Y/WyAUvopDRomf++A+FGzg
/+GT/91BvuoXB3Y8sxFmbdWZnh7zL9lByoL0/DB+/za5+e7VxnijIJxcs3ssi8X/FANK4SBJ4p6T
UC2QZPTbJTrbtN4bP9XNtLGO9VfnvjwkGZ3uI5yF0G1o8iofRISy17UWzjoXQGu7BY4KzJJ0Mugc
eeUbcP0YRw08aaN+E3HrXYvr/bFm/CnIAfXG4xTLPFaQI2KtyV39Vb+pDvqGB7JTNuypfGd7zM86
9WEhCxL47OoyMaEH4gLwkuEUcu9oK5nZPDIsk0GSmRhuhX5scoLQsDbtKsNNghNGIwRevBxoPm5j
mAdBFfo1KKdxNts0GPpKwmJzTB14slf0tN4UB+MJ/Bt3k2/59uO4RUbtifBQa8fn3DAXW0lbd/WA
xJ2m9qmT6aS86GCjqA1BDF8LBOdmuICGb4nkU4UZWf1ujkuj/fftHVzNK84tcCFNMoNADXRYQFm6
puq+8vWHjtLwrg1dQi362m6LzaO2Mx5E52JlCzGmt3DZoqUNpnFubSo0Jo25mSRat68Kmtq1O+k7
Zr/dXuDKzQ4ruAwWOBmUurijryW5bWTNjDine2CFpFED9tZGNPew8p1QQQJjGOiDMEPMA9bkoDG1
vmA4dParbT7K0en2Kv4Mp104OsrRBnrQkA4B98wVw/eg1AY4ZvPIOTDXcsKtfa9Ra5O4kM6jnR8f
Uq875I+6E3rMAUfs28O4AUEvssKC5g/tPWLNIfD002negAJ9p9LQfc0EV8rVTnM/cdmjs0srsuJO
GosM/GDSKR0PKfG04J8eB5jAN0TLH3JyGKrj7sUhxEhPMxYRXjJ3cvaE0aLb23wVTpa/j5I8ePow
dAao3uUSpEEOQWhXRk6nfSnN89jtxwgPFTeKBYaufJ8zxO1VaAc4FyEU7FVofY/BPjZ/6Jkni7QC
1OX08m7zJxdaNAmAseXOWDajRqyVPRbkkjdGTa+6Sz3t9KNyAT5zwk13F+8HJ99FNDmBwOjJ3uUu
MoCN9FJ6ItTG1RkBPzaoBID8XmRf0ZK63FwtL+S8KcYIc0hfXez2gwjFubKpFwaWzThzwLyDlNgU
w4Bh3s+BH+W7Cih2EcBrxUfQgoXvGUs594q3ATT3SmB0i5X6mAUtLVRIu5SOlaG95t52x5UTdW6K
pylVmF1qCoMpNj/o5aZv94MlSMjWVoOXKwiANUwZofV5uWdZGelj32n4KPpPHWLzxSEAVc+C6UkF
Lr/2+c8tLV/v7OsUKkFRicBSaQBAhFkmXcQZdT2fAg87N8F5mF1A/6+sdOyXb6o0bqnqoSrmteFm
UkGcZznzr9sf6PpJx1nkXC60gQPNGCw2kh+/STbVndopDuFdjVRL/2lYjmiA4rqLwJnkYmAnzbgi
dJjs94UESWIY/G07zJHf49wxJqrkruSKOJZWPBFtA/g7kN9A4fGd5A40qaneGpGTo5qSvoKqJGkE
uJ0/nVUuVsEGZKAgbbLoIXOuqEkEeqGMRA7KtieIGFFrb97nT4yiuusnX8QNael0NL0rTl+aN9IT
oMHUOuX0Y6Thp+DDLrt468dw3mo1eWt0pRk5k4OyJKieMO8Kguf5Tneiz84LQPbJaqd0A0elpKSB
4L5fCWUXe8F5MoDEgdUF2ItM+23pFKUzWidPpZB48BqSoMsXhjgHTtJSrdsZhiZPozltT42vetlL
6eRP3VbZzptX8KH4GYXehtudMJW/77folAnIB1aXizlYyFPj2lVM7t61rNEuzcpGn0FyE81JkHpa
97OIW20lAgE6AAqAZapSU/8g784iUB9rakzmPnaMDtiwlzh/FTjNSjC9MLD8gDMDTQhEVtzBQPez
RZCzabaLDxBQ30Wf80m+Nzahk0eeZ++UncDy2vk8X9rV2YlrMBnBcuuVGXgr9a9+M9+3NFIc4yj9
qO/aGPe6KIMXbSh3SAaQrES5AqtV6rf5Q1d93V7WtVsAwwecJ3x0Yefh0704Agtr24RA5idqt7WD
7rQ0RfwhqAJqSZ3l3zZ3vYmoGC8gYzigDfwT91QY8qSxrRqzO0HxAGKetH7sRYXN60oE6sNYC5JY
PFaXqbRLFzG7WqoGGVUW8oPdY4Ci3gw+UvhhG25M20EH0fOgPQ4a4dwVtfPWbeMtBFApAK0gc7y0
bZGGKbGFCm66TXrKngvfdiJn9FqwYjmSU7v275k48zH0Gab3D73gffBnbZcxFWv/a58vOclJXGk6
g33o3DyaO9LgtrTc2Sk3o7ebnTFyFef59ie9roYs+31mk/umMUPBLtKXqlZJkx2qjnvzXSrpZ+rU
PxkW70Ye84Jv1VFUIFhJRtAGQECzNJB/GNCAutztSi37yprC1Cnjb2bgyPGuHrYsBMkJ7jHpYehT
t+5oQWRUQje3V339qMeqcVuDVwAZDy5szsvkaUADaI7A8nqnucku90bP9nCBoaBOtU3yFb6Yx8Fy
wFrhsp+904tYM1fu8ssfwEWG2Ca5Fpj4ATnVfFAZYwjuzvrq7t5/Wf60h+DbgR0wSOZh3KakxSF9
0QEPBtv2qZudOqDA6ggqRauh5GxHuK+BNx+b7SRGjWPyCJTkQaMYI2MPJYGTX18BgMyDKBVhC8k0
eueXX73N5j7o+yB1YnavROBprf2xeujV1q/Gj9tf+TpFgSmwRBHAQjFFw6Pz09oAoFqHKavs7ccU
mt+PY9Ye5ilttuXQxo46jZ9aO7FDih7ibdvXkR8xBEpcUKmGShx4qi6XOYYakxoL2wlqEycwC69V
BKtbEg8+WICwGEYWwk2MIVxaCJOaZAVJAPkzeg/0I9Q2u0Naxd86c3IGoLlMdHz/xaLQvgN+Cwko
lnZpMtH6OKo61MPj+iGxQIApmhxZPZc4mv+1wB2LLJurtB9gIdIQdzGCit3r3PEDsqouFJyhueMn
9C19QU06dH7JwHQIlrjmMwBxIQlaboArZXHdYlKK8R008WJks0s6rd+HDyMVVqFXHeTMELfSWk+y
TI1hyHjO7gAxmGkNsNoh3uXON/Wn6ls2DQRHb/V+OV8cd/bSvADXLIFNjJG9yHvZ0b/32M/f1n3s
NOBjzj8Lgcm17UQpQ8ZUEphuINx56TGDqeYQBsWQvlEbGMjzishl9gOGkeQE0JERPX33tosuf/Dy
VKgorS/qtTqQJFdvpKnCkAVwm+kfSWlSvuYENWFL8FJf2chLK9zHS9pRb8G0mTrpm32nPzLX9oOd
dhy/d4fAz/bDE+j2BK+/6528NMl9u0BWYtNugT8Jk62MEm3THqfxWBMgCYhbKBtb82/v5LpB1IvA
EICSLR+olZ7EzMj61JnfxxPAVHfpw7zXnPjbbTNraQCI/FDkxog7ZgD4Qb0qmdJR12HHjO/ifB+w
+8wC15LyDTAiEBXH4HtXHA0gCGihCQ77qrNg3BizlfKidMJ5Z8HmFPTBMB21+wI1QBkkT1GyESxw
+TJXLnlmhXOWITFTI1qsALLozc9ocfnxvvpWVF5InOYw7ern5BVE7PqT6NUjWh/nM4NeTCCqwWGw
UQk3N3iyU7UT+OV1HINfnq2Oex/XRTwbswEbDKgOMLVS1guOtMjC4qhnj0bg3qpYkmABn5EGEqig
ROId1yNl+rIIIFxBTbHQe3COkAe2OhcdSx3ZgfDpU+Yafu3MW/Lmg9HcGY7kPfajPXCTfnv3OtF2
KwiT111f7gdwPsKM2CoX/VWHuUfIpvyMD83ud3pHdslJWxQtCrovvdt+uXq+z9bMOUcJ5l1S5iMa
IFbyktiJgRbh2N5hJJQ4JuCTQLJMTwDEfshDurttWrhczmlQZmAdqWGbHKOBortu3yc+2cSPxTfj
iJqStAExluLF/j9HX2CjQeGylNCgVI8i2qUz1enYJtbypWMjfMwtzantl7GtvTip7obWdAomPzbs
c+7eKivxdOkfjw8t9lULAw1LrRC88pf2Rykf1UbByvNESTEBb07yVh8k4xcwcumdZZXK6+29Xjs9
ANmiDI9BaIzUcK5N7LkgtY0F12AjgkzxUP66bWD5A3x4s8CiC1oqUL5fMXymql4zWZsQv4N5Y2Du
tpJkPwwtwRFZMwMbBHNQyiJSzK2DxaOyDC0ilkVUSStKivs5FImArIXqcyPcMYRtFlc6jETaz9j0
s3KbGRW6oS9t/3Z715a/xO/auSXu9AF7O4VDj12r2CKyBexdMjsqMOda9/22JdHGcWet1EaSNeBR
cDr7Iwy3Zvpsmt5tE9cTF4tXozS08Lwu6rLcqdJJaLTSEr5qc6kAe8TN76Tfxn586Q+izHn5W9c7
t1CEYN4aqR5nS1Xruo0B8HWK4MOMQR9WOXFV0Vqmo/2hSX4tKnWvb+B/DfIodivrweDcwqBaah5h
eHSQzs9j0ctjNRFaGkz/uzC+upayWFWmerGzbwYHVJau+quxnGGD6j1mZhJXJGyw7oN/DaqXsagq
DaVRi8UHU58Unq67Rfas6f/i+j5fFhfxjALz/n0NK1rznieboRJ0AtYC3PnfX/79LD0wUbEGy7YM
3B5zki6kYyJKE1c9bklP0ZNFscyQLy0MSZthyF5BAmc+Nx36HeytkXUKld1Q2sXTNxlvxdsHajUO
gfgeZDioxaPeemkRKsJmoJewaCtg3xycIvGLcKRjr1BMnt22tbp/Z7Y4L1BB1mAYDfYvgm6uRB5z
TRDqVhpyiA5nFjgPKKyp0BsGCzVxp2RfNc9l+NToTlFv+uQuV0CUs1dCH4P2VCFOIXqDrh8s4w8X
CJBQVy+MYMTMQh/AA6VIAWwcXI7Tqx5LjQ35aavEOzQoQNfB6qfMJPk9CdO0BHOvFh0VY9ZB3KCH
/+bknd+Zy8k881lZyyzMDGBHVFOmPfi8+tzvk2c9Epy9tRN+boe7ZZRSAcbbQkgJ4K8xywEk/6ih
vGEQwe28dkTODXGXTGwFpK9QWHNKTJYk9gc65Xr23On3vekWZQy9BgHZ4GpQNiG8Y4F1C1C+5d/P
dtBUw7FuAw3fdHhOVK8d950tuNVEJriPBDW/qY4zHY+CxDylPYgKiuRUNKJJ17WtM89Wwn0jXM+D
Fc8w0w5ZdzDMEc1SSdknLCZuayR7a1EM0JPwoNeliN9iNRE/N859t7GplEk1sY1PmU2Ne8ABvre0
K7byQXvM3cZTn3D9bEW1jNXwdrZk7gof0QE0BowqOa1WArjnN+lzGW2AKpprgV+uBre/lv7UG8/c
JEnawQobWIo6gzYgTuhEqm4CL+FDtamVptmUsJDpeF1XvgotbD0XKD2KlsHFaJspFQGdUeoMyhum
ylT2fPsOWP0gC+4XbxNccHxyXSRJwYw6wasoC6lsYE7dTTCGEjwkbHvb0gogRF24rFBxwY2A7g+3
lDRTkkwjJZIOa6KBdhiGryzA8MJJAo1iV3qjtjXz71NwrIwHReQOK90uWF/u8YVpDiSbnOcVehrN
cVmDDefR9iFa+TRvF1LpXefdTa5p0IregeYc4pKC/v3aBuPRB5SlDrY+tJwuwxWwzUUiQbfSQTLx
0USST9iPqLLvmfGipa0gcK1FFMBFLSTikNS9ImLFABQUn2ZUJ1VdBjLqkCefTLOoUTpRcRhSt+1+
3/6oqwaBGgB4DdNEkIO7XJ1UIcmrgg7lUKs8TO33Fr0Bi50ia3TmIHyZQUkfpqL+4drBQ9plQXkO
2gHosVwaBU16YhbKAKPQ/pBBKzUcJiFibtUIWtHoEi4aIDwiwrYYtNMaVF0bvfXbYN7VkbxpQxFO
YPUBhVlusDQC9gf8H5fwNVBjx2DGUhaIs+PU3M8YX42a9gTArpd3uh/V0YNuKk9TAonBTNBJWl0k
qEYIXAY83nzbuxp7W25qHIow3U/zu0y2SiOYzlozARUztNUhImBcUblLGrpViYQaqA0KfpNhSg4R
WTSnvhYlz41woYWkM/p9BYxgavJBJv2jXTzddnSRBS6T1bQih/A6fK4GmZvC7o1MkNas5qo20hnT
xlA4PI7z6lSe4nBs8JJurW9yebL7w6Q+S/1rEj1isjk6SkdUwWfR23MtTzyzyr9wImRYmbHUPcZ0
BiHUW9eYtLJcITXDkk7wb/dzO5ybh408MrRhU0epSbGJ1elxYN+a2X4g889cVm1qpp+3v9iq4/3d
T4P3iSLVSsilI0pA7ZQsPBf9U/qPGWZR/jhfFucWudqqYRNgWYO9wXQXdHQoJjk0EcZd9JUW7zxL
ZkqzHTVmwkyFl1rGJpqTzw7KZrIA8no9qMKtZ9nUM0P6pGAgd4QhMGk7IXQvA3ywY1A9gQUWFIJg
QjBU3N+i/uTK6UK7CbgMdIPAaaFz22gnYdJCdwOp1CDvu8I8DUKGieVzcw64dLQWdDwATFc8OYFR
jswOFhNmfaqX53Q10zjqaZ5odBohZyfvTa1wR+Odhe9qFQrSn5VPCMAygWICzreOWYXLnSVDr+Sx
igeZjOb8WG4S/T2SfxiiScoVr78wwz1d0OEI9dSEma7rt0HH7jsds1yF7N4+XCvH+cIMl9V0/Qxx
QMwzOlmbHEFoSM1FipaZ9rEpA2rjWX3b3kqeAW1HxAEIggAGy7ckE0WS66TFszkh9Zuull7Uf0VB
uJHGZ7gUZeWnHY+b2zZX13hmc/n3s7Mg6dJo1J26hCy3mZ+b9JFSrYpp0glkH1a/GbJDZDPAnyk2
t5nQZ83DeDE0TkCyW5E/zPm+nkNBJioyw61HY01ojjLMsG5Tk4ek9bNoe3vLll96dcjAuIqEF5OE
6AxcblkHuZgitQjC4WjTIvbsBtUeCsJB2omaq6urAUOjgdm2BVnKXSjQIcCRWkyxaHR7stWgbZCJ
XsnrRjBTg/wFBRl+RqTNtcIcDAu1hhGkZ+rrpIF8WCT2uuZnikwwII8UWgUo7nLTwpCpUgj+BEdP
lA20Phb8PwBw+uTag+10wNBTOy4FX2ptZRCQWng0kfqhSXRpNMHE9RxXwI9GHZhK7SavXdMeRj/W
ZkFisxb4zi1xEWmeTTKTFMuLbNAs9PpdMdi7EHAQ3DS72+63tijoIAIOsPQjrp4/QyYFmZ2ieFox
cJXLyaZJiDc1tqDuvOblKsHrY6F/Re7OfbDa7O2sjPHwt9MCbKcbHbtoHYgJwSb/9oLW9u7cEnfv
g89wDiaGBRWSPzPA6c3PwfYG7fm2mbXr99wM5wyKpMohlgszxnxvjvamhFjvbRPrK1kAcThKhs4H
cBCtmGiJoo6RF18TQ8num9l7o2iOatUBAJP/jxUuxMWpotXRUhvsq4ey301AsDLBraCurQSMe3jP
g80SH5/brArEcyC0MbASiojzq7qLn6b9i4RJYrY1/AY4LnOPfu69SotT6EuHRxmg5fzb7e1cW+j5
j1h+5NndBA5cux+XH9FNJ2a8SQCayyLtHJGN5Ric2WjY2ODGhQ1L9/XwfVQg6yliL1yLfWjI2xiO
1hZ9RW4zWaamzLRwJ8XJ/Fnl0d2ggQBMS/xswcfVFrWAFKW3924tlwA6FIOvy7jD1cCOUTbJCJYi
2BwqV5FPCa6NOi8p4PQOqbxeRSNJ4P1rEePcJPe5hkrNwkpGxKhz86SDjkYd859DpXi5bflQbxUE
d9EKuS+nN2aiBQS7OpUVgIw6+wgqqd1lQ/teDvJ32V4YmmL7lBuyiGxs/YP+3VzuBIIeMmVZhc2F
JB4DMR2KJoYF9VswQ3ywMvgul8oRs80CKNLqmdTR4lnqWzY6cpeuCk5hdaqkJSKPBzxeNJbSGcBG
kVzcWrEG8ELASAiM4aHOuavO6pKBpwdnXyVHOSXOlBEXpLGbWkoOUOfrrHwH5V/PCKdtaPQ/bzvu
qhctOAtU78giu3a5SgKKDYiAI+WRy59dmsNxYl8NB1ysH7mUCE7J6paeGeOuHkxoxEHbmigNqcFT
Rd7SOd3ZLXiIpX+T2+PP/XdZ3KYaZd0lBFJnzhTpDq7dg1mYyE4h+8DK+6ST3SbqqDWLeBTXOiBA
Lvy1yx3KAv+E6SrYjZJqq2aQBTV6akB9cbCzI5smJ0qVh3AoHDWRt0HfPecVuTdjEDZJXbaBpiNV
BtEQzOonJrJOQK+K6iYPiUynIWvGfjk+qJpmkW9j3Et3A7Qwps/bzrR6UM8scasfzcYulQir19kP
HfNt2TZDBwBYgyAswKUgcN3Vu+TMGheRygmEp9qyrlgDLeb0HqDzqYCP8/aaRFa44BONqSEZ2eJJ
Bo1HTzcaipxQYGQ1uJ4tZfn3s2tR6wyIoU7LJ+q7d83u7qKeuEPwFjSRp5PYi6OPoigE7+21TvpC
ovAfx+DnnZMhSupqsQpkrq/F8U4BY5cyFFDu67bI4VHaT9y5hqTGoPmRVHlW+CFL4UMW7f5fe8yz
YGNIiwQsxw8JZNXVI9WxoKlXSSISnrWUFLPXeJ5omCgH0enlLptZWxl2ipdXCCK/MSHbZM42/2Yl
f02olyYgXRljyAURrh3CfWJGd0SP3oJ5FphZDaRnK+Gidql1pdVNWIk+hbumrY7K8KQUFkArROCZ
ax02wFiB89cxwQkwEbdpoEZsJS2ykRWGGGJjdAbZS0sN7c3U39ns98G9MdICmkF977WRf3s7hda5
/YyQL7d6g4WqqHCV+iOJ9pEF9smD2nhZ/0nwSxqKEcJBBeZt9G5bXw1nZ0vndrk1x7pvlpd6GTd4
9kHIehPGvRvmrwUmz0WjTGt10oud5m7HMIyqKMdb04nmkzF4FcD4xrCZ4wZ51ZMmPWWqyxJBK3jV
kRaQ8nIgNJW/GyQ7G2W7hM0qiHZFA/5I9A8LS9r0WOLt3Vy9hixQUYDHAbpf/OkbJiOfAhVvdogP
A2OneFKvbzK8MGb9HdeWIKSsLWwZ27BBggGeGL4FNpXhIpMMkU68ESDimGa/wLw9OGpIYoqJ/tfb
a1trtKDfJoNaHwxQmMPhXCUswRYpGzAHJB/EMNPqrmuhQmR0IdsNyUQ2PdF+dnHdUmb1pasxTCVW
wfyck0rEAbx2YSGooycO0RaIqHA/Rc07jSHLwjBiZu/1vnb02jxmwlfWirui/7Y8ipfONxjcuTsL
GtgDyL8GlDLjJ6v4qIbHkoGLE1QWBJ1hr5XANCQioLr+qrCJAh0w1xqGqnicjgTBr7gMYDOB3Ej7
HFsNLcmuHEWS1SI7y7+f3cem2icgQURhf4I6S/88FT7I4hv9222vEVlZTsyZlSoZDRJZWI2RgSbU
AnWQ8qzL6Mq+3LZz7RHLrsE9gThepB84j6jjqOzkbllN9jwOj/9D2nctyY0DW34RI0iCDq805bra
+35hqNUSCHrvvn4PtbujKjRvIWZuxDyNZpQFMJFIZJ48J1dvK0NyIX0/3OcmhNgVmeVM6WJitD+Z
vddqnxVopf+eZb2I73c4RrFUMOtgtgfgOxH60DatqUwLcHss71lNH1Snk1TOVy1gltRAtW+ZhBT8
mmhxFPIQbYGu9tr41SD/OuRiBaiPQtYWL0sUgM+/eheVUzP+aQHYzw3ZkLBwk/A257Kh4DXvOrUj
JK76mAPvNqAAZ2U+SzHhaD+zFC0pQ7Ketf1CA2yhcketBZ02YT0tErfSQn2sprd68SsddO+y+/6p
fp13APCkQnFloYkCSb1IE2UpdqmOPVLw8oi5jv2HDrYSvwrCj2Y7BZmrui/X+oFszABTc7P7mgHp
3B+YjweeiycsMJo/woCh2z1tZeneCgIIPw0fERq+KPrg6Xe++BozXvmUI3PtzBI09k8qFHUiO3MB
YXfr4prS34YV37cEwtTxvdo3O3SAnjqd+KpWexYrEL4q2Ytl5SyaALMvDLnob4FlSPhNHWiSbB05
aGilV+HcXdVc25LK3Ew4ltMsa++umQM/E04liqTwaGELiiJNksGGn9XNXL5Pdpg4bjZDvMcr0hSS
CfGkGYMXdyDry6EcxlzD6G13Hu3hwCrWB7SbIVefWFMB/unOAeBNjfvmGTKI6Z1Z9IaM5Wnt96KR
ZEHEyQB2RESnhaB5RqEd2zPhqeOGiepD+fHg8OI4Ku1XzqU8DAugW3RftGCg9mzglKAjff49JkhT
jcxZclil5i5GPf2BdEdq1b49T35dUVSYoAFfDVtACyVf53sQOGdFEIJA2Y5aywlboMHjftQCSOgF
Y/8wy8R+1xL1M/oFIWq2mDYI8xmGyiP5qjfzW3YwMMOKrNkMjA1UD7rd5aiwMtx9tjSR3iJuGww9
q7CoTp7xUewAMrydrtlDvwOH6/XogYrFy+8x8vmsgXjhUG4v2185+uf2hc+ax1qoglQf6fpeuaWP
DOzC1Uvso0z/NLFgxmiMm3vVk34DMsTLpr/f5+eWhUeRlrbD2GoRqgUOiGOT1ygvN61M92T5YOde
e25EjCIhHzCYjOXNGroOXeM2evnQ0NFFLvHCtNbNABtpBioJ9msVtFNHsoVMYsS6knDxWHXbH9V4
BwZZj/+aqAvNBf128MeDfgWeUZ88/YdNXXjmNMhVqFBdOT+l5dCAfN3ApoYoWelo8xUvoSw1Xz2N
aExQ/AMJOREapyPcKf1io6JWvxtM+iuZtdtWmcodOAQ2/2FBf42J56MHwBcEcDAWkV9ztlegIiPL
+lbeAHCSExvCGbAjE+S0BDYM5Rgafm8dY7sHHI9sav3QaMFc/tSVt8vrkmyiLXg/JtvopIWwSbme
+3UaX5v9ZIAYtlCCgui9f9nc6mE7WaLgF5ka5qNdAMyskvsovKt6qI5KutkyE4LLRzSOZptxfCnn
0zFcqDVhiFUSLtfPFZ75yyMAkGWxzYDZE9MYTKzDpNeKBmz8dWHgvnVHsgvTvcmfbAXoLNUlbFOZ
t0bqxxbGuyVd7rVmB+go//6K5eOePHloTsrJHvArxnqvElePRheVHDv5EY23WWeCm9O3ooBKa+Cr
TnNid0kKTuxGNZLLsoHdKX7ULU9PdnPJfehQXHaW1QMBMxSoVMzkfhsOauYuNvMQdhQDnOsG1qFZ
9S4MoV6KprsbLfp7quYrDTlEtaRh9T2x0U1QdwGrjR4DJhmFK7jioTlpOmwnlXMAxbCfgsZ8GMmH
Vdh7Jrt/Vz/lX3OGKBiOFmtVTHoCuBZ4d+xf5aj5LER684BRZ7fOaz8qNlk+7MEzdXmT177lqWEh
6FhcbSYdY1WYY2v8ilh7xmsQUKJMzSLJTbtW14EMLXDowDNj7ExklUq7ZuxyDlsOZCbcHs8Lp5vd
3Ez9yepdsxyD5d/XDblJtHQHz/BnR/K+Wt/ok98g5HAQG2rzdMBvUOw4fALd/nCVWTmY++YCs3xq
qfmDwuYtG53pUHK9vs3GetuiDSXBev0Pm4Epwv8rviHCDbUozQA2xw9RLejHtX7f7WL7p9JuEnPD
DDxlUP/BJoFOZJSFryUEitkIBoFtE8D5RSJZ+OYViTmK+pjziNh0Q5QKmu0yvOiqW2HoAEMAy3ih
SC6jT5Rmg1Vhm/mHk2wT8kWVIJWRQ6zFejCgUIw248H4rToXKyNRirJe0gzz0FnFLgLQcZA14lbT
cWuZS8G7FNsl7pedllxzYmRReo8QOwKEndtKtog5qUBnddbLhMkWYLOHz7Es3tCTvQdlPvW0jDyH
rUEkkWk1LFoU7o/GC+anRC00NMxwKdWQjU6aLAhJ+ADxxV2L+SxlaP0k5PdGlwXmmAUslWQLq2k6
yDjwPoXbLsKZ55FfT7KhJwp0mZLyrrbGLa+Nz3RK3Kx9mLXW11j0ywGBPojEe8gG9+U7GsdRMNT6
vjET5GgASNH3ywFsObCiM+ObYKIGJArIAgVnnuymqiBKhMblGB+SHjOyqEyYUKIMx5si7zdhIptU
WvPtU4tCzlSi+zxN8zImFc+VS5CqNWr6zkHMaUoVtdc8/NSWkDBpSgtU2QBbCRJpOnDXLl/KQZLO
rN11p0aElKk2lajRKIxMCL9xXLkcuF16CAHO6oPLX2vtIXRqSnCgIm27qIgwbNVANLTJA5oCmPwR
JsxHjcWd0BUrO0nIXzcJOAgkexGJxBJkPJQ86ZepNjWsYCn26kTfTxTDvRa9CZemV3abKLOk8Em+
FypQwkLNHsWhJW8Xq+tp2FkKMAvI5rf81QBdIV6wx+KaQMLiSgkmL9zT4+gboFCDULo/u+HTG7oL
+/HAn8K36suQfOO1mG+jnmTqlo7aogiJVLLanCINARkslq5qOzecSfO1VWcFrR44lomO+0XIC4s8
m6Fzi4ms8B6ESZviwIKe+qMHebYt2yR+ObiejLh/zXeXjwrc/EIX+Sd2n+SiRYmyQdFgvi237Km8
y6Z+gCQroqbp87REqYy15kPTYKRbks2sLRYoamCj0BADNFxYbF1mSCXAvwNW6duEbNo8Qr4teb+v
RRqMCeIORUkQjTchCVXbcci5OaAg2v1Q5hsWPXP6bP176lgdWmMYMUWVcyEIESIoNASnFFcpDojD
H7uuf4nryHWGWXL0VzMeSIwto3TwELyczi+PloYhU8cJOS69NqPASq6GfDOhGdzdqWZQaAHBI8k6
av3T5Ziz+qVO7ArxOhq1LhqieYmhYI1N4j2pHopM2Vy2snYPna5OiNQx4zPLlsGcyDZKryb2r8Xo
jkJC0NPL3N7wstP8Ks8l43vrdsFEgQ6OhTtZ8BFzyCvSLIMeMyjUeeZc9TaoHGblNlRyN9cwzmr9
vrzStVCytJ7/n0VjiXwnRy5sM96THD0dUjDPiTEIJ5sWXE1xTk0IroLXnVFZDCYcTDJBG3QIg4jd
seG1BAmFvtPzBimz5ECv3RN/1MaXXu/SIhGWZZZmMy+I3aSHoIv5PuSFNyaDT6AZx2sgoo3sqA7T
/vJmSqyKmwnJsTHpe1h1xtu5vI27Oz16qZW7xtjVlVfJpPjWzsLJIkUiG0polygE5ob4sUivIoC9
OhnOZM0jT20I560Ya/Cl6bBhJI2rGK5pgCSBx15eHKY2gIDm5R2ULUk4eFPmJFOlwpwd/Uihyp2P
Qd1JvtLaEwDzH7jH4fZAlVuCEXActlWDRMLrpjTlG03v2Tsmk6yfHJLLGwD18sexcJIbe2zr2Ztq
ptxCMgTU9EPChmNUpelVazrDJLkgVtaO69wGnghPLKAhhZ/l5JSXLZ7vqEDtQ3Zo7NF1eln/fu00
YhwO0g1A02Oa8g8398mBr9O5LkiPIuEwVOZRcSr9jmXmVVJp4y5Ru8PU64OPHO4ahNUT2LKK+T8s
E0hntCsdtJow1XF+NGvbbsoMnTG8sR4d465wdppMGUVb8Vp0wP/aEEIOJHTnnKJcDmXp2EuSOTBa
9JJTTM0Z0y7sxye9td2ot1wO6oOEUA/Cn66aa24CIoYpBx8zRo9a9cNGPfCyg69kAWe/TDhPjp1U
YbMUTWsWUPIygKlSOzAZ7/ZKVIdzO1AcXcZzvoGXrD5tgDbCq1Kvfyf1U1Q//4dVLDkGuqmAN+hC
vtSYahNODfLhjAaA8LYQB5wq38llyK+1I2ESijQXKHMNcfzcVwY9xjFN8MIg4UFXflX91kklLwqZ
iWUrT86Dak5VPIww0TmPFARTXe2rk6Q+JLOx/PmJjSKpe8dw8Gpxit9VEiTF7Vg+/Jcv8nenFr87
MVFrTteUA5ZRksitzFen+Agzb6hlmfKqZ518EeHLc02PmLWwD+bdwSTPcS/JgNb+fggzAckERLaN
CuP5OgD3N+HU8NwZJ3DCHCBSycs7tRoBMfcJfC8OBmAZwhIYcLutybCEwrqi7W5sAqfAnPK7EWFy
3dyOA2qFkmbzGqAYhdK/NpeAdfp5IlD/9jSHIz9SzZ22pqu5xnuxpTczNBZemiP1DUlHYc3pQL4J
OBBa+Ys+1LnJ1CIgtCiWQoByTK2tgnJALmturyQ81qmNb16nQhC0XZZVYbYHxU1/zq5D/qzabgKy
LdnjZjWuo6sG5mkNTw4Uzc7XFIeRrTUjHr4dtHnU55G7vYvmmgdikg3HFNgy/KVctZsUXH6XvWZ1
NwlEQACtW2oPgtM0EO22OoKIx7WDER3K8cPhkirDal6COZN/bAhOUuSJ0eUMT26o4bp8xwL9PTx2
G7qNXOuB+Zqk9ri+JAu5AKqhti1SYGSVwaNooa9xNOQbP4fsemolJkDsiy8iVPSAxobm4QKiXaYs
zr9YG4/1lHAF4xUKr54hsWJ+mmrSvxhOVu66MtQ/0ian+5DHyo2dx+0hzrQsiIlp7MJCjfYsrtt3
YwzVH1VchDtVY/MmVkyGupZVkG3Rs3AzMr07QP+8N9zZzuf3ZGox2sJG3Pf9aKilq1RO7WdT3F23
PIWPNBa4LJtOv24mW7mtq3BsXdWZ5m2lVeyHHmvptZV15X1YNuPRiHl7lyo1JtUsUAkhh8jouOEd
ZCmZqn+C9a0D37rRhLqrI4F76jrOkW/0/KboZ9Qvxpyh21RCN6F288huHHcupualtRJji40bHpCs
sL1mVloAxoRoBlzcMXZRORYlGp5VfeSELL8sjPc9prF8very3J2MKPZzWgybyjLrDSCZNMN/lI0b
B1LxRyvMOPPUOSKAts3OYbCaBT405oQHoZFOoI3LVOOol2q4YwOFTnrZqE3jdtjEzZClxDchVfk+
alam7Pou5V5nmz3dxFbPt9lMrbesjQBkUVXlKUby9DGHTniLG8gIFC0iHXR0DZK6HBoJhk9SZkCh
WE20VzLr1E/NbjrYVUveurTWfxkFV+8GO42DAmLtqFaEepb6Sl6kr1liDZXHaJF+5aE5HmKiZC+x
1vf7ItdmSMdP2TX+9+46chwojqc2uQ6VSfuFTCLaO6MeX+vcBJ9Agelrt0Kz8ZVWunU/5AwM5LSr
SemWhpMOmzBjLN12ZaTvC71p75OYVBvMI9PWiwmZDphIHz7sPlIDWGtyz+Rhvh1AvgUSMm6mdw4I
nG/SsIpLt6BLAk1H9sggBPBQ5LNV+HEZlfuuqKp3ZoBhzK3bMHqPi8gaXa1r8HjjWkmfYygtbzB6
UR7CTiVPeVeScG8MCd91iT7fawPJN1kymZ4SKva9aVfhvtWQjG17A8CQoOqqUANhL7p+mG7HdNM2
bZrxPi37qXfHlIbHwVSynRUqIKvgJWggbYzYfbZ5DKHQcIEMW1FoPjLNbHIfo/hQ34qN8VFnrfZB
Sxp7LKVq64IQKn/KSV/9MFPUtF09t1oHw6pR9dqDLPDR7EwOPoKSkG2nGNmVM2BGb+76ETy/zfCk
V5Neg9GzLn6P/TAGGmA0T7rFwcmbOoAquJlejGWQcRo9kiQEcSU3I1CzojLypE+6sinCDjmOWqgp
JhvCcXghNRv2YZqBaDIfLOtqKPXwhpEWB7hQzRGnCHquUVb2V8OQqO8TtAxdPakM/HTTCTN/6gv7
JqtRUnWhqDjuq5ArCB1WnUxbXs71waiV5G6KZ0jEUCOq9okdsQ1EzUHjZ85Rjfq3OR4VZPVfQPgP
z6VNu33mpBSKJGhB3eYokOVsqiK/rIv6B3PC6AbRsPMV8AV/2plebWaDKChO5GPkNnYJOaZ5mtgV
7znqBnSywi10LLLHEeF6o4K8pQdvv8H2BS2rDaqBybVRFvGDEk7RzoqIieOQlDhIVtQGjOTjVTrN
/aYAMcB7RhvFNaaoC0BVbO8G1e7HBZPZ+3U92Wg7aTqUYuwOYAdjsp3b3qgGkHbnRlD0iTlsS8uq
qedkhjm7oLpqKNhVeNX6etSkESpiNTBRZgkqRLc3SB50Nm8JZL3tJLC0JH1yYoIifd6MyowQZtaT
NzfGXHpUbZLfkZVTBnaRqn2pChoGE6nLd9sI210fpclmMtLmnTCl3VWmbUPosGuD2q5LnyybDr6P
8sFRZz1zBwNAS9tOinvgqewja2lzBY6aea/BE5+7TIEE07/PDk7fKcLNrVSIoSCSXSaOgwpiQ435
ojkv/zsbSy52kkLGiU76tETa2jaHuHut6WMS3l82sZZ8nyzjT+Z8YgJEMqBMqWFCB10OENFd/e/x
PMg3KGDBkByz8JXO1zBhXnlSM+RvmXbgY6Bk3FVDWa69JIFiynFqRPgYPUkHW21hBBy7PyDgeDPv
FM/yu82AUSyv/KHuLu/aanJ/alD4MklqOkxfVjV4GkLQ3by766+Au7ojW4jIq0dZLrqWU0FoSVUt
UNgYVJxjUR1Fr2iLxG3KgCcZ7hzlvjOvGYQKZXSzMkvC47hC8IhyCFV7k7o1oh2rHdew7udkW8j0
ZFZfZeitGQbaMKCmUIVNjNPMtPoMpsL7+NbWMNTt9ofW43pAvkLJY3kt8z2xJfq5rpVhlcew1Wu+
Y9zMxqYf/stRwgwpumcoNULv69zT69HSUy1Ec70tr01auG0mWcNqIemvAZFKLs3bwnKipcTTP+fD
xoquinBryXSoV3cKiClMMUEDC5/mfBm2yvOq6ZYHnr0dwK9RJW4sq9atcXycvRH0cyPESMd6SPBG
AC/oEQDJt3Z/OwRQNrC28Z3l216UusNbe7Bcui1/5x6ui2dDc3cDyneB5Cwv7xExeJy+V4QXZsSV
KSFOGIOo+mHmGxWYJs1+1ynIx3cDzpdSusm0MfrNZbtrkRfyfPCUhQLz28O2hn5loS2QVKXZViBw
SmuZAvficN8WdmJBOMqsK3VGF0Aq7aaPUvtKgaWkauhaBH1V/pOm6Z3RjpJ7cfVUG6qpA9KL0X9N
rLU0cUMaLf7zaXXQzYHOyc13TgddPXbLPy/vodSYEPirxo67UYGxZNHA5nuz33S4YRxzw6PdyF9D
4yuufkuMLs4p7uvpCoWDDnoTtJhACOFF3CW7+is7oHnhGT9VPw7Gbf4sMbes4bs5PDzAsw68qFiH
MNSqYqGywJfua0gqpvtP7rHr1sVkDXT27sJNs0ery7lht7Ke6JoDAVz4j2Vhd2k9RwxCwKhcp5ty
n/5mR/Vn/RJvbUmx9A+T86UlCjua04Rjuh+GDGjtPRYvm3nLoQiM8RjX+squzQeI2Hr1zUKccFM/
y/RPVisWEN4D0xQoawCpEyoWja3UulHig14XD+2tc2eAY3dboQINhSLmxR/F3XQ17C3qy1iGVqtb
p5aFOGjSqKDR4krtm2O6t0iRta3lE9stfjoRFPlql/vNFf+EuEPuyTSs1jr6IET7u24h8nGFKLjs
Yb16GfA+291qtpu+DH55ULZ8I5v9WcssFlYXDGEBP4CKGvz8JNXkTZTq1oJVL8IbDopGa9OW26G5
DmUNzLUb7NSQEPf6qZ5ov0DIlfqpq98I23eqd/lQrgXvUxPCJRlXcFe+hNbZ3oOsYcs08h/yZoA5
0LVceI0wW3y+WwVFBU9fwLZg3BkmCPQG1JSUi1fzib8tM3ECQ2uyRtV6NKaU2TkOTnpoeeJrBfdI
rPuX92vNFGTAwCwJmANofYRvX5SzE7EB2JEowmQvwETW5KZFoEk5Z9Zi86kh4durSlwbWbsYatry
iLpdcshRNwrstmnu7BpiuHXfgYHGggayqjW+NZub1OLE6wwuuwrXHB7duEUi1QIkS+SvT1syF7OO
R4KdbFQdQ1jRA1OvWkyjj5qkkLzmj6emhDiSl3qFOA5Ty8AOJ/dDJMMyrVvAECVQzVBxFm8hkqYZ
SK+QQLfNtixuSC/Jnlc9BB3q///3i3dNTh2tHvH3V/lX3MU+A8VLTu2A8FLii2vDcmgnIOMCTAQo
FXEmFI4IzEYNU05v+ZjaQaKgbEwG5U6UBdvZBpbbdnXGA5YURwwk3UzOsJ+bDsXH3o2hnEpmFfQ3
dNdpN11IUVuU7MXavXv6AwUnbvuim7tlLzrl1bHuIusA6fao8Kr2UJU7IkNYrm79yX4IwQxlXdxD
HE2IBICPBrPXVjlBkWnHUIO7HAbWIvPpwpZfcnIF5JDCU9IJC4sxEUGeW+VGVYPLJlb99K9Kqein
g5KbaCMBUBjrR/BLoekuRTet79c/QqiO4KqTVRioM2O/OkyXeFHmdTf5hgV2UPnWbbdX/Pw3f+oe
HUm4Xi06nAiwildCP9vgHVq+E+hf+E17p0MREsqJX+pR9xXol5eejD1wNYL93UwqADd4ntIC8ExA
/rgKJuKnxt7k6VvaHJVMNlq2mgqdrE6EMYYDVA4iCt9I9/ORXBEfZdAb6pUB3zc/1Z+6ax+nHQbL
nQcZuZ3EZagQPENMHw+VDpeJeLkrYg6eonR32SvXHf8flxFzn4bo0xiH2EhqdVvoxqFAnLupnUqc
X/a9hMBR9UkN8kPs4TQqALe4dt67VeIb/eMQp/7lJa2M4hBzwZwaAN0s3Xsha4bCa6N0s4LxNaCE
60HdKSrd2CoEnkxzo3TkeeYDuG2g8qQ/9SWT9Bm/fzRYpxhHwi+A2p84f5ODVGKGuChG+NjnEDmu
3sjYnr4fcwK1iD88t4DV4Po5D1Zpz8aK9CGuiTAwon2lXY2obudvkm1cztD52+fcjOB9cAhFVdBt
8NSXUg/YM/lEv8IH/aHBgBq4bOy7G57bEtKwMY804CBgq7f39YhMobqljsQHV3rai5ElywcFAprb
y484CfJNPfO5bsB8nJvjJoHEn8sY1Ty71aZtSxPg6AGJ9tMCQwNj3I43kNdEQqYN5qHJuvu+nSfJ
L/p+KvCDUJBAB3mhQRVRdoSHg4EOVurV+m+w5LqZcxOqyl1HB/Dwjv/lWOA8AG4HnjAd/nm+fNI3
oGxfiLJKLcRQZwagB1pCQVQV1XvPrXiDmfHbls32DXDp17Gj2BheSySnY813DZDcgPvCwqcQr4oh
Re+Lj5D9STuKtsyelx+x82bZm8v+tLazoNo3AF1evrnIVTcUNemgQJh6hjME+pjijZz4UWO4KXln
oyF5dK1576k14aTMvd7HcQ1r7Qwktq4HqX1XjZJaxB/3/HYewZcLbgqQVGjilGNoOtHYh+jojKU1
tMgRM6J6zMqMp06b4i3vxuYHRF/z6ArCLggNPE6AWdLwyNjbdlw/jSRBBbFVbOOH0zPiA687d2Ca
yZKDWk15FCSzglZ001rNUx1pgCI5CVp+Td5OAZut7Fm3WtBEtIX2pLaG8jusC3uXdqb6bIZhtUvb
KfPjyJiPETcyEBOHYeQytB7vOlaPMvWS9S3HtAXkgBZtAOEs61EyMptybEY2/BxGa7xz7P65iNtC
ltws0VTc9mUsDcNpYMoG0Of82MSQU6iHhaOsCAfgLT6bCSoHVzN12Qh+5EC3Dz00tksZ+vh7qo2o
QAkq3ZgRhiyz8Mx2jNYOrQw+ZbXPc/c4lgcWI+d3E+VZrXeajLFppeQCETCABJYxHggmiulpV3Rl
BkUTnJj2GTnUSDw18UMetIlrx28k9RisWjeOjKFj7bo8tSvkrLGOOs/gYJ1O0265Pe6GSabluRYM
FqYobCbYe78xStbt0OopIBwei3dls6+G3VRlix5iYc3/+h2BXTwxJUSCpGBQIAHZjucwTHUza+eY
qatm6X8Ib6dmhFDOYmjG1hHMhJrhluPdmLzRrPDC6SsCLuByKF0+gOj/0HXAMCwFo5dhCSdt4Txt
8qHFSYNKG32gMXWpeV+Hj50KciQZ3am+5g8WSIowRUyAGRar9Fql9FVNlksamjqt5tLyUZ/x5QKl
um/CF6jaK8Z1x35MhZc5O5L8bsqbyC7BX7t1+ivV+KqVys3Kx3Te5ZbPc1mva82ZTn+f4K9W1ZDE
ZIjCAN/FqtujFGrfk+az5ZKbcqX2TIDEhNrXwtmlATt9HnhI7TRaZGInaj2CpMY2ncDp6lZR7bbJ
fWVNfqQRN2nzIC1qt0s/SoK2m5dWP01ySMaX3AGYYsQU+P3IJPfdaiZ1+tMEN+/0koDsGptQZVdo
omPzAwys1bFP6FOcbazY75NdAW4Dlvm5TH1xzSERFimIEzHsZYljysm4TAn2Oc6YDjl33b7LzZ8t
CN0TDdvgkM0oUztffVAs9feFOwvLFn0y7i1j6Gwct24KqHNPmJ93r7n9FPU/OnrPwYaLpLhhkoO3
esWZEIyHxgkBGFE4eEOqTyZGxFNviIAM1hbWhuTWqg1JXrFmxkI5F4BIEy1i8b1SVWDSA71h6s3A
HIOQ0w0Nb5CxW6/dZqdGlrTwJPVOmpLmIIPAWrT3tnXNdmtnGxI9DeYuC291Gev+WpZ5am45xCfm
qmoyGZ9gzjJjz7Fcg9yMkB2lspfYWjDAxAEYeizQiWJQ5txONyk4wQUuL5L0kIzd1/NDBFC9of1I
Za/aFa9H9oHh+KX2jrlNwRugDR1n3IApHj9arIaiMRojxS3DnAjxgPa5HPRXvteZNeF7DbHOUmWE
NUw1zlXhDjSCZBaaXrqbGR8AZEFH4d+7+5lJ4ZvF0OLOzR4m9ZoEatv5Q3Gtyhxj5YOdGRGi9zzE
cVgvmTobMrdKD2Cxxra6gOT2leRc6atfbKGPgB4NBohFcacsj43UmJY9TB/5uB9QGcsJ5E59kwVG
/sRjw4v6ryb/4tYxBBMZqf3BsFyibhxgVvm+ZZs6TH2tCyAV6Y1phymhDRK0BCQe0e1A/31OgSmE
vz9X2BpcN12uc/z9NTp6FIoYWr21q89BcQL767J3rZTUlomHv7aE5LZ2ID85L0lfWH0Wpt8orxwc
m7R1k2ivTkHNNyU5Ui3Qi7sWNeYJFG36AzXf0izalrIbfe02O/k1usiRA5KFcFBV/BqKbUarl4Gr
yjMT1W36PRCsbji8dfW4Nc27PPOHUTYGtxKsYB7DyxbBJYM5wPMgApQjacYl0w+ru5E+6TPmeovD
GEnyiZU4f2pGlEVW5lChDYeZvHnj9eCzcpdX+X85xH/XInaWTEOJRmhlYCuVjwYAyo4HlqzFuRab
FrGPRTLQRgdSCBRaNw4pCrKoilqfabifU/DZ7GsbMIvkqihex5fLzrq2b6BnwRMQNSOodAmfR21V
SFexCeduChRnZzqPsyyjkZgQP02pD6DQLWGirq5T9l5ZgZJLTve6CYvq4M5BrUksNQFnPLdEGXB9
zLvJeFXjYy0TSl01QaC+pqIkCQYg4btEva7Vs41V9OMjBL6m5Agq78vfYgVWA7rUExtCkJpMDEVg
/gX+Vb/NHwbYUqHbbP7S+UfX36e4Fs0uk9hcXxaejUCb4EEuVg2rsu2MAuocnlnvGfvNUQIhPy4v
a+2mAIfxPyaWCHGSroSa6mQgUQVWNwwGZYc3jenH+c1MA72RlDNkqxE+Ep1YGhkdTFGwUjJtN/AP
KH9dXs7aJXu6HOEjJd00NJoKGxWfXJ66hv0yOZlLtSsiYx1ei52npoTDqdlVHWolTA3FT005pM3v
csS7e3t5QWvFEaT+mr4ofyFJFt/AczxgZAYT2t6E7A4jYZjt0dyw66/syvJCvcbDuLyxHbKdzPA6
stl9VElmEdeC3ukvEFykhLQSZO3xC4iz76dfVv+kE/CeHyr2WTgbrspWvGSuwqsfdDpoo4CkbqFB
Iecu2dM5GgfNxJOnxrxN5Kb82S6CNDyMxuyO9JWggtziKS65P/5E0292oe+NMw4cCWS6zu3amTLV
YWGBot9tXrofWUA+iR99FVCTcPkepGXsK3KL1/bauZoktleOBmT9IEYHIjmMoYl3V1K3VQggxp8Q
6Th+1m77MbjsSCtfEXqVyywpZt6pIwKLy8wux4oreJdU3GudjaVuI+KCs9k1uY8kL5ZVL1fOx6nB
P/H0JLJYOoYgyjGE2xixm2IiaOb7uTvGRAJ0X9u7k4X9eUGf2OlVxhwjo3iTg5/SsVECHt3mPyQX
Z4vRBd8oOzPPkRJ7ETRGaegR+jrIpgJWYpcNPSrqLHoJ8ITlz08WkljKnJEE/gcS2mNTdJgmja/a
gQfFIovcx5J9W4n8Z+aEUMkVlLoUFT6X6l9Jhe65rrmpEoAa0sFeyqAyMmtCtKzNDolODmu65dfx
D0gLuUa9GxPf1O+T7vdlX195/xjoUiLqIa/FC0jsV9hmSqu2BTz0Cozw236DEa7tdKj3aCzsqac8
c8+4ZUdont4oH1CICMptfPQRcNwmYJLe13f3PP8pwjaramjlnQ08od1UKIqBcqV382JzecHfzxqM
YHoVnIGgXgRs5dx1zDlD13lc4LDgUzc6v8LgVmY/2Mr+sp3vQQR2CPBBoCu3wNMnuGg8s0ItOexo
2u8EOCQMOlevOghKegyZ2IMXmZKXA1kO1nlQPrcobB/qv6DRDmGR3H4AhPfWBI/xnm+74Okndec3
/vAzawLuNR44C8oWU9D8WLrpoXhkmzkgASp0W1kz9/s5Pf9Jgiun6vB/SPuy3cZxaNsvIqB5eJXk
KbYzOUkl9SLUFM0DJZEavv4u1T2nyqYFE9XnoRsNNJBlUpubm3tYq1LBKofNDldNueXuXdt9YCJV
Ola+kPw7R8Kky+VnBUd03ZezGZtNZ+wssK9sUdpK1nYXRkdVT9N14qLRsi6a6qcRW9FzrDrxxmJu
9nL7uy+QA1/+EsHAlFGN+n7mMu/9BimZVey7q+57rniPY4CR0iDB0dmTrS05PItbDRa0mSMFmS4x
Dxk2bqMXSoIGO3ps0fyWa0+O/TGYAW0k3nDRss+Q5hN25nwLM1Wa0gZS1teBi8ieWpgTBpk5ZpD7
L9x4MmRUx4tn9gxROEuOEUL4XgciZkqqfjVpNtSzHsL6PxTf8e2QQkbhFq98BFSXSzOGuAQbGoAU
208s31Rbj/PIQ6K1YZ+h8awkL4N7DxG+2zaz/O3+wIosUOBFSyML1Li+rgZQGvJAAGW5q9JdKTLe
2UUX+3eBYtONGjVWW1RAIsbKzI/99KiO77cXs/D6u9hEQwgAVEJqm83d+K3JPbVaFSi8dlOLWfUE
IlyvPPXIuOOKxCplKxNCYSWxFT6qWBnXpoBAxWgYvoZT8s/R5+XajEsDCd2yMOvZQBJ9H6cnBkrO
TMbqtGjtuDYwAOMgX20I1l43RRVOLjCo6ZVT6jnQt2KqFyMLevtLLZrdGZBwYWRu2YXqfJAHlK4M
8iOiR1dfTY1HZcNKCy4DFJh4p9iaCp5eW/g4JGS5C1p2BO39yiwfeBJ09olX92hnyarALiRJ3QVb
sGbCcLDU6XNdTtjBNNYj7mQJkmjpwVYfc/O9+PcIFFXPMwhh78CgbKX9iNpaVj522mPDX2nlT+OD
xiTX+kKp9RJJ8EkDRRqnmnsomvfsm+E3aPzz+Fvk9+vooN97tPcNL/52hxj4ob3TU+/zU/kqo9n8
TVcqxBYo8sItIm5CD42YXhkdJEYHhh4oVfV05oGH4g78GrmXvVWbfF/G/nQ3fA7tWpOctwUTvcAV
7hrKUFy1OXCd8DFXTin1Hcc3dPDUjtvbh2HJbV1ACUYDIR3Hri3ss5N/duTdAoGjX9Wj17KjSt/U
9BiFTLK6hZN+ASkYUU4Mo3RSrA51m159n5RN4x5KWY/K/FdufTvBgPiYtdPoYGGu+nPk30AbELrP
NH7Ok22oSU7e4orAmj8nMOdipXDQFda3MSgT0J+CjDxHsTVpwQFx0GWM+Ysn/AxH8MNZzzU964AT
TQ+aGYT1C5fFrvOfELcNBg8PMtf3TTGALzsnrrQQ0xahBmkp5VOX5ZOXATC86YAfCPpownfRHWSL
7Ak66pj+AR2qdppMmRrGIgTSyHNHDSSaxMm0LFbNHouevdTPqn62QLB8+9Qsfe85T/2/ANrlfRh3
qjZMZYG0a/Gk4J7Ssgc7f45lrFFLn/scRjCrJqUcUQvWEbe7qXyzqZeGkvO/5GnOIQSLiqM2iocM
K3GqN5J8uCABBVNJBnbzXMYgvvhVZrY90ENjrEdkk3Qyo1dbBY0KZnIwutpvCyr5LDIEYTEZAteq
mrvhwPygIy9Yy2a/Fj/I2RLm/3/2Bmi6GlUsF90dBKTExos+Dn4q4yVfxEDj4KyWi+qamM6Nwqmk
2YDOimp4ICRwqoNefN4236W4BA0VfyBm8z5bRt6AO8uoAVGP92CkYeBUQy9xfaQETFMUjDYy4dYl
X6yB/xgMWi6qReI9iqYVDP7rqLzF45pabaCBsikfA2Id4J8p5PVur2/RqM/ghPV1GMyx+7lm6jSH
Xt0m9putB2OzrWXaaMvf6u+6hMuz5w7lyQQgNny10g1FvULGTre4FnTAzJq3c4eb4C4d6hZQ5UTl
W69f+vo1iXdGhDbwU5pKIi4JkEg3Co0QVhQUjl8Zt7x4wQsmr32O7lrrn4kkEUr9XZHIiB1pDpra
0e/tW/EXklceBK/B8CkxgUUP7aIoBjpMyHyKFqdA+i9N+Gziumeg1ts4gcIghi55Syx6nDMYwdLU
Lk3VOAKMpjwR8k5JcNuSF8MzTAPgEzszc8rv9oCzo1qlVlqGc4MjncCYQ+K9k2aBnmhbNe73Sn8/
lCV6YLWSeqXbSkplC70HBjrUUeADDRFSA2LRNAUJmu10E1zRvbovNigBBArx0CG10QcvXOGRNkgg
F6YMLyGF2BCegtG0BaS2KXfJ80u5i1pP/eL6NKg/kUnaxPfqk/pV90nQEI/8vL3dS1ajI+wB5zFK
aUgYXDrGTi9cSGfhsA3OQ5Xlnplue4JWvt1tmCW3gf7ROX5Aph4aHpcwcQcVoNbBCajUjRb+4uPD
aMvqEUupQbzG/oCIvCdgzGK0sAHCMOFWQWrCOYbg7rQ3rumraJwqn1N308pYYpcOxDmqkAaMRh3d
UTNqW+4TcAnXxpfbe7f4iWwcBJxtxUXf7+XeNRqf6qnGgegGYjHfsNN2o0MVHLThdmZBjYQpbiE5
hUuuEY3uaHDDGZjD1ktMTHqCJM0a8JRA343d3WPwgDsv6HTnoYw2dsk0fve5o3CsopVu/v9n593K
nDHRix4Nj9Bvz+oeXHUIL7W325u4hII53v/dRDHzhs6vNnPmTaTVt8LeUeeDsfVtiGXPdYYhWALt
eUjrCRiqtYPSitc3JppwH/PucUIJog0DiO0p2uo26vwlxNeLjvQROhExynbFWD7oE9TrLIBCgqgc
PQzYpNxra0J98Ks5G7PXtKAGpfmRdCGy8mOhbm7/gEVTgatGLR5czGiuu/x+eU4cneX4AQZiw1xf
UXiREHovJH/TSknsvngU5hI4SlgoY4m6REqhM+66DOmlJgmmtFyB8o164ItA4Gvakgt10WTOwOYf
c2aYU1Xm4UDRzKDUj6Cq7PrXTMZau7h37swDhQ5q1OaEY0ai2M4hUwaLoeWGZsSznW/IFGAYApzk
sSlZ0KKp/EUTp3SpRTt0z2JBY2KcYudjat4jd3pCCWWvlA6CH4zcgTzptnks329nqMKpaEqHGvk0
n+8HJfaj55L7cz7p3l1N94mf7KIXd+OAZSvog3gV3lc72dN10UGf/QDt8jvmESVapOIHFJhhmONw
LkvrL7RJ4A4/gxBuUZsoBRlS7OywVtfmKX6J44AHxh3d1HtIVU+xb9/50Yfy3ngYgZX4nWUjAucP
Rhbx3BBT/UVRgzkxBriRfurQzZ16Twc9Tvlqyqa8ZEjCTqI2PsTtfCKYghnMFiJfvp48cY7miY/b
VqNfv58QhSGKtfF4Rq+9KKvURCmYN0tlfqWTNiAsyu5is1LAFOUm6ZsWKtOH4+buLtFZv02NMQsa
1vW9V8/z2VE3hR6dsvhL2dTKYxlqaRgofWfmW8xWMzTsQgv4rhx0sERXo6UHthbXP1nKoz7QSDH8
hL6E8SsO0fjaGgMkKPvE0r7bvDF3JchJ9mPksMEPI/SXM7dRX+pOyT7ClsKYm7hd0yJpiwMpmXvM
FF5JXi1LO4PcuonBqbnfUtyZiCkGJtys3LdHkmyINWkri7q7um6ana5X4CyFmIo3VgaXMM0sBMe4
PyGBBCFe9A9cTcAkRY0hKNtFpPrE3lwPzUCaFwfKbrqr1hVEEl5aibu/PrmXgIK9mdU82W0B0G2f
0Pjh2Zbk8ry+Ty4BhHPbGVHnENiRj8QcpocqULiFYDBIDUk4dX2VAAejQ3MbC/5DbFollFOWqFGB
4Qe6Yiy7L5FbZ7yRvCUWsvc4NbhG5ucLAjexZ6o2wtQ1KrSJpczvV/W63CKXkvr1HlTOGijy4BHK
jXqKvtw+rUvbeA4rfKc87VQjrgGrtncT94n+c6yOeShzPwv8W+CJw3zH76gUj2bhKkFbP+9obMAe
eFNCkzGO+RHHvP9MGGm3isGQmLSyevjulAa4NoYeT2FId9WrkIXkrkJ+9jHPKiSrO7QVvTaJkT3S
nLDvtUv+nSsCc84gTse/rDkHNLvSs+ChLDi0I7IenB9OHyQE7mmQPMSvnfE8BoieEzBiYghFjJv7
GNS2vIFNaaPfoDe/XHGmocuLe42qS7AWPvDM/gV2InWevBVfiVwx6pyHaJQDPS4vvzbDQ1etUtkw
+tL3vYCZ/cHZpvG+p0M6oqNs3EAbPvc0v3q29/lD+Igb5hOFhizxtDXKygGVFJW12UQvw2jsJppH
kDpHss4xBdMyUGQIswwrVE/mybgDV/kq/W48fTfv0RbA/WznlB7bjoWHiAWdntsUnJfe7VO04O0u
foJwijIT2tzOOG9y+WE5x1Q2DLvwPr5co+DtUiXhoN8GgPlDT7wu9P6/RkKieUq8Yt8tSW/zwljJ
JZ7wOeMkj3kaw0LjHTtWllcG4WHaGMyb7kpPfSKb8QvzUv9Nf5GFDwsUOJfQs0M+syRCcj03NCy1
eU93SKs4Af9ieJicUmdD8rvnbP3vd9XF15uP0BliPPKJ58ns4ofSU8gqGkrJIZTZh+BSUiW1umJe
U6llO4un26qWrGH5mP89BHPocbYGWoPZeRqxBlpGa1dHwWL4YnVeJytULuKgkgzaTyT8EeVd4phc
rWNeAKdQnyawsEfOt06/h6K7ZMcWrl0IE//FEQwQJBPt6KogXorI48iPbf+FMEmgunyozjAES8us
UGsHDowpek7DDGy+q9JOvaiHVO9Ra56Scqe438b/ELlcLE0wNwtNjyRxZmdh+Mxs/RoJRBoeddmn
km2haHRxNXYuw/IgyWXWD00EzvwsuO34ZBiC2Y3VFBYaNCPAwfU8OduqB8leLHGuyx7B1VDbVywU
SsROduZoSWS02DDqRtixwEVRfPSavPRt5XVE4iR5a/JTG5ZeqFaY334hsiBwIT8Ep+S6FvhWIG8G
OdFLs69aWrS8gtkzutbtJ16sSzVaD9QPC9dT3B7NdYdc1ga7FBOCdWnmCoCVIkMjfMHOjK1mTBDj
NsEQhLv6+1R4GfVcHwMnD6ZfH5VnkEDJyPOWHgsXsMJHTYmeYhfQNm1t7DXfDuvI85r94LN3eqJ7
GTPskkc5X6SQSLGtbBob1UZiqNjWxhFVD6cNGpmq8fybxSDhDMUSek8bt3BQCAeK2byXdWBMR4eD
9LmFn4RMyPvtU7EYkpyjCSGJSugwUQ1orRdthgC60D7oz+8RAqVesUF0rb1HQR3Ezyf9rvHzNOgb
Hz13t3/F4iV+/iuEqKQaWA1BEpjPhGZjLztO29aPT+7ql7Zr16HXbGqIAez3g8SvLvkEnFbVAA3g
3FQtWO1Uq1nlKAgF8yZoGnAs2L5NniVrmw/c9ff8CyLYaD+poNQZsbZuzQNzy+4Ln3wrDtBo8fim
3yIPLQGcP9ktQMFMWaO6WqsCUNuo+TrcDC/RU/U+TMgYe4onmy9Y3ENkSUHCiUoaGDMv/U2PHIBL
53gvKRE8HzqUdmQvzmUIvAjAmIVEjS0sqOqbtE8GuDQDegNokhuyCGO6kmt8KfBx9T8gjnDsBie2
0wmquyDMfwlLAt5SGX+hZBkit0ePN9yYFriBCMVck3qw2F0o+xqzxV59ewNkwBZm12Ydz8uvUYw2
7qU+xSrUgzIEjH9we61nu7F/k1jZ4mog2zVPxik6GCsukZie2tEY4uwwf/jRwUUUnr2Gy/e0E8aN
/Ppp8FvJ+2nxegUFyB9M4Sg5pdZxK4KtDWvjE4rPKyeYNtUhv6c7ELqvzZ3sk82Wdb2dfwEFy8vN
rrFsDkBlEz0Xr8kh2w2r2lckPmLR5f9dlzgLbNZJbPUNYPjaXjPQca1NLId/3P5kMhThpKZljLZ3
Ou/ejymInsIDOtEg+rO7jSLZst8Xzll4DyWSsMt7oKSHcFP58Zc24CtMTkhaAxfjnDNbEOMcphpd
lA7AMZ5UXP3dvlkhIfkO5b2n2wuSGPrvjtqzBWE8oEARH0CWsp3CIGp2ofZ6G2Ipvp/LWhg2hZop
qPUFO2NVx5Vu1txW84+a3CHpG1RQLLOeQ3vtuJtM+7SVdWVLOkYW4hmggnAI/kK1MSZ+eYTNmIXW
TKXshxja1kC1m4SQNgJ/v+zcLtxIc0wIYQlQbmPETrA8NWd5CzXYwm8ttqp06oXOl0p576vBs0N1
BZVhyE4RtmkhVxdN2ffbu7vg2S/Qtctl8ixTiJMAvcKAYuncq7K8zuI+WsjqwBciVSw69tzmbQfG
ciwP4XVGPofhmcTHWBbaLxgiAP7CCOvoYr1LGhcwenQALxyPt2a4/g9bdQYhPB4mDXrMUI0r0MM/
BX2reHX0chtBtoj5Y52dJtJgZkSf9wp1F0jVfcYcfS+1ZHB66V1gzTxRaATBkPZVYQddIBlBq1Lh
pxG40qC9BwpFr9S9srxHShd4mGTCDEldvQ7sNfx34iPMi5+hz/ZytkZwLPKUKDC4gqeb1rVPCqf7
uRUl0q1V0+ZBCoWV0pGJLi/c/Rewwo2c5GmEvCoWPenPbXjIzeOgfujNV/3fFbSRErbRTmEYEPy9
6p0r2h7Nhoqd+gkUMr2M0fvCIl6uxBL/dH2VgJPQRYPerP5zTZVqdox25WhBratsMVx5rIdTT0e/
13cK5rQxYdhLik/XxgnKuxkLRGM4BWKlfKgLCwpnNlif0YqqvmbxM2k//tX+LyDE8rjJoDEXVoCo
TbZpjHedWUE7BrdBFgKlGcWFNK6DmBakO5cWGKpuh+QXaF8n1Ss+ndovPl2v3rc6pLI9+ys5Wqcs
qLa3Ua/97CWoYPYjBrX6fgAotfuVlbZBL4vRF16rgEBjF0xCdTAQIFwk82hxnFCwINNV+YLpYr9Y
p2hocw/5rrW8yi+3Ovq5N7X/1HsuBpDdg7m7vchrX3/5CwQnXBjEKpUEv8DmXk12prbiOlph+Ns/
w4BHeq7iOYjl4UwuPyCOV8FdlmCB7NV09/oALusXJhODX2gpcMCMDBISUwOvjvr7XX7mqZRWc2mR
F8g1eMVz9qZyL1qlqg9RYy+5SzZhkHs6NGeOfBWtixOIYm+vUl04cBf4QtxD80lrXYQgPrub1mqQ
r40P9X7E3E/+6hx/2ptvPyWA14/xiwWLkTZTpqZIHQCGX030Til+9sb3IJxcmUeGtorP1Otla7x2
yyiUur+bmeE0Iehz+SlTZSSNOcBimoCc0kd6z0+pHVgHCz0i3rRxv6p+FlAwG5jSd8WCsSIVOfcq
mph3Rc/pJbRJRohehhGsKA9zD7rjz7nC7vuJtDtVCYnk/C8t9BxNOP+ZbaYTRHxmRQDItBn1t6HM
X7Tow5m07dh93v6SC5aDYQcHtLWIWzGLIu4qBG1DSvEh3SryB+XbMDLPqk+3QRY8Gujk4WlA/olR
Q7H6OahDV0FLFS8mC2UGDzG6/YQQ0JFY5RIMKC1xp6I7EZVW8TMlTpHaM08TiNeDBAGLlARi4Sb9
PWgHihWwrF69L8bYLVTK0T5nh+tseo+b3kuTXY1XhroGPyTKrYXM7JWFowZPjbqxBReGqUnBV8cT
Kdw4wlCHXjvt5ClGOPpFqISPg27DPuwYtQUvNmvDtx3OAreHwAdVHaReUAwAnytBGar1jZ6gBppM
bb/re2K8FWGLKD5ReL1Naz2bAq4jEFEKq4s3rM8x8swRlBzapmcH9C4091QdI7av7cR4tCYLHnsa
p7XWjfHe0grlqzZWzn5InHbHYMAJJhILxDTGZKjUt1Crxfhq5FqfhVINEMl1xu8Q6DOfqjYsTjFp
sy915rC94WbD2gTGU+1E1r4uSy0OisHld0ZuWe+cxnSjZbO+b2Em5RS0nJJjlTg8mJS8jfyxUfi3
ubUeI4+RiuY0a0LE0/R28diXTTftQRDeh48uUfSHdHAd7vfo4O08UOhXO9uMx7eaNfHaTjha8iu1
0wK0BVgbiEJhZDl0MHcYRGxMe2/SYvKQa6XyntEpfKq6Ngn90DbpruAkDYyiUa27Ni2ZhwJdXO7L
Oqvu8Bkh7qy72fhLo1pVoPcrK14SEMKioIDJvXXZtsln29FcWxO7KZEWt20GQRIasfcoTel3zZ7q
Tx476XeMjOurJmIGBvzLXD8YcYsyYwdJaIn9LfkHsPqgCDLP+qDefun6EjeB/WRo7cJOBpr95qKT
LDaD2/5hEQTNMAgVgYWZiEsQw86Tugfbs0+cJ96ucxaYugRiwYUjsfoXQruEcIsSm5OiEasdvmam
FaSsDpqyR/uLrIdSthjBoyoVq+qeYDHtuFWbuxbB9r+PiDsO0pK4kWwMO2Ps4nIxCR81jtgb91EG
IXGzWhcb6xRjAsMIZQ3D18ku1GQhZIn7D6ws4LAQoAATE4qZNa2YfANU9BrpNlOqbBKMyIW8+JUS
WeJ9YbYamAimwBqPNk2s8BKTF5TGUYfrgpxQsSkP75VvTx4U4l9eonu+T3zrZN5nEOZhj8X3eOUg
etUiTzais3SboAI486u7aK4Xa5BmGNlGWcDX69nagt4QG6Rh25JRnkMIN73eh0PldIBww7XJPO04
+t9RWIVO1aNbBvoT3SUHNKHuZHlS2dKEQ12XuV2B2B0zriD2hXaT15eS8F6GMJvVWUDcjSozxt8X
Jdxrm9wP2tNtl7GQmkAHPVjpHTCCocdRTPV1eLZVUFdAyF1p5KvNbfujhAhY41MHOvaeiy7+NaRk
IlxChcWh3RCHIJvuMq34CfUoSD50Sbuvk55TiadZWvp5FCKc/zyClH1kIArp2SvBS8CKJY2DS1Zz
DjD/gLO9dZouqzSKcQ/aa2+Zhl500L2YY31XahKkhUj0ws8ITnOolCIbCYqaYZ1sQRRa5igOdEGn
HOP434PeCyhh1wbVjngWogJdDWHQWUmAJv68eoNOalASmRz2klPDoAwGgUDmAQoMAYxGFWetC//Z
137SgncpBsfbFlQ9ngmu4VR2Iyx9sHM44YO1amaMJQHcWKCNiwej8hlyj+dvkiOxtCwHZSQ0DiDv
YoqkYdw1m7ifCR3Ziq3srXv6heagH3CdDZoIoGq7Ubb93t3W770byCo8S7ceYnxkbSGBcd00a7GB
mbkJ7Bjz2WjtdtAAqE7V6vYSJSjis3MsI8VKRtwMKRQnnfjRMp4t2WTQ0tc6W4mYGymmZqLZb87S
2rQ2vZ416PxQjxO47dEvFKan20uSwQlnLBnBS97m2Dhd/5HbP0oE+nU4eHH65TbOUo4Aozh/vpBY
6Elp4ajk9zjON/dFQarRmw7ImeESONgrdCpwz7kHG+Z3Cexc770s/WEqB9cnrnO0vWKw59JbNXAh
TchU1ORwExSm75rPTDupI7K4SRBX626Ut6wtHgT0VZtzokDTRAJON8b0aVQZ2NOqrNFtBXEHxkAL
VBcrtbnn6B4irqTRf8lVuhgbxhKVWSJLWCYC+l63ew0xS2+wFdEfzYyFnpOUyq526DtG6WRNUouI
KOPPPVIQMhP5CizWGS3NEGdWY26j0UsFO3HWJ+pXLQtJ7FODhvmmGFghKQos3G8uBgqgxYLELsYc
hVwTPnGZWT0K1mVs7ip2tEO6uW0zC6fcxVTvrEiKANA2BPdMUPZ0DIYqnpJlxcqclDiwmhYjvYn9
6zbSQvVzno6AnLqN6QRMsM8/5ewuTQo+EouDI73rNpCq98g3lwegVfRKX/bIWTiAl1izJzjDIlMG
wZ4GWFB6LO6Lo/MzXlsBW2tr7cGPvfiofFck32ohgX2JKZgl9BVGrcdh86tV/KJsKg+vtwA8Wb5+
jO877w49+JIdvf54l4jz2TxfpaIOPGXgYbfROvxDecsiv/PGHRh7AncVnlQ/v2O7f6fZuwQVbLJv
NfBqjPMy3dNE9kbt95avd6gOjTIVhIXA8wJLFxpcqoKbVjcAi5Rg21SwsFkn/lTu0+DRfmpPUXB7
Rxc3FISqsFI0nVxNjDkGL1HeUUq/YaM/wcOkxgsdZN/tymXiL0PVWIW2HNw1npWXn80ue2QdJ1b6
ePF4TRjE8XM7Rj6v/Mz8EXOZMNLVrfcbDh2WGILVQJUl2OUYtU6u2ZBYSyNUvPh9DZINnjyZ2T8/
lWcgU4P2DJIXKNsJT+UpxFtZKQDU5l/M4kjydYM8F0j8KEjibn+oxS08gxJu8rIeXHvQATWSg5Jp
UAlkqzy/izTsYXYw/7nDXFiZ4CV1KJUrbjNvoULXWRzuQXC5vb2i635CAUOIXAuwcyYGA8bgfqP6
06j6VTx4znjXpXfNtM563wq9vN6iW42Yo28lr737bHWPKDaiEeFF8mvmDbwIJYRfI9hoqrGqUgz8
moaDWntvgMgQWWVvJrSqrb2LYXdNWdN2H0PRUyY/f91aMoMjr+yALg8dJpZgSAQ63JHT4tiHjvaR
IRbUaH9PwOLjqNlmdCsPxAzB0Hwt3RwPirCQfYr5718t3oHWBZpMNJRzhc+NfM/YJwR+lWFgXdcx
OERQimevioUqU6FvCbqweRF+M6zm3VAk0c31PYLVg6oEaSDEGyD+EVZfYZTbyh2snvdfemiDgbcd
o4sQgovoW+hqO7uyV/WQwTSGVWRm731frkKrO4A1UcYcseQ6zn+KcMzM0NSHvMNGlCjFRvFKcX/p
uDtp9F92/BxI2PHOKUAV3AOI2rWfZ2+6s9GU2murFwt5doJ3N2+9tH7U407iSa7Dkt/bPcc/4GtT
rljOXEhdc+piu+cEjV6vTOunrjwV6iodzFWWPsTjfSHjJlje17+Ys3s7u7gnAyeLQcsSygPVRFda
Mup5YKVFv2nyZPjgbt0/3z7Q818UTRoL/bNK4daOp6Qu+BycmMbPlOyz2iNh5cWDP0uo5pNkU6/u
0Ys9tUQu4lClY6rVc2BSVndJ1ULOMIT/+HV7TVdRuYAiHBQ+NSw35jWNA4PqJd2qzD6WyalwscxJ
2qAwG/v1FqI/VVFmlRWRqiUHj1nFFAQHJtSS48lXlCfTyL3afnGs72nv5xVUJIz3Knxg/0zv8Hul
f6BFApd2ICbYQADd0WHda+uCsaAAB2Qi5W6+ekLOSGhfcfDRUHYWaxB2M5Cp0YBUVG9xuG6gYx8d
UcnxVP0OnfT25E/8Px3+M0zhNNjTlJdqBUwrQ2uOvc4VwyfhwUnXxNxbdDOFK4sEifrttvlcR5fC
WoUzkXCHsFwFLoZS/cbdNd29acG5+11/KBhm1bogzNd4N2N8NJRKcC76ACQJUDvVUWwXK6hqm46Z
Wxgl7KZ5ZX36lPQ9JPTeciK7TxdP4xnS/EvOvE038FwZeiBVkOmqwcCgcwhXkXJ1ez+XFjS/JbVZ
og/lEmE7K5UPBLoAWBBBDcNO08hzIvjR0jC+ZiqTDFEuooGHFSo++Ae0rJeLcmhTqND9xtNAQ8gU
6p7bxX4B8c3QYP7thS3tH/J8f6AE+9RR5YxA8VAi31Y0QaZ3ppc7qRXUlrm5jXT9boVJnkMJe2ib
Zcx5Aaiq3LfaV819tOp7Rg9x/QN1Y336qqhvarjV+Jcqe1YHjAZKfsGSTz37AWLWrxzQJofRf4Q+
1c+iuFOcg2pAmlB7LBJZl8nSlXQOJbpvGhqQ3ooqv53szyx+y/BWrywe1KhyOXW85kYuWdzih0SH
GeRxFMVE79ClzZDUIlnLQ3zI0ty5LXtldRxQHv6Xg3AGM18kZ+dNd+I8UQ3AIIrcd5WxngCRDOa2
KTRJu+HCHmKSASzPaECF5KeYQCVJ/j+fyyAmwrORVqteKRoMDNqPaUeUwGyG2EOzbyOJJ64yU+DX
AA2JiRw08CE5dbnGsmZWXBRxhZJQQp51zXUDpsGt3D4Ps7kLVy7kFDEYCNEp5MBEhq+J6mFV6HgY
F/TNYoGSHMYJfFFfHXf00ATuqbKxnet6KNaFYgUG8KCViUKssC5acWI1VKn8xKk9HSPuOeMem2x/
ZMinQgbU1aZVohleZpKdDlJy245WZpdsOlDgNVF/n5SYkrJA0W/ZL0qlgrs83+Rutk4h7F6Xrp9p
sinRBU+InwyudAwb/e75ufwUI2Tm6FCr6CRs26AOEY3MEjo/i+7p9sdYsjV0wqPYAQYNtPzPruPM
rG1ekiTjRuUP3cbUkCKMd1H/omV4E3VbG+f4/wYneN0KIm2KPc1w0WsFemjVvU/5Qxy+lj33iv/y
DDBRxlFQBYdqCYgiL1dX1DQZWsWqoLgZ5I7XIIOeZmrQam+J47XmbqqO1T8rKsLYbHw2yLHAJUG3
4hIz0pg5xHlf+bwJOh1Z3vxXOb700Ku+vZULTv0CR3BIUeH2FlVxjExnViCxIOMERSx18vNa2kM1
v9TEIwvPCukIDS1UKPhdrmmMhqYxEmCBdn4wHsnga3hAaxDn6rhnumtbDap63aBdLNWhhP3r9kqX
XnMwTkBbmCeGIL1gpIVlp1YxDr+NtFN+ZPSrba41vq1dXzHRBsQ2+SA5F0uu8BxSMNS4C4eytfAV
rbbxp8k9FbpsIHPxA56tSggLYksfe5MDgtD4QM1mTSK65k1yNLP8C49HSU/5UgLmfBfFjm/Nytva
6bCLNu1/NjEYrRUvj6MH5MDuap2dSOSsXSQqO+O9dWSPR3XhoXWBLhwLt3K7sXaxWnBdZ3RFU/BM
1c+E/QyjNyc+VPVJdVaN/lLLCHaXXgQXyMJBSYimlaMD5IamAWlQtuvig2mlD41VvbZ1vh7751GP
NyTiQZaeRv1N5TIBZenmzyfszM9mujVWfY3Nz+jPPHxitA861y/SB079nO/KCW+xL61sCnPpFsGQ
oovuVAM9SOJVO46RMpQGUGMV4kQnu30M+3Uq095cukPOUES2ySwNWUVMoJgG7nSG23U9qVvN/KrN
vYOSJOZC9ACBPKihzhNcGPoQTk1ij2DtA88YNCRfSZltrPptdMmpUUqPVNYhNdGzbcaSwTEJqPhU
B5esSvoOoLzCPNyrGe6hnwzaUORLD3aUeFYZ3HZ5s0MVHC4oE1B/1RwkLMEDdWkuKGO4kdYgYgFn
SN1pntbsRgim3QZZsI4LEOFgmIVVhJ0OkGl47PBKz8HCC26I3JTcVLLFCLafEEet7HrGcb6j4xd9
fSjstpLFLHhTa1YbmN+oILwQTb2kmGzPbARMKOga+dtMdD+tRjNFglH2cRb3TTfAP4h8NsJzYT2u
hrGLSgFUHT5M/BftT3Z0Mrt/fwVgQX9R5hvqzGNMGSpKOQEKsZEozT3qrKwQdLEfkU79PpQY3NId
i+ZEFTOYFu4kRTxXjYOSkjbD2QV4T773GI5Ed5RlPtnTVu1XPdsQmV0sfbK5JgCaLZT8kTG5XKFZ
OQ64MhEMYrw5SCL0nNmrKrpvnAM1Esn6lk4whvZxlEAcO08hXGI57ax64QCrKiDhme1c9TWu3h3o
e5ndjwmtwPDA/366YB5oNEXANJMLXyKO1Mqj/0faly05igTLfhFmkCwJrwkISSXV2l1Lv2BV1VOQ
7Pv29dcpu2daSnGE9Zyx7pmHMVOQW2RkhId71MMi0N8MdLTQpgoOChp3SfLX+Cg0BpyYEt/3qDnE
ehnPpqTejod4K5EXVZ/YlJtrdYylvU9VPKEsoDpRExRCsRpd1cUQ6Lk9NlXyO/OD/MMsFOm1J3Xx
VFPi6+6YJ8FNr4fJIZkmejBGAjVTRbHCXe1XNAb3S0fVByD9IS7Pp7DsHFlNu5X4beFOMhC/QY5A
BTk8KOnOZ7/Qh6FuR5ojQk2wkTdGfQ+RY5aAsUHNIUtTvV1f7aW9DOgK8BwEMT9QF+f2AqMtuqKG
vRAUvXEOlPrbgHDckO9NHq7s5cWxoewLFgpkrS+KG5JW5a06j20qK+UFKlejS2hxrIICvbJTcRsn
Od9i8GtYiIU0MuSv0cRnoUHLQrLlfIx+AUqwPgZsucjfiHYkVuLoxkNBHggZnHDY15qL+t31eV0Y
65nNeT+eeEGNTlWnmXVhz0oCUzI56fg+J+z0JGENgLcNat/XLS6V6s5MClt8GPtgoNpssnJlcH1q
Xjp5c8FSodtCQXN6sbOCo2Y5TbnJiofCer7+ActDBuujIs8HTPTEuOdBP5iA1V2Wj0Xu1M2jCaJ1
dXJRuM2CNeHhpeQIVaBdhqcdEgAXXjhM1JIjrVuA5sfwn81MHh9poClPEx+IYqtd0rz1hhpviZbq
X6XeWu/WEHZu3YF5gw2o5O20rNZf4cfxbeBsMx8hYaDHnpRrfe8YZReGbtUZ8YseSoOTGmrtRFKl
fAWTiiyWogTKf3muYgX/nUExXIvR9lX4CjZqBA5mlWxz63bsdm1pS+gwbNHz7BvPBUgUUBAxfg/V
qo708kH5Y1+4bEC9Ce6kACsYTLsotjX+UkR2IIOJ+meobgf9tQjWoPALMdbZkAX/03NE/2TeNIQ8
hN0/8nSrrWnqLlyhZyaE67roumQaZMxqGIJTGPgMGezPKK9a6TadnGrerO71k7DgVMFNCSIvFVSy
oEIV5lHqFauf1KmwJ2s/QuCjM5lVfXDfo6trtmQKWRvIYmlgrUG+/tzPWFWKtrAAcOZB+pVnjj4B
pRG7KknZMK1BahbuUHShoZUGUapiXWSItAZcd6DRK+wmRcUvOyDSd6Posyu316dvKaZDhxPef3DX
CHvE5l2lkw2/S5TC1lodIPSMai3EgRMtdPq6ySc21jIkEgdLzg6GZDa9k0ZoXXPKYEj/FghvAsB6
8iWzzztx43XSaHKnykCLh8NDPX3m/LVBzXGMUXWZ1tjYFufXAoHJNxvtBS8wcOtBFbUYdjLVOfMp
uO0MJXvNLfoqJYAiXJ/lpZMHnbBZlMBAXluc5C4IfRMoORyLMrvNA7AAgd/BN+mKmYUNivEoBmgI
5ptBfHTImmw2yhQXqKdiynwmkyfUT634Q13jmVk652DmUsFvhXctEXHOXYZmPg3017YJfpTsuRgj
Jtd7MPqC9d1L83AH7399CpeyIzPXLrhfoBhHkeM73x6mVFVFqeS4g+QvOfYQrTOl5QwUEt0Qb2Lr
Lc+fA/U5ytbIexZn9Y9hURRpKNpYblQY1iQQ9bfg4pCcyLrX/XeSdKzsN9zfW6WnT1tu2bV2X9FX
HrxN+W29tmkXw46TORCd3dCMadca+BRJqmwd57JXgJFKHV1+j2htq9WWpIdgciB7EUigDrH9bFh5
sixtZaRUwO6PmgPKP4K/paqvBppa4qdNy430uzAEUVv+trLYS7cjIIsz2Q9FxCiSWxDakNQ3YKVD
oaXfJOTdTz1z3sjVJoJGe9TZBrCvK1bnbz/PqGig1sNlgr5jaAaKpWVdGqqUxtBtlAA6GqmtN/cy
dTiASG0NGL3T6gVUtZ95UKxs7stJPTcsuD7SlrKkp2FtN61Hopsh+WcI11rtLkPGcxvC+WnUMVfS
EjYswvrptU93CFlNP3MrSjaTsXJqLh3EmTXxuamPFW87aCPYqelKeMOhhpf9lnxoDpHOHq2bQfKu
L953xfPK4okV0cIsJA4RlNpOdmjtIPsUCJ1Dc2O5CePHGhzZtWo/jpufidfte6azNXj0nGu5Zl+I
rnRr8sMixoiluHEDSu0m21wf4qUjmucUGHogbcHfJDYjdK2kqxqJ6lmnsQ131LppyucwcSFs938z
NA/15CbWBzSjogkHHLrjJhx+awOY4+2kd1pj7chdXsPnQ5oPxoklo+vTcNBgSc4/854Z1E5KyvK/
FgNFahuZnfnPrAwk3r9jBJqvxAAtaVSjrR2sL6a2uz5ly6frjwXhBI9ySCbTwO6blIiNHIkxnqNZ
XTt0ObDXge7U/dpb+9vVXu64PzaFE23qYWiVMmzyrHyJCc1ZmmQlsJpJuqV1oQEaE6REZzyKxzfe
aqkd12l5YyTgb2AZl9QP0k71Zzvk0qHSzOEg90PxS2vC5BEN9tqRcwrxG9PqOIL3unGiwqicsm3M
r6SX/ed2lMcP5AlDuygHzQnUkPsg9S/JLiRF8mkWVnykXdAdKWoMOy4bw3PUNMe64ci/g4lzcEpL
5Z+dORY7M7b07URraIzIZWQTNO2D0kDS3UgdnuSCpl5c6k/qIFlbLSe6W0n8HsrQ0soqLp4wCO3h
cCFlgkTn+XaUMkKrlmQQ7lXeIIcJORFGoR0YHwa64vEX4m5syRNT86ec7vyqt0xJSuGOI7IzJHCF
mqhVvkkA3Sj0Jg4LkFC4yVpT5pJbxlsJdRH0fYPhTtimEHiMpEzDQRjxwgW712bMYrvP212lZ14Y
RODzr5FNkF+un46leTXBDARYIdDNKBGfDzbrOtqOZlLbfo0TTh86PQKMuag/It86yspf90nCxKk5
wX/5IdUleYC5WH7ok9qtzZ8RkqvXx7R04k+NCK6LVqY15R2MBPk/WQ5EptMlD0i2sSS/Ib6x4pIX
aqMY08xHMEsyI0QRzHEIRqH3oai/sZKJ/96brKgsR/VZ3P9oJZXVyI0j7rPGBnzdH9fHOv+46Gm+
+xpnxYv5rX2+flDrLiITBBw2Jb8Rrtl8emnKv87iYYBz7+T/tyEsWpnqahUPFRYtJOBQgZoEcSjE
JrM30v7W1uhZl0cEoA+SWUAxiZhFU4Ucot7jpGcqFFFC6mofg56vBEHzJ19O279GRJreuNdkTYK8
CiT26mdAzzZZZbn/ZWX+mBDCcaOYoKokYRwQtHNDU2Ll2NhG9/u6lcXzC7K5WbkXT2Nx81lqY3Ee
YW065RlqUsQAnd4UOWaBMGq1Dr54sE6MCU5YbdSJ5DGMWd2Tb9wrZuH0+oeZ5I5Od2GzknVY2ghw
+Nb8nlGx/4QJ9NusAK1ni8cTKbyAVmxG/2fxygFainNOrQjBIZQqIN1U4wAhzejHDQId8KTeR8mK
mYVH8lmgI+640Z9oZdQICbLAlQpPG0DpAeUjXX0tZWZJhyn/SUfX6tac4dIsngRYIqApA10QGocQ
x2U+UApgz/dxdcWUXd+Ga1aEWQRJQjblMW6vcnR1vQU1yib0/7luY3kKwTMro0lvfnrOH3FyMQel
pcXZCCNt9BRMntz/nHQvVkLmB17KN1L9UUH4++8xsXM48MeqsOk1ieR1NcCqX7/z8pkrIDjqbqRu
p8ZPMfBL1we5OJEn1oTgI6F8ZimDNUl64+qnFltsWo1wFl/TJ0aEWANYrCjwIThiR8WD394R63aQ
oSOR78fQqVHJzXK7D5y4kFYu5iVndRpZCQtYgJo/mRpEVrTyvWlAToqHt22PojEd32mdbq7P5VJI
dXq0hbux7Ydp1CYc7WDKtshheqh6sEo1NwXS3y2IVLPhTlaalXhgaQVPrQq3pQWmPKtvZ6vkzWq/
SLMn1o/rA1vzWcI8crQu1ESBibYZEjZaYwiyN/IGsNBNrTxet7U4nJnsDTlSCLWIraoZmGCbTutq
u4f3lRVz32v6W8XXukcXhwT+gO8rH4UsYd8XTR6BNAdmdLzXIPBs3beF9qUGOXr4B+/6kBa24dwT
Md8rOEsXbR5VxLUyiyvk6cztHanQLd3dqjxZOcnzOgshxpkVwW9ko5aHig78YQJp+6lh1VpYtrC9
YQBcCzM/FRK+wvYejZGPsQ8Delwj90/ZpGibvP0xVToDLeNnWKesNv2/BrYAoIVniqZYgG+BB/Dc
CVs+kI9B1YBoCCjOTPZRRNQeaBEypHebQ6FHD9cXa2FjnNkTfVWAEpMvwZ7UbSBEGNX5Nkl3Ux2v
jGshg3s+sHm6T26XLDQAsQxhSCl3hQZKVrsxvLh2Y+sZeU5SZoAfbIcI2eSWNa2JR+Aa5mThqJ0O
VUxn42Gk99AErexxPCaAchFzG6+1rS29bs+MCFFVGrR4Hc3rF0uj6w9Qw4gsBpz1obaQhaCR28Kb
hEr/lOPJs3Ik/hfjEAJF6QxaWrJwJuKJTmNP2spWEYzoecwkc5Pwl0x7qqW51rMD3RWLpBWziwcF
wOP/sSpsWalISA85xgqcDBslcDJi43G4kUsvgAJ6igrFGknC8kL+MSjs2d5Xs1SaMMyqPpbmnTXY
5bDygFmcSgUEYBTof+DmNGFQo0b9IihA+KXIvLkdrHBw5HL0XV9RU2ewMrRKGKRlVggFHl2bDIY2
gTWpxQUXNz88wJiAzgygz4RvqCm8KOSia7uSpd9mUTpBjab06+d/yQaBejZwVvDYcDvnx7KNwYo/
WgYiS0B0mDLqG53GKz5mab3ALAHYvw4mGYzo3AZYP0cp7qfKDvBM9wNik+k2zN+vD2SeDPE+ODUi
7H0pkU1l6sbKzkpQzcavCfFk37Go3VfedUvf1ZBrpoR1aUCMUPkJxmOgHd2wh+KB6y9h8YQuEQtd
6n3hJvExTD5U2ZvaLbjaJpVxDn7Lt+sfsuS7T4csnIOGo50+qfAdUhrYhfoMdIqD2JNF1t/XvjRF
gW4tXsCo5F5QHsUQ/NHDkmDE4D8e881IJOCcNteHoyyO58TKvFdProjQguiglsBKpKeOUjvD+GHK
+06+ATGrr990NN345MDjo0LtoX3T4y9/+qjXekfnWbtY3ZOvEHbrWMhy37QKnCh36YjlBEyu1MHw
R5lRIf/arETti6cD7VdoVNfmpjbhYgR3k59IFPbQSFE4Sa2jOEXJu96sqtirC4ddmfu80IELiges
4/kEJ1EZxkWICdbZ5JTu4Ohg7BntGBLsMUOFipVu7/I9tG2Sr2o7bvghevmncNM7cssdxcOl/AIK
toO8XavvLs/Bvx8mst4YVV+2Q48PK82nGDIj6rSL1ZV8x5KDIDN7li7TOZMjrOuk9mMC9EFlp9Vz
KcNHRNtm3OuTq5Dy752qcmpK8EV8tJRhUjGcBhQ+KLrEZK2mubSSpxYEF5SWUO+JJ1jIU1AEKUBV
rpXCFm/AUxOCd4mGAewsHUzwaKdXN6Hm9ul7KENh3W0hflMflGGlCWdpFxCgNiHyZhkmMr7n27Ot
snSMlHkXaBvZdEt+sNZMfJdfxdMN1AayeeBZAh2wsAt8LcQLKMIuyFm5rze1hzbO+pN7LyO4sgqW
OmBaZiijppTV29yVVuKKJRd3al7YGVKe6sk4D5EXlS3DTyPCp9qeT//FDt4sJoB+JihlhMeLafRy
VHMMcxzuuOFo0YeR3+nk6brHXlywEyuCw5aJ1EOzAFYiKKYb0tYAULJeY0z8Bu+ISwYmOEBuAOsF
OEEYC2jvWtrlqDdYZnoryV4FXLr5jM6odmKqnt/E1n0K+xoatBLXWjtpS+bR8It8OcD4KByJedJk
NIJQycfaJsNdrfXOQB9o+KIPnyT7AQL0EEThxt7EoVDvINV1fYIX7iICyDRu3RnlB4Kp8xMh94oR
V13YfBNwTNydJo1V5lfL3XqoGDc3180t7M4zc8KRN8IxlQE6b0AzGG18yTyq0sCqDjG9Pmyvm/p2
6cKqzvwCgLrMUF6kPs6HFoJ5rPKtpLH7PVhZNr3tOznTwYbhtPvc6yJ7Yrn7YTol0x87ENhRG0q6
zmfqxAfVlhl9q1YGvzTXJx8k3kFgUNX6ScMHTS1ktv4ZaejA1YVVwrrgWFTjf3gQYwJACgj5F3Re
iKWlDn0CGs1gD0gmi0l2qjkY9Wf9Gm6tmL31Kcspi8eVaONbcuFy3v+YFc4sqTqUBAA5tJ9Td5BZ
AMlOD/1izN9p9/wwba1Nd5OwAWIb1i+kflP2bu3e660/U2AHm/rjNp+cZjPaaxQCS9Ef5gMkdGjq
wo4XM+lBw2XUKvFh/k9pUxwCp/lsS2ZCKDxwlYoVDBK9drpbwwYv3KRnZsn5PoTuhqRMKswGtYo2
Q/CUvlzf6d+QwMsZ/zMwwX+pMhpZSwoLw2fnqFvN5bf5bfRa/+S2/6Sj7sKCJ+21QBgGDIKzD92Y
ff0fP0FY9LSI9SAJ0sYe7Zq1bvOhHDQn/3mfHj/fiqPu9S++jZWWHJPpznhjrmy6JYjS2SQLt65F
ggC1VUyBtD0Od9A6svMtiGfM3edr7skRkJRM+qU9mU+WRx9G9vv68JcebGfmZ7938rAAiJ1EAG3C
jd7dmVAh7j4UB9IGLHj4VGwgjV3Vrga20ha5wGwCDAigzAT/wTte9HBWDEmzdIobu/XdutjohCM7
PquUOCiMys1RCvYoScngGmls+RcP3WGt+LZ4d6FxAdUVIuOv+PIeC1oYtMe8Tw0epWrDYnluuzFt
rfRUdZdbd2g1DMDpkGa3k3lbrL0bly4UFQQvGD8of4AgP594CQJ1OWDVcPL6jRk5QbTLILndd8/X
F3jNjHCG0YEhE2gxwXVIcGFlfgBx1adUhY9K46/EqGS+ci9OM8h+0GUKhCYUdc+HFGaQfdbnvWTd
+XbjhJ7/YLrJbvhh/lA8ddvdQFbwmH096b+Rr9ngKtnUzsggs/qydqqWPebJpwjDrqKa9tBZbex4
xLHt8HbEky7agJYbvSf2UNmQjPHkzbSnu+vzvfQ2mLNFCtBj4LW9kCwaRkUOwZKDSWjAGkoHTyKW
3VRY2iGdWMjHOyRY35tGdUndrziTJYeN1Dh6P3G00BkpxESJVKllOeJYgabLl//p/Mfrg1sIasFy
PkclODJ4hAi/L4+61QfzBYnWsXFgQZFTKLMrQRLZdRqU7nVrS9vp1JoQckVBWY9g22/spGl2WWVs
mlp1R2jHxFxjY/h23dri3GFogAKivwJ4wPPNW1Ml6Ns+b+BywIEf14dBTlZeHkuJfjBIzgIbaE+Z
M6jnNoIoH9GYVzR2PrPDgTJhmqmqKtON/fwG+Pm9D6kgSePbuU9lqsFjB/ruvlJtKEitHdYlxzA3
ZKLuBTz1RQ2HdGmgdm3V2JlkusXQ2Jrl36Rj4g3+sFWghANC9A3tn5TcsFNZ9ZJ23GVEQTtxwSo9
OqB/EhRYkPppe3jxX1H2HqOopaOTKIuT48jNHs2rCUANaw0NiycM3W2Ij1X0TVxQR8caNIACGV+u
lK+0PygWI81bYXpteK8XkBS6MeRVQpjZX4iu7dTmPJsn16Th65Us17AZ1DHjQIRkqgRyGBfsHhs5
vxuso4LGQqsFim2zSoG6FH6fGhe2TZj4ZIhGGG976WdTR3vD/FErjRuB9GjwS6aNH9fPwmJUcGpR
PHqZqddDMw+3ACYPOZQwe4uR8DPQERMYrC8dtBXIaEZTwfhcN5DO9Lg0M9b0480qs+PiVX36NcJ7
CPWTJJAHfA2FJqM1HBog22LdIYM7+bFL/fsye5UlcE7HL2Xyj2Q+rczGZePB3J4DVwSHDkEwMWOg
x0pVhqTF/JMfFaIhLXzG65aQnW6wim7A5USjtRru4pqf2BTCUo0rSjFoXQP65Kew25h8D750Zqmb
bihYHqx4pgVXO7P2o+ELSRFU14QgFHxBYUZlwDLSGu2xkvVUVqbN9QQ8+r+6Yq3gOa+XcJjOrAmH
qfKVygj4DHPNAmyaIyjKfJ86ufEY9zWL66P215re6KwGbIcScM7PeBphfKCS1LK4RmxJeeLWFVJZ
2kuUpqxN1ae+/Up8EG7Ha/iFJXePLj0EVPCuqJOJZfJIi7rG0IHDU7CM+i0BXTIoZZiG9uB+RxJX
mkA5IQH38q63OaviXalur2/dhUvt7AuEXRSOvSoFUA6zVZq/ZnWBDuSGVCtXyeLmORmmMLka76Ug
n2GTvAt2QQCVKP2hMriNCsym0f4DKApDQrkMymi4uMSGSxo1NB0mLKXFZZeSyTb5i8L5jyY3N2OE
XasUKyHd/P0X2/WPRbErGGGbEnXtjNgEnhf0j1sfindx8h8y4xgY8DvzVp0Zn8+vGAmtgn0eAcwr
4UkGaVbQO8orhcAFp3JmQnDrPlGLnszYUznKtkgoMmPYzLCDLHCGkNtEer2+/RZ3BoRDQaQGZk64
zvMhqQMHaDMvMaSMdZK6qf27invQGlKzVULexa1+YkvY6l1mjVXdwxadcvl+bIqjxY2HdrK8ogNH
jUqkJ6LxminIxLKhTsZ7H/ket9TDfZuATwms0+nP68NfurgsyHv+O37hZFhd0XcWxzf5afSs5vUv
EFvfJkn86ffPKQpnse87veR7ehyxScvw2A8+iRGs3SULod7ZZwj+Ns/1NjJnmHid3UKraK/UGvL4
z7Rd8TbLdnRAc+YmWlPsRZrqLEd9B3Z4YJuyR4N4l6PZahVdtxSeYEB/DAlrDf75gast5rUzP+Ww
9YyxQUrUpz+DEALKyRsUTreKCWmWsXHS+qUm3X2rWy8FZljJ4ttolB0Q7K+4icXDdfJRwmLnKHwP
coiPkkHvRA8a4sTa9FL67NfGBsBydn1zLXqlE3PCokqS1EoVwWS3I3LfjTN0Tg48zXUjyyuK1QT8
Dn0NYtmpBwtYNUSA+6HrMqTFxgepvA7wVays3CHLk/fH0Pz/T+LrPELD+RjVAPpnvzV9uocSaWtu
9Mxpx0/V71eWam1Yc4ByYq3qw5oD3o0Doap4uTLZqj0JAkWW7Fyfv/mHLq4O699hiVdHnlLAS1LA
1kP+ViNrnshO2qR2o7+UoUPN+GbovesWl1JruBoRr0L9aaZcFK6RGK24+Tf4f0qH7VAOTAEMIOMF
S7T8NlYHWzKKjan/btsvPfuHxCXDS5DJmeUYbbryMUt79PRbhFWddFLGWYr7pu6jDCyaELftSzV0
NB7G2+vjXlrSU1PCkhZ6DhZmDaZiyOUl6BAOeLuLphQcZWs0DCujEttYx7YYyABotq0rEMEtkfEH
VYhBH64PaDF6PBmR2LuKXZPk1IcZX0q8lmsvUo4uC71xJWhiJg2xYwVItt7wBopaZhe5lKPepkH4
vDfd69+ydDrh1WdWdnDnXfR3m3LfSiCaxDoGM7N9BboWateWfuibD65AZzWb1u6spdAB7F5AJEDy
eZaRPz+iPaKUKjThTdVR/WlVaOqv8wjSrlZWOqVKoAccKCuHdXld/5iccwAnXsEvfGDTE5ikZknt
QJrAK8l7KMJ1+kqB68ISFAPA0GfN/F5QSRNj2KmwjFiedQmjvHZ68tBSryBr6bPvev2Z84EVYJLQ
EyxjIkHMcD4eox2CMFXxxoBM8+hqx9AhO9XJbsZN4pgOAmcndAYbMsZo9nMyz3nf26a74te/+bKu
fYRwVXNa6JUmQy109NBzAoX6D+vGd+oj3+U762iy8nf8z4Gw+K5wzMfru3b+6Wum51U4WU9lMsMq
rjB+3UCWWVaZuibTc1m/EqZYuIRVPJM7U8HoIOkagyLl169oY7x96nvzbtrWzHhoDvxX+pD/aG6n
D4OzQLMV11+J6i+OivARgsenUxBidPiIak5v30fyRlG3aXrIQcBxfUYvfZJgSnDoQSJnwHbCFGXJ
GzTQjYEVH+nPQ/csfZlb7bFBOub+us3FVdRQUMCjD0w+3/fdySrG2QAS1hE62KESMNpadhF+Xrdw
WbeYR3ViQlxFzuVMgpC5nSeOclcynnqNIzF69wPQ9k+ZhV/Gj5eKSZZdualXOn0BCUzWQrLRuG1v
VkHDF1cZPgcCA2ChI4i4LnCncR/RQi1QDtOUPen3mYak91e+2u/zXWQ7Px94QiPjjX/PLbgi1Z2e
pO3IZzHreszzTdnG0zbrrGpiNNONwKFWaB65nIa3gRW2uVPlaXnb90nyxCeV75OUpLnnVwralMuy
1Vxi+MkTkczyQACQAoZcG8rtEAy0BElvYXmQxCtqVvc91F+iPJK4a3A+ElstuP6UWFKEfoWaGDtE
gSUmO1GkNf7Ni2gMSWOglvG+BvoHuArBIfpjHPhVhQGrsS67Y5/5tlbX0q5vZoNlAzo80muePraQ
3unKtaLUpdeHeeSg0L+A/g/UZ879UUr7nsdFkNqckHLT0Dh4NUcV+XK/WmOFWDQ1t0iAswQPMfEl
NliREmVRmNogrB8ZVTK+CwsDRObdsJaPudyt1oxexk4FbhLoNCHwigpVytFPndrhWNQ3qlHxByu2
zM9Kzcf92A/Gij8g8zUsbFtAvkHZiqmERNP3aT5xCANv2r4uStxadvbDusu3wGoqDgiqECJELD40
rr+JD4FnOrqLHNuX+ZJ5a8inhfk9+wbBDypx2/RBj2/oUAjRn0P6BtbVFWe7ZkOY2DGWgzY3YWPK
7tAqV4WbiD9d93yXvnWm4vx3KkVcTzWAwUGaYEKbxo2iJNsxrJ2/N4GUOYqS+DvDS883PYXSTKn5
MCFFdMMNet9n8cooLtMsUEk5tSH47w6MolkjwUbpJqEb3ac/zYO8I8DG7C0PjFAFm9YWZ2nmTk0K
Z7nmNNQtHSaBdQeRHWfdr+vzdpnjEAYlbLFA1gyQY8NCdaBPoU0qptn6I+ovLN30Tu10tnlH95kt
r9FYXgT7gmFh34HpjIOoscps8yG57xxUIM03/Ybcc9vcURDnpBvrWXnujv6qUOuiZSBCDNSwZ04I
Ya8Yetc0vIRlI+dMy35ErzloX/XBMSYmDx/XJ3jhMjBwzVq4BoBUsET8B9yLlaD8CXEd5W7sOjQo
B84MfTYc0/dG3/BWhReWDjQ2qomi5VyL+IafnTiuNgpzq8g7kHEiEpSHfRq9o8X8+qgWvDFG9cfG
vG9PbFRqJYEpCDaQceVfXf0iB04Urh24i4IY1kcGMSAQimhauSCyrvVmZh8fIMn4U94XT8a8Lcim
NBnC/BWo0MIynZkSBhT2xB8qCQymqX4jQcskDZ8M6JCFFhK5N5Vul38ND0aQAA13/ANwDgRShYcn
pNSBAeza1C6Ku1LtWaxBIHX0tNWW5IWlksFrgTQpGqkAOBDOWUCMEl1MHdrgfAD4OJCOE78Nae/W
Wvl4fVcseKtTU98V9ZNd4RdaLk8NTI1Gidx3doccxtt1EwubGzsCQAKIAKnWxZO21FLEdQVM9MDE
pr56H0ORLoxH77qZJV8PjnHwjAOPCsVvMSPZckvqg2REXqfftNMjT26k6DlAKVZzTB4hiruZBruP
bovkvkx+XDd+idWbUQcgvJVBDA2KEJEgxEDfCfRewZlEHvoRILnhYO7c2Is9iDuPbNxYDxKetT2E
RdhPyVvjU1haRZDYAOsNYgrwbgjuUZYk2nH0/dsKeprSWTF4TWFpaREhrAT1AMiogehAsKC3eu4b
eGkAgv+s5/uJPKyGiwtPSMwh2FXwyAG4+SKXBDWY0UgVA09V/SbuHYtlm44ND/w4PQAuUkqbd7Jd
IzQlS2fNRKADRBgAxRfZpAnpwUYvMTD0JbN2/1q7DRp5OINSdstSdtc5xLNui61662+r0TV3aEi1
qc4CO9isfcyltu+8i04+Zg5wT05jPKVVgV4maLi2DOCVqGO+Dc4D1txHG7wu5Vf6yO0AjyRu3/5e
2cHzbwvB85lt9dx2a2ZciTPY7l7jr3HvKIEL/Mh9+/Zp/p68YQu2wW1/MNAK+0C9PGfAgDrXP+Ey
QS0Mf97mJ8NvSy0qqnktctd6Ul/BlglNdN3DprMHVzo+kIdiJd12iRjSwJeLZx9ye8o3P6lgEpd9
H1TQIVQabwzt0a2PSIPd1Wixvh9WjC2cofnRjuQ7MAcIYoQZHoM4R99hAUcYb+VUYhMoQKEdfn0S
F1wBsPEoqcILIrT+9pInc2jqeckLU8EWgjJ0C75hbU1jYWmZIEUFkC4O6gK9j+9nIep5NLXr29oL
X1DH9w/o6pWf7uPX0AUrGPITNbs+rKWjcWZUiOSJFKaZmcIoxD68YAuiOcS/2/qteKFHsiV3kOWo
NuExvVHg/VYijYVUJTpp4NuRGtAMgvjvfJdQaxogHw1tZSh9euUx2pn7QGPDB7lHWPiQPXNH3/G3
+IU/RV6zcn0uOCgD7UAKYEaAAODPue20VCo19EPEhtnRD295eaTWV0+21+d3YdsYuDYNNBwbyPmI
JQUz5lkTZzGezuWzor0ayd/vfeQaZgEz4Bsv0w5Z3TZjrGWZXaA9oY8dkt2p7QpUaV4FwYPhfQDQ
IpIbEAIUKX9J4mtG382PPcVT0h+96eX0RTN2sv7oA7AEwb6VTXlxoCFtCDOQg5jVYbBC50sjy748
ITRLbN7E6AJ3CiVjlK/ENWtGhNdeWSgWlMNgRPcb1kCMWc28em15LpZ/FmnUELng8QEgmxjaygqy
McMQo+wAgaVQdXr0pF3fYBfb+NsCbMxtS2DqFYLnpi0K3pEESP7SclCpMa1HBepA8sd1MwuzBb8H
IhWdKGhUFOFqfl4ViJ4LZC5LYA9R4+zHl+CvgyEdEGfIi0AzCrg/MJ2cr7tU56FegcnMzkL1ATLs
jp4pHglW3vlLQzm1Ml/YJ558THq/jUC2Ds65eAfkmqfw9k6l9d/vLxwazBcSy+ilFrN03YB0pDEN
Cfgn9EMzqEdKocOXtv/BzEzIADpaTBkyPsJoJokYlQ4lpbpSGdw4LVUmrUlcXqQJsDAGziKFUIsK
RRHxksjLDLlMIwHOTN/0FnfzaQQzoOHUSfQ4SL0TrvIkXzgdwaTgAyIwTNChARU++n7tXHZ58R74
jRMPyFMkG63ydL5yG82/eObmkCtD6haXrwp2C3Q4ns8kQExGoTcoK5kmCJDAmhaBO0GPC8+YzMfO
T1duhkuGs9ke7nk858FOhDf9ub3QV1u/TUHI0Pul1yZuYexTy8sjO6c/4/hZUR7C8NUKVsqDS6OE
0hGwkUgfQ7dWsIq7pOdphRSTWu2D0M6HhtX8ph4slq/Jsyy4JpQ4ZnVNjRjQNRB3DVDpaH+BKVz9
u1T1D20St3gvfrVW83DdPS2ZmoVDZ4Q6rgzxjapl+f8j7bt6JMeRbn+RAHnzKpM+q7K8eRG6qrsp
SznK/vp7NN/udiZTSGL6YrADzDbQkRSDwWDEiXMazLXBWwyzkzGCXrZHOxpBUdRUksvI+BeRCixM
oJnB5ALmMvgbqlftRgkh0+jVqgmiLNW1LfRkRM/Ppb1SDdDDwoxlXCW2jpOO8B50TwoltfzUIqB9
yuhDrGRQ9aAgvqD0/fZ3XLaozWtDLQatqkufrKy6y+oKcEG7M35l47BWwb87kbpxEztdNSYV3PQi
e9zLpBkgbmFFsFfm8W8Zs74NHXZDiGgmVQ9m/a+5enDkVMx+/Xd53BEfkV1XWYoPatMeCuzPkIlY
FXFw+xsu3C+WipwPSLEZw8VDMGkxOnYxr2FIVeCLH1hnBKaS/vt7/8IK9+VI3tZpMgMahkhdyXX4
3rLqqE3fJK4F7Z+l9aDNhKCI+wUAp3kPz+5LbRqTZEpGROLuMesdwDQkDFUJgu/CDYOa3AzCxfWC
9ggXlvREH+tQwqstkRU/kt/k+C1Eb4mGzUMV/8hFUJ9Fc2AnBNLFBNSeH9sah0iW9XK+NadyZ6WH
TPsJ1o/A/FUCy9RpT7c9YiELxGQYWLpnqsDrKb0aYB65gSaPlzrOt5TZgUZjwTtgKQAiPQNs0Eaa
Bs7sy03CIZJ1tUGsxeN1K7dA8fXjJyq5ANoZgq1a8gfkT4C7QQ8QgCHOVKxUyojRBWyVtXE0AKPk
TaOKwEjXRSsc1XMr3OVhYkKWOhUWxDI9/ylNhrkLB60+FWo3vijSZG1QUy7XaN1nKElazT4p0SF0
aZ044LjsuyczD9S+2/77ncQnBg0WZvHAjMetvc3KiWaRjrKGE560uDwN1cttC4sbiYFzDQFExzQK
F4FVYsyw6tkCpLFi8A3lSrIeNKUC6V4JsRMWdaL60JJJcNCAiNFGcQMudOk7EBbVwsZAEI6z/L2X
36ZUeyjRRfRQXF7dXt2S76AZg+IIbjNMhnCrs6oOOoQJTIFHHhPmhv7bYfkORe5KEB6Xjhxa5Ph+
wHviXcQFrZhptJgGCUGrHT+KCvrlkOETLOa6yMX5KGfEiUcDDIk4CVK1CbN+bbaBOXkEvBFm4heV
5unRWigUvBS6gFNB3gF9bcgmcpFSkUhtTQawKmXNtrGpbae4PYTZsBkRl8O63aV67d/eNZFJzkG6
whxDSmCyritoTpvuYH+z0M9IGABHR2NBMrdoDq1rcOPPQBl+VL0bx04nEoIzo/G6teR3Kpe7okRb
zVKPbIx9KRex5C4dAUwOYxYVeb8O1eLLIxBV02AkDvJHCz0UfZJXY073eoFSuW0IqimLeT+Cx3wZ
wCD+d2lLtaC5V7Q4AyGq71rauzpyBUz1Jun3YLmSdleFT9CC0S1BrrV09lC5RDIOzbRrldMIAMgp
1WeQU2MBlJ+fapauQsA8bzvLUkp3ZobH6jZQp1Xb2T/lmgSEvUJRB8Trq2ic3C4RXEVL22aoyMDx
ogFLB//GJoakJGo2J8hD2LlNaP90qt7yJDZEYMpN17dXtnjezwMl5yXE6WzgbrBbZqvdxfVjYUPs
Iy36dWaQlTplH8NkvNf5fWJGf3G9GxijwyMKVy5+w6XPJFBC7AG4mIXhRrfPVLdIElz1qpubgvfh
4iLx1keJBycPst2cKbuQxqmfAGQyGbOV3WhmfXu0WKWC1EjvHXMddUljuybGmu6gjxc9qhjU3Ntt
HQnqNNebi+ccDiN+CUooUAK+XLOh9WBIRRbgoX4b9KY7hoVPmOFSkSj6tcfCEObA0Ieb31m8Ia3r
jVZzUN8EjRg1PweA8zO6wVMVOBrB4bg+g5em5jWf5dIg3im1AYTEnjLWbgNWmwJplCiFEBnhrqXO
MJpKmQFAeRiQ5suROszuChKhJRtAcCCQoF5iIpRdLiS2u1oeCEACaVn7ZtZtcitbaZKoSLJgBvhT
XAJQBEDWwJeeR1CAhqUio0jfWD+AIlhbIY4cKYkgkAjs8Gy8moRKUa9BZdQEg11USqtGGoLQUAQR
ZNEMiCrm+IubhmcVkpxulJrKxFcbw86T7QIqmSYGfFgrYgZZOMYzueLM1aqi0gNs6+UGkarGGc4c
6sUmiOTsAHIhaXK0i9i360+zjFaYMfcmEfvu9dU9NznwkkMRF/h3m7MK5aUoCWNYtbPsuazrV7XE
xSajMy/TxjWk1MuJSHtjIU4ogMVAPWTGMdm8j3QaSbJ2+kfnSV512lc29usJ6clo9KvbF8B1TRKO
+McS7yVhXJBmGGCJ2S+G7eDWCSSoaE/DJwikQxZUovaByCB34WSsCIGfhcGoqWYBPt26S/qVqb7F
lh000rslEiZa/JYgJMTc/YxK4C/U1tJbY2jSwlMA4B+jhwFjHyAF7CxBErTkJ4CB/ccOiuyX3lkX
pVyGJhaWKBpqum+6M3lh4knGe+682aCH/pcbB0Y3vMABl0EbC3VsLlrpVq7EvQxqQGPU7tsw8mK9
AZeDfpBMssNjLzB6MFD1oubq1XHnzHI1mi5VDQR7mE1Rm2+Y5paKFeSmIBRfOQlnZf4VZ3eKFheM
dA6s1KhrYRnDixavNO19DH9k6T4EB/Dtj3nlI5y9+c/P7MmFmVaRNdsDIV3om5FHnTdIUf+FFTwV
sVt4kiI1v7SCV7acjwy0QVQ7yMPaID7SEE15v23luuc+L+bMDLdF44TB8Hw2ox+nd6t1tS+QN0p3
8Y69mVv2UD6axFV+SYIH1fUbYDaLRj/q1ajiXdH6xMRq5jAK5s3itUYaF+/q35bpW+o9KGqsDKOl
P8Zic3utc+y96G9wNuczebZvhDWaNZawqQxgQf89AAuDJp6T3LFIRN5ydbxhCmSfYKpEpwE5HHcN
FBEYA+pGn0UXjjU9ttGx1u9Z+apND50u+JZL7nhui1tWq0rT2BawpWfgsjeDMvT1onQl0QSraE3z
MTz7fLGix4UZwU6EXk0xYI6q+Bmb6iqh0BGiGt4EohlAwcr4UdapJ21Vk/krlvcF+WV1L1B7coUT
s0t+gVsNmS/67SiZcJtV00zuJcuAGUB/7ezO7HcTmN1DtocU020XXAqI56a4vRr0bChaE6bSZBsW
P2Rra5Bf/38muG2iRalXEDipvV4ZwJx5ksrvaiB/EQLP1sEnAk6jp3mozD4HPccgkWkNhnBDcePQ
Nu9RGpS924ta9D0kN0iqLIiz8CmOyUobjSYT9gb1dUoS4k3m4Neg/pEzCm1w7Q3JmMDmovcBpz2r
nM5QDC73cHRMf9V9CJbLovbT+SIBYSPmqfWn22tbtoNUAGNsMzMht2GkUOoZeVKDmqbfZqmXjCAA
lUAhLwKyLt2TiOaygcbWjC/g7sm4h8BpM+EjVt2PptzjTeNqxXpIg672NRoo/155BkHwzN688LOA
kZeU9OoAe+q0gaiqpuL1+mEpR1oKHsrXMKo53MI3TDS35rEM/gSrcY/Ijk/YH507vMmUt3RTbuJj
vcteFLTSXJDEnKAW8ctpN+mXtLq9gYuX2bl57lRrTdTIzmy+WxV3mAoC4R/9Akp4HfvNJir+tV/O
SFy0y1GjAJc0P96i5pKSsRgaZ4WybqygZ8dw8kd1e3tR114JKzM1HcqsaO/yL7VcTw11nEDzXCWb
wTiY5KUefMl5vW3lepoV2c2sRQHCAgx7AzJ56SNjr0xD3mkQAt1Jbhyo+HezVvbanbpzVoy4xRo8
sPIqAR0YeBNjH/Ib+9ivBK/f6xsAvwJVNEyugdf6ioZc1Z0kV1r83Vntg0FaAgNnuYqKU1kLPPU6
/l8a4o5Eb5NINQwsd9C+ieTmnW81X4JPKrLBHQb0/20mpViMjFFgqNdu7ZW2RnFwHQNo267IGkK5
QJBTcPhCQD4wtvLaxqi2KshfFzJLtHDw9gZiHvURi8+B9HEKQeYBKAl5rb/NQAHw+d5cg2zwlxXQ
TfJmHFFcEzyrrrH6c9/ozCh3FGPDAQHQbJR9j8ARAy+wqQ9AzGyblfRZ342b2x976Vufm+PcV7FT
OZI6mEvGQ6P8NrtvzPPeNiH6jnwW1JYY3Wwm2HiFPvHRcvMHyVVkQGPfnF38xI7K8eG2RcGiDO7i
G5w2ZVCRBsX6uE2MLXRTQNd428T1VXSxTYbKHfscNBNhBhPWk/aG9NEv3fiZrkWv7H9q7Zcp/6Ud
7dLOgBGUBIq/2J9tDWT5oUs9ZQX01DPOQlBsx1W7ebED6pJ15obxSjR++4+O8S373OuKmCTUm9kd
+yCEVId+x1bJRw5RDwZi2m7DcAYtnEV5G2/vfg8n9V71pyD+CuGoreDaEH6LedvPruNCpokWMvwW
UPUHmh8dEnC0YBTCCdJD8tW8l6/SOrl7io69l6xFb6/r2cLLg2lwkc8xRsNI550Yd2YQgpDLdfZj
oABvPXMx2N/ph/RgbxzB4Zm/L//90f+cbxfU0A0eplRK1SgzxYYYViyvM5bva1IIOhNLp+XcBBdx
iJbIUF6EiV7qNmVJNjFOS9VSQVti6YrC5STrOpC0KAlznmyBrpsVDNloouW/Jg1FjSa3hiMAo48R
Zg0wRu6UgiR/6ZAC7ggWBCDE0Ybggps+hrZahfODD6qjGbmb0PvouiCatjPakdVungoiz1LScWaR
Hw4OK0Me225+HhWvpIAkTgUuSBoeJrOLBMdh3pYrzwAUBdPINpQc+NtJbYFMD+cXBdTX9ylhj2ae
xsDmmc9DHz62MqitzPHldtRbPAQzS/V/jXK+0shVVecyEkWLTCcwtflmbn/byeQ51ucI1toUiOKx
xtkoRunBLJo79MLWsvUiZ9DO0rsdNSzIeRLBTb3owWe/itvnisZNGOb4VQqb0A+t74a+9IpI1JVZ
/OLIsVChBo4WAIjL+KPbcdvaAw5KPnyaTAeFLAEpoGfKpwlDQJaoEr94YKz59QbiRrzuuVuMyfUk
JzZWleUfAEPM5f6HfPpNO21fGqJAv7i2M2PcfVY5JgG0A8bCJg9smm7SZis7nhntG7ZV7EgQ1hZ3
7MwcFwxqUsdGXeNTTmHo9l0fJIbsDbEkSItFq+Jur1YyZakLcUYGBkkM7UcE5IH8Q0neOntvST9v
H47Fs3+2pnnNZ9dTNzi1Ezf4hAW6u0ji/Ir9JAPdZpVIdVhkibuKGonWsTy/g036u0ghnwQuoOaZ
grzv9oqWd0nHmjDjgz4ht0tAUelWojh4b2u6i+nmu1m/NmpENGSLdxwC2H/NcLtU4bQZVomboWSp
7IdFrGzGnmjB7cUs+8IfK9z20FiXG7vFYszmYMvWSrPeu35bsrUpeZX9cdvY8g7Nw9AAwSNx4M6u
MdDJgeANFLtsyZMwB2GZjatVFjihVcH1vbgu9NYBCIdCJ566l25XmYOihSa+nopR3tp81Ko3C7rh
U/GYUsVTRHfqUlRCsRYoXBALzfPEl+aoNmEINpoFyqFbm9Z3dRu5Rfkwdu+1LmBVWPqINnhfbCBt
0Ijkh72pjsQ3oXjBF0QxNl1NkF2qSbympXHKSMKeb+/ZkhvaBjgUwJEJWBiPq+9oUeg5I2BPq5Mg
V8ndSIbVbRMLH2+ejEHdA6NegNRze1UYpLanBKryjvQQd8cECjFW6ZsoPdsiDPNCTQdgeqhcoTmB
iUSIdlxuVF3gJitKbBT6uV4yfTul5CvQ5CxjCPGhBG1pheLK/YgGxvRIjURw3P5PyIpLUMCMjSmw
WZAd4y3cGUgKOx+NWWTeRnVrZyRJ9GGRMQ0U1suTm6lp+kxDqQ9kkC9upVjLv0FHbHqdFhZPpTHI
z7PcyR0ZKSZOqcRWdhIbqOTY0qHX6u6uZUpPXcUo4BGlllbfg50372k2aJ6B8YH3eWgx8gYFHAQh
0NxfGAU3HpvKtu7qzIE8TZVHG6Ujw6+4NXPtzkksfWtPYSe52SSbv82BgWdOyyJ1WwKGGPRkyraT
HFm5z5zUCPd6GiWHKmxGHQPJbSW7YOJAr3UcRtPyZUkHt01qFg5mpIGPKd1wynXwrCilRt1GtsCj
OfZRH2Sy2YGNPex+d+3gYMLMSkAq7CSto3lhP9HtqGjDPlGk/NBkef9sp1P5Cmj9C2YpTjDVbYaC
WsBKydPUucxyCi+P1DxzaxAXr+Kuzz5bi9nepJTZY4sG6YY0jhJ7o9pFEFSfhQqAKKjLQDfTvvMg
2GWudSPTAjORk62SUTXIFBTpTG2wdjg0UkC7utlKoHraGV1nb0eQ9UHkKBuigHVSy77TsFXITs/A
IYdfXdq7mqFNHFR6bWm7PgKzJEuL3HG1wemhkpDVaekybSyf9DpOkLemuKOByXzNy3qcadWd1dCF
0B6uLLN1bb2RP4cxQZ+vzYoRSnQOGcAVnoTJCvN7SQnS1Y48teDosZ+ybGhHrzOo+kZ7lm9KfSgV
z5ygIdwryvhTBtmuj0maEpKUUtq9jA62y1coxvnXU6XDplobmOKV0sre6aRynpF055uRtQ1g2cQw
45dyMMrehTyGaW+o0rLDoJYW3TVoLej+iP8/oJUcFW7h2KGB+UQ2dpj7cKzJbeMS1R2tL7pVS6n+
GuckDUFcD0ELKZchiRmmNahIFcOz66lEZM9KHS3oVLWoC0quZ6MDMWg3QPen1diwihCvd01EAWOV
mHPQ+ixWYZukiW/JjGyg75g81nY4bQHKQrtyGmIlKEIWr/VhIm5dAtiCJRk98cvM6rZdnUoUGdmg
+NWkKb818JQnbtPFSKI6dQhdkwzhQZOk7Em2iv6XM0FEbnSm9GGEHsiGkHp4hrpDghOY2NM+pUno
58TQHqpGkbw4Rw3c1bDmlVF1qexOwMR+ktyJVUzAleRDTQAxvoPgkd2fQkrzHQRyJfS2ZJY96H3j
PDG1IqcclNgf/dgAFyynmrOeAJenm8mSmkOkZBaueSMmQc5S86ErM7n1exsUaQcmZ+WjITG6V8GO
ApY4pIhuPzloAep60wc2oa3jmqnd9U+sp8B3JRXbmZM1+kaeJ0FqKBBaun0zLIjv4FGsQNrImsFY
UDS5DNe9Y+WG3YB1fmyp7EtT4UEw07OKyENZd4W7/cWofulZTUEQkj63brr7GgkoKIujIaT5UeZs
nw/d5z+Gy8gaWS4bks43bwYwbfec0xzQ3c9h0PypJb+L6rsixiEKkXQyBspm0dt28fI6/wHc5QUe
u8ymw1y875NdQlu/rahPGxV0jborhcpG11lgZpGfo5WLcbI3wW7Md9P1B5grFYDbzrjUy92QpCpR
LQd3l1l/QQfBj8AHrNHms1R+TmSKXQc9amYWxM/KCP8xCFKRhcwH2K8ZYIApaoDgueVjqkAbMgus
qiar7o2w/cJR2XV0R9GtFqz0ipYIfcFzU/NPOXu1FFI7WawFTa0EQfDYgX5YFaC26dYy+HFfzXg9
gOtdNFO/kLNC0HZ+QwPwBZ5s7vOmcqaHaOUhicQVaEz9KxjrNtMkA0xHLcDi00dp/HF7oUupF3Co
mJoE3nGe1rxcZ4SZpymb6avjJvZ6zMQRNfIkaQssMEvWt20tZJJACIJ6c6aKxEwGl+Z1YIHQSw0S
n5H2zUjvWsy/bWDJP84NzN/3bNMQBtWqsGEAI2OgPZH0/I724XuWQN/RpFklMDe7G38aQHADKCIy
SfTruO3SjQS3tzFhu7qnun+NkjciAi0vfrI/JkwOThaN0lhKPUwMGqjLhsZvRDLrgkXw6T0NJ703
VVho6y+727TWy1/0pzENgO4XBrkRyYGjvNwWbZKMMU0VvCDiKHftFnd91biSorxTtTxAd/VhiiK3
rCBYddsfls4TJo7Q6wTeWgWe99JwqmWjXEKzzusaBRqbXzK0OK2dFE1Bkz0PsqCqsng94J7S9X+e
MhhiuTQn5cMoqQwNOvOT+kx1s/v6TblDFrUtfoJcYBTYW/J2fdZHAN8qoMo8EJa2Vdto89WYKs9V
EWTTl2TtB1EkXLICgiFMHzuID1cDyG2EZ62swT8Set+AHByizZWGFOLfg+8wh3lmhzu7RukwUJrK
WE0euXJhbZopOxRIVDMqC5q1S4dqJgMHK9V8cnnQySDVvZFEcAukG4fMng5jKorkS6cK85eICnNR
AM/mS1cYOwxhNgSuILUWcTuTWn41xKFHVbTdbzv5Pw9GPgwBBYNzBTwaRjG5L4eXRoVRFAdZSTC8
482D+cA9W1eB7k37cgUJnadwZQXWC3rv7ghtoB0VlFoWF3v2Azi/7506zTJr/gFZ48bDjtJf6SSI
tUsl9hl4/Z9VQljv8os6IPsf0glGpA3S/io45gH7AqH9OluZ2+I7fG5O/Vv9KRqsXmo8wy4o/KAO
jUocX93GLBcE0yX0t5ra/Zw2Vu7Gn5Hike0T3rbqJk89Iexkdo7rDf1jkttQjUxTn4ZYqux1W2VD
Wt88dQxSwYonfZgb/THZqXfSSd6IureL2TYYH/HPTLAKhoPLj6wa5RhpLGw8fT0c1BcUyhI/Xocb
YArWqguwRvxUr/v9620PXjyPZ1bnPz+7tkclaysnkbC1wymF4kmo3t82MDvg9Qf9s6zZgc8MTHaH
tzGBgfpAI7fbJ7/BwLRCX035edvQ4hVw/gHnaHpmiVKzgaIkPmBeu+kde6eHOJAAqlwZa2fH1unb
bXvLJ+/PwrgwQyISd2yEOQKgnqkYrl71btY/37ZyPbKMZPh8VZxD4n1cWkoHM5DAuTNcGeS47x2k
Trbhk7yCanUsWNb1jAdnkIsoujnEXWfBoPYNMG9+nGRP7d32vXkmk6+JlreU688zz+gWAmoGdNTl
pulGoSRWBfcYM5+9N2v1A1CWo31v7AyRfyzdpha4SXBrI8HHI+bSVJM0lTPlhHnRljxqTxCTxYzM
IXm3t9GjDnH7vb1iP5K1I7gjFg/2uV3OL2NqailBN9RTvtMgeqV+PLgoKgyPwGYbnnqnfyaSK69n
OrS/8B2Qa2EyCKU3DKByLgpe9ioqUhP5ZSJXm4amKMkbbBx9KUqkbVT0WP5Uod1VakaOuGrrydNU
yc1L0VuKH+bKsCkwvwRp+FIugts/TsfX5uPC+W/j/JpNdk0xq4u4QDvo3A7bQhJN1iy6Muq8oKTB
y25GM17ueCUnsdbbFvKaSUf5T3tSqo9ejTZp3nklBbIg/1WW8kNnRF9/s7j/GeZp4ODudhOP+PBh
oqx6C8I9Sra+bWLZrf4szuFfjyYqfyM4Crx+Vx6UnxBc3OGalF/syCW/DtJx+pH9ll1N1AJeiudn
39SZ6zRnUZZNRaSUptGAzlx+ZaW6IWGznizg3yyduGkFybDKPDWl/nF7vUvh9twuFygyrQbqR8Yn
zSUwwn5V0s4qX26bWAwQYPRHogPhZZDSXS6NVuNgYxRwvkA8C/VL494Ellx+v21l0fHPrHCO38aS
nhbjvG/xT7vctiI4/GLWhNaljMfJTPLDp9g0qXo5JsiatHsswqsw5HUnnyrf/K5WzrbdQHj0L1aE
JybyetRP8Okuv9tkUqThBW6MTn2V+kMqr27//YtbjzFlzFpBdMHge7415gisAeRIeCYXAB4P7lg9
dJMsWMWyFQvsWSAtBzkEFyz6PkIk7LGKsXks+qAaT3UqCMiLJtD2wrsElYsrghii2KxjPS67avzn
LX4XYi4o6Zu/8eMzM5yH2VOOv3e+wasEfMqpm4cb3XyVc8HTY/G4nJnhPpiTySjNz/fpOG7y8pBa
21byU9EjYP6xV/fEHys69/YALxxEqQisqJY3JQe5/sws31G29hAoo8AFFpMt4LJRIwPDknbF1iaB
NVzvKzBGtT/sNqi6YNjZ1IVo9g4TrkGXuJBgAim7Johty0f2zC6XIiggmFHMera769fWvfSI99yx
aD12ZAHz2Ee7uX2iFrduJlHGJBWo0TVu63S5NQetiRkmJQ/xZHhGkm6T+mcqlYJ++WJSPtPf/ccS
v30G2js27mFs3+i1EKwz90b5poxvEd2mtHDlYsuSh7x0GyLC8yxfkGemubCk1UpvyS0W6XyjIeq8
RU/KY35MiUs3oBaH/LzkRUd5X/iyiBRj0WfPLHN3ZIfeBGE0ZV4KLrz+MWcHrX0d2rs8OQyV7N/e
yyUss2KB0BT5nQ3OW2OOOmc3spxETV9XWGdjQZBL3oVoku2mYDxBjWyDluNRw6z2vfooMDt/vquD
Cd5vkEcABQrys0uzWkGr1Jjgs8zv3hD73fCJbD+io7OZTgJTi9/zjyneiZLedkg4YYXlO8hw1tWd
8ZX+Ko7j/VCDrV1fGad0JX+Sj8gV1gPmtOLGKvkavQbl5aKdVwkFDddx83W2t+7o5uMl9Iq90HGW
ffZspZznKN3EMszY46OuoIywOXVefOxcy9MeM5CYWweIbH+JQMxzWnNriXxmNTPVU0xXYuL2vpb2
qXyqe/DvAvUU3N7HxetvrmTOs/xoYHGOivdxkmOQn3mxk/mNrri989VF29tGFtOrMyNcKE3NmrVO
goAjGSHEQB7RpbxtYOlzzdgmEGxCuQDKnJd+n4K/KrcJDveEbg0DDflEsmMxgMKubNbUEqlyL4Xq
c3OcRxCmYUyvhDnQy0L7k6za+iiVq1w0Gr1Y5Ds3xLmBCoFYEqv4cMNK2yaFW20Md/CHfa+49R4Q
QuOz3UsbkKE9DKLzLfqk856eRbBycDJU1GEaol3fwAgU7uSngRPo93XpOQ/6KluT7RSEARW9ZkSW
OZeU7ZppbY6v69g/8miXWc9jBvDDpk1Wt71myffPvy7nlk4L3hnGYMgACLOibhGt1V6o67dkBSQL
mJub8R3XE+BN3tpszmErGhAQHtjZnmRvtb7NQrdN9nL0KIEJvQRTwSFRn0EgHkaCct/SBz3/BXMo
P9tKOewhfTJXMVl+n41PQBC4wLKg6eo6iYgUanG1KuY7wRgIpCFfMbXkNJ/sAalhPN6r0s8qX2mi
tqnIBOeZUt10qjSbGAvlgSYogJnhinUivu1FcAFQSf9byvw7zj5b2tG8bCnsMGftZD9aKajVgBS/
NeMInLUfjV7u3A+dIA1cuFfhJuDKV8Ehb11peExDn+GtAqsKKNgU5atrGzfPXV15GkKA8FrBGVgI
ZRfmuFDWFTHQNwqePxqpgZasfAwIbjoMyuJx590+bgu3wIUpLphNeC3avTm/tLo8ACXZjjRmcNuE
aDWca9SdZEGXHCa6/H5S3kblyZ6e6F88GbEQsPGDggbTzPy8SNVD5auYE4KhfwIIx4i3lAm2ZalM
dm6DnxBRJBZSVuJeHu3Mx5S075DcxVzpBwMtkkqqgEGReIqHTRWPD7c/4tKL68I2d5uOqjo4Rg/b
sv6elEGf7rJyU8SvUxU00QsxNkx7GqttX/q6/KCZ7m3zC9HqwjrnkakW6Xo14OvmUHSN5J81KB3T
iLhhIb8WZSfwGJE13imdLMrS+dXVOidF+6V3CSiDO1fO9wBz3l7Y0rsLNU+kbjoG/PUrLmktKdXO
DrEyY0S6XEkHCIC6PSOnCvg38Ax8FBRYU6Y8ott1b+uxa6fvt3/CHLK4tPLiF3A3QZHbkqOkWG0y
dEVg270CgFuteJZSGf5tU4sf9myx3FMEKkt5K1Msto2NfSSRVakbO80BQxm4f6P8521rywsD+AQ3
rIbRY24bZTJFGVWwMKPa6oM/FQAtrm+bWF7QHxNcbMnirgolKGR6CnCh4G8s0wn11kParZP09bap
5RMIva//Lmde7tnVo6jQZhsUJF/jDo2z8KismqP9E52YE81cY6dvsgfRrarOv//aN2bHhLA9AIbc
qXeUIVW6GDbZcxuA1dRlG8BgJeLGHtq8gbbO/SHIV6Ub7cw7/MEBvrvXTo0IpLJAcoDbb8aD/+eH
cAGgSuGWfYYfYtxn3mu6B9tLbnoq8+0DYOneuPmR+mXlSs/0RdtGgvHDxev3zDjvSED8xrWBXR6z
Td17srZnULJVg5g+lmYlCHVLZYKLpXI+VQx16vTF/M1XpQ9yg/V7M3jdJvGh7fHIgsi1RqHU2bJz
gXob0wUgdUaV4tK58HWrXpUzXF+m6TYYqoIcAvDQk5uM3TEzwN6GgTzVJNAQJl6mgIJSTf3W+Mas
guBduHikzn4Jt9NRpAzN1M3vKEzK9Ud9ppPTMSVd+30kulDneHPl3me2uI2N7TItoSaO98yOHo7o
ynSn5MQ25jMeUhDbdjUvXrU/Jf8hwdzu7eMsWia3y7LaO8yMYFqygFowMW3DUr+uW8iT/Yp6EfPk
cupwtlIueJQJjW2jhLlRehsiw22rbW1t8hD8VvqzY55AqeHGlWCNi5kXmA4VGxJI9hXnijSpZlvU
MBq2qTuiXG+b5QOYJRSQHt7+mvPPv97IP5bmX3IWGw2jAt+UDksEjacY9BUYxZAtQRhYNgKWFSja
2RhK4W6v2G4YdKxz5vUMqbBdrsCEuopkkYLv8lf7nxk+y0ubQZpSC2aGbJVIPg1PaeP3jqDFIbLC
H3hw00UDZHw9km6M8TdzTgn1iTMJNkZkhjvNNiYaRggdoyKodmwrN/G31NHqjabJL6XTon/rcIAf
oR2IAj2Qszoo1C/dgFFwgQ0sKz1pMj3whlqqXzIt0EUFsqvDy9mZPeXM3caklrSmzEuPjBhTngdM
IHld1p4EMbNexB5wFaRgDJCqeRTQBCMTz/4bsalWswGLAgK5wzilCkYP2RxeCwo6XFmnP+MMsp9F
3SUvct3mgsbA1QbO1i3AnqEBAel6nnCHDdAwawep8MhU1m4y1exksAZwb4OitTyhWH77JC99WvCH
YvjMAG/BFe4Q1J0d0VOstgIXa9e+Os2uDTcKOeL6vW3pOiZiaWemeB6vqch1I9bTErxacwnSwAhT
Eb0bzPRSNXxL23orS+b3WKrbURZWgK7wNDA+TyZCtwv0WjbfxawrVoxVWJQeCBDDbTZq+UpvybuV
k21SYVRW1hJgE43+tXCcnVyN5er26q9yGm7x3PmnjUE6meA7o9R76hTQ6hrKvVSAfaDL3HKyLLcz
JEH9cMmX4EdYLli4DLBjXR4bO6nssscADRpMXmvKnhS+KHHqj+TrL9Z2ZocLOiFugy7RYMcOe/9I
/YISz6lOUrqyVUHEWfyMUKgFAgYtuv8bZDyLBJbUpq1mUFAGQB2NxPkaKj0V81mtbAx9b2cCip9F
czN9PL4h4hw/1hoaZW4oA7ymlUm8qSbkDRg3ydwx/3+kXVmPnLrW/UVIxoCBV6DGrp6700leUJJO
MPNopl//LSJ9J1VuVFZypXOfoturbLa3t/ewVjndubmrB1kc3laZskv8w923mAt0sSBWBYoh8FZe
fjqjpmCineoKUj33i+wHtOtJvfuHz3aGsSz+bC+TtDBCMgBjTOzvXQ/SuTj2hRM+o7R1sHmDHhk7
+HtIG5LkILoD++EHIus+H2pnFrwCX+CLpvlu9MWeD+3wkg8UM/8KsDVHfg4m3U6loCFGNOPKt1F8
5/27mUBeG+wixPiWadwLh5vYUmR51z4bJtVwHUJXB99OOnEVj3uSLJCaPm9HvTvOHSLagSmcyccs
BswDTwdU49EZCCFWCWcW9dTWDCOUdBAeM56j2O8RG6HmZwU0+mFA7SP/qTmYgRsVXnxtUxfmSkwk
4zh8ILnBpCk4EyucdTKOuH/jTR6/EvuTYMfIfiqMGFz5L9dtZs2L/ZYbwGt0UZ6VwkAmoihpNeyp
zumzKPWjyOmGWyMa5FRVj9Ur6gxLpr9yRt6biJVwRaXvfFo43VE0hlTAaxPFeH6WB9qNtUcq9x7p
4U/X17l2Ey9qashlQvPPkDs+C8H7FiO1KOxkPTzpk4vAoyCgLgI9Y1EpHJsKTDobGEC2xkQHWG/8
cKMd7bIgS95qsOAYqgf28qcu3gqLrZ6tSwremrlN08ZeoPRPNPuGtOn1fVv9+5j8YyjvUGT0JPuI
MDLrVC7+fuvmzzrvv4O0MPgXCLTiQtmbYFpIgqhIY7hlDaOH5msGWTZSqaYoPxJmLbtk/gfx+9/P
nHFRkZxkKUJc+76M/eo0HtLd9FB/NrfsmXnfql86ynzlpt04Ow30lofrC1z1W2CvB4ONA/pFuXY7
h10/JB2uVQwg+9ZCcgp507+uqixLPAORwgSI3RlOMwDEcF9r+5BnAYjffBwEkPTc5z+ur2jVKs7A
pFQDJEqm2ioARkGwoUP4wdQVdre6Z+A5d6HagbkqOYWjFUVs06ZCMizSGWg4Q0z3gQE0af8JBzPh
cAro9ZO/TT4gPWMJxCCOw4cdwTtgk/a8CHS9Fd71TVsLd9DlB3qSRZ4Kq7qMCDSSYJDYgvtzSbPp
2DGJA6v7aVWpR4oXI3y6jrb2ieDq0H+NTn5E5BKaiwE7o8AIOchn37oW0sZC0Yi39oX+AEDW8XI5
Uz07eeYAgA3fbCyito9cdWWoMKSbmDOzbIsEGBPbusmjYd0h0L6+T2sX4PkypHNTEUEq0QJi6E88
gaDQoRKBUptctRDpwFgFnqTCAEpjtNu8TrcTeJjyrlFY89rFAyU3hPAgO8Eze/kZZ37O1ihm6hYn
QOtt53jcfU2HCuwbPwr31/VtW13QGdKyrWdIiSsmhNZAqiA5zSAXmrNd1ioCvo+JXDi18/Us6z1D
qemUTtWAbevj+RGEJ95Q49rmesDM9LXXu4C7SGD1qBrHYMCYu94ryniLeu9dU4+qH6PaXCmiz0jW
FqaxPFeO2r37PD0uzVkpSE9szwXvY7ifgmKTvDpvqrLyauB0vg3SWZ5Mq6VTgs0eHffTAFWmeC63
GVRxwIpwHE3Tg/NaOB8CnquKJmtO6wzakU45xxtXmBSLjuLbcfxeQ2x32IwcI/HBrD9ft6kVLLxd
8HjBFQmhF/k9uFQOjbLpgFWiINL9GEpn6Zi0hh0I8zCtch1tbVcBhxoM2OIhlySLJGdoDHNZgte7
w7U7U0dYanVIzIBPVAOzSD+8T6Dgn0jrEVRKrmOvnJ4LaOn0ZGbTtUglV36u36L+nNWfilABsWKt
gHDAsmSha8yUWY8KVoXxqLVIidSPiQg0cLu727C/6Yy/TSRbUPBDWg1yoEipfRAk6adUt2Ib29iz
PZ2OvPyUqMbRVtdyBrHcdWduIIO0SRrGgCjiTSJua5AWQNMIXIOuShRz5Ta4WIzkQOdmcMe0woeB
nlweH6fq6xg99sn3659/Oa9S0A7SJYTTeI0wS5cfslmu9S0Ff5E/ZJ7ee65ffDM2AuSpKtXltafs
wi4OMXWbYt5NzvKnMWPZMjoDTZDpGD1Nd/Fu+qEdokMONKHIwq+563M0Odlvl24FEmVS+dmJ75JT
deLb+NY5ETBVzztr1+y6L9c3ciXIQY4cGoCYNzFBxyA5RjstGj7bWJ5rJV6PJutuUByjtZP6B+GD
uk9KY3fUBRCI9tCPJ6c95GFwfRHrH+m/VXzgt3SgADuEPTCmR1RI7zAgyN6bzbQN3/hXbfsPzy26
aG6ikRR5S8wlXh4miLjQfjbqyrcw3ITEdIIur6HNFd517SCdocjpaLsSBqkGxO/C/NyZfk5viuSt
m3fXt27txjhHkeJDM8yFxmOsJXGhcwcl8fEmS7Za8uYad8X8eB1szRQoJCeRZV8UGuWz5Ai7ydMa
vaF8aihSXqwFV1LFN/bsWIrdW7NrZNIJmNmW+SOZNVFDW2qIpDou/GgI2rm7mYj7D1uH0hKe9TYo
+3GELs0AlHB9TkO8unltIIgb/XIqdxQZraRE7yv/7hj54fr+rXlxDLlY6F/GKCLKm5eIHQJgyMAg
lKhHjMD2tUe1Jwu0StYEvQBL8TpRgdFLsNqohcj0JRIuNqUQ/jQe2znZTvpGqLRzl52Svfn5uqTY
vtQqx0lDQPXjHZkwVEJLLwRxYh60IcZ+mwcNofj1rVwzxXNI6UJshrSf+g5xcVGUx7RwP3eM3hom
OFWu46ydL9gIkvMgFWa6nJrpZzxRIg2neOx0j6afavuTa3qDfdDjvbKJd30f/wOTkzRll0+lTQFW
RXw/ZMWJT2LvduEhNgtPs+eflI0gvtPIoFjlmq86W6XMz8hJMrAkhRcpLQe9BK9jBFq4+Bbyzgog
XbGflF5apQi7JOuXJQ60+sZ1E5OzreWX6XSyK7QeESNICL8fnS+EhUHpvOIu3SUt9To23NPqJRpN
lJpij4BH9fqHXjWoZQAVHVnIT8hT6oWhZUZl42yOLNq3LRx23P2qZxX10OqpRP71txYqzElyAXpL
eGdocKGMvLThc2fcN8Vufo+mt39YDiZqIQ+8THzIWZ3BrXutnuE/U9QdJzwLXTvx2+n7dZTV1SDo
WJrJkNaTw7g6a3Nem0AhLH3Eb/HTLHmCSF2QZ+Wx01WXwsd2bUTazhmeZD1zOc9wZQiD8bilXkPe
Z/61BDceEeYW1aDbWZ9eQvJqg7SHZSoV8tVDcgYuebl01PosjdCDjsaqG8d6zkn4nPJ5a2Nnr2/r
qi2eIUnOrTL0GdxE2NYy3WdsNyUg7lRc5auLWVTrkPYjixjV5TmsxqE32wKLifl7YwROsY3bncZV
2nHrX+wPjhwFRTjudMjwxWIIJGyjTZt4KOg8WOEm22inqviXnTuDk45Xlca51aRYFmlTb67AnDig
g/9fXMUZiGSFbuf2NG6Wx9jwXA/7rH1KIkWksGoBZxCSrWkgW3TiBOvQLSyg3E6YeWKqcck1EMjs
4u0P349eQckGojwVoVECpKxPEGFv6hNXSbGvphjAYgmHBwpiF7Pql3YWV6g62CNBkOX8ENNLxG0P
4uw+N+8E/NKYeDR5dvJ/qAnhXfkHdfFbZ89lPHAn1+ZARRW/7IjPXFXuZOX8YEFo9ICuNkGRe9nb
M4Qa3QPwBfDj5khfUwOPr9iIvovRQk9Np1I8XXGzYGY0MSoCh46AVbLqYWIz61r4A01/14kdsCk9
aMUUOGjkNJIff+18LsAk67bHaGlNBlieHQUGPQfbGwZFeXB1984WJJl3Vs0gku2RmpnRiTTTV5o9
pe3gcRUP/0pAdbEWyZEOrUbaCv/50FF6FbW1tTvMzLt10Dju7SSMV4heg95YZX4rB+sCVjIONlO3
H/Lle6HGytDPkZf3k6qmtvx2Kei+AJFOluOISK8arA0DZ4fcqTFloGreUq1DOkYiNssxi7COZDRu
+m70xtbFQjKF016JCS9Wsvz72VnihYuwdwTMbO9Yd3K67dhARdXAw6jL/fL9un2v7xs43dHLjGeY
fPN1uZ5bbgvvXU1lYLQ3NSjqriN8FILDWDZI2/4fQr70skpri1EDhLU19oM/bUx/9Iob7fWO3A9f
opPh0xe0v9xWu3CTgjTre/4LhM/Xf8TazXvxIySnYbWNU9RLchezNWLwXP00gkC69EEaXUFxR+g+
KqNMBbvuqv4sXfIe3O21Ti+BmtWW1xqPef6lGsF3OXrRqHAiig9pS07EGOO0rZe0K2MVxG93jqaK
Xtbdx5/FLL/gzDBLrS+r1l0Q8KB1Bm+MNkOyy9NFtD5I9N1Q7K9/NNXuSY4jRhVxnHMAznUwh8E8
P8RDiumaYDAUfJDrR/vP0iTvMRRuDvUeILVkNwlk9XSv0FXZ0JWmyAsTlPxHbRZtJ+IlGpvQwhuw
+K0pvna66fXka5FA59HrVTqdKqOQfAlBldEkJtZl6J9E+FWZqlTtmxQz6XXPmDXi73cu/6ZNw57k
xVtXWdvrhrAWN51vnVx16ljF+3kx7ioCy7UDxYN9i0kNg6D4d8tAgE2PVqECVWyeHGfEDRtzweCI
YejOId4QsAXui5v4AP9hUr++117gQ4q/pjBe3CVdtFx1Cx3JH3PYiHxCClgHlPNxTg4G8mG29sPO
VG0wqwv8D+lDLrvRY0ysCSBNDeZBoKJXtf9yrs4QJK9b2rYQZLnLGif17P6HFW2jVuHaV+/LMwzZ
xzp1mzTGYhv5l9p9niMoVjyOWQcNAbQ5K8BWXRJFOywkXpBJkGuEujbYNashokXoo6GjWuMEY3sS
8X2l7a7b/OrROkOSXBKB0oVIzcVbtE/ECiyycSuVR1o3gD+rkTySEVFInAxYzaAhYOo3mtFtoGuh
V51X634JAo7c8SID3Y6f0vxL2fuDahhb9QskBzWB8rmrlkn2tnxnxg/w2V/fxdU762wXJQc1Z+4c
5uOywuJTNDy5+qbVHkKBgxvkLQQLKlXfvcJAZM49ay5Cs+BYUJTsUdL2w9kfoh+Ryf1eVYpSQUmH
iw0NnYW+2CLyk9ryvT7H0+c+PVqqspoKSTpiRlp2g90uSIOGPuWbWOO+3npshLSM4oAtZv0hjl/I
wl0CbhPkmS+DjHqeujpcMiTEedPAoB2x75310Kq6sVdP1xmMfLponLXRkhCc7W/Mxbc5sVDRH7Jq
2mcQ0uHqnF4XIKGA6TnPvPs1mYfrpq1agnR0QD3PjCjETtEi8UgaBUTsjPDX/wYinZ/JrJ0BbEAA
6VlQGLkPXRQj+vw/gci3e940SYc8Ad6luIcSugFbvGfHKnpxxX7J13nTY+akXbKluv3Kza8xhGFH
RevD73z9Fet1pIOi206dpctKbNA07Yfcs+6/0ofk3nnQ70A08UYObZB1nhm0p9eo84raq29UZFGr
h/WP3TnSQ6B20ADsLDHfqLm+1X/CFLfflKc0PumuSgdvrVQNqP+Oq7McgrM3gRZTnto1wKLqWwiR
p7Abgrn6FY4vKW+2JDECMZBN57qgm8m3Fsu/XDcd5Y5L/oKHZaHjpkQEutVP+jZEnnNLN8Ov3E+g
wXmYd+UpvGk2xSeyfYy+t8dP1/FXg4+z9Ut+pOt0ls3L8zkavprVq2bMkGNj20zXUdJkjlekkB69
Drn8yWs2JvmVkvfh4CzxTld5NSYr3HDT47BovcITq86L5F/AxtVgWBk40Ip2xiAf3jRTcTurICTv
0jWzSXD9w1TdrT0+Fdl35ZABVRwH+UKeDLsqocGErM0JdIY7/Sn20LD2gHi0mYPo1tqB4rx6o9vw
KXljb8Qb9vRO+G7wuoz/56qEgGLFcsGrLhxtEtHvj/eSiQe3fTJjxb2zDoHZjaWwjmeEZB9dZgw1
WU7ENAuPJ/s0fKWqbo71Tf2DIdmGYDQcdQcYcTa9xjmUjkZzm0L8qqrKL4WpalFZPWXoTSEg6Ebb
vCxbXjdWQ3MD8YeNgaKalZ4rtn0TB3V15AnUWBVmuZ4sQquFiUZpjF/JAz85K9p8zCckfZ/aT+iV
honEJ4zYWV7+YN4p+R9WT/QZnHRrNOGcupON5cXkizkdnRqk2H6uoh74yOq3PCzPYKSLAcxVhTOU
WJW2dx6nDbmNj0YZZG/V18bTD8kuOaYPlh9urrurVXM8Q5VuCCvNUHMrgNoZJ7Q2kvGNa4pIaHET
Hzwi5vdAOYav9YEvdWgyyvII9Y0M47Rkr6ebVoA6aAzaaGfaozf/Nen+spNngJLXbwTVUkPDmjJn
oieG6BgkABZKkwQqdte3b9keaW2/2QXw2gQ7Fk7c5QWrh7nWGHqb+6IfQdKTsHbXVWWrCFxWP9LZ
giSfMYMqIhlnNCAKN32cC+7HkX2TjYrp51U7P0ORvAaFg2gjARSW7RxIHpoPObmzVIMvHylGpK8j
bVnHIIo4uks35RxBGs3PSOMxfldXm7H81Je+E99gjC4Ob/r2aUp8w9q6//R4B8kB1GAZphNlyvvB
TDg0lZaKG0phxniypq9M5YNXrf4MQ9pNAy04poWix5Ig4EaQ59/t7ls3b/TwvTY3tWpQf/XjncFJ
u9pqEXS3QyzJND9b0w+dvjD3RpnpWzF3iBlBgYFBiQG92JIhgkreKovl27UTaGHq7zxU2OCqpZ8B
SLs2mNyMKxsADbQ48mNu/IxUdB1rtxXyUWDRWC5IdJxIR9a1NO5EcOfGVIJDh3dH10Kf2SwS69hh
bO4uIma6o2ab76/7irVPhPZXB02JGPmwfh+Ms2CcjsVouQWIFTP2ZNuPaHsc6U2qStms7SDoisBE
Af0KTE9KhjDQDoJ43FiOFw3CmBwiaw60wthdX8yKJaCxEsPYMAfk2eR6Rgt3qIHVJfMJpt19wkPi
ZVWtikBXOK91UE+b6OJ0kWxFJ+LlxyoTKrI8r0u/mLajeT9YXu8Kr557v8cclrh1LQxp/3KaxgP9
e6Bbf10cxQKRhrecJUmF6rmEH2LjtKGDV8rpcYh/mPUjj96v7+THR9oFhvFhMsu2Qos1wGhd85FS
yKmg22AkPxIrPbkJ3Rsx6hDR9CURmkeFflh4Xq//hA9HQvoFUqpKd0nHMge/oMRsoIs4sW3vcDBu
WDcGFghIp1ilsrz6YdHMvDR0LB388oBvnRmpmHWzhHxjNLOdZg3NZzFDJgLjG0P3xK2+eqwJZLO2
0DwSrRdadhSddNBz7PFi6I2tyExyTFxn+OsEPzYD8yXoX0AXCEj4ZR+XOWaLFhSMOufkRic/SA1V
lBGzx4n1DwR8wHLBD7zor0BUQMKimlGZ3E6XcPIuHF5Ha/YIGPeyFG00IMR4ZeJGWMe8f+VM4WjX
Pvk58vLvZ86oL2gT8yYrUe26tetbvThQ6Ntaxp3NX/VZ4fk+RuzYUxC5oPEfLA4fG/wSk0f5RMrS
r1zzZJb0aepf3L7aRFG5rZLO64zhlpD05GjOsdXDL39v3hjOR/ncJhiJ/n0Az9Yai84SaGJGNZm6
nyaLe7Q0MJ/ooNmXfG5ietNFSse1HJmLwHBZMfozGWVQ14AU6+X+auNk8DDCisfUehkpOWqTHoAE
IfVTFp2YPnhTCm6VCqLf4Xtuqhi+Ps52AH+ZV4FQCcLuD/OkRsh1u+9Y4ZftyYFQdXtwBhCdOhOk
JPaOu3FAIRtuMwQmiT9a21QVj3ysCS4/ANNa4L5euu9lvpXGjcNWYEDXHyDHnQuvs0AdpP3iMfWY
ts+mgxneot/t7780LiV0buF+x7Uhnac5bqKaL44MNBHJKe2aHA1cXXULdpJnCD3f2Un4rU/dThGf
f7jZsVYXA0KmDWJ9And2+bF1oykgW92VvlkbnikKz2bTfTwOHtEjRR/BsgLJrjAnZiNqxYvDRXv+
JVRYmQ10q0kJefAfaAzZIcwJIPjuuV1zsFEjvL6fa18R3Kfg7QcUqK1+P1rPjo7IQpS53BxRedM8
/x5dpGhyIelGd+rd0D70LvF7EW4jXUVStLKnF8jSp9RKdDoNGpDb8GEIE78rGk/Loi1m0APFIpcH
/Ic9xR0PCSwXs4xy1VCbZggY5PAP3WwczTjxcMOcwBAagFZrk0K4Oa/4tnSeZsZv5oHt2n/Q1lxk
hSncE7oOcWglb1HMcU15gcXO2tfOum211qu6pzZRdZyueP2F3lGHdDHSwlQu30AFPmxxJhFO6eLY
OP0Gvdg+q/UfWtHtIY8KCnBVj8MKZfzSBogLFTxe6Nz8HQmcmZBZ2TbSasBM44NV7mPrqEe7Jtub
0Jh39nwOcvvN0k6Fu6XJKxoFl6Ewy76HTMz1z7y6dijxobsTzBWYork8OcJwR65N+B0J1LfTnWm8
2Natg5mqlN+4maonYtV8/6DJ5CnQM6zjpIb/L1CX7chb3fJgHE2vUrm8NYdAweOFjQXRLJ4Vl8sK
MzoNQkB2HUGcX2kxZqvEU6FXN9xIn0a3eby+i2vRKrIrmFhHvs92mOzXWzKS2DT10tfdycP7Fl0J
21QQz6xuC2T1q00YP4VQb3Rin8Qv18HNlYN6ji1l4jDkq5Mmp8AGqdYcJiedd7vrEB+eT4jyTdC/
Ia24DBvLo1xo86y4E6LzLNOcjZMI3yITosD4cB1m7X6mFi7npZ0dQ13y8LQlTKgIdRPcW+OWuzji
pjebefQI1Qg3AB9NtuOivE1sBnAjCtrJTDweTQgMI+sVdZ3u0Jf5pDgiK7aED0vwP8i3wttLbiir
WjOfbATlZdoK5iPYDk8OT+cicGlWR57dGOmNpYVJpQBezp7kgU2GDnLsg0UgUSONrbM4BVmnjgn5
JtrQ5m5gNehQmG+jYTSD5kIbdKrJ4TU7voCUzk0sCnfox2UoH9WTunp1GwIap3xjaumDbTTQXui4
h8hm9DJKdpnr+kNIFR0evwMDad04R/gPvUTExPzg5eHNJwRpicBhakAW1WcQO8FQbG2990Z3Y5Lc
D1NceOY3N2ZeZTU7KN36KF3t4/yhcdg+tTovjEsvYfFN6LAdpxp0G1T5knVTtQwbZEzIKYBn7vJH
gogpiaBhDFfWY8A/OYr0M1RGbCNAuvA1MauDGX/WW8OjbHihOXhDkwbTLlQR2q0dTBxHJP1dZAQ+
cGXgAICub0bgExsaxBxMyE42Vg6ZrbZRPI3WkVBagP60jTegZBm63daZWJ6miUn3js73bZ9tWGYr
PM3aDYGJTmtRhYY8kuwBRmJoidVgKNDhFE50H6fvcVluTVUics3SlzkkC88vZLwAd/n9iim2UMBf
5uWgXQe2MLSVbS3SQK1IaP1r70z2my50fZ9zuzq1dqufHNboN2ZRgfFTdyPFDbJ21pErB2Ehkq9I
IUrbW3aVzmZoWfiMv7HswQl/0fEQt5s5e+D5M+t/Xve0K9uMYfo/cNKdkXQxJfECx8NbBxQE5WZu
PpmqwuFqoOwuuSLwuCwq39ImY6qUGtbS7tGCyDk+heW70H7RbmMjHUt3oGjNVM76I0vWkpA6g1xW
fhZYxYkoeztdKom+HjRvkac9fU9rD69oUAVwr/Aejvyn9iB8O1CJxq5s6gX0cpGcQU+8alp3mfhJ
ii818TOaec10PxiqnuaVC+kCR8pShHlIylYAR6PZVqs1P3VBtDe2B8wlo9NJpQa3FiKe76gUIg4G
j8d4wI5m3ee5QWWqeh7iJ6IFZVh6pbu9bpm6tfbwwLsRxapFshJqopfbOIP+1C4MBIkYSLIFFEXH
sdm1deu0G/ggdmw6WhubCJTp2wmjvZ9I1VCUOd3JOHZ23qNUXunjlqUGGnPEZE/R1pyn6ZFOJYEa
2GwY2QPceb2rhsK093GYjt9SMHgy6D1ExobPEe6VCDJVN20NIqKANhwjrjXrS74ZIcNwzEipgekP
fsAoaKj5EFDQ392OtHvaDukUkNzV4qDnSWH77Rg6dxYIQS2IxDjVgxGZ5KWmevYZtNUOwTSQM+OZ
2pKI+Gash9TjZZccRA7tNChkuWmgg2YTv8ERd1CWNiwvI1r0TW9iqHpQ1jwbNUrMwSTqYSOSjnxF
kh3O0yQxK4MujzjbWrymx2jAjKXXVUOX+Xk7WHzX5lp+qODIZojWZGaQtjPZuzUdiNdlgs6eu2hL
eclY1PD1qBEeh5S7wq+jxHkv0UHiT8J2f6VRpR9yw413SHNNgZuFnB2h4VkGmNPpsW8lNtmL2mRK
AnT6C5+kqHX5gpj5z7qaxC2b3bKFWEMSim0cCi48dFZZv3I37L5BKWJy/DRqmx+i1YvnEp2foWfV
kxN0kMj4lVnY3ie7tKM7tH2QBOTPWWl4gzmfzA4yKH2TotKuI24tBtfZ9UVIR59X3SHvRHJEE2lx
EFNND6QbnW/1WA2xRwuOWb2mhYVpzWgUR8sCEfBtYZXOhmp9HAVNJoobzNyFt4RWWrOfCt2OgpQS
7TYXsF1vKmn5mTZTWHghJtxMv5nmug4GtE2Xj9WY8BvWTIa5cPnXs1eMdb20GZettRkhoLJN+NDe
aRaIicxmjGevrjHB7lGjpPpDZfVFtRGDLqJbrWuM0zjQdmPgFfe9d6d65zJWQDUKlpErAo3V+9JF
KhBVFHhz1LsuT2XTdLCeHOOYCWF+SHe8vqXDlzS+A5NokeyN8hdaUybjxBwVYfkaNJ7lSFI6Li5s
1JMvocu+c+s2RajVxdap7fs7K3pP0R5ipdWOAm4a+m1Jh5s6j702gyKGWSqc0ooLRBeCjhKfvcwe
yAWXQiNzzhGM+0IDhYC/s05iMHEqic9jVQv/ineHNAoodWxIb4PWXnJ/OpRUW73DUB14Ahi7qyCq
Ebf7KXwJjVjxUdeWhewcQa0BDQhwtpcbW00D3GYdVX7YmsjH1mZ51MkoMi+eawtiViQWwRzpaeHN
gg1/zViAXCR4k8Hy5iJJ+CEtifRz34C9vPAzdADHWbxxtea208jBaVViRSs38wWUdGNmWk8NjQGq
Huu9AxEdDd8SROp+ZDxcv75WttTEJD2Yb9HWgZebtKXGOLmNMw2Fn/TFJsytKqBa+ayNwyax842T
aZtxLBWh+UoC4AJzWf1Z3GFHCeN9AswMQx5FY+AV8nx9Vcuvll5k5+GiPHAXVm5stlNboDUg9EyI
26SYKg0dxeDF6t6dBaXSe7fgiejnQRT+LFzc39qnOHXv4oJBkCPb2pG566O/7nlYihHEAfM5TNBA
iuNy6zpjauN5wAkwMdHcEoGYBtTvsWqMasX+DNtwIcCN9AaK3TIMyipOxStEhnq3aaw9Oi0QvL3Y
qrTX2tMZMgt4C+I0I0aUHdXExsqoohhz7Tivn+sxtVFYmObC8rs+0zBjxyL8Cp6k0+yxwQyZNyHe
+Rr2AlQ20IpOT0Wk2ze87d09jxjfuAiMbmgzGBvdzHokYFuWhkHaDeXDmDGMrNKm56nCL60a9Jkh
SC4wtpDiNhZDaGyk04YEWZ6UG4o0w4qfPbdpe/kRZ6emRDJSH1yAmF2Hvqu9Lt4b89GKfzBrc/30
rHx9kKWC+o0sSS2bScsRiehsvcRjCzRzuD67wIj3DL3W4afrOKvn5wxHWlGCOUdUSLAiYzkvIv3h
VAQ06sk2zdwvVmgeqzRVuLu1Fx7sGgkq6oL0GNzbl7vo9nFhEYEh+oohR81nDwJfm2z+Ct5WT+df
h9ynWZCbenB9qSsO6QJWOlBpW+S0SQArrGFT5S/GNO0y1RzO8ttlr0cME61sBOxVuPYv14am1Hbq
CVIEPaqjkcHv00go9k8FIbluvWwQBkSAyPMUZzHkj7SLFdfDyl7BsYEMHolplAE/zBDUxO6zhXrA
IdVT0WrfojDb5mH1DxmMcxgppSDirGGdAxgQNlTZPZiQEBzdLpxm7sbo30Ctet0E1s4vqMXQAoMC
HOSYpK+T16hZ5RZyoRASDsqyu09me9ON5pF2YWDn0/Yf4Bz8TfRh2SiLSXDJzGomdDy6Q9T49Dnb
WDULaNWgSs9vK1V36NpRRofNf2iSXdT9OGrQ+ULHl3Y/D61H6Xub3nbWlqMvoFBdG2vJJ/ArM2vR
GQOts5R8MtOYzhw0cH7Dfpr2xrV34/ArS17cIQxq8T6CqvLvN9NCXW8hyEHHmdyrbBojqrVRWoPy
dtxYZVh5c2aOnoAKw8RtyN0z8f064tohQGMNOr9QicYjRvp8OR9Lt7RBVlOWENga2X0UWZARTlVk
Y2tWiTedgewlEnkQHr30Gc402THOWuGDg7ufb9qw8dxxwxu86PR/2MSz8oAclBkh8udzhqDWbj6X
hHhl/Dox7lXg8FVVCVfcvOGiHoNCGuJ1QuUyYUx4i5AZekp8zkYvzlAFGCbt5MTxz5Rnt5PNqwA7
X2xIgQHg2h6aX3/7/ZZq+2IxUI1cGgUv97WcRgqtNPwAjG9HqEAgYxlOw/dQa1VSox+P3oJkW3iD
oSkGnXyXSOZYQ+nPrBvfNcO3Iut7CNWggNcZkH+2UjyKIPgLr61KXH40nEvY5WedhSNJWZWhoQO2
bmzP7DexHUB0yeNF6EW9wpd9vHUusaSMXtE0oHDXsJlxa4NyEh+02v/L5/pvE2UavKoBf0YCHD92
7hgoqYbhpkkVR3rxgZfX88Uq5P4SRxDMyXbYsaj4FTegX0TFAF7lvqt7xQ360T8CCXNw4FdCewAe
rJffhrCYI3wCI1mdHIeMBBU71Qn083R/NHLPgLhdlys+0ao5nEFKVkj4YBPE241v9lBMK3Uv1sVz
WtQBsTS/K7Pd9e+1updncJL1xaLpEboCLrMmD+pXrH+s2wkJzqd/wEFjI+TLcN2gJHC5kwOai/Vp
QsHOybJbl/PAgsi0BuJ9Vqi43lZ38AxKWlLOUre3+g4eo/UL5xsbUUsawfWEVwVTyVauY+ERjjub
LL0ql8sS1BmqvIApWoZwkAD8ZvPsWFOKngocrcYcFcfrd7Xtg+3T/wBlkmILKldFj8S3j57uA6nM
I4vbmzYih0J87nh9Dz0KhN/sVOp4DbiqHP3HyxT/HwMv2UUJZOmBulwuxNDKMKvxFfGkDJLa8ML5
e2ipKIVXbfIMRfqAJVoaRJcAZXB1JEjrE+HJVoC5Be32ila11fsNbK4mLBKKAx8yYU5bDU2UA0vr
NrTPkM6NvQTqI1FQNWCmj4IxQg+bSrRwdR+hDYQ3Bq7UD7cqFazOs2GAX5nC7cigcqAbScC0TtEe
t+q//uDIbTcT1waM5PQNOhhcEJD8H2lXthu3rmy/SIBmSq/U1IPbdtuOpxchsRPN86yvv0u+OGer
ad0msu9DgsABXCqyWCxWrVr13uTOkHe0N7zYBzV9/YG5jc71g75szjcDXYlkQsrRkHNNUCAyxYaZ
OOcJ7TOrqd5jNJmKOmf/eNLkS4NEK9CCysdCqgOV/cdAeNDNU6g+hrkTqBxSXt5iMq/5Qc91NRch
S+8rdH3bU+62qKGIzzkKw6NkJ4CGX19LnsTlOl+FBkmJKpGEkMqSpthttd6OTbAYzZIddOneH7Mf
aTTe6V35eV3sZpSw2kIm5JIwqLs3CogNahSNqtQOVS4b6ObGIahDXgzvbCC1LlWTcySISTQhTsCg
6v65rl7b5ghkjyTv4oLW+S5T3XlOQUV8NsSQ6iJguUfS7RW8VTDR7LrCm8dx9THMOtdR1vRTCoV7
/SHrJqdMjiIhHCGbq7oSwqwqGl1jbaigcZIclHp0qunvofrwzgRNKAu0AaPJGQkEW5W2/QxfhiWU
+s9G9TGchxoVL6u+uV4rQUxYlKiKX8bg17UGcK8UPcpvyrOkc3zXdyFAAImiskC2kYhho7wak61T
Yi6ORB0sFOC8AkSxhSn99bZcimE8iECiQEkU7D0alXpAMEXfmSKMPLtuYd+vtEspjLkL6A9q+xbK
GGhDyuLnOo1o5f8aNE4mfVsOkQgK2YgS2G4uY0QLX6oj9lFb3et97TDjBUeVofUGXeb13H93T1BK
Xp68gCDBshlXLxsYAjGqY211MINwelRiyyB2KKhUi0EWi0EAIschfj9DlxKZzcpCRU8CdEhahT7f
gimYtlw8zqbZGWjMRboH4BWW9LQnY0HqCUoJChr880F9SVTie35i8piCv8eOC6YSDQHoq4EjJEww
BabBeZQmtbbipDjI4a5vlVsVdNnVm8yl7t6yC9QxVUx7VdCEwR6mrsGMeCPTETYCHfPqio8jlc/o
PznqtonhV/bwGljdL8BXr5u9smUia7nMhklNlBiTrtUWoU/GIb2Z74Fsuuvds2Sl+FlHc6/Dj0lA
TfqEOrjVv4DK2MF0Sqd22l38DDw2FW3TKm4Aa3CGF+Xz+hd+p+QwsAurlWFOplEUYANWli+8C73w
qXwhTmgZtungC46lM9gtnQ8GlR9yegg9hfYaxwF9vwkvP2Cx+dUlP4sVeF5GfEAkHer6RdKfpHiv
ZveTgpuCk6rdCHcvhTFXRCTKQSHMEIbkvKSeFM0JBDCyG25fu375WPvOXHJc0qaZrxaYuSxQo8fA
+wimp6U9VbqIIlurIzbs/R3h3YBba4kpeCI6WXF+MZzmci0D0fD7QiA4UgUdBYWOpk8nMMrMQW93
9TF7uW48G68xFYjlf+Qx5o0pf2oZE8jLkx+tCojObVa+4/VnmcVJmOg4ukaHPkbOZbJ1qJCVM4AT
UMGTzLbkjeUohEnqw2LGOz/eCxFS7YEjhSZNyp0s/jD+mrwJZ0QFVGDJASoEzT2Xy2pGzZxgQna9
zBUa6ndSPI8+5xxudEBeyGATR5Uml3JbC7i56vpxzme769CbFL0DBQ4wnXQvlSoauFNbNAav0gMn
mV+IqHDO4gbi5PIrGAOK0yjEZ0DThWeu1H5Vfn7OxsKVMOs1kp9RMcZT5kYQIq/uOzqPKYcOZeuw
rFaaHbGQFJKWmTlWQe9NpyqRHldfZulGi+/JyKlAbVnRWhTj+AoQyFcEaWpLRN6xRj0jILbSfWLC
H4LtpNmR/t84n7VExtMVmhKTZobEZHqKKw/c/0GRYTZGCTz7j4YETihatfj3Oc/LLWVc3lgjIJkX
qSP5UagmVXkxF28hGQdnZJLWNCUENPmMciGmLwpDT5s8uumVwlEU/znHSDaU4h+ue58tZ7deTiZ+
EBq/LDE6E85O91HfP6pJS0lLrDL8Hcf76O+zMss6IkcCkhlgtNnQcm6ruAEGEa/C7A96wJGMoblp
Z9KP61ptxV9rMYyRyBVmSZHlBLRzvPOb6aS2qiPKFed1sRUQrcUwVqFFbSA2GOax8FHkgP/NRHEx
BIfE+u66Pv+HS/ln3RjzUCp/igMBkmrMNgfTp6NFL/psy8RTBmvW3OUJr1lzaINlkBN+bd5PKmpf
gO2DAhTdZpeO2xgbqZhVkJgOqTb8zhJ19PRkjvd5SYyOdpnfPwil2rzMvVrZfd0VB1UrB6eOs7/m
eVuuEGmZPiWpy8i9xZhXUY6S6l1E6rCxsl61w/ipTGYLrwRVdQiv7P1V0rtMQV3KYq4rf9RAMdZA
a1J3djTMkAlhc/yjSnSrNt8yZbKh5rHVEq+S9TdSYvC72Fj9ONyI/R/ByFyY/z4VP0wpBBmx6Smj
4MWR/1DV8bFt0A1lyvvrZrJl9jp2GHayPAnYojaEBMBatA361p7zqHYiUadKwGOb2bxeVrvA+Hwh
BBDEAKzWEsTfY74farcUjkUmUpH34uBJYo6xiUppHGaQZJiBVRAnL58K8RXtyE5R8lBDmw54pRVz
lgOkycAgCNvKU7etHwVgldUJQKiSZlpkCd2LFD1f363NOHptzsyhRoyEkU46DrVGvFjbC50jguo5
BkC2tvvubE7IYvEmMG+HSCs9GYdvVpgi2RKsqVKeSQeb1Y5p85LOoImVAjevW4x/QmLyPBm0Ng8J
DwjxZYPfz5W+ELUh+f8NCVEpk0+aNmosDXz0dWgNekfVcDfHt3AmZf1uBA1IwR+kEUOVnwbzoIsv
pOP1YH+nyPvyJP98BbP0ajJ15SDjK8jdnf42WaFX2/G+QY8VVa0WMSIdbHFfWB8lDekflAdFN7EF
N3VMe367bgabNzDAwf9ZEGZDJBCv1PBrDcgr9YTKwztSJRFVMN2jE6u9pjb22Gm8yS+bL1Z1JZVx
pQDrmWEjQWptE5q7GJv2+x1wSep/hnis5tB6ebTqtA6swIVt7kbes37LWa2/gHGwkQwa/TTEFySY
hFDBEIDDKXlsncryeLpibiwXYoE0e5xqkCKiZ8HpdrKHgRz7X7Wd/dKo8jlZgVO++AI17GifH3qn
paM1vCkPH+C/c4t9ag12YvMPIUd5NuvVNa1i9MtnlV1CGqql1WShsWve+UkoWXOpTkhXh3JyL4UD
ADtkAKVS00VhQ+Ms6n6rUqyqNPEn85eomjFovSTzJLaZ0dIgN1UM0Rz9FuzVSXWDKSt+RXuiNQ8g
7+rcKYyb0AV2xcRyZwnIritxJlYYVn7gZEZaHYJYa3cZ6ZVjQSokfytBOo9ipz8iyYHOSHAaqJh8
VxovaAXxD0kdTAEtBr9DHwnQobUyzLc5MVMvronmGdUcOZUgyHQwuvwmixtiI4dd21NWtz9qQcOD
UzeD6ACKGPOuUGvyEzNcDTRDzGVHG2LIsT2HGWpObUmqFyUcE1fziWijMcSkYySoyB83ylvUJt19
AYvObHMEIrct0GE7t1n4JMS9TtMwM+7btJ8ITYBUQTpm8hXQyhlabsntpH+IWLFjWAV5i/RjJwYo
G5aiQiszHEHtgZq2JqRkgHeu2kNnmvWzMffTE0gAq3tjHMM79OAkB6NPpD0Ac5KTDr34J6rk/ozU
kPjWt7K57/MQv9E36swtJ4INnyep3deodB2CRBXPoj8EGMQl58aPXuzbU1hNegkSWTH/9GciuOiN
6XwrAGxiB+xameG+TWv10MWTpFM5bM3cRZ5MRQuM7wN/L/tJh6Ej4iBP1Ihl6WEam+Cs+nKIzGeZ
+reNqcv3yAKECqaXG9k7qReqoCIOSjRCkFowaFIRcyequXov+kl7CDNFOJl6m6IpXjRip9b96Q/Y
dkxLSKaBx4b1lU68dnSZvIgKBgklEXFG5FP0gEDzPbbvk4Nvf+Q08uS7Yh/ZL8OR7Cc3pAAnX/fK
G52AS/z3X7dsMlFOFjaF2S8O0vB+dcjY7cJHYOTnc07lt9kxnPgMSC65IXf+LQaqhJTH3bwZj4A6
A4MIAS0HmdFlrDulOMdqkED7tlBpO1UnXZ0Nx++Gn1lsfCR1d0NybJpWTPvrqm80J2PS5SqMZC7H
sTWTQS96qC58tGAGIzchnryGX6HhrKeaQmvyqNe2GDty+B5UI9UKwinJLiLYvV9/AnMpjkqICfYh
PoFUmS2GINNRHyZ1vK87Xj5heb2wkpAAA8IVwPfv4PqoUkhWjhk4E6XG9ZUmsQrD/JlgqqFbKz1u
Px3M74qABLeYVhFI55GSK4qck7LZ0nf9FcySk7YuDBEVREx6r259YfRUYT9nXgVG5+ubuxlSr9Rl
FrYH6lBAmbKxOkyHpcqU/sQsoD+aKLx1kUH7mXeONoNc0PIqC/IO6GH29SikiamNatxY7XBUcKmi
+w7mIwFs2wZ4I9r9CEYG5++V1DAmTQaPLf6w7dDggADF3QSZYv0rJwhltBe91qjRvWg8SNK2fksb
EpqggPVmMxqYZycug+ybZZ5nMFrKeNTSE2Y/2Qbwd0R1o8qOJImj4Fb4AP6cL3oSwE3Yqk9vRkHZ
tyD6xC1HtS4+hm3klMhzXF/HTTEKpnqqILBQUA289EFBN2VV7+OtUMy7OsFFLZzk9s91Gcsbjj1/
2koG88ZDEkEB4BYyAlJWrlSDlaJKAh4l79b5WktZNF1lDvxpUrpKgpR+qGmJju6hTzCB1q7HwLqu
z7ZBKMhuAXuAGiqL4Y30vIwFAaJAv+fMYFcccF8iDLKqpthrVavTHAnLsDZsFd02nGtra8d0LJip
qHBo4HW41DPG0JlcW+pAhXDTjOfEP+W8yZRbG7YSwfKKBF1eYQQrRFTgFQK9gT2kPID31t0Hj/Hf
JWS84SyZCVqS8RZPBLTiTrYyJeh4Vn7EQvou+XAiKUh/Wl4pdXvnQK+2TM1dipzM4mmg3KlKHW6j
rHe+QhPJ601XlTGf0NLnEfNhKMl4TBJbGwaUjAmKSlzy+tdDdWWYajcJuYynmGUqDxrsMZuozhsU
uCnja8jr0qsJNMSlUYxZhS7pEnqlenCsZE/uy11Z/ubY/dZFqq2kMAc5bo06bQdIiUB4KeH9UhTJ
Q+WPd41qWJJf9+jFr221H+yh1p7MOufBzLeutvUHLMuwWkofHBhSkSFia5PpFa1s1jhHH2CD3Ikd
MNfcmZybLmWlL2OkWib1Q+9D3zz0WsycGF/a6LnveJnfrfQAMH5IuyLdJYKJjdEqCzOM00McOHfJ
5ywan5k8ORpJqNIEN7360Vc1jTqgxjolOqjoazYyzF/IqwYT//Qwxqi/z9KQTlEEqsCWF7ZwPo4d
Y5ITvY0CH0s+oNM8Os6Gh85YU2vQpxbb6C24bmLbdkxQPQS3CzppGDuWzbbxg2UpclAuljkIOjD4
Us1zTlZ/0/vo/4hhDHlUpQETcyEm7l/a8q6bMahOdY3UsKZiF89I7zfO/08xxnKnVvKrsIdEMZut
1ghSagAdXrQjz7HyVpCxWRA6lKrULCtIfiTa7RgMtIwVzh20uX5AwS4dEABps3eQSpIyAn17Y/nA
JzXJyxDfBuBvaPyfc+ThAqQNnrXXF3DzLIJX1kA/0MK2xZQo0rLrdF8GE0SkuUZlgEURhBKY7yq5
1+Vsrh9gy2isB1gbF9TlYUwQWM5FAjka4O2zug+RNu2ExLkuZdORraQwu5QZyILEMxaw0sqbvJlS
N2iFN9KCrECWu3OBjm2OxC291nc6s36Z5A9CuoQNWizSOinsYDqG4e/ram3eryDQNtBBteRw2FBZ
DKQ0EgxISZPwDf/2pNrY1aR0Yn8GR4YCeNk5l5HMSENek/t3AwGEVwExEqJ0QM5ZWgQxAlGkUcSV
NRrZi4Hxazs5MmqHDLp2rkG07V1X9ft6Qhw4AxA2o5laNphXVhj0kVGZ6FAT4xnMQVWCbn5JTujY
YiradVFbmiE/oOO1DNorlH4uTTJKg94M0VVkSUrphXXu5H2/HyOya7uG4xi/R34ScPuAioB5ASQT
LDS0GwbSNw1EGfGSIBy9kDScg7y1cGh+w1NKBAXCNyIrPxREzPhCN0fcgrmtD5pPEuItJc/k740R
gzPQiikRFKQlmZ19XqE8UZb1AFgP8jiq2B37FPMGe39fisQT2/o2kauDlJRAbRif17dso6KK6reI
Ih24O7F1LG+A1BddHJK5smR/clp/doo2BaFv7+pVfRr0cG+iCJIJy4QDDOtBxpazyt8dDOSDkBud
NGBKAkXrpc3UXd6C+UesrDyYQYFYIoWjDP1tgHqMo8YCMouk+/sn64VMjaFnAC0ajLKXKmSabXSa
v4soduQpF6S4dRwINPpiZ0OlhKlrIG2dCpgluvSGmp44jB+VpO20ud7hlev+i200AN0CsJjIKJCz
R682UyQplcoqBtnKc6BCUJYOct0G85CdADJrdJWd9c8J6Jn6PvCui/9+zUrmWjqjqTFmShBUkN50
I3GyrAC3RjS4Q6lWN2EkTJgioNxNIDe25lYSORa04cshXVJMgFtNcGB8mfgq2Ea79kzMQYMJhfG9
rsUDHerRNf3qpzTJhxjJ9S5JbrrQDNC9RzhowK1NRkMZ2m3wykVvPWO/uVFPRm2SCoM59NPQjA/g
u38QAvEVD52366u85ZBWor7WYaXnNJV4UcOZAwtdgt9jyrM71BNCS69VHjZGxam7zIRgSdGPrqFB
FYwI7AQVeWoNJWggCn3WjlKVb4OqfVzX5itjw8owdXAwYvKCLmN+0OXJz8AYPk+JjJngxh6TJcTq
OE+fXbJLU4XmzWvY6kc9+DGVaAx5rKTP2CytKj0JpZvNO5J7qIhrs1MGnla6A++Z+n1XZRApgiMS
LJFAd7BzIZpRC9SiB/uIBKZSaQayJLAm+SM2H64vwqYctA+iHXMhc1eYNRjNHp1FaMq1ihR0YJMP
9vaOpmCpBlfMv5AEleDsgXUCu/jlaodokvWHKF3mkmE23vwA4sLJvxuzn9fFfDccsJ0s4FhQMCPp
yYoxR00dDD9B0WtIdasSWiAIfJ8HkNhaNpwExG1IPILKivF2TSdgonwIhoa+HNOjKebCqahlsBgM
4XMwDc1f5x5l8L+rGu7oJVxkLVXyQas2++C2qImPuKnztI5YesFjDN1aO8TxC5++gs57lpgBdG5K
kubggRjJLvM/5fT1+t58fyFDDVBnQBcgfPFwuDQBkoT9pGegYsg0G9k+HwkkNTyCvpbG6l7tOFHN
tjb/SFv+f+WtJMmPlDSBtGjQnFnEUISU2NcV+n7tQCHQfS0QLHQ8sqe0MpUpmAtkV8ROuRVSw5GK
N3N8IPKzPGMEmdb9ivyKx5d7Xei3sd1KivYjrQWadhB2TeeGGuaOgbMy8yI9sjrAwUGZcF3N734f
KGUwPiAzjUeDyF4xxhjGZj+iUaxsKmrOrjCLdqJyrvANMAyEAKgFDmAQY+NcXe6XP2I43ZJQReN0
ZuvFCOJkwUJMhg6L+GWK9ae+eEbh2U78syhrH5NYHkdMcTQVuwI96HWNNzCGlx8jX35MM4S+4S+x
t2mehRluvsUskchOcAXS1njJu+IIQIFjzgLK26dxnDhubGPJVXTEmSYuP5AdsRVXecRIk7gYK9Bx
G094rwWW3KECmDQpL3JbXNXlLYiGIxHNMsgk4TXKMpYUpRQBOBAgSz6pkdULLQxoFu8rEnxoeneX
VAnh0EVt4G2WTioV5MdLXx04wy4XV0K+0xhQ5rPyG/l9XuAmzsdbDIhN5CRW6NaOTHPAU34MVKNn
Hq2ItOGFcGAXkiW8qfAX47tVQwg1eeiALp5oA5D2bX4/QywaZIITiEiflZTiNXebPe0wVdX9e7sC
KzsITcBODE/I3rfBoKOLogA7gHwqbxRqHIx9Yr0Ur8U+cXl1ni0jRiUANJM4D3jasSWrUfE7NWqx
zsIjUqY708q80cr2swPull3MuaO40hh/G6YEg5YW4oPK0Q/BQaDhXWoj06rfvanHnPds2wi6cTBW
yjFGBFBNJUkLKcF0ru2ypxUdKUltoAcpl3x5uZiYM3IhawkHVleJLqElxewgazh0zq/xmHjda/WK
PioYyHjHi/22POGFOMZCgb0EpeWiWvvaOdNPcuxpfyjwMqclDR5br/5x5hEub0A8LpeTeUHlKFgP
UgGZxjnbhTbQfzaQgDcmdcHLUaFTTHVH7y10RDf3njmHYnN50YcIGm08oL71WA6pKTRTDdnSh/mZ
/HT9k2wBeuniYp0PxZ67nRsuT0Oi47/yGEvVok5MymU71RPe93cDOucw/+W1sgJvDqh8B7SflZ4M
K/euK7pxc1/IZUy2HSYzEyrI7azSNWL660HzwDb0L/UD3wN62UFix3o49PmWobQ0+jYH2et+ZyfF
Dm2BZpZp1U7/M9r/DA/dceKV7zawMrAhdK/+Ry5jQ2auYMZ6jM7f+jX5iZRGQP2b+lftgNzFAdPl
j3PHCUyWjfp2Lpf8sy6i3ROzDy/PpdYqGuaMYUEHYb4BBf6xzSvn+p5tgCah1EoGYyz9DGRFDlYX
sKCrlnnTOHfSfrLuHl59G0wTNoZW3Mr7U/TjN0jn3gYb/SquFx4jW701n34YHIUXC/mmsInubQUN
IxpeyJcKD5EWAb4m46QUT+X0kObexLOejafNFxoZkQeuKRzISxGzZiSVnyyJaXW0R1APYiATRmlx
mZO+zyM2ltEUsoZcLfJvGptBFYpYKpJcra0stKZDtENC/w2NzmcQbxUDbWywlFBiz/edyFnEzasD
ISae10DhANDBnMNQrTpQ8qDpeXR7Y1feo/fNcvQ7wYtEzn2/uZgrScv/ry4OTEKIpGyEJDBoqxam
XKHDh6PNpgiUXpHANDDrhT0DUZf2AZpRIAJT/DBF0Fd2VbQ3eJHLphjwzOH5CWpCFAQvNalzJKr7
CZYXCDd6/iBXuzmypnx3/bRtXkNIY+E0A6yk42hdikFLtdr4BL2t7cdoA+tLE484AVDKxk2Y0tkB
8JLeDrTY+SeylzkhzNbpwrtDxow1pIS+cQ+ZGDswVgQWiV6e+0k3dl1rutGgcnZsW8l/5LCUQ9ks
ZVU3Qs50kDO7V6xSpoIlefCRD4NnOrNGQ8GBlg54uGLLnBzZ7nlUKBuQUpw/82vcyUJExz4xujwK
paSA4ein5qfxEODRdROhUXz6IG69C38qM1Xeayd4EnegofyIXJNHd7BpU3hxgLbaBP0kO+M1CdRM
Did8QTbvh/FMgM0GY6zBHVfPk8O4cAC3jKkIIcfPFDfsMOyT6D9AMJ/TYuKUhbau+CUZ/B+VGNcS
JWjJNBZA0AQGbl3y3UEDthzzZWUJnCz6R1qXbilxHlRfZ5y9FtZSmVMjtLmCxglInfvCxqwGU/49
SaC7x3uxAO5uj3kLqGG0rQxOjj1o7q8f2o1bGHB8oHbAQ4n7gk1/14j58zhHu6ZOYivzUdP2Oc/x
jQ0E/gmcYBJSA8uM90uvgJKsgXcTmoNyKaSTjt7Ctzh9jGb7uiJb64j0F2775WIAXy2ze6UcgFpi
aT/JUiq55Z26913tJH62Tu+A6/kk8xrPt66iC4nMzhF56kw0tjZW46Q2rOR+uDcb2mENdzUPi7C1
T2vtmGdFL2OWS7HIioA7SIg1IJl4fQE3HOiFNkwAKPcNugwCSCjNvdakVGjsnMdIsFEwRKVutUlM
gAKAst7VC0pM9PRzaHdObAspaCUeJ498Xtdne3vQpa8p6NWHXTCGB9wBuFEK4JqkD+yKQDE+AhfR
SGtPP/F6n7Ye0IjqDFA3SQsLDFsJHSO9KgMN6FnZM+9EZz76rgn4HY1/xjT2EERcV27THFbiGNOr
lFIZMOAKSLhesZu4tySDd56W/Wb80oVGjMUlvprPigzwBgEhyln1QswSc9EcL3mG3Zm0dZTz8iQp
aXET/dGeruu39Ry5kM5YIwA9lT7nkN5ZxZJauv3Vu6Ll3xu2+Fh8goD193WBG8/KC3mMYQpjJ45V
iQUdzPsoddCiLis0TnyaKxwWzS1Jy9BUDHqXQfbFUoUr4whvj8lF1pQd6xZVc6RAP4vIbn1OPPYF
82R3cC2J8YiyIFezsICJ9FMs0OGge5pzd38nYizjbqSBl9KDjDnp1Hc6XsPr5kFfy2YMdK5rcDwt
I22Kc09B8m75d4nXO386QiuOnluGuhbFGCpA1nI6hGVjqe/5TXiHWaUn4dxwhPB2bfmI1WOg7bIw
qgvogyZoOkg0y1DZtJvWHgCovW6KW8EdAYAW1Wh0UqCSwyjUklaOpKRaFJpdoEAD5KrQJOeM+3r3
hmGzr+ZJfgofpiNmNRySX8nEcS5bOayLD2CUDau8qc0BH2D4Aw3q16q41QXweX5ok405nu3woaof
c3OLyjG4gmgjP4Puk7MI27v6zyIwB7LO5m40wQaEPE+8n866Jx0Nbzzqe/Ez2/e0dkK3p6Pju+AJ
opFLPAxx88Y7kz6TPQ9VtuVtVxuiM5CPKqs7cZrwLbPZ0l4/qwWna+Yrq/PtqCpg6kGTB7jKdGbL
kzpCe6FYA9aPtARCGC+j3W2IGCYIkRVVd5Hd7eZ70eOdnc17S18JZrY6F9CU0YwQPKfWvBfx1hUt
DL2yqsXHR2ga9q7v61Y0uJbHbKsgFnlSZ5DXSuikROWi9qks1XhaO9cFLb/oyoqy6H5DmJouMbBn
IhpSJQyKPqrRYSmQoziuqa4SflyXt3ljrTRj67yAeMVxX0Cz9+DQVPQ3bhCc2tlC0GuL4PYyeH6C
p6F86ZKKAk1sgQ4Nu3iXl3atou7jZpolCbTM/hCeuK34cK0fE04ZmphoWrtYCua1i/ZY/wpaDgnP
Zsi2lrEcxJWX1cYq6zQJMuIb0ep++0/pUXiPqX6r/IuyKHDX/z1wLAAWbcuN2kpYvBZTfMfnTLpN
eQzqW0myCxnMHZjqahv874q54T605ENuZx5wRC0sItk3bk2HnfyiPlw3xK9sznfL/6I8RCkWk8uZ
RaxSzJYjUM181A/kqLyYyB439L5HLkZF/39pvcBzWilSu+JOtKW3f5Fugt7/fACziwNIwSOwdiDw
xpSw6qYDlZHijTHngG86ZZQAkbQGzBJjEi/VbNqCCDNygdYIqC+eLtRUOXfQ5pMSDhmpVHQhLYnk
SxGhOaZiZ0AR3UNdzIo/wS4g3Ub3gp06qTfsA/v61m1HTSuBzMp1sRH7oQmBGgIMDHSjL28ybR6n
XbEbOMptm8lKFhMdNhVSebUPWYUDlk/d6Rx0hlojVfctKvZgTMhCeu/ff5QPgdOieJXcKBaXGGVj
E9H/AAw66gAYU/6VbVsd+CSpwaAtTxUYvgSMHyJkGW/dWNeXdSOUAD0cpuliGAUyEWyyDDj+uY1N
FSWiqrYF3auTV0Bx5z6jZXcX5pxN3FIJiCwU5A0gcr/Bi6oU7Ad1CPSbnorzo95WPyZs6d9nOwFh
+kcIc213bZ8XRQrg4BDVFF2Ph1ZX8Vzh0TVtrBymTQBUBKTKAi9mbusq9qU479Fnj8HqoVv1BNzO
iVnSPC/uqto0Hny1qp6itNJ217ds424DoA1xEIANQDdojHG2feh3hpCB1E/cB4bTmfc1IsD4VCXv
TctngtyI7i/EMb5EDaA+USGunnAQRCcRgOUHj33S2BJ28rpuGwaCdngdeDCyADe+ou+VzQeqWXbZ
UuGbq32fJVaa8hAwG0HWhQRGHZKmWhm2YG2tS4lKeWI18YOanYpm5Nj61rqtVWHC1nCA20xiCNLF
czMUNA9KZ66O6F7D9FReiZKnFWPzJcaFjsXCON7NQnWXhcmIlpUqOJezeRbzVubothHv4IAtyGvy
VRllbH/KOrWc0Ppq9eY5z/Z19MnNoW8tH5Kv8BLg2wc0i1m+vkrGDI04qPUW9xH6a7vdkNjZ9Nhz
m7u31m4tiVm70Q+ldC4hafJ8L/szu+3x14y6BXG0B/UxuC89FcSS3nVD3/Iea6HMCvqyD/q8BEKN
GATmNBbvSW+roFcJH8Ke84LaOlT/yEIO7vKqNjrwqoYFZLXjYzQcDF4peetNDIz4EgUAnCqaX4/2
9anNyexLiYJTe1cYluhkp8EbEcuB90/H3QiWJWraiPErTn1gywzXcpkofwrCETlTyI2CGu0ML7EP
1k+BI2Qr8IB2qEwDC6OCK5bZqgHDMmbkx+AxAtsf7bTJ7ECnjfgst69t6hjjTV6eZ/PPdQPZ1u2/
Utk3WoZJ73Kz6GYUn2Wqvci17BhN/vr/k8JgE4ciNctsgG54bnpJiSA8LQ6Kweva3bJ2DdPDkK8B
Ih0NOZcW6Jt53wQqlCHinyLdDdkDOuwoZj/PKIiLv67rtPXaNNfSGBcvh6rUJhGkoYNEfw+TAYRA
o5ynnyMO3H0rBZql5U1xQ8Z22qMzqHFEIY3AuNg3+zDOdPQut4bTJrxpCVv1UeDyDXC6YFyghpr2
5TJEBQi/Mh3E/nMiO3370uHJ3YWyHcemO1QfMsiOqr6zxhKNXmJ/apVJpUOFPFf3Nhv3aVjvwV93
QK3oThN9uzRrTty79Sq7+EDmQI11AUpPEx+on0Y3vh+8YIfRjJ7aWv5OfcxAnhXCV3mAAF/fsi0P
tV4Y5jExhARsnvHC1p68tOop46Vytuxv/fsX+SsHVaixmqgqPKAMR6EAKdj2NgkPcXzv99TMOLXS
raO7lsZYO8a+C7GMdiTMbHmf6iVb/qyZz9dXbOvSWstgbFzvjHmoSqyYkLpx8qQga5PY8vRwXcpW
0gF9DTqoEuD30E/CbEyAed5jlkKVWX4eAmLV1b6WMMkBeUTN05uDChBBxUt1bOm2FsrsVmMqleFr
sMKh/5EmT1qKN/JJ571FNm8t3FZgE8BYkQXmfmkUKhAs0TRL8Os2Dt5s3zVeRBzsllOefAd9uOZA
1QdesXLLOAiCd5TB0JkHbNel1Ih0fYaJ5FCuTJyoQt2t6Z/nXOdUUrYsfi2GOclGZvhiUsE+wtab
CxtnGrw/oCchEwhMMaJO4cQY25ay0ouxFKHWm0H8MsiptUbwyGBc8g3eRzcZ5hUNhUgwVSi8KzB7
3ax6TjDFW1PGYOTQVwJFxJr64jnq3pLOq0cOV9VWOLpeT8ZYBJkUs5jAWKIxfegNmU5G7oFA7akO
ewf4Ic72bd5ha3nM+QYsoDX8FPKUR1s9YFbvq2La/mPjzta0R1XRbSb7+llfFolJjWGwJ/hs0OqI
dlX2jkY5DFSFPiTqqfB7iodfeapyRGyl8i9kMFoVsyQmpgCrBFHjg2ENTn+UULbIKcgGb3qrs0Vb
BNmbzHFjm/ah4JGOdnS0prPg9CHw+2xQEOX8D2nftSSpzjX7REQAAgG3uKrqMu3N9A3R4/DC26c/
yZz499BqohT723M1EX2RtcTSkrRMZlyZr3GQ75WCns1IF5m3+PjXJfyLw206RS/Mqs6AE+Xxc1M9
x511oFPmNtDSINPrOEugZekem3jwwgFC2W3smFP2fP07bhmLCYRlYhNXVnQffQ4wBLw57WCh0wzK
EEN6yYwnWRas5+Z3XGMs0Wd1nhI8zpqeAcNQnfGIEeoHyYk9egBDyXzfHfqb3M924zflZyDYF5vG
gYoRQhw6+th443ozC800x9VOn0HkBtZ/u2hA3hsEghzS1+2OZl8MKWLOTgaDM+UMTFHvjuSqQLu0
ZTf9d3k4BMW5UEd7klv7+vfaWMwFC88nvC6gwMxP9qVzOs5RAKxwTKBQ/XPW6LFVP5AfBzsu9N7o
AN4gA5yc6a+Wxq4x9Wewr7hzjS7vxPSl7G4M0yfBj1rehJ9d+fOP4naq1mBNIWwNUitieKBj8SR0
WU+HKXYJfZurvSlfSCcA1bYwzYVOQQNL6ZcxPbm2poKoyGHlpnyf5vQxS0SUuF+PRZi1guDMIlEq
jVNVt47KCIjpnEHZyeD8LcPDJN1EELy7voxf3fUzHLcXm85qpagBHIllsJGh1SprINQgYnzZ9NaV
VZy3DrRUxi7AwtFU2YeNXyQoXZBleA4DJIf/wSQwUICBFAxaFt85FA59lEAPonUUFPIgcA3CIQ+j
6ddBNm4TEJqWqWxCm0pFxxq3cJSBZgp8ja1TK78jdPEgDYgrbhw4kt7beeJEIENV99dBt9wP4s/Y
gmCIVCBV9TmoGfMIhlQdH6vMMWVbkwt03gTha3EvfletIbgDQqpAUFJB/NmR4sSRMEeUIC0I+vby
+bopWw6xxuEuY3GVYlVL4DBwSJnNLZ64M1reo8JrRTLkIqhlVVdHQaUWStpogEpV5kamXdYqWqmd
uj1l8Y/rVqmiL7RstxVWzVI65XKL5dt3k92qtnluD5pnOeotZiad3M3s1FG8eXdj3kYPz4nzHLqi
Q34rgqyXlosgaHcYOpBBwjM75uVQyZwLf0A/gK4cpdCVpJ/XbRYtL7cRoPIeT4UJOAz9PEnqjHwh
phnNBBfBJAVFWLy7jrfpoUuXBZoDsRd4UhsF6QYidV3raJU/k1Opnc3wYxY5zeYirlC4gGVZcZZj
7rN14nw3mP1eknQ7Do4j2LtL8y7s/OtGbXR7IZys8LgUHquq0gh6WFWAJvk3NMTyN+LK9+QVFMph
b5ehI72gE2GvXiq/xZhW+Hj9B2ydAwiVyH4tFJuYrP7suD3RpTGaYC94qu0UqpSx5tBGkKjc3B0r
EM4zQyi7S38WNUDHnKy+xmDEu26GssSnL/FroexBOgBPV75feU7BCDIGWEcm3VbFHQu/1eHOGH/E
2s+6v6XJDS3PobRL5afrwJvrt8JdTF9t/ABMEWm0bPxmhvBnE9m6gYtR/nAdZfGCa9ZxX0mqe8h/
BECp2EUrfmnTSUWmC8XDsGQ2JpS9gv5rjhP45cou7pONRVlZSBfBL5obK/kW9+ew+aaLjuyNPb00
3oIGA+3FuNFypwFEoOW5VYFSBpKTQL4mQzkqNW/BfC24HGzkVACxguI+VJhm6mCwARkA9DU+Kr09
7+PzvJPO2l1d2/kBZB9H65si6I3ZCCeotCEziQwVSkZ/ehVW7lE2UkfCIWmdtjybwWiDt3qG6oWm
FMhre9Cque4nG974CY4zsiUDWOJTwJXqKZcelGSvSAJX3Bjm1j9hcL440nIwKxkYtf4wQIUFWgb9
ucvcnjEniD2l/92Cu9o8yuZ93R91dtfEt03odghskWB1N8bal98CNXZIsWC4nS84Kw0E5echhb1u
eCG3Hb5s8aE5D5CtOrX76KHzc8kO9umJXSikD58bEWnrxiH46Qdw24QFEiogKX7AGPjB6JeRG1nf
eutSRiLpXaGt3HlbV3KcxTqgoDBcJXtZx7Cn9jPyf6WnH4mfvBYKNCTCu8Fmp86On8rdh6j5RGQs
dzaaZjEalYUv3+XuoLnQZLLr3IvDd5K8XPdjERJ3KmZGMbWMwlYw/vTBscpupuyhmR6DWHRwLDuC
i6zrD8g3iUI9lWhJDaRaPdXae5sK7tUbNTrM7i16SCBdMBe6h88HRKOVaqBp4GCexls9uMWoyZj5
FfFndpxGF8aRMAKXo0ic+g/TGGcYZruxKQiI1tCTzL0ZohB6btmI+ojVEvD6HsJxBB3gLmktWx28
zATvUOqEFt3n5THsz1J0BA3bpB8puQz6Gx3u0QxmqxOUKMJdGrhJ0XtzYw/yMZ39oXCNGQ8gYk/a
ITGDYxdMdmyOXt/oTsskpxlf+qjE+NOH2u2ynDoGiIWhSD3Vt0Yr+yPEJfFuClU7FkXADc8BfzJ6
X8DZo4FiijtRkDBBh+Ws4x6ACIhG1cI6pykEqbwKoh/XnXQjtn+C4oJtMWhzm6kLVHyKqduApx9Z
plhyzdClpSCyb4JhaBAFD/zD8N5nNwrnoctyArCsh+5IPvuyRO1WeZOGU9FdkrL1rxu3cTIvQP/g
cYGtaybQjinAS6UXGbMkRH0KG+rPnXcdR2QXF9UUUL6UDV3s0gM7b3LfVH8U+o7M0Q76bgcT8un/
GhBCZODvRc0c+4NvK5PUyAxUCklTpfbksDzE8/vUniVW3caK9+8nu5GLUDHYhqQgktf88Z8zA5Rw
odU5qh44U/k8Begspv7ABN6xce5/wuFcsVRIpDVgTXSYdTum50x5intBSN4IlJ8gOAckM7FiVL86
pw00R4XsH/33Cq1YLBB8Is+4SJ+onCuoM6Ehi7BYWtS9tlBP7cvogSWCO8OmHSsU7hDrFVOisQwU
8OrZBA2oRbG/7mGbH2OFwEX8RIosFd1NUHDLf5WVRyakvJAt/U8g/ECzphckxAZBSV5P0c5yGEwI
h4moqAVrxVcnTMgvGFoBS+ROv4161cUYnXvdjq0c8/qr/yGDWN2Q6zqtWh1UL5hsn88xPekTlBEK
8NVNxC1jSDa1mc2iAY9xGRx2hlcpzBkjxY16SE8M8i4YHttUVKNcPhF3eH76UdwpwtCW1FoSVjfv
ns3isZouYQidumMfnpXUgzje9UXYCLaf4JbvsFqDJJB7lqiLT8bDrocUshS/Zir02gWlUNH35PZw
11tmU1rLHk6Tu66ujjl7um6JCIE7NooqtMxRBsKgvQVsp7aKwO+38q+f1oqLEjTOZsyiYK0yXX4y
kySx0W8AkmNruht7ybNS0x8hE9Y2D1YoEkUSgnPBIwpndO5Da8yR5ac8qO0Im7y7zaEIT2/GxAIp
ypFBa+z6mm46I7JeOPpRevhSfGhqk4aaFEHAABErYF6sJei9cYwRtJEf9EFuf13H2/JGQhZlbrTU
qOik/+yN5qg15WgBr7P633ldPI3IhXUKc2UiXFB1Y6OtsbgFHVpQD1RpjEnYE5rX6hA9eeWHcQ4e
n9WH+kchyENtdBFhoHhlGheazUDLEoUBrv8hX+IX4zG9TL8qyy6PBuqgnqsfXvR74XzARsVqjcpz
D5eGmoVNBlS8Tr3hNzrY9TPI2zPIdpUiki7Bx9O5a7+plIXMRmBNdewyMI7PzEmTB1PEHbh1yK1W
Ul8+7CpkRXqCeZUEODlBJTnTjtEQO8MkShCJYLhA3ClRTfJ2gdFlxxxuEmTXRMn7jYGRT16hc+F3
Midj6hYQCfxz5q5+S57YSXHZsXjTHhNqx4IwvHnmrRePi8MglZH7dPlIDXsJPwybvreg/5K8eNc7
aE2VfpVH9Qk9iNZ99nJ9b4vWk4vPiJtZHddAJuTHYL6opLEr+fk6htA8LoD0U6pI8uIb9EzQn/eu
2O0xvtGZ20EU5L54m2/GuxTqxba6M0XPbUFA0bmAglObRmMFbJTH0cKk3GoOJqcp5t1D75tss50h
aKnb6IehYFJXobUIWnp023IfM5jy2CpbBSOvEC4cs9s8u0kTLyMupvDdOHmEdB4L9l23qyZXqi5J
uhMs97KlP19Wlh8AWhl0pKM+zb9o5nEOrYxpmBwbajvt0RZZ6s4kQ6HFBlUVZNSniHpz4OWlJ0A2
ltW8Bs3tnMIMzRh9A2DJpEf04LV1DiKffToc4vQsWbd5caqrt4LsauPF0u1ehYAd1OTlX4ryQfFG
0W15TO+thT4llD3SevFwNqtgP0MdyyifkCVRpbe8qF2rTOwGjINt/T5GstO2tyEojbVyT9QIdcpD
r2EuD+mL5tTMKQo17yZYQqVWc8bJV1SopnhlDvGrm0JiXjUcmLQLkgNls92i49Lc0WlX94/peA7I
rR4yO0xCN2c/w/gY5mBTxK0iR6PafJclt0x1qeqjA7DEND67TfJDMvlyi/sqe8nRYR7sE2NvWi9F
eU9aZATYMZvus8k2lNQ1671RPZqtn6fELvuTTm+S8J4WJwk8Usarhbr/fErrY0EyDOwcjOIhT3es
+QiGJ9RNmPVo9PuC2sa0S8ktw/6Re/A0xT8aDb10t8Ps94bqxeBhz9/k5lthxA5KIjYuRSk9R6aj
Kc8seZSKDzI1roUZcVxYWgoBWhM8a5V200iuFf9QC93Rwm/ydMmTW6kEvy0KKWqPWQDTh/s5SfEc
VOAq9uf2dwuhBOskB7dIY/XNs5l+H+rBjqpTDwrelh1B1s2s0Ul7P9S8Rm6gMV2d2nDa6eptRgZb
Lsydmb6B5sbPYy+3RHWnjeoaKMfQRokhMhllIZ7fI9fDoNajDjVK0HofjEPtt2Avie3s1GAa1pbv
yNl4rj142COG5CbBxW0LHqOcirYo0SBNze/MKtOLrlYBn5wyV3UGJ3XYbQ36Qfv1kZ5Cl938QOHo
tfFE4wcbY4KoOqyQuY1Ji4kaNQ61P11CgafeVPb8GlZ2jqur82B4xrn0mtO0jw6GW7rJThpt2Q1d
0UmwER8+/QwuNkJBs2jDAT9DXRhBAB24dIdgPIAO4ZnZOOFc45Tab9bP65Hp6y3os/ncMdeXUKKV
DdTLxtCN8vdS9ZqytDsism/5/Vz8+2Qfd9LJaT5Uho76VW7nF80hx8iHgCfG8Ptd6wXHZt85opTS
RiHrs23cCZdHYJVvTaxp/lLZ0YH5lQZeBeQf3Y/2fMl2ujMIrs0iK7lbc0ZqUJQvbmxYN0TfBeOF
SPvrH2zrFF2tJMYXufskWJ4pRGWxVWj4Xdb3s8wO0Iyzm+EDFSfXysaPdlBtEJqni4axMymQfIj7
+zQVvTC/FlqgXois/zI+tuxaXq/O6IKM5hJkr833cLIrPMh95ks9eHQgrQEC49sJ5A7SIQGtw29Q
Zr+XN9JJRO277M9PjrX8BoylgH/Lwu/gmx3qrGzMgiTor8tOmvLbFDG1bxu5AuC8CCX0IQ/beMDk
FUVXW2FXWgLZNPOBdWjH6UqIKqPfaKozO5k0vLUjOxiRzR+ifVgmEPvRbZUGYCavbodyOKQmsZWh
fjT1Hm8aKRZF0j8khJ/WA42/f+MZCqmf3cOyMrW0ljYJXNDvrcgmPjskbnoJ3O/pbnTnB9w0bJS+
7MaHjKwz+C2U02/0xH687qdfAgu+C9RIQSO9cDxT/rI3SNGUyWqAq+1U+yqGTCsceI1xFs43fNlz
iwMsZMuYbsCxyuf7rWzOSgpBFSRDwVRIGVbVI6p/3Zqvu45D4eKk2pM5G9H069SxbWLmCXdmKHDv
2D54LA7EYaNdoKAoYj4W2cZFTYbRDSOEtrAjFfdt8lTq/qA41y37cvBwhnHujSyy1MgdDJMSWT5k
aZW/Wnpi3ip5mVJ7LKbibHRJ9lvqklGQYN5yEfDHg4qHUvDF8i/wNEH/Uj9nA+q0OxlkgDLmU+qj
St6uW/g1l/HHxL843At81lSIlaAb3rFw4XaV0ae78Eb9JllOeDIf2UN51M/pQXcaUafq1/fyggwu
LIRIsrCcc98vNGZrsOIUJM4HbL2DIduvmOHwyK45JB6uzyLOYSEg9zW7sOriugMgPbenGCn7neXo
98b7AILs6Ma8CPNEXzI2nIXciSfpExsMjOdBAg/MPoXTg+3GrnGF9pnThKJr4qaz/l3PP1nHVS6l
Y1nRTzLQRle5NXf9jyKzGzCQOsvDed7R2wY31shpP+BN0150odjcjXikQR0Eja0y30MxKZATV+d8
QMcbWo77/bCkF3UqMnJzWxDwVGPEECIufHWHtqZRWlhW3IK7391Odqgnnaqb8ntwZ3gQdZsv+V3o
t4MgEGz7zuo0504OTKN1ITWBi4rfD+1ecTM/cLPv6tPs6E51230XbMtl2306qRbXWeEtf199TF1S
szaKChDpqmgxalsb/cFOvGswQDKAUAjPcsHKfr3rL4iro5xz1j4FfbSsLuGUHuj78DHbBfWjx3L/
UILT0vyR+/PgJjfkZnQU6o7O5D7+6zaYzz/B4m5vRNLGOtMRbkErW8nvUndvxtB4eoXCmsDazYvR
wvm3pDrwouNiT9LrVZw02CszCl5sLi/jKFJP3I6smFNRTOhVLPPVnz/hyAy8UZfdD84kHaRxl+7i
60cCapdvrR0+6TfQA0CjpF8LjuPNLbLC5R5tSVCnJG6Ba8XqQSvnE0rVTlhMXiSivdpexb8WLjFh
5aR9MulzGwLJtF7j+EWLveu7YCuiodUFfS/oIMAtidt0RlNG4RBWcMlQ3zXIfAR3EOkZ2E5h2SUX
9XxsWbNG47ZcTss5ajKgTdZrF/pFK2p8EgFwDkGNWB+VBYCaj5ryE/Kd15drcVo+ZvxhEscdF906
vMiyok6E0L4enN74jtcG6d0m9jHZYgnV4TctWTjL/z8Sr5hcjODhNVIgxUTuIZ4XIe2cJuc8/BkG
qR+qBB2mWeuy3nodYgbqINa+yD0mG3SzuARZI/D4r227CBygioE6zKK3id7uz444hVpFeobfk/4G
54nltugsauzidEGnErIirSx4ym5tMbAzYgAN9Ntoo+HChxYTzYwgTu2EARgtjFNJckzaeEXj/ssv
amKKdqWhy+EUJFD7cSEmpV3gF923SgfroxwfWIc7WpIerqN92W4c2vL31XY2VS2hHegfnb7CHP5z
Ut/oQ3Q/14NbFIlNTFEr/hd/5fC4E4flc5/ENfCyZvRzg9yVtLE1M/PiNrmMhVAb6stX+4zHe63Z
qplhxKDx7BXUE8anuvldGT9HYWvr10z6p69mcmELc61xUjLgtJb63qRJZNcJk45KOJzUPAcjKkg9
PGaOyGSVoBJF5/JvqS1Tge+IrOXCWRNDfVtZrK0lPDFdlA+dDsPJoyGiwt78jCDFh0DgUrv4c3Va
uQ1qv7mKK1njRCWIDXyk4pUyRYvyayQitd100BXSEpZWSINkWAxjPihRqC/Iu+KxgoG2mdU2yB7t
cBClCzZXcJEnQUvwQuzBHW+aNGQo5y3fsQJSrCCZD86XWT3TTJQbE0Etf19ZhtbRUi4hL+WUhvJo
qsO3RJ8cNtBDrVuCq8+Xi/qyC1ZWcTGlSSTG1BaLqIXWvWZRyC913zVTmDTf3AUrHC6aJFrIgj/M
vCz0yOyygTlqVLoMvlFlT63p5O3dbDq6iGZctJRcVEmNaOyKGktZEQ0jVFZhZ3Vnp2g2HZguagPc
SKMuq4lDZxHsWf77+cNVeVFCUxdoejL+ykqwKqrhrTmGhzaP0bqSQ5Wo6X4nuP+lFgiK0X0UJY2b
VIGb0+xVw4Tx9Ri+4H26A/z5uv/8Hr4RuZcM5EU68CEzvKAVDKKbWo9XH/X0wpeom1le2Qz/Q6SB
eC5UZ0BqAU06zqOkItPJyEAmyGTov8jM8LRicueydnGkCOaWN3pnUINZgXFulfVSYfYjmB/z6kj6
o0wdLT4NuVsYzzE0163XKC4F9m0UYD5jch85r+bWgKQ3toxyw+LbvMVClm6bPKIARztXK86hvEe1
tqntoD1P5l4ZbqL2wYi9mh7j8N837X36ORr3TJKkiUQkw89p9PB9SJufVE135RgIukGXaMq7ElS9
kT1E9hpt51z4U8qwIHEBmMTodiNl3xRzvr/urVtHxxqCC3tWSGjQqcvCLjl67djg8J+lOyV9CeSP
/wbFOSlFscNoFWyMulHsKL9vpMovjaMuIRUjeklshdi1WZyPtk0U5BD7BDlvASYISE2hmWvSBB0D
2yAmeM+oTsD4xxmUjpYZNxJ2XdqAHzyJIDgZHEvCBJ9o68zF0ME/MJwtdZwVQTU3YP5l57F+olLz
1rBLkbU+lUc7AsW94HzaGHVY3PsvIrfbZqIxzAUBsWOjExV76xeMI5eptG9iyZknp+uZ/z84h4re
aoh2/pGL+BzFW9xD224hwpbD9pSAEF8yMNzQXizlqRVJAHzNliNEY6TgHzDuFlNmIQvBRAI1j5J4
4xDDGyWnKkHuUvp9iPdL72nKS2HdV/Ve7l46xRZKh26v8eo3cHs7ZEjYWzUMptS2gvdRe4hSHMie
JuEEK70ALSCmdtsY366vsxCX2/ClYUTG0AC3nlM7yxy5vy9qu1L9soJmJ1gjS5R1oT+v4GZwHXpz
u6ws5rYLy8FZxSYgl52Xyf3NTEeU5HbXQTZDJsYQF2Vh6OrwN39pmOVCCjsIgUBot2lROCJt93Yd
42sq8o///AXhLvaDVbeGNbZgWLZugxJXnFfL2tXSKdcufcyc6tVSd017MYsfrUiybDMYrOzj3tkS
xu6l3gI0wSRSp4N6OX6SIlLaNRKx1r6UDNEA0tZ9hhJVR54OFQKDcMFAL1kihzMQpfJpAmOcZRux
H5QDpM4rqO3szcITLO+XpP2yvH8R+dMV1EcZplaA2Bu7VvVocTelsx1An4lFrU3w2mjQMgPJ6Ou4
m0sL0gI0XlmY9dC4qDDXeT7HPe6DmfJSjpFtZT0q092hC76R4b2p5v11vM2FXeFxEaCKFD0ZeihP
6daMOZlxpw6yVxaqDXba27CiOxnT1XGmuNdhRWZyASAf+xEpI8CqlvQiBd/7rIps8AD6BXlX+twb
1FKQq9m8olMMceGYRMZK4dtnukjLrXbGysbq5Kvq+KzM5TlWyp1pzpdEeY4VUGwP1q90kiBt3kJx
w5JeQeMEXolgV9BBcNZsxghkqzDFSxapRs6jNfAddImO3oO5GneZ2j2MkUiHdollX25u/0B8ERrv
Szx05ggQpEMN5oJLMdoFTTDoiUjDlq91DWh5A66erVKnG7k1Gji6aODEGEzuWhTu03nPolSwPxZ/
vAbFRT3VzIpYXr5i3+6hwmEOr60iCjbbj4vVwnHxjdF2lqcW9hh5iCwRsQeU6dLsJg7QUcK81vDU
5VmFAtr1XSEE5nY/BoA7KL8CuJfR8ROE9gySPm3fo/N6aUike1JdKkNwtRMtKRcCzL5IzUQCKLoR
DUmzA1AdNL3AtE0QHVmhJTNkgGf2s4sQluWjuXw3lpr7MQbXMFi2QVAjON43XX4Fw8WVSqWTmVDA
gHQHfSffa9CvhgtXb+IHwSgA23T7FRh3l1Cs1ihAFr7wXzJ7yi5lrzlTiLqqSNdOBLRE09X+oqFS
4+4NoJjdJcMOsqu2YTqTqJNc9I24kKSXiP9pAkeQDbyrw/wxkic/r5rH616+DQMFbKKC9x9iaZ+t
qcoiypsZYUkhsT2QCfnRxxEV8f+GwgUKlpZ1iJQ6NGJbfa9Y0dNUxbuEWYLn1+ZBBu3b/zOGCxVd
bGRhZ1qIsXhPYsxUw0iNHu9bPFOq0J1FryLR2nEBwqyDQesKwIXFJVJBzIBGslg0RyOyidurSAJE
Fh2xdDkyXm6tWhEGkef8I85MCLjKKR7pFXgGPZLNImq07ZcBjirQ2FDc9f7kYFaurnVS1A4DtCgh
i6bXR0wIt5Fuk+JSFjdW64IoratqOxxFNm8ex39x/1Aar3BZOFcTat84jhXVzjB5HYyiC8jmjXIF
wfn9BHWLLFMAYbIYvfu1XRp7ikCrJk46ps7U+XTys1CkEyuyjNsIBmOljDFv3PAk4zCW3ctcZ4L3
zqZXrizjNoFO4w792PhoVnGuc+bExZMB77y+oTdvqisQzvVB6Qk9pwl2ILVpa9KhQRSsVWI3+GB0
fGjTm1nURypaOm4jZIOcs04FJAsCZBazm6Bg79et2gztK6u4A4uSALUoEzEXhJo2qzHcUew6eo67
WBAPt4HQb4jUhk5k/vqb0GgINAIJVs0Y7pQ8CUENaHo92jMLU3u9btTmKQy9nP/D4j5VXTVZSy34
Q66D4dEbldolrUsiRwbt6nWoba/4C8V9oiYD4TErAaWQ7kTCyUm0h3EZbZS78HtfZwcSzt5QBqLO
kW2X/4vLfTdNTsc+SbGcKmJ8B10+Gj6H4yBIc29G4tVCcjcMkloDGA1gnam5bfZQghJNmQpMdfll
bXlh5F9fTJGPcPeMues7S8lhVBZ6PcoEfbkjzbtGRXSRIhzuoqFkQw/SH5ilVi2GnPD0q2KUJtLH
rkhEUXeJql8eDP8s4RdRCAYFmSA2gWVFz/FwgIIpSSET2DnzENhZ+ghBg1F+KrR2f30tN+bWkEBY
AXPhfpRoRmeM9TpxA8HS5HcTWKGPcWa7xYWkSqVdXj72/WRbvekOUNkr+8BHEyZ4uSNb7Y2HUavu
wAIoqvtddylF5o4D1hpa02f4xm3y3IJRybxvCzDEZy+Uvqe1qFFve3uCU0lRUf/S+O53okxlWWc4
8+pMhpSg0xejHZPGZsphZB9TFttWJIgIm85lgFzVUJY2Hr7XeUwDVY1rBG2kb2wj8pr2W0N+VVRQ
FtnOv61wlt+xujFI3ZQkzTI8YFSHkh3y2GmkH1m9z/v7SdkpKs7an3X3XGX3EzQyrzvX5kdcYXNx
QTMrtaXLmU6qfUYxx52+QHrH7Uy/C125E7U9ipaUiwu0bJREaQEX5r+q+KKVTmViZExg1OZpuzKK
iwqNldCsJEDp0/mg691PpVMFt/XrhqCc9fmbZXJilSwGRAwVsAhxTSJ2Ld1llX/9+2yeDuaS3ldA
q2yp3KlkWr3aJnmIBPBYnCUNrP65/EJr4+E6zPZteYXD+WAblWkXEMQYMryiRKIQL0HDFxp99dCT
oXPW7TFWEaFNVIC7XOi+BNUVLud/6iQ1TTcDF2z4dt1XN8FMbDwe3QBN/iBU8CLro2HRjzKBalxl
2KxrToYxRYLfsfk5Vz+D80sSzIwM7RLLsu6m1Mpjg2ahfBxtVZoFUJtXmhUU55y5pYOoDlJ5YCv7
qcNx6gSPu9Jvhlfwh++vL6/ALJ6NJW3SgJHlTRnWfhjFDrCsyZE1wdVzM4gsWW5FNsA/zE8FadpI
E2OAk1bTTmt+oQOkLHI3ll29fa5lUQ/b5kmwQuO+ldUZaWuM+Fby8K7Wz7Q/qtbLEESg7j2y0p9a
ERmqCJD7YmkTSFpRLOaxxA4pqDzPSq3adXHJiadTj4jSQZvx66+FfNuyHkWY3FSha4+0vj0h0zAn
7dN1z9huQVhhcJeKoEEbCRthlJzJ91Y8gLUd7f52kau9q2TjpRqSW7D2/qjJMDuGNj83wXyQzAD5
w/g2rpXIqess8YqMBA7rNcseJui0JRYIMwW/VN0IEQbaMJeGMF0xeSrYLJBaOTdidPURlIsbTK+g
VqRnRblXExldG+lN1Lc7rUydclFkTIbD2Fr/SxJo/SO4+KghH4hSKn6EUtwPEuQYUdDMwQUlsHXr
jrmG4cKh1uYSyVN8eRxctek3zWkeXqhEnTh7a5Jnudjr1aGaH67Dbh8y/+xfa/kCqwtIAE05Parg
C4k830ioE2WldgmrtBKEPhHOchiscCCqmZSJgZ2LtO2eBIVXoalW0URZ9+1whOZdQ0aZj/I6k1DK
LdAfBXMM+tzT2QaDCyQuMZ/uKeO9jJm166u3fXZaeAijeRflF/5BHA7GGKQaPloG+UVjsosOEi7o
gouexug8sL2FZlephZ6hLtgam3FiBbz8fbWeYWxJWYHKvzMZFUalQUYlkiHbPEBWCNz1I4tyHXcn
LOVoIqkw+yUN3NTYF5poeGvzVARbKqbRLcv8wrhrQNBrLAa4Bose9MoD27Ut4xqqeTEmN69/r00v
XEFxqxaMai8ztkBV9xrGdWkj23mY+P8NhVu5PISmmrU866X4ZKHCDO6njIlUwDZPJnTJyvB1Qr80
lEYDmo5Ig8+jKKhOxKcpcQoQBpDm1sq8JM3sigiO+q9DKDgzUGpEayJaMSHIxB2GZdaneWoAEtwS
6Vl/mO7oU3NR7wIfSjRvNcgK6v4Q/sYt7vp6bm3qFS5/lVHrlCXKn6zTfDAhNIkOzORODY+d4k7J
/XWsP5JS/K10DcYdjjE4XnvcfHE47iw79EB/Dk5bZ7bpXX6T78qjNduvsp09V37opq2tQWVB8L7Y
2g/rX6B+3tqoGpOYanCfefS75DhBhKp7MmuXKh/Xbd2sFK6RuKCs5xZThxBIanJESO6mziXyUdfR
okD2NfUr0KRWovzQBlvzJzci3CY0zT5UewkrjKmK84x7/aOc2FDARLUjem2fg4djS+zMid2PwAtF
5WwiciZuc6pzGst9goht2ZEfPNG75LVxDS/2UHbbhfig94lruppTH/SHypXeW5seds1bCe8unWaP
exLUOZ3ksCffal++l46x6GG0Fdohi4QxWoxZIznIXQQyOs1pkic4w8ZLEGM4TnhsbYXB9VWD++41
A4OhPOHwYIENckNbysFZKOp438xtrFG477xM32nzckRBgVyGoKmRncscw+M/SYfeiUzyLcUD09Ms
7wbL1yfZu+7dW+fXGp57K0jliN7aHPBaJd2ks3EcMFutZK/NJJKdEC0nFxfrXi4YM+FSxnSnK89T
/9gGv68bI4DgnwVJl3XMCGGMms6OGqtOQGZ/zoQyf4JLqMVFv9m0Ir0blkXTfAkvcpzFnXmo1dte
9wblZ6Icwekt0/zw38zjQh6kaXtFjgAb6m816ma9cq+rr9cxtjf+P28J/qqmQwYEWjX4SvGAxr2+
QrpDejPN4Vjr6vfEfGzMeH8dcXsj/0XkNsBkpdA3C4BY/z/mvmw5chzJ9lfa6p01JAAS4Nj0PHCJ
TQrtS6peaJJSCe77/vX3MG9NZ4jiBKdqXsbaytrSQpIHNofD3c85xdFTEQUmRrkWBiza0IDRmxjn
wcwxO8ppJSqtmw4ZafyrzOyQHjFZ1ryfH8ni3GnQ4gDZIxH63IqKDqAuJpOVwnAGBcJeRy8eHKJQ
pzCuJap1/zt7s5lL5DhEYQcXGBV3JbsGDjAaLkPxkni3vbEm5Lp4tk4GN31+EkpzNQgj1YCxoR3R
hLwvo8ry10jXF73RiZHp8xMjkWwhglDBiNcVLqTabDUw8f4W12j0WNl2a4s1uz/AWBySSIWpDK3O
JlpW3Hp8G/p7Si6UeqW2tDh3RAOhFYdgxpfUPK+rIY893OUc4kFDd9CEExRr7MXLMdmJldl2SBnJ
lXh6Goujf13uxh2qV/vkCKEREloo3GYWlNb2qa0ck42aWPFRuGsak18h7VPwe/IdZrukbpjCyghH
oH2/pggKn9DT9/3bA9Ft4YBcyda33Ibc5LNwG5seRpDOb9gak+DabM82EXKjkPmSmAcIOkF9urP1
u/6i2ra78K1492+pG+UuymCae/40LkdsJ2Of7ag4JYNRFbAbZpZQLAD/Luod+e59b6iF2pK6IVbx
hirpNTjxoIC3Rs6y/PA4sT/t+JPDA7GCKDID2Nfvj2aCKNG77EIXa69uIFF011x4d+TKGy35dn7g
i4f2xO7sYg+NKteNFGsedlaAFAI7gsMPvLr/Kys/o/ST0fEIvd89xeiC8i30LvQY7KjQgilWnm/T
l/3ysPk1mJ+pjBMzRK88GprTJMrEjn3+QRFmm5pvqfTH6KuI/FXkbdc6Zhed0YnV2c3O0hGarwOs
Nvl3xWNOHO080MwO4sFA3jBYQ29/JZH6fEx/BqUno5R5YirNlD8dbPARczzd+Df8H8CC/EoHwx4Y
N9/AvXenXKbb+hEEU/Gtcjlsz6/oyjn9ido4+RI12KLhsbBvCg1npdM2GRSs6FreZM3K9PmJlQwk
/60/7ZsCstmeUYAS/aNp2N+5ik8WcOZz4jKd2hRgRQ3fK82tGqfw3/XIHZAiDNeogpfyachvGzqB
2jNyG3PwfaJ1SsApkBWI3Y+B/G6iJkNUcLOgBziMfnBg1hUknDlp9pm6xuy7EEshg6eCJAmE/5o+
xx4KLaS0KyZYxxBuglC/i9pxpZNgYc0+mZh5MhL2oZpNCKjGiDbc03ZqHDsZdEnOb8Cll/0nOzPP
RVOpjHEDO2F8Sf3Hzvet3ritiBMVB8PHrle/KXjsnre64C5hFNLBYOg2zC+MaGlhgi+zAtrBaALb
AB9nGjZbDhiAIvwVvuI1UzO30ujGAKIGmPKF4fb9AEq4Dtkn8xq40pvzo1rwYBgVuoiFAZY1RL+f
j1kEcFMrdUylEttJ+FSnm7StLA8kncmbLtaYl5YH9sva7LiVEgi8GIg129OOBvjP8nBv+oEV6SuX
znRlz26DT6OaXemAjag8HjCqQSbb3sf9lv8w1erQ+88tcFvnp3BtULNdn/lZQeIMg1LApxtD/oa/
1V53Xa1t+4Ur7tOgZruepKCqIWgjtNshMJ0C/CGWl9S3Ne++SdJdNQMIweXAxovYAKR8ZfcvGgdq
mzMg4ieetc/7pCWEqloC43rQQCTX6ft3pdqbYOvNqvs4/7GaZl6c1V8G5/DsXNIu7wsYzLRtV7w2
tWNGzwn06s8v3lK50DRP7MxyAlI3C0+t8GiuHRwB6QY7z2kMu7eYpW9flePgVNejmzjyXrk0VhzZ
or88sT07560JXiCeTbYBS9bjcMOJuU/o34Hefxoj/bx4ow68UNrATvTKXONAXCZc/S53h016VyAv
CXTqFplRZ2Vq15Zw9rCRHcqeIp/MPmVu7DvKznPZsXtiHwkYD4cY/bx2+QOt0vqKU1uc159AJobk
AXCqn8drGkBjex4MC3I0tdryClDPrKlRfaXSEeAZPrEyWz2F1AHVpp0Tllu9Ao/1YCfc7kYwj5UO
IOEueJeLEInY0Dbbh/Nzuzi1J7ZnK5omHFyECmzLml0MoF6HRPklgjLwZBm786YWfemJqdkqJjEw
xjk06tEd0G2VZNySIURzu7AzI7bgLh7Pm1tbu+nzk7ivz728iVOY08yXXLvNkMDt1pzZ2uxNn5/Y
0GNzKP1hmj3QcAb5bVLvJD+ItYaYxaGgbwQNWyro4vjsFqpqEJKLSMUtBFJyxSnzd3/10bzQMY+y
og5pbAImfKjPfR5KUbd5IgiiOr1+1kRz6DqQSXTjy6hUR90kbjvm31LtIUqz+/PrtBg4nBie3XpB
leJvToFDQDeVWdjZCEdSe1YHSJYR5m5o6H+9cvRpqLMrKNFFMBhiClXUXLd6wjfImfVee6sVip0w
dSUfMe3rLzHErwHOLyA/VX2/nWKVsFYAhZav7QB6uvOTuGZj5qhSdJqYqIUgIY1Vw8vAs9RBXStV
LO72k4HM/NQQ1zprKhhpmtwJWlW3PSLckWsIv7K1YGipLoJVwm4XwOZOHJezDVkV2kAGTBskM7Nx
G2Q3offiVZdMgiAAyLnhmej7JrzJ/X3lv5yfzuUH1onx2cHuujpLgwbGWexG+gUjR2k86+Fu6AGh
vwdPPoCQol25bRZDIxSzwI8IudsvnPcjBKWrLIDRVEmeoZS1FWHgdIS4uc6sqjIAYgltNVE2f2ew
J3Zng+0rX/TGFHeOweU4AOJkGBJU3YPbZ0+8StAG/5SiiTsTT3q0qiI27cwvp+PE+MzvNFVM+Ti9
huqotRR2zNIrrr+j39cJ+KHhW9D2yHLnrQExF/fyidmZ11EkpDfQFAUfAIb5UNwWjWHpXrHR+NP5
2V303SeGZs4GZC9dWfsw5HN/P+AxKZR0wwB1Pm9mZTzz7FgI4oM+1yczvelZRdc/+3S0FK+wtGaV
1XdlzeY5Mj9iMo8KGAvJDy13e2p7cu8BTVWAw3joNmqz6StUp9balpYynGh+0XVd1TjYXtjMzWUJ
mM/5RPZQg7xbth7AXNJhobIV4PikZbYjEOyQbblnaghiDZC/j/w+BoAtNp8G+pEnzf78tC87ipNv
NPOJeZko41C2eEvltz53u/a6jdE24x901Ok53SoVs4wafJArwdTPbo6v5+bXVMwCtwoNaHoqMBVj
AcF0uq0NYoHk7toA6XuWcDdXpKWFt3UyHFoxCciqe91P9lS9p7F/MHXvoTDeOvECfQBkxAi2iX9o
eQQGYeJv60z7qOLSlRBiKzJNtdoKjZ2gTbShmnB3fgoXw8KTGZyFhcQwI33QMZC4vWnrvQzfCwBU
GUQt+mFltZYd7K85m10ppZe3pje9PQsCrNR95fVbNb/V6muGN4XCLcIfzo9t+fD/MjjzrLJU0WrX
YXfkDOIukbmrVM02+t49b2Z1F86daMoy2rbTuUiu0fpTCGBWE0uqdlfuIaKbNI2Dol2nddsVw9Mu
+7wLdeBHQdUnVJPr6MH/fEnnJtBnREUAnAeXlRdsPXYwsOPxfGnCtwhprT602/Syh0Jc01pet+Jc
F4gmYB9McAb4yUyVz5tAFKOlFZ1ehrKoLbNCfmsTqRcsII5XCCcBox/PbsCUAh0Me6zudFRiY/9a
Hf46m9Hn7zG7TohSl41f4Hv49ZhvkFyBRg/0jhyWltdeFgZWSviwOT/5XzcXbAIMPXHA6QgaZh6g
G0kkI50iHDOvYraTxUO0VlKcvvaX5UU1eyLXwRLP29bbsdJEj6IWyCZy1H3RWKyj/0mw3NJ8AiWi
y8of1kr1S8NCJzPIC4gwJiWPz1tKmbijO4Zh9cOVgZR9Mmxk/3F+6r6Gy7hBTmzMzmVvmJJIyfCg
8m2hYNuEa6mStVHMTmQwFLHXT4uT+HaLHP1wVcTfzg9i+pLzxTkdxGzPNcgMmIoCEzy9VjgkJT3X
kJd19ZdzyJ/nahbAdFgPbTpmdl8caf8965695FbQlQr58oqYZIKxMlzuMyvJYHRyiLEiDemsWm6i
v6GNiSX/lwE+vX9PnupeALFANYKBfLgvy23Cn3zvnrTeShz29YrBbAFOPyHiUO+fg/AkR0+iOc2W
10oK/CO4IEdrzD39uxE26bPUleg7wCz1w+iFANtXceStvCLI4lROAEDkCtCAOidaH0ODiGGUtV1u
sqti6+3lH7q0oO+e7N34SbdT27i6GL/Te+503wQa9kK7vOyVlYlY4FzDTED2FAxA0/0wJ+aiBR0N
mQc1nlAOOfRO8Ifx0mzyHcTCLyO0ervmA8h/zh+J5aH/skk+L7JQWuYXpl9P15HRPpA1XPziqT4Z
08zllrUSaqGHv+/TyzLfGeajuVbbWzMxDfFkn0KSsFPAdF2DsfxK0fdSRBZbI4pd9BymwMkF6xYS
PrPD1opgRCcPbCQFgE/pK56XPTrwK7FyQy3ZIQjVoboDfB4OxeexqFHTY5dH4C1rjXgrxqi9jz3h
d6AtxjvT8vwBG/P8DvgaTeLK0DSKTJmG/+aKoHjSR7QuFfStgnhZa35IQ7XCDNuegwmd9c/nrS3t
t59yU2gqAzHJz5rAyWKhylJ0tIFTYX22TYSBZ88admJxQEAxoaTGsfPEbK34qIY0MXAFa6R3UsMd
oBpeQtqAvrP6/vxofq77/EaBXDEyD5TqkLCar1eVh3FcQXzN35u7+hs5UqdHZf5bdxXZHpDS72Lf
bcYrw3pMj8b1cDNcv0DPa2fuOLQxanuNF25pdk+/zuw0F6D2G/0cX2daxN6DIM/wtDLiry9ZCP6c
jHh2oIMsoQSd5LVNN/qVd8y26k3t8B2/Sg7Ni+K0h/wIhluIuw675BJsVGv02ksn5NT+7LTXpCpQ
D4N9BoaNOL4UwZWXKU6Gl9b5kS4UGaaRChD6IZs2re/nsxjGqERXHQTvcGq+KQiHoyF1jJ4dAsPb
xomxY02NLrFAdYv4AyltR82atcr3z+fAfINhXzEN2hxg8Z/n9Aad14PRd9Cjuze2mau9K2haRPOJ
vELxdoAWkhM7wVbdC3CMDxb7JrfjQbyr7/6T2ATO+RlZ6IHR4ZimcwWODqCSZmtfB1wao59hRrb6
Jtt6231iG5rFN9pVYVfAMbrMqS7ph7aXQPZsw63xuKZWv+TsT7/CbPn70YPYs57CQYYH5NiJsRfl
9vwwl3aY4BoHEwng0YDAfF73pGJaoWbTKPPvTfnDBDd1MN4b7Y+/bkajBpwh3C5UkGduKg1Zp2YM
npBI326KfaJCXC2yErY/b2dpxtBzAsVcEyTxIC36PJyeF8lQjRxlCv8P0baW8NAlZdyeN7Lkc0+N
zByP4XOlqCcjDLdWcDN293H7hKeu1TTVyn215ONOTc02YSY9LR4ZTAnv0gAkKW2SlZM/zfz8zJ1a
mO0xj/RGrrSw0LFvSQA+uGs8RrT8scKRD79la7T6S0/GSVls6oHGrvtyqvqqBLbQRDone0ghO6+A
Nqj0v/v5O+N/BOnKdlicvhNr88F5Ztwh6YhemmFXxG9KvlIqWpw8gUeJgLqKyudVsYhGUMNpEU7o
7XMtL6l6FeVI6JkvnH0L0TvXvZ/feYvb+yR2n3nptFWHREyxe9gyYD81EJ+GbkLX0hVrZiancRK3
lKCQTLocZmJ9z0zA4aAKWa095JfW5jT6m52isaBSkUlYQ1Thuc0Pqvl4fq6WPNvp358dnTHS8qQl
+PtatcvbHx0Y7sxh2yZrtbUlb0CQX4ItXF1i3mwHSY8Q5NnYA6AV1zrf0smuxRXVVXhx784PaWld
Tk3NtrPip0BCFFiXnCJ/PkbgcXouxNrNt2Zl+vxk9ZXWqGVYw4pQD4nW2uiHMZQ1fs1lI1TXDUiK
UjQqfjYygsvLqM1pKOiARo8pI3YNbrvz87W4BYxfRmYpkFKiC1L6MBLUMfg7Ayh8owkMwrL+Glne
oiUO4jN1qsEbc/khkqOcEmp4ynA2oRmvw37nqW67huhY6EhEzgCJA4oEAuCq88bcPhoCEqAgBipk
Zhc6fwoBJGZ0hOCyUVmAMtlDom9RG98YlfLt/GwuHdhT27PdJ4aaZh16mMBWNoJqurwZTW0lzbPk
Tym8KVwcijhQTPu8K6Q/+in2y9RPJ+FymrR1WCUJMrUK5InVACCM0oscIsrnlHXNSiV+aU8iHYEN
MwVDXzSrWk48Pga4LTg6x4XM7C4Xl56oVzIwS3uFIoXFKAGpIhhYPw+yiRUIcPZ4shnQ745jFKQy
p5Z2bv516htsll+G5upKxZBB7WV6G1IV8CZLK736Pk3yTkUWDdjFlcO2vDdPzM1iL9SAsiHJEEkY
QW8BH2rFoboTPS75mKPLGUTotek7vL9u8nEtTloKK5Dp1nUTmW4TWe/Pc0pTzdP6QCCvhkQ/M+/y
3N9QaNL7EXEmYTcQIZ8/DEte/zSRMDPIzaZndTp5fR1EFmrtS6DugnRHCnITtijPFyunb3F6OURt
EKoz9HbPk+2xp40Fq5AwC6Pm4OnBPjGEFZbNpiEDmNuk1Q43oZ84mv/9/FCXjsWp4ZkXRaNFgfQd
DPeTBGywS5XCqvv9eSNLh4Jj/aAVh0jqi1ipmptlZBi4rRW+Hb2tGm6F8aaPa5M4Lcs82kXHCMUX
hpzFF0ayqOkYa6BlYWvyxgAINBtUO4jiXatV+zaqd4E+3Bv5SwRyxFGmtlZoB5L6K13Di2M1cfGh
E1pFm/fMASgKIQoay6FkXcc2Oq/DTFpJ6QL2c35Olw4F/2VnntPuU7US6J6aiLLDOxpAd0/L/xg9
1WmJBBfU9yFYa8Wcvvl8eqGrrqpMJfAEX5jUxyRutT6HlltAQwf3UrIrMzzBwt67oTQ79l3r2yRT
PJtoZE3jZelIAuzAkNmGGhEKRJ99wABUV1gOeMpS/S3sbtrkY4TybrXpu78xr4JCFIBzdHiDwPOz
oUDrFRkRZGUM8ZxDGjl8qYL3KH9p1Hfv7vwSLpRukYWA2iaF2hlFFDQbVNilzQAPgxlFuaBpNwPq
ld1G8681fSO0jSA+IqhnsvYqXEzPn9qdXfZ9FFFFbSvkBdjme2/fKruq3Ig/7pQnUbpB5ZZPK15m
cfV0DpZAZAfwv1lAaIwxKm0EQvAiHm2hXzII6mqvavjo/3WKfEzpiaWZP4v1LhPBZAkhlmUSK1df
u8hm3koss9Ch9tnObJvIntNeTHZS8CffaTuwAlnpgd7WqLY4xU3h2frD+d2y5FhORvbzCjmJ3L0u
/HMOAyQjau+6zJ6zSLXMZG1XLi7WSaJudtWPFc9alvXIS24NW9tpD5vMZtSCDPsf8n60w21xk+Nd
Z40v5we4dBWdJgjJ55NXT1RWmeiwK6s32e5beZTm5ryJ/ybv9ysJOTtxrRrTLFJgo91A5Jg8Ab/v
9HuxrxzvPnvQOie1qa1auiNfY/sC2BL777woT0c5O3sxGJ6oEmN2R0JuolHd5MloG2jWGcVNW5T7
nwP+t/f+3+VHdvP/3XP1n/+Bf79nORKGEu1kn//5n9f5R/qPm/j1/aP6j+kX//WDs5/bfmRXr8nX
H/r0O/jjfxp3XuvXT/9w0zqoh9vmoxzuPqomrn/+fXzN6Sf/px/+4+PnX3kY8o9//vaeNWk9/TUZ
ZOlvf360//7P38h03f3b6d//88NpAP/8DY2C9Uf6Icvsyy99vFY1fl/9HS8RANlQJoVyEJ9eqN3H
9IkmfmfIYSJ4wG0jUEPFJ2mGLr1//sbo75OstGkSXIHUhF74b/+okAifPtJ+n3TYNT4pARpEw63x
X1/u0xr9WrN/IJl3kwUQtpm+zeQ9fl21E4Z6aoDgHERCU/pu3jasQI9cb+hEmEVbNbCqrFSnQlrN
ALv3+x7sWXXe/8GwHsRt2gEwXxm2sWH1kAGWu1gjoeHmQ1+5bZIT1U2lMC4n2NkI3sqhDpwxHtQH
BqIXFJNAl/kd+NrOtKskMeNLndSd08V6kjiAJBU2q1n5wVlP+i1TTL5Jhlp3BPeg/t4ApzqCfx+d
byxlYW71g5ekFtPC4THuoVfkBcXogUm+AGO/aJjYZGgrGW3W5fQxSZS2sNBp2+u2Oo5haA19+ceg
6caRUSl8YIJ49UhZYQY2wwwoNveYh+6wPFOAzkvG2EJrDDI+iqbnoPWViroLqUJvMxDGgGUxzhRb
Y2V2ALlJAEyknwWJM4pAvNQ9Onwtk9YZUB0h51DJRN01gXaLnl+iVBIdhJrnzVU81ERseZH5O1pC
V8MyR52oOzYQ+RCPVB4CtRl71PFjHtnAKCdXkTFJb/iY7hcFHdPPVUVJbQ3NkF3wsQcJcd5kWY+n
UpgXbm6iCgIBHqQSwwFhVa4mBjxtR9obVeSFbmWsaB8L8BsTy5cA81lS93oOAbEqlFbDBQaRsyH6
ETU6O/Z6H13LltE3PW1os00SoaPhNGtMw8maxCyPgLEh4A2QNsPyNtrOTLTYwTO9v81YKxoXWq/J
niA69q228w3FCiB3d5Nm/aYwwVeNdfajS6Gw4BmhpvlkkFrV3cZT6YE3jcGsGIRrGEtcK4OV6OYd
j5T4CRs89hHbGF7vCiVqY1fxUmQdK0/PIRxdRmV5FUHN8masy/GC5KPoHTPIWsg8YvOJvcJz7Skh
sYbtD9Y6N+46Q7pSL4rQlV4lcxuJxlcVuoaho1Sd9sgMpX0NQM81OlVfd+EmLiQKmVHLasNGzRmS
WflgKiHwzrx8UdUxZtYINbqjjJTKR0WclqMVZVF9F8naO3bhoMKGyfDCBYENCAVIFsT7JDVisNvy
EBBtvxnHBADOJrqpzJTntuAQzbWwh4BpFqPPQ4iGlay3O5kppeUrFSzoClyJlQBoeyVShYeuVjD0
IoZtprg5IunSKXo1+PAJqlT7Uc3bo6lU8gASVG3HiYKeJXRtp9DhjIYyOWSM5iDq59AD1hMtTG0z
lRQvHNA46dbY0OPgdWiqNIv+lnei0i0TmXNszIAlaA3xK/U2CVQ13Y9FGvnOJGkPCp0CiZyHOuF1
CTAxb/+krP5LV9MxeC+zKvtRn72Ypgvsvi4/Purjaz7/yf+TtxNCpv/+drr/KN+C1883E37hz5uJ
/o5LieDYAeONq2ZqK/jXzSSQ/hBQogNiDDXUXxeT8TsaIPFgUfEBiBY5Iqv/upjI70CugRpZm9JR
6Pkw/srFpKGJaH4zYakpcL4MoTwDfnkWHAZBFZhcwvcbZdgeAj9S3BYsiweFy+yVZlrzTMoOZTno
IFj10P9BTbhhn9TlNeS9vMugC9ibV+SjbYaB2Mf+4D/74Thu9GZkIHINgwSd05x/08Ks2oI3JfUv
EO2nNyap48suq4IfnWTgFIsDfW+OtXKle1F5h5NfXGlh2CE11TU3qsbqY280+VM1KhKxqh+6nd7o
Dum54kb19MQxifIY1gVz8lqFfLA2JDnIFkrkWdW+uBX6wO5ZmUOrTYnCt4yjKs198NpTOqa7Pgdk
thu68aKvDX3X1z65HH1tdLNqTDa6AT+ZVd2R6OqNJJqLx8JdrHkBQj7tHv5S2AhKqDXUfYNpoN6r
KVACVzPN7b0GvcIBOhPHKXXeJfjuMgAguLHzmB/KBEyWelRvQg23HzX8A6HxNRQRwC57p+ggRfel
3t00uIU3idlJ8I7IrntOy3a4BP2WxLdv6g/R5WwbxHGy00YU6GKECOiu6IY3LfTVe9YkkKMf2EM2
pt1L5JkUEkVM2XaadDqfXoVo49uOWpneeklGjmMm8scuVQeXG42x45nSPsgA9aTSyGVjETWGNm/R
GYB4VM1TTXs9sDs/7l2Ji/3abPz3pkhcLUxA/SQ0jrJKQm1F0NBKee29N37rb5OC1reU5qaVxlLZ
5l7TOnnOrvWJLYNk9Q2v6m9Kq3SWX1C7G0A4o/ZsDzVop2eF0+l+c1U0/ZPM4a2HXrVl1LxxGtzp
EQ1cvIaPqkfygxhAmFsnI5KLLMzcTB8v6ra/KBTfVuAm47x88wmaUmUjIxcCl48tET7kCWXjXypF
hYa2ugCcEkIpZeOQ1MgcHom9KDhERXkYXWg+mLQ8gdmBeDp4V42ksIMhoRsV8DtHhqWDNKrbFd9J
IcApZo6dRYns9xyPFORFbFnRyi36TNmWRueIGkAy4nveIWt8t0/b6FiaXWMHpggdoxIAEFE2RUXi
HYwRbJMVDOIclc+F02paczN0zGKG3BoiBW6DD9tABWuVPsStHeoU+WTFVRleSf4IUU1ABNJJf6PI
+l1BguJAWvOjLLW90osGGfX6AvKGvdXTQbOA0uiPftvnbqnLTUtwXbddeNGSJnJGRCpOTv3W7Vh0
QfNAO/xUJOwVdaOXGnrYaUr3EGqlV1WWX1WtYLc9Iikr4sU71Hcfedtl1yih3KZEDey4hrr50Cao
JmhsdDlXXvu8jC4rIwjvSjVs0BNOVYezzCYQArT7GFoRFod2GTIfEELFQShfx5oZF6Uv2DYaVG61
umJHtSev6xojykP/hcSJum1jrXtqIEOxabKiuW+IfqzRcmiHvgKN9fTAq86OU/ojTIJ9yfzgaMie
PUXpSJw8vq4BbnTEEIRWKYA3oF33ng5eYMlCpU96nxROU4rgwiyUDQ2AM6uZ8s0sAnWT4iYGEth/
8EawW9ZBtk2HZMc1nCZHZAG/DIIgf2IDLvswK99jP7zVU725CSpm+SY7KlTbI+J/yjhJrECG2JN1
fu/5wfd04K+8Ka70Ns6veAD2CyNGvSLJvJ0fB+FBz2uGrW6Ue/BKtU+FkiRHdBcpFhokQCo1Fnzj
9XH0TiGPcBlI9Hx0fTz+KMMsclIad+C+NuRFFPBq2yD5C/0gFaBEJCs9O9eYcqhzLd5UIUjkQz/G
eSryzmYoPm3LYVJt70J90/uAMzHT86HbwbtdEFfS7qrId40kuxo7ZgCsBm1iiVS+I0HKdjEgdrsw
W8W/G5Bp/yPImB453K+1q9ZIymuAFA5MRrceKfLUjWMQz0o2HuNosD1TpBRqGYb/3VAiY6e1ZvgN
Of/hipdV+WFGif7RY9nAkmjeam2IwE50/ZseKuJ1AB7KKnXvAgMZuROjpCULuRe4ity20DVQVcv4
Hhzd3+ta45AvL6ij1Fr6lNVje5eTJH6qhmS0iDHu/RLkBFKS9FbJWi2wh9AkaFEfjW9Kr7dWaibu
9PIbeProJSxzunBUqA03cNUW0XvngyYUVYTELhQeO6ofoyEH7MfkNQdzIHIZCqmeAuED4oeaig+l
ECrppo9iDjmUtCju0tEwFLvqYkVsQQLJ9kLplRcKhctLhB+RcKI85Q9MVYRuBWnevHDku3d4FqU3
tdK0e9OMskuSoYutAjJLoqUsIalFgcq6pGElO1vzSvIIvUxkcAMCNxAkTfvWqKITlpe23k6LivwJ
mXX9gWlZndtR7o94LMQp5G7rzFNeiyZo7kAkUd4rVKR3qM1W9whFhEW61LBjo4GwOZS5LU8DxzQI
u5mVmXp/DWG58dgWVXPwozjf6t4YPWaT7HMRYIs1SXZh5j09BGPZv2I+fFzARpF9DGOeWcXgo5cU
PzQ4cVDRRz70EnJwksBDthL4Dq2kN1G6zTRTICWdtnek0YHDgeoqNdXAkZ55H6LoWIXqVVF6dwoI
gvc08+xmep40ZvxoDLH3Iyg7YzNQ5GKrYRvr34VIHUWFKC5rnSgY31SyaT0eOb4fsNCKTG+4nsTC
L0WELGQLXnemta+iVfrESuAoQIGp5G9TuHhB8Qi8gUpGjbzB6KHdyAdiwGuy16L1FGeQDQSFde+o
F83WBEF3CB1ch5h1u1VGqT8yrekchBH0CC4+dgumI7lJuW+hEDO6kDyobttQMx4BQkbsJuu+uA8B
73BFyMwbX6bVa1A2uh00uGa8mBRuM0Z4+ISh2Pv6REtHEf3JOi83tdkZHwav3oaYj49x0XSYnKTc
5mrDvuuD7ruIvSrcoGViNyWCNBSvLvRsjO/1KOKbwAO/fdkb2y4bAT7ytTceqk945TdOWenQUDdL
AGXCAl498/qX2At26lBsCc4lVOkvpci2KBHDS5rQ1hgJU58CrHFppXjuX+ASSj9AtIEoZURJcCQ5
8DBe0FErjEP5vaiiV66I8pokmhvmvX5JoX50p+dog0P+379B0zJ5Kcq2vUiVNnuURkyvO2CMd0aM
VszK6DU773q2xes5fG9T03PbCpmDMaL0sZNxhlAgLcQPmsTodCE69IJJjnAWuguOzhLb12IrMtrr
QR7QeA3p5GSrdxxvVWbsEs8I3FDx4xuZlf5hzEi566ta/D/uzmy7biTJsr9SH9DIhdEBvOLOvBxE
UaKGF1+iFIF5cMfkwNfXhsisCqmrIlc+dj8pguS9ABzuNhw7doyWqSJ9sKNprA9MHewOKEZZeyeV
44E5A8GlcfPHcV3CT4GXxffzqkB6ghbxzHxy2o9hJPqWZsOeoSdBtsQdZjz3rAPi8hy7lJ+5DBv4
Oi/l2UPSJnTkE9hSHsEMYqqg4FQMqzqNRTQVCdRVeSkoLv1JjwZ8njq7hrk33EDx8K5jxncz/dOc
S/qNLlp342UdQxdujFPvJgLhHJ5ZG1eIygjwcOZoRkm05vlhDHW1oNJKa9hUBfKW3lFaHOFUp/HB
zaVzQ04+9Ad/9T2ZhPQ/ckp9GoJSd0n75Oc+z9ul+6pNTk4eDKc0b9rPlPV89seSz/Wejc8YIHvI
E6IoZj6wys7e7Rt5rTlo1FNL7dtkHpl30EAC88GdZ8T5VBhbH2JtLYyMCEMIpvSkUe2NA+/c9Wpg
2HZvGL3XreOnWStGjEdejiqw0EuQhPlof2ioULlcKJ9A4YvKgzo725KFs6NnZ+jLQ4ac0EF2Xvhh
Eam9AU5p+d5AJj8xoyI8Mo++3duLrxT8ScvjzdcuTayRR4NMjpYLI/+WD9W8Vfu9on7A/qfHIiWQ
6wdtH9aqzh+kpZiAkwb6m1sYDrRVlO2frtWv38oWYv+QMsjZtOrDBHKXJgxRn3drQ6DhD0RzbuG4
O1cq797KzsG6iNs6wCd5pa7vfT3qm6Lpqg8uaQCGiaQOB+Lvao8bmKvU/8rqjBeVlWKfAXru2t6a
j10XBreyH790nh3sq2iwyl085sEZ2Zr1MtYSk9cw3eBhGXP3bDL4zV6XxrtBF4QqnjXdODjnGzWI
9VRZtb2PdGtdZytKd9Ys1uPYR/ZV4vkOjBpDSLPI1LkIfOuQFapB2iEc688IfQaXootWBkT1MR7E
WfZdWC9nfoRDtTVJy6mfS+eTmDeCFwnre1vFLzX7N3GZohVPSEwPQ50erEFVOwEcRvKlSIsyY2N6
Bn95yKLU22UMA0hEaVnXSey7/mnNvPez9m+ivggOg3DekTB8HeMfnkkvbtGfpnGOL3mdE+M6iJXY
8/uWjC+ZvDm+iTNk94z08wv7o9wNwzx85ka/yImJDMXQfrLmPE5KVQzfROn/MRfZdWpysVsrWCf1
emRewZ1R9BAVsqsh/mZ/egEnAn0NsfNHl4QhRhk5LJA1iLrw1vgjdFo670ua2Kheybs1K6ddOY/1
vfb8BgtURed1MZHckxcHd+GArVpkwExSy/7YMXMs6UkqEvjIzd42odwvRJeG8ZvJ1nDdr4V364/N
KW+c5gqCvfN0eTRrEzzpFf0ESyIooZzgyySz6DOGsDzPefm1sRuR7eKgyPxdkTvWs90s66Fz2+DE
q2/30u2D8yDLD/NEhohpywkvYkQ9ShJ65sh1zXvUgiwUn9JmQG3GsatT26WSurw9hbvUbuXekaI4
8UF1WGPzlBfr9yVKh31mDX6WIAS3L6ZOvlMhuG2pwmcvb+I2CQNZwNMsxpcCAehd4AxBhRYRU2E7
c0wBkpPJNdZ9GE7xezemWrDTMrpTJEbRONzlZV09BKA2V4/Rf0e1jOIoBv8QBDpK5lChweWRHXn9
cieXsErigABTDfexir8XYyQIfpopqav+YCz36uUKeTyh4v0SqY9jYD1pq92mCwYKF9R/GQYxn0kq
2a8Br0PFMTMWJjGdlZ9GPCEOaU7vJSyfmylY1gfHVF9X3552oTeF52EiASV5gcFUU7lgAJpr6fRi
yJfDju9wo/wExSRLnEV3O8AV91CgzJYLZ98FTGuEwxkRgHD1qXe+5XTlYljdr0WgokODrFmxekgq
TaOkP4jpwbw9j4gY+Dea6uEQRapM2mp9dMbmCVbMRXVsMitY4r1XBBhh3+mOTurf4m8Tacmn0n2x
3Hk6Ic21HHuj8xeTghIBc91UU/iV0d7XgXBdOU51mjXOuC2dJ3xF/4BSeXdThy0wReOSY83+VUp3
vYQSipGQ6S7w5XHSwzvVxIcF+LWe4+U8lhMFlVnQAeRgcNKmuWTgfTs1BNOJ7RY8auHnp0rK5RjP
3bJHr/nTHAfjQ182NoWW6HPsY1WatjiVcqSQW8q7knj83EmwbLoG3cSr+49zXRw9Xdy2tf7RRXSU
2wxRSVKe67SYfL1pevXZcxr9WPfhh0EGdcK0IeLYOR5OjR9N9xV4wW4NrPPoq/5Ciq4Zo90ue+nr
dFf5qTi2hRgSiDrLYazdx1jnIbbUcl5I317QhCkJ5mv30lVen7j9iiCjlEkKBOMTRh/qsuM8pRmV
2slmyqEKgk34QjFKpGmTKbUvjuA/2szOr26dPpSdk3hxSvkEvYZDmefpvvCFfddVtdwHXvHRSO/e
7lPobHr0OXlAPPGkSenFYvbrVGffc7tstlFkQ/At9RClLrPmqXPNt8FjmBdFM52UDSJ2abqWKEFR
nkMm85LrQV+UMBSRG8n8KMd67wp1kypmjEnhl7vWS88p7LmTjSLfvkC8Ry9GnUXbomMR2F8cHM+D
X0d3NoF1PC37YnDUrrTL69w0n0btFGdL2PlRBDq/daKabTMeZizKvStprt72SXP2DLs8q2V8Wobo
kcDDPogxXjD94652QootKr4xi4cZaUkw6cClzCTHPzOCsj+iJfuOCppIpnKhPJYitoiJWpPWjpYH
pbwz/GSy0zTOT2psrH0WD++DSe/EihwBJnt4Xw9UzZjO5LmFuqxuXVNtoLSnnVvb6h5FI07as8Sf
0dYJlMtT2a1f9Ew4sc21idba93YrgAVFz1yfLOF/HgI3/RqjNrkLV7nz3Oq2m7LvIU4xGT3WLSQk
++zULPwEWCCqgDnT0/TYmuLqDv3R7yqd6DIYd4PxTiljXrvMVPuU4c0f/LLOTsZHLTrtIxwHWibr
4n1Tpbip5XDryK/hxL7yTP5HVbc5BUV2oD8BVg7dwdEdMXoQNMM1GEW415FXXtdMPJqJ1xXP+iD7
jNCpZozEsK6HLGQg11AW1BDX5uDKYy7qD7mIL05Jta+tyPuqqqCsaYaFnN6NF++jyLw/YVw7t9ni
+InKAu9oZULfjmNr3Ub9V1tNny0ficO08PaBVj9C1UzHroeHNpILHty1qPfZ3MVZ4s/NC34W0Zag
3M2ep89lY76YlVJoNphmr9Uf2ncPjmC8xgwiX1bfx958dotAJAMN9ImoM+9c6LS4y+dsvXWUG3xY
aZe4t3yf3eJ/ssbiW+tO3jme7sZ6Hc+qS7+Xbb0eFmWb23npzX4sTHUE/yZs6ZM4nG6d3L7OI87E
9MtuKbWie1rc17W4y8blEGflyup1uOnZXY9uIOwvObWGyLjUITvZn72l3hnrj7499Ox/Zd75LrIs
jj655Z/L+jzaX6bW3ef4xrVkMETtlX8sQXOMuooAcmiKd2Ltq/2I2loihnoCwso+9UVlXVKLQVnR
ehtizT/Ylr8mDSSOH9noin3dePZN6Or1ETjT2xfbLKvM1hUQvtXcEI6ixM3Jyq3mKSzk/WCJ+TS5
Kr+rQqqXXW8+zpIIPciuWZpi+0fL2kcM8EsoGXx2/fo8rkV/aFcru/plUd2x/OZojcFZjj432mbN
Bx0bLFUnxs+j9TmIp6O7mIOuQoFwdT1tOrPFfvEd/eTXG5gWuTeps15KTuKJkOS7sPKDLNOrrV3k
vaYfzMa+9x02JenRj5g6jNsq+E2VfbXa9FRt43W7ldYUtwPgEAercsukcNq9b2frjViDCIZg5R3X
0D7RBOxcMxOMh9bp/E8LgVKionliB1JK7bNeJy2dnnepbKOzkX13JJ2qCLS7/tGdCuuSUzFQiV81
oLdiwHVH/h89+t8L6IqDfigM7PQYdr75UnLYSUAKBg4/LWlwFjmbsE2G6jTm5cUp8sOAxw1SEtjw
S7fNJdJ8chTjTTpny91KpejYTQ6UiTKhP3BnLyAqwOIu8S/7fXw3ht5xiYsnPRbrXjdp/bUf8msh
LbCv+f04BGrvyRmvrPuPDVFTjsJqorWadnUQhjdmomzRREzEmfLwu6l8sROEEovdW6ciVMFVCzwV
IJi++ktzSGcU7EULgKBCDkKs/KsCmPXwenlLO2y4ChvP2FBj1kEzB4lY3WWk0h4ixwb8192ZVetr
aU8ruMmMUZlA5xIGEdwBkP7Zdg3Dt6TC8DpEfgfUPvqHYbIFGpsW0yt83CQ8mfS8RINmbsH6IRwt
7zxYtTpblpPDMXWIe3wnmvdo4zICSLfxXa+mkWp/EXOumyDDshay2imnCD+GBj89j3G8o0WsuUyU
zmv0i0SW7etwbO6k02KY8EFMVFVDdCoWUmdHlQvqPE78rgB7f7Fs1RLdRb21s9u6O4ZqBuNfW/ub
z1Q5qxZ7GTX5Je5pnXGDwd1PMWZ+Mmo8Tr4qLi76WDtpuMTiTE8DfvkPXq6ilSNiokrI1KWkLgv7
k1X19g90CIMukbLK/mgV00FjpuRBYhm73cpCfg96377NqtD+pvNVnEQzzJ/b0JjnEuyZBjivPQ5l
V91kAnBf5bsAODT3vri+79wBCQUn2N3N04ghfJBx/rFeB3lryrh5zMhuXia7V7R9kCfsgxil3GX0
suehaGkAR/l+vW9UXd5Vw1AeHdOrXeEE+d0yj93nMVzjm5lZ3MxUm3ui2oqB8L107xqj9b5em2+p
0u/8nPpBZoMl9YGyLllfhPdsiPHoxNQTeGF2+0TY113HvA6+uFD/J0L6dH42cVHcjLXvgDNJ/2GB
z5KCRc72Tdyu/jUonfXJFMQjonIMcUczLLhaN30IK+Lhqk3FaaiiKLFCHX2afaN/TAF66bWM2mMr
xXKYtb0ep7XwE8cbcYvzuq/hrbz3y6i9uG7Xf27cYLmNA7u9tvkqf2gX6AQMqEkdAY6ofXZ13fyY
Q4Bsnxahfbf2HwfLsTE3KL/9GOn7TqzckSegUu/amueiL61voRkkmZFgaENtj4996qf7aDXU5Jq8
OpmyKHaij/W1l73BhRFclP28HR61wNKqza5H66MlxlOufJfLaT7bruNfnXQMd4sJGiKEsPresQA3
a0PpFYhhMDtrReg1goPyXpPhH/6Pz0HWdQR6uxZTmNRT3Fzl2gfgmmt68NI02ldWmmFifP3auPJv
0TH+XyNaOEzYgyb7v1MtLn31x3+0f/7H3bdf6INvn3tlXFj+P2BIbPMwab/YJvdtNOxXygW/ioCL
6D3Z+pqhu9hc7Y0NGPj/oMc1jraGg60x0IVp/Ea64FcQBOHqInTti63h6d8hXfzKBaTNGcZ7LOAi
RuHWYm3/RhjV7dy665BaCGsVEgjim9HdlqjbUTK0efAYprRTmDg7tB2Kpn9ZrTdm4l+ZiMHGuf1v
IuLPiyMzhAQn4COPYm+c3b+Qjm3Ximt3Bh+NfGYWy1aZY6n7LE0o38TH3HaQWbEMvX1d38lLr+DX
JuWogs11CWT6fJvSnNVEtz0BcQZeXKIpSZ4C2VCU1XWY+SEyiZ+nhWJ9lmXKvrLS1ExRm6ewjEBO
7tTm+zxbrdlLusyTureZeadRqtW2mzPbpEB4t6Zz7kfuTLMBDfSm7JhP2HLfyt32EFVLB2qhl1sp
s/ixXur867D6WZukFuUl6vezed4Ku8Kqgm+WzXlPCqoGlJeB25kVpfx1p92w/XMZnOAuCubYf13m
f+vs/f9JhfLYzf/78dx9a779+IUJtf3927EM3H8ImEaMNvaC+O2AvR1L+Nv/dQ4j7x+cS5i6EHP9
7YSyhf9JfnL+wYRA5s4GQmy/CP6dY+jDMP7LUfDpKYLxREuPzZlHsvCn9NJfjgIhr2214Zw+ocq2
rstLn2VN5u/pjJvU8BG25QheFCozl1ZStaPTNe+KNIvVsKdC1PXzcaIxCpB3IK5l8lS91v3sX3zo
i8TJwM5e8a0aShhOpzWfh659iCciVPfs2Z0T95cZsYiivvNQ7I8aaIUhYfejcCG0Ptnkg1wmKK2l
W59kgyjNUerR1c59MQPPZkkRhA7/l06ZKQHCXm+rX2AlFEe/oH5Z4VesWOunaLFct0TvC65HtXca
ipbMLG1ipCSYoOLIqAgPxRqtZKDgLbb+V40VYiOQ/bfF8dEOoBXGcQT06piGOG+zSH9Z5hqOeweM
lH5ymNI1xwnuexL2AfpbFCJc0qiURjVrnKV6oSS+Gn+XZ27VYJeg7ObPUy6wl1B584glGWpHQpIc
B1c2SKnzcorlMllDCmSjvTWoAf+GcRsBX0bSY7EFBoo3gClUoKFARLMH+zMNW5CmKoXInB4K5rxx
X6kd0M19SC00M+NTT85NMTNWtXSnm9rIrsTyoGYXPnpznSLpUhJyhj80IGBLSVVud9cQz/KFRM42
lzZZOtWboAUBUrgLAuRO3bPFjPqQUncZ9ozgVHKwnetKGRRx3FJa8BvoE4qDrr5Lm67ofmj6iymb
rsPcmhCYa5TEokpu40TPSuXWNN1GpmpYhHIYJP8H0angairwGx5bdY7NLWilDIyvyoCDQ/Qb7e3+
83HcxqBnBdXHl78c+v/By/zq4bZXHjrC3UbnwXb3vfC3V67LIRBVMetnAFqThhcP/HOdb+xinkTA
LJ1WDNnBBVxb5ks7ohG+PllDOQ/F2allIMrz39/Or5113A6OmwInXVnMbAui+LfbyYNscEmo5cce
v8zWYB5NarK9I+bFqg+doJKXn2BIMynx0XKrTky3hvJ2mu/+/j6cXxtxthvB+tGII3zcD5Jdv/Uy
rdGcF2PXkzu1FNXq+0lja4qTZsaa8B9jXogUwMfsR1j4TL1UUJosNTlsLRTv/Hk5ynXc/qGsFM/k
WSNVTOeBBmhoBg+1qabopcXTpeWdaaVX3kV16fwrPZVf25Z4CCgGaIJwnG1sMQOLfj3P6GZhm4Ju
+WhctaneiWn1WEZ/nFsUGzKvV950E1tN38LS/hcL+FNx7xdjAukVETqXrYWEg/e7za61448ZTP2P
ohawIj+MJPehOg69ULxD6VXbxcN82s4AhLC6QA/X6qdY3TVr0DfefedCiq+SLE+3kzpNTgYrb+yh
erAvUivTw15nTljED3DsUdc/ibHZzMk8ZZuOk9BqCekzctYQK0zzwxR/kaSYpnvfNdR0wpOfIU8K
vAvs48dHDw/AIUP4Qwp1XKg+bQe3Ryd7ulnMEvLNsdeN2J1l0iN3VDOSkw9Yeb7ZJOpPgpcP58Pn
L/VkygFp/RCWYrjr1LidbdrWF34XvX7LpCAiTDf2UOQ8l/H7zbCYLqv5YdQ06fZ4ptmeuchjzr1p
e8XF/ZYSTvYdlIf89dp7Rs5d0orGVi8Y0YYVbvoVS31Y7T5zuz28D4o0TpfbGQ5Qo1ZP3/jgRGGX
I4s9I4bwWHSkpPmp6UKknR+7cmyE9a19NZAAZYqXZ9RQme7L5AxQ+g/e0rDen+wyGgrntirctizP
hXTbAsR9tTgNGNh1GvjTuau2u458KuLstQJRlyd/GjarVr/eJx0is/XUdP3mR9sgTBm34S6urp3j
Qmm9d5J8BEyGgGrLsbcPuHNPvdDRbPGa3r4q3bqjxEPwalHNkLbmfV2ju3VQTCxCPzXIaftyP8Af
3F5uDpRbVJ+GaY4oeJThjLjgDYWFbZ/NA10b49W1lx4b00g3ZUn//mz8yuPeTh1TNYRjU07xbLqc
fjNydJ3kMAFa826x7NhAwAcYUtXztDh1ScT2XzHd/2De4bL84tPpiRFogGwDw1DccpAD/M2Q+WZ1
o9bX4busbfGsSRn4kwfJj74d3eyDzJ9Me67dwQ0sfmdLlKDTzimYMRCM2z/wwFv+EEQj5hh5tjbW
0+trnBxv2f7u5zulOwbaICVSm1CGvhBGEH0V7kj5bleQiGB1qkVKvmEcNlbhFWrIWHg3w+wZ292P
U7x9VSYVtaskEgg+Pjk95C2AxgJY9Hl2KNmaw1SsHT3mNbMuyYvy1xu1snF7sNC424dlyuSoe9A6
GbuXetaUKoEhVnt7PA6TQdHOeH3MNV/3QjMFnZYwYFMqph+b14UAwbDN8qk2xKM+LdXDaHsPHOYp
X24Y9yDEeBxiE/jqKkzPPn5Mdb09fgOto2dCjy4z1gwq9ua1stjNqga0Ylpzc6ak4PFYNAtloj4H
pu/87BB0FAzTne/YdpUfvMBM3HUGS2Msb1M1K17YirXP7UtWUgeU70Awc6egpcuv5LobKNdwurJq
dmT4KDkg4qusou1Wcq8JekZaVdC01PHtHZRr2W9f2fmqke/fTBa9V4Kz0ZRzz8A3BdkeJvBoD1Fn
diSiKXGwB8SE46AyvN0foG1DaObE1VzLS6OH7ZVbZnvkIurnQkE7nVbb22eAPLx5mm42I9oGECje
tpCVVg4vxm2ceLQOclj8hbaaOCh1dqCDh3IgIhPA9O2Znkevts6lXFJ+OEjbcBmjEaOUtIKh1mHO
2PaF20pHK+zTO3tyMaKJlmkVuNCL82kEZ7OVMdmHTLp1r59dUQZcvcvXgdWARhLMyyVn140FPGi1
7XdYd9vvJm+J/d2Qd4Nz+xaZ4AT8EOc9FCo4W0Vs6IxyfdjPDwX0GO4RAgwFiH/pVv+v8xwGEf6U
qMQJOUS/R0hcncjFVO27KbQ6X+9pi6PxjvpqkKomAZM2K/QayACqgEyxOY43DxO9xpIQKp0AnXAa
CDYf6NIqAN/BwpNG6edZsnXQ7/SEFc97Hceb8cOROeKk7IWi7U7H5CUQmDzbaugYgG1djRfT9Tar
OwWBINMhrNg82lusHtuZYJkC6Zd3eextgT76tFt2EfAV/F029bS8gITnxlGHzNeWVSedC4hwSmer
TKm3WzKGMdMPnUf0HMml4mN0MG43Vw395uwcjCeXVgVdCnJIWu3E7GU4/Z0M6XCg8jZcK1R/6vif
H1xocbOolgzsWDi7agoXaOKAE/wDHjPQBrA64dx8kkxl4nqp19HQeTReUE+wGC12PU7/9XcZiuD8
ycbTVy9vQYIbyS0QCFYt9cPalQTWiOaVHc60KWKVcZegMlvw0/YZuOhVb5YYyrBYMp5rjMrtn35N
pYVCiFWPW0CA7azb9EFQIdPszi6eBsfcWUG65RpvDqwAHV/Vu8Jnapg6l0uvQ9yZWpDW29NPx4ya
fTAFrZ2filoufPzND0t33oIb1RiPlcyGAM2Jf0ZDbhdvUVdvK0mPnZdJEolksJVAocEhw6aM2gdr
1V6a0g65FbqUtmAoZsstHmmk5cjxX2h9/BqgB/T5eqBRXAe9H6BDb4t9/5Kr6opxXWUar/cwNLfw
owsp7L3Y1ViaR/ivK9u4GfUWb4WZvWXef+9Yf82buDytWC7bFfGIOIB//ZsPnwCw29qPzL3b+BvO
MCp/CzPxez5Xxpzn5jHNa3tLTBuxHSpGfhVskh46zPr89zfzW2s9d+OBsoCsekgfgaHavzn5xS3D
Ms2Cgtfmj0tNdYJNOqt9jjWwrY3T40G1m7q25azE88BKZTmVV6LXV6zibbcORsiweJcRTtSC5sq6
57jGslw5d4Vlk6ak4TyzL0aLbfltbKO0nt6XZbO5tPw1Oc9xwKKmx8jpluHy9w/q+78miIQzMeOG
N3tOQx1wkP1bSuNnA93FBHgPTdpmij4XY0VNeyQUYdsf+hCNaoL9sdg8zVoZUd2/mfCYMaY1ZLYe
D0arLYyjAOTUHsfxlmITI0vgbRR8luNiQFkAMiHPZzpbn/sagaDi2I1FUN6NVb4lxvOityvQTVrR
1ukTocLtiOufSYIvt6DdkcX2urt2yGuf8kcGi+Qwjd22UtGoty+hSS6HfVb2maNefJf2p+far8vt
EOI8SBobulkZE1LYlQWiRda7pZeE7h7bmfJbyJ9Ys12S2b1lR/Q1co+FjYl/wDy6QZ80vmA4vQv7
xATXyLI0Dryi8WfLwUzqMcGvT43Mx6SkSFpliB51E19vB/3mOqjOZuuj59Li9NTNoDeXXiycMFOX
pJTH3Glet3YJfeg46rRu68MbdlYO5EB0UYw0CBJ08Rq6KwhWtT530M54/MBYDt8R1Vrk7c004+/a
vWbQIU3RVolctUnsFeWy8ZqutcMJ6qHpsnqihMFz59vdws9EZRM7nrCWAd+1eNV2Cqn7lpiE3qlS
EV4KQRdytqcUZhMzhEY1tNm2fhWf4Xo78XIDCLeZ77cbhmcQ8VWDhpU27HuSea5p22W/LZzbyxAc
vKkquFtN1i7SRxG1pLkjaQtqRONDYDeASadotovKPboq85fgOpf+lnjnoUm5r+V18WDl01TwWOaw
+sHbSZJzixEWjD0lF2vDZWkvA9aME1jAU4vTRyjHXaohlbaCMhTQGYEdROWRC7ApDUsKPaLg03j8
Lbmm1Vqol6njLNvtLrdTS+tnKt0Le+otiom8qVHldYH+xo05dBByubfFpPjur/oQAaeuwxGTHmHg
9WptIeDbx117RHaUoeqphs9Tl0vaPshQD+ZDXLkObx8VtY77MhEDk+3DACtZrDsaN8Pu/ZLXRoj9
TMbLEWrkFtDhJNlib/8DIbDns3mTbW99oInMkI9VE3+XbZqA+a504AjbZ4ooK1yncXE2dbIpAth+
6jKcAjF04NJI+iSF28zTbWu1qvGuQeo0iLBjMTfL/XYY7byBh550KnWo+SJftZ2X9PWFGeFvmyw0
NYYz7vK4KM8aJqFbLwll922vjdPqX+al6Ovo6uJ9pnShPzz9GY28RQnVNK/ctDMAbxynysYgHSPq
KHBu+gwqzlPadQ7VXOU2jGU4WJ2YZ9oJXp8YqaKuGRIzGtLz+7ZtNpMEsFLC92vFODYv1U8zMr8i
Pfj+zph3BGJhOFZw4tJVRteqI2ox9GekQM1QkeusvOlcy4eKWoGDTvE9PNAthRimYHtfRSQUSfDc
eJsZsha1rX1MEQYNwTAC0V2O1sxreraH1Snh8AoCNe5rmmxkFy5vyLe7LrQx0I4KBQ/zhUFx9Lcm
hlmfoT09bu/4DSQr9bjZHqsE6wf04xm5ibfVWwer56vTTtk0IXR99A6ORZDuphlJg4An9HPs4Pwz
zqxlt33SCucReb4sbBRCHK2DxmcHgCQnD66BpfOmTHpa14ruKaQXjQ+UxBnQP8pxTMORSVKoeLg7
GDobMiEjazuRkDa77UC77fYwSmabYfKaylmOeS1M/M0vtYt1ckum8CaDWNTWr9T3IavqmAxCbrF7
O2azNUsLAdh81mswy2Sr3TvVu44/C4cpcV7PMkMDBLWHvC23HezRXRqEl9xE2wOC79igMtoldbMP
b2cyhPtDGQFmaKb5aTfF+bb1Gew95Mcw1yEIPCzCPIPHD+FXvUSlsTlg5aJqTEHK02JCBBIhw0Xn
U9yVV0Ecrpp3Ml43g6WcTnJHhoSZ372F45CGNk8AKbKc6l2L0EUVPcPGiIZLRvzOG3q7n/rVp7l2
X67PRlp+571/e19j5dJ5s3PGwicvBgawNoOdFcbfcP0CPHU4zvVGbLibK/jW022VeogxXt7SwanL
tg06N5ow930bK2UFx1zJdf0jnW2OrswhcdAf6/30YHqLgnSabdtmVpuN6QHv2NOY55+L/IrjRkXa
TvNtXY+rLs6dIc9FgDQUAxpeQQ92Pp9EVm/wakdhljVIt5LQSwUeoF6WeG03qezXY/L2gEM0/dw1
dr2w2ymgbGahZ9inenkzMUG4YcZeTB8fX/vqLmU1b1dGWsdn9d8sdj3Ogke23ZE4pOzyLQBRXbSd
InrQ7A1/hhBK8DD5DYOR9lNbb8fOQcwIj1dV3nadzjRb0j6+OkjdtNtb6Nf2Z7jqBh4bPddy+ydd
M5vfvSEGCnovnwvgTZGepeDb/F8rCBw45kW9eX+aMTZDHQiYinjYVwu4igwfr38GEkuGkCw6Gf74
c9eFNPjpRMG4WaMjTSi0+O+D/6TsvJbkRpYm/UQwg8hEArclW1M02TPDGxibw4FGQqun3y8L+Hf/
4THjsb1qo+gqiMyMCA93j2Hq+dI9m88wOmd95rMgbLjTbK61nGfzLVnTmy1aFJhzqnvlFyM7tRTS
/LZPV2p9S6G5RfK+49S05wcXFjaLaL/vfRHtD2Pf2VJol0/uamW2ezCripW13/5+CIeKbcgYBhIx
P0OslwQlaQykoFhhvmDHw707Fjy/CxQhk/xVg1wJ3It0Ed5jYlAjF32CeYIKAyi6iaafSKU5LE+w
yXtyWkYVKP+bMPppXHFuGBraQQ89OuTuPlKHqpcG3UIlaeAPSfAAicKn0eAXrIuAX4sG82rcGLz+
W+dhgAS7s2wlP8ZATXwJq7oFrBA6qvrwGV5WZvCriv6ue2plYX5gw2I70YFLiubv3piH/jeEaRM3
5gWz2agtoy2Kl6UEPPvWewMF9qm1yDRdxsm6ef21GFKD03ltYHC6bp3Nyt1gIxKIjj/sQFG8wYB1
W5tNOaSpwSZ7Efnc0O/riV+rCcfGyz7Et4WiiWruVm38ryIyKdq2qnrtvUwpYUazIRicBmkr59G8
0yYxK6dzpxXKMaSgzMset3X3+6v4j1qSBjd+hwgGFGW05//CMlF2Ar0aj75npimyXPatkyesBsqO
W12bzaPJQKptw5YuZMfklGyZ0e8v5t89I0pJCDXCx4DLxlGLQPFLKZlFum86GY3PiZwnzhtI1Gbt
bPXAOjEmla1YTaZh8Psv/o93wZwMrDvJ8oHFGeL0S0Xt9gHttFAMz3ILuKoFTssf3YnDkFUgmqj9
uucCYzqEifgZb3n77y/D+WXYpWQhOL6tQA5piJrxMr+8DpuMhscyuhd4wWjHDiqLKyQDEa4xiPbw
r1r5oZ00xG5qncI5is+QKBL9wZ3dhdrY93qTtKeqdax3Z3CqEaJtjDr4NUxcA/jsLaZRz5RUUIsA
c5IT3RrESMckWXX73FJmY6BaqiQRjJ7tbQPeVjhHKfgNfSjZ0ihYE3oirQiQB9A1hm1Alxzxf3gQ
Yz3iiAFnu0UBPpjG1Pukhfkfuqgrhi2TM8HNv9Yu8FB6TLJO1s8Q6LwckSKid/c7HU1glfMiS0+9
5WuEZumghIWK8xyNKxUeJP2IYHBdhzSMXoiuhkS0cvLCj6pkniJ0KZawip4d07SmjoJKObUnDtw6
XF6WFk5SferDdGU54ce0xpRFIx3W5d7uyhnHd2+KUis/57o3YUh2HbzsPxZUfrM+dl5LKxj6NT5j
XxiAYSPLoqXZLsUl17Qi1TUNZMHinWDQriCNa78U8Tkdu856DW7wR5kN5jCOaFcopnqvSXaNi4gp
m4ckrxYvP7WIQefgsG6dv9SHSsCXULNmOVTnBWTiNM6damJ8Mxa01ke0iWTx92VZLUP7hTiAGO7B
xshpTT8RS9GenexMK2y+pRzq/PuQzJP9HjaWG9wPNYIRaI1zVAzGd5T2kEJhcWsX9gq/jmecA7Av
O7eoh5b8aQzq1qCeN8Bx76FS4JsYZfFK2Zt9Q8B+H1foozhW5nXOQxxB89Ho45Mih/LgcriOf7te
R0oUZxXLM1H+BFboL0rYzCD39Fhfkfdb2X+Bq6Dq/dICE4rNogRtYYmXHy2qX04ZPMIqDgMkm6NG
ugzBvQ5jnX1xSJNpxJVVEt1hCh9KFGeFroqwRY2xIBG/mwp6r6cZT+r8UfdThP6MWZ9P09Tj5SYG
B3e4YoDiE4oyxgVIlZ0ZzSt8OLM0NtnMBIQYkzm8XAoNezTsOxsDEP4Nrxs3t/SHDL5p92DVkbeg
kWaS2gn3uvF71OUL4iyJ9vhMbdt+pjhI9bmpe7s4tmsgMZijwTbd++TkxUV7UVhTH8TKmOTPFBgn
jENm5zEMkeJaalHjwQayV4ehTPD8C2KJsCEJEIEkUocPsQQWhx9Uqac+7NCiTVSHATebM1i3Gpzn
Abx4Al723G+OH6YPeP4xqTrF7ealLUN0933qvM3lDEW4b79D9W7eLMfNmVhpzQ6ua4KT/ODGdoTW
ovISOqFPDfCMG5zoa60IrTKvhe/3BJBu/Y3ox7tWZP2nBXDrTJ2KCEh2wR336pxtC3U4loGr/uJj
7nDoOMUfB0x0nvo1EghNC7V8tQuxXvB8QvE4OkX3YUTs/DHy6hbzt3i95DgbfsbVxbtGoY0BUFbj
2Jcg6nmEJl9dbZEsJ2eti3NoteoZFlV8h19d/8WupfxrwQzoa9T17afFahGbz2F4X3QtWlCySnHS
qcZBL5vWsz9nAkB2zeZ7G/LFIxNC5w/a7ZwzzgLZOc8E2ugcyfUBzHlBgjflrw00jo+lsPsHRtUm
L5OyESlYbdacixLLE9oi4aun7eIB+b78GFDtikNG+/hA9R882hQzXws5tF9DtAtXwqZ1HGUb3cl2
qIkmFUx84qslDnChxJ0YfeRt/VTpo8FULt4yWt9jN9VPoa5TxiS5/SuVtgts0nrXSWn32WXcx2la
x/Vn3kb6PfbTHGsjzCX0mCPXXSPn3RE4cSMDzO+8VC4fVtfq8cjp6quTjOM9fi/0IqJ1AR9Ig+yY
tlp8hBoRzGeIFRXf4kRnxJjLI9JkLCqCoFWXgAGK/1A5voW+HtAzBeOVvBOtso9NTdcj2izT3P4i
OIDP1pwHH3D/U3femmpUFB03EJe+/BIgaM0ojmiWnzSeit+HMkPw6DWZfmJppkfKz4l94qIBZdwM
WybInae4nvzvc4qRTeO2tHAStFuS4+ST1iiDiZnVmyc6KOHrmH1PqjwtjpNbgYbIqTpGNT6WYRkj
Epmm0aOZPBXVOwdqaaTEAV7hBJ7cyNfw51pcq/lzYcjnRdJ4vkc2PXBmJGv+acgWbMgINpQuXXUd
oOwhhvKqV5/k2T3gz+UwANhCSzdgaDDXM3ZOcdn95ai+ekmG1DtbUzmqUzQqTEbjfIrPNHHfpgyz
knnQfySr299Dofsxdt6bbwwwY7DAizVgd7lSKV5yMDTr3umbPHwKRVTecWOFh8BjQunfl0l4wY85
Gk9N4xKSEyvr6cBGNccrQ4sNLSZDPWFZOCMC6PzsRG39ZcW9S1OpTUV14KqKv32U23e4LIlHvS7N
N3pP1kOe9SObS8zPsfCmhyHtkEFXvixPaRY0f03Ejkdnkf7XSAbNpzJqbHGqEnzT/GXy31ynK9sT
Yu32QfVSQQ+ECfbTSspkoV1T9zBnXEiR50R26XMzewNCGJRJpzqXCmmogjoQ/CnKKTi6Xbvkh4on
/ACzyGVs2gTUsPrdZ71U1nlw8cS4jDK0PzOs18W+JygjbkhzllCcfS76xfrkpEr/1N7C8ROm3hNI
G44yPHj7YYLbeQ68ofxCj1VCGViD7xiFx1/z2G4QfkFSXLGKEPWrE+KWlM1MkzqkUVtcYzywvwm8
cO6UtSTvovO6exH16iLaiQldKIUKFP9VxNakb34RUdg8MHqkOtUMWT80Io+wIqvTv4M6aY7FHASf
WtQ5UF0F5rKoIhjX3fUApRijlOtYPzb4JHHhP2AllD+a1WHKaLymYI8eZzfmbWfKrZTfwvLzIRd9
+AIILc441LcXr5liFMRTWp8y5oA8iXrGoau2v+k+Eo9zPqtjiNrhUg74Ux4s9i44QF38ueKqAtlI
6g7JTh/e1WJsv/iMgrGPLPr0xYotxGxZpz9X7Tze+aG13tucZtdpWaI7wXdnJzUK63MSjCNWq1Vo
FZc5y9PqmmM+myEMMqBi00WmQlzToEhO+eqU4ATp2hisYWsBMMzSdEJSKE1kkW4Yp+DvNN8DaqMu
DKCy1IaR944Tlcn1Uq8zjdxuqmgkf96RiZwDBThlQ6GDPk/AcumzLNV07vHGKkKMy3CMS98U3W/S
qwzSKf9FbnAXyZUpStWtrbE65CbVwa4HgPADMK8G4Er7uPkjkmE5j/D0DXMpXCsgatJ+ugz3YSUr
8YO9afCj2eoD3Aa7sqceWIZxXJ9F6cftXRtZVt0ddVwvNUNpJr96yUokUcMhDmWfnQeIyckZb1NE
9pZVAaxh9LoEP+2xROEJR84pAaVzUjwLQuV0aZSoq09iaqLsz17GGpWvJTudfh4FmkHscGqUsPYj
Xc9Z+lc4THGTHoYEOQ6nI4y95Rz5VeI/zYOiS7YuEQTMCybpBK6D9GMDb3czaWUxM9pJ49VQ0HIZ
HDKdk3tDv9HIA8E164odLC25tOx/hq7ETOnQAzDJvymghIGN3DrInz0PhcLDKHxSrEDp+hrlEeoA
OgL56n+fYPpEJ2Shdg7N1smrjzsNsFzpmiLWQ62/vkGS4wvDemU6ec7805owMTrdP9REBg/DkMOU
C7MsDWgCjgaB4GVLjVMbCRy+wnCSWGSgNLT3mGHDKfCp7sl20uOO0IeRKHz/HHkEv/aFXIolPO3g
dEFTxz16g7uWaCQDq1viq09uyXemNzQSMRLLFYSEBZLHAjCvu6X9e8EPNEugRK97W8G0tU2rsBkM
DwIWp1nV3gZW7EC6ntCSu3eJPRnK1dYU3+qIHd7aGpfjBuw3aTWCm1EFGdzM3gputWGasMwNprld
DVbVvNtqQx86Sjo+PLE1/I5+dAyESAMwqgpz+ASzc5+oUY7WfQHhLB05vHk0+DyFztK6H6JRt3jT
hr5qs0fqYloLOB/70q4f1hjO74ilBMEfVLJqJh7yRpKtnNntFJr0Df8ONFJu2la2MNsnUrZBCpbI
sfCZal30xg5+ijktvuuOAuomMN21JpnAWeIU+/e3oRMGZvHtwCCoW0uod8sEsDTGiIuzNkjb3Pm5
VjMWwgeFylEqVo+frW/9EAKSN0zbSoJ7inVUEgcNRRlu0Tqt8Lmvjm6HpTruz6phPBFSs1ZZo/vG
FqTSPu6dW2zVViANS+eJMSTxyInov2yAJm6it+VTtWY3Vbr2b2/k1uqW22vaAdZYTIEBsPFZMV0V
7Jt4oago10I+ZTkK/P5Qpui6sDa5QU17a5TKwiDG/pw4c3YtJ/rn5D6Yuy5kg2lo2gioowqesVMF
pus6dRbgNr1Cs/RQ4SmQblwe+YwBzwClQYinJEa0NNWN+IrL06QyyCtE4+SYZlQOdA8k9pWHHWYd
lt7c9t7E8ZtxpEaZRZjY9aFwezm/zRb+sO97W06HKSVx4ZemjdzBzki5iqlrFsYUydWAhglsaoYl
eK2P0yzHgv3FRvteczqHSVZeaBWO4zeqtvR7VSFYno4ZxKb8M659AzLP2WvZh13bZOIND7wM8yw/
Isy31GP+p+0s6f3WbH7U2USYPi6hQ1iSJiAG3r0NvG1BkeMfbru42RoDO0dk3Noc5ZiaJ+oWPQfF
3rjeW9DjrXhHecOSxOnPdCjgYtGjgDJU+hihBamkyYS1rJbfJjU74Q+NJRNHh+xNoY9iyoDq+6a9
8TY2FKiLbEm0g0JhMPS+hnTwuVx0VH6vXWwkmWW/DPNiI0GW5ua28wg45naK3w4nfAfM5UBIGNcr
MxONoYaqRE09eOuO1uFE82N7RG2e12VzkFGAKS5JHy2BPxWgcvPudDrmSQmvNTSHVVg8gq3jtEXs
PGR2LNtgFibamyGRXI0HoMJfMinN9C4mjLhoANzgiz3MLyqbP9VhvnjI1DUqd9r2GIl+2nvRIL2m
nTKKmMfqLsrmSWDSSJA7Mc2gkF+2o2zaOiUdswH4tiKw6Rt0G4Bio1a0+g/TRv4oeyw0iWvNBC8m
QiXQvA8beQLcy1yiMy9mp2J705CY7AzaFi8t/hIltAk8AD+mB7QtE2Azc6LqpjY3TxZLIA8d3q7B
GSnX6fRW7qxprI5uOUOx3g5iZiQu7ANavqaN5yBYMujjCJ8uOYXhYl7Xtl5wNjXyiSyd8LS5eqh9
eOrjsnL2zwtupynmvAgxMWOudJ756swgAryJL82cmX4Ys8TNSQA0aB5MXNicfUsdGopTRfTRWK8U
OuWkZ2z2rYNEQcP72IJktkQrVzfSFeW0nYLUhIvtve38rP1lb40a7bjGoLBp4xvJY4pMeE7LznSR
FI7QrBo4KXw8bJiBS8Q63cVtmjIYQTee+4aq097IOYLp50N7F6VV5w1nmJ+6KB6AP4OmvTod8prq
YxX687xcbYwG+CFsldt0IRVozviAMYnpIo0JVMLk0wA9AU7wIfcKurJ3dMANK29FvsrFeqI1Jysi
KbNaoVx4SY0vbVH3P7rC0YP76rWiFOlJ2uOimDXkLBS6F7tjIhJ2laXPxsEowDTYoNSbDrgggeeH
X5A+fvJvIQd5vHlyGwsnpgA1LS5FOvK+96hIic2nFp42DxCyi8kAakx5SYLyUfKssHQ0R+QWvPh7
n3a4Z/qj/QlbL5trH/GfxmUS4bat67vBGnO3e9AOGgXMhTBvXN9Eb2N+Kg9lWYjiNFqUlCeaqIg+
XlBLU5qeYi+ZccxcUBXwwTvNDDp1aLl4fwdrEWKpedvJ+zLeNnSVjL0XPcepNa8Jxk8B/hffOgcy
21k3inkbJ3i5pkm7Zzre9v7T0lJe/y60fVteN05JHOPmQ8ceCzSeGOaWKc/KFq05dfee9E7s2Oh6
6ZaFw3E0h9L+APM2C3lYkjSTX9NDa3ZoFiWGdJXOyoTZuh1N+tExQ547ba2MfEhhLZFF1CltwnJJ
jHnA8yDCifZ5G1fmcNibNy2hlE9kvJd5J+5GJtzZPHg7Tjxxq8N1BDKYP5hLoNY3m6C2kbGBRwqb
0uVTnsM79140SR9qvCqzzGcyM9X8XozxC5x57EsGY8q9CbtGO4phCPUlNRSsTR9WdXaperIj94in
S2pZR2xamE56buHoluhabml0C8+Ny6Rpt64BYj4vVR2jDWKMOZm0gZPDcnE2PUtD0sKF6VsavEXE
MYQ0KR8tCf4jT3sTXHal0XkttZaQCTCeyN32e45LEJe1p7uAMC0v0A1bKAu6XToW2b5m2hqvb2D+
tTCc1T5qZw62IIzoMVxTlBe3Zn9FOkZWZrbN7Ebsg6CwzSbbn2uC6Rs7JfQWsw3nqDe71544TnjY
HbQs+4Tqe8I+aYttQOmmNsGeFqNl5dlrpU8ZXo059fm26fbKA4eeWwHStSSb+7Gf4uvGq5FWfoui
pTKN071MWhLOeOdU0Sym/7FVpLHuBhOps6TnmW1Bft/TCNC2e6cmzi4NPjTmqhzFhCViXASL77Kx
PPYD29r4A9y84YPscqUSk23WwYCFDI9MbSy6YPHMqTtupAixMCsBbsQW2ryVQ+mdnqkJOfuRvZ/t
g40QA6vArclfZNDUJP6AptefJrjKXIdp9Sbnvr5l3ztH16o9p5ePCQLy0D4PyA64me1Bb0suJDPk
GW1/5cK1MhHgxuFzN/7E/7zNwTXBLW478/JtMYM3YY9lSqm1gwkEnWIwHFkEtYTqBRRvsPzDsoZB
DsKIGAPTvJjOFjA+kBMuqvta396D1wfmpW9dUDylDb1Y3Sgye8q9B3ImaBpGRbhRavY/AR+YV7Q3
L2ErmQDtdDIJcKUKBH5jwKu3TdF0tbn/dSNFQFIzsR9iplmu1UZySLamZ5v0JoNywFr4vnxQho65
X3Jfz2QOO49j47AmEB35KE/S5COFuqVAFu197mmLA/4GaIBRtma9rSv6gUvnNebZ28ts6D/mYbJW
9m6/vZWkIVQFnnfsalOJ7aq50VEGR4G0b7hSawtJprnUwBtrdRqH2byMZRO6aRBsvgiBjClAdm7Q
XvSusjCVWbcxUDB/Mftz8KuGzzTlmrmWWw6zZ4sjHsZ88rqYtJgpbVPcQXHZkteNXVNsKXd/y9g2
0Cb2sFHLjhJ0UCEhJ9zwbihGb/TCbSWXFssWlow1UKJPs2v6kVuyu4duxMBkmQKvWv6lSRhjRRoW
wGxLWYcmtW1ANVgw/g0a2ZhPOyluy6I6gZf4W7ll+rGoTXM/206KPBvGGmyU9CayHpwKURtQV9lR
/wwxqgdzeN/iAq22G1q2rfX92VmJN5uz7YZ+7DtuyzXn1DM7aaff7EJDr19uFJ5b+hRB+2an5w0l
v+IgM693g7vstL7BZBuvK1WD4bbadT5iazTmncUU5Y7tlb9APbTX6YjpWOiQ9ZhyRmet4mDdUm16
CoZVK7cn561BvRiatQ2lVEeDiaawzU0a67hwQYlMGz6HceBtX0QOy3yjZRPIF9G/E/L5q503tdN0
AG7M+b6VAsF2yu+PGib9DcJocvPWld8Z7r6ao8SdnwPgRF8cd8ms45LLy9NOehRbJb66tmYt7geQ
jQkP8W/Dv7YCyJohDjyj73YkGPHgTTrYg0jZMckhp7d14w9KX5o80rlx4vBtv206m94QFD84QDyi
zsuFQkSWDkUIQzHs+Gv3fxDNvaSnFjNBZf8TPu4GXtjfbL5pNNmmVInbctghTPSjC7TgvAxwLihb
9LGfdsilZli5ci+zO9uXxLdMPKQLZzKSbSErp2BDjODuPLz9rAKvJIslT8QiLPWsrttJs+3M3Pbn
kuNbf6JsL5cPRWMzp/ogZo9VtratkaegcFX/Lzp6twQ/ycbbKbCR8NOGMsU5+0m3ttgG1yW5ykUq
D9r4PWdhxyLdzz01aRMPduZxs3HodvJzfcvRYvYrh86Op2iKOpNWtvhw4Vy2lUqef9Od446Ffu5u
P6x2enIbFaY4rbbMTTO9jl2QlOA9mCXZveEz5cCJAQ7YU4SP1BXKgrkiiPPGcsCRAXZ/MOOiHIxp
v9ouZI5X/8HfmPF0ls0NxXhh2lixW7huL8ZqzqTohaM89iXDaPgDQ2988/g2wrS68ePBxnjVHtIb
7opNbHi50w043GABT/KTyHHbRCoD+qcobYRJM1pGevGyIU2ZT1VlRXvn1E8QknEEaDjKCNTdZJLk
mJfBegAvXbldubZmKeyJCVZh5hDF/sysHFVgH0uhCHvSfKYdDPxCt6U1uzLGQqqs6Ij1WYTZ7sbB
ilaY1O7dJBlsIh/3WpK59OaKtvzAuZX4w+AgUTwnjSP6/JXjziTmc9GbBx7YwrxSBzvuFTAU1XIQ
wfJQTQMd4AZaJAVEef5jf0vOsK4RXONWM2shTBJd59i5Y5gPw4bDvZkU2SiY8G1TKDyy2FRguuw+
kTcuDybaND+daExW1lbJotiZudfl5FUbALGxosXGjAxnRtmcS/zemI+0H1I75Gxv4LGP3J5XmGxZ
X7AxEadNFF+tqTk/UCQZTGEavJiRNXqqumV8wyrTm6koMUl35ofV4aRJmY1cFsP6XMdTM8sXHMqR
EhisdI1qLNeQVZJDXVReudnnPodd41+xux1lgFkYrlpYpqgaMzgJijwMRwxll+Zn7NZ6nBmuAXL0
QqnNfDu/BoUb/uhQUong5ELdRRMq19VT55oxZ/l1HVXtnwwa5Txjg1Y1jyNTburkGhZU4h+XZByw
+14qXbxVLKN/pEVb941BE9gsIphlDhNg3uIDx0OdetBTM/xp102rX1BtRbh9jlwfLCqvWzLNvoPB
Lc8d4wUY5BInw8e5ZW1dSjda7GutbUZKYdPJwAeduTCDtKvIC2KOX+gmIsTgtJehHE72NMP/8rpk
emjl6GuQGuo756laocWd8GLK/AtkxRA2p7tO+jFIi9VuL6ILe9wph0DiwH8RxWThK5Nqa3i2VD5j
lh8U7hKxxGgBYugtq2jKmS5S2BUW4a5jofkAXG2nBRZSkHUjo0ogljHZTjM0Yc3wvl1t5pYnnA/+
yWYbeKcmwB/5KSLDx+PcwulbhQ8wf9PeP3j4Wc/raaRnNX0otF+237WsYLWEYyKnR8dRg76gxnWr
05oW9l2aZUw6iPx2/FCj3a/vGxBP8RwWHU7tUqNr+hFwKNc/apth42CgluiXb+UK3wlH/GEeBTM4
hhxDFzRdgXr3C1wLLJREfyS8CWaG7Dh27cU0iVgiprUhCdxJD9borymrWnn6m1xJrxD4DDhTvs8b
5LwBh8qJY+sJZozrf4Qkw5M5tCJctHciKlB9r6KiCcXMJ2kmUSBZZFDiYIOi6u1YtiCxsFV3svWe
KG8pvnujg6YaL5c/sC2ZKA42hEnHkUHSNmWcqx0DteDBCRwYukyy+DQz6jp/3gQf24dkW/+S088g
ZNunOM7NoaLpc9oRey8jK70pYIexD6LlNN+gwD3gbJDn1iKNYPLezmb40ixWFZiNP2ig7PSoyszS
95a7rvJrNDatHXyYxVpZAUPYHNLNNMVkmRkGTHHQP7uZaZ0VLTWTiP7fms0kR7ODIfc7Nuxaf+nr
IKre0z73o78nLGlQ/tqjXX5iroDQ/2ztze1ulx136kzHc7JCKuB0mZjZyS3ZjLQKVVe8KSLZcsYf
OBgCZDtWPHsntKUG1M83omt6y0pibhIv+QkzjLR6kkNWB9hh91AzI9vNKvGhcYa4WK4YjPQrk3Yk
5UR3YCDe1JFSDFX+wfeqaP1zIPHAX8mHSInpfQ55uj17fQ4B/7tbMBfBuuquSGH7f1aMr7RUcwfV
xwnHxwSRpD9aRwJ+okMU7RhZF66AaT8iMZ9LW9bnoW1abOm91rWODRWnfqnnsIH8tExxRgogg/wC
kbm9yJ4ZbNewX6AnoepUxsotcV9z22rsl45G4YmEB09DRpv+xbg8+YYCn9zDDYYfBJ++PqmViW9R
KCOIykvClxaMWXoERByjSzvW088xBYO7o67TnxNQzJcyG72HIBvHMzIyNmIPviz+rocAjnfXL1F7
ZZbD/ANfQ/4xWF382qduqN+buHbbpwUOEGO8lHptZdA+omsTT0JPHo1f5hEsF1eWzYsv5+x90U3z
gdOt4C1nAiO4svS+JnVr3amIcx4u/TLeMU6UIS4ZRbb9jamJnGoFGsk/SEPih46Xj0l0pAdPnWIz
0cEF/f4bDHp+QFyXwPpoQ6gItCB4eHndue+0IHL57FLmMZBVTZlzxCsTKLptUxByxx/9a6zI9A4p
bS3/Xso1xWqejZJBBnO797UqYSDFru/ZB0H/Dh5FkUzHxU0FozLs5rkrSrrFlcJo94Q13ULfrtH3
qkyxG3a86SmLYufPwNbq24BJxY80yYcHmI/eh2l2WGWhH11C5gDDXyrEg8sIreDYg9vPB9eO2gcM
APVfxDYiw7h2+V+WI6pLErPvKPW+DqWf/BlRDx2teso+VnZYXnq3D69S2vPFwzrjG9NDkrcolf5R
hnl6maw1+pxkcHfU5BZ0YhkCcbQqv3mphMeRmlrJeIJhVzZXz0zFYqKd89oFXTKfsbhvf8B9xbwK
ZiMAoEiskdm+eczJEqFKOjYtKqVuaZD1Ftj3vQT93HZne3BLxrGEDB479HY6XpWvpu9ZSC12quLO
ProiGiGGzAK/Xmk9S2L84xoP8AaTRb46VVNcBuZXnCLsNu6RLzBEYOinKbqHuznEZ84l/RoMS/yE
eK8LzjUZ3CcmM05/u3WPo3AyBnTkvazu2hM34r16KfMsP9pzhwCaPkZgY9g/R898LXr2OFovzdiX
PwoLyfAXZuCEx4bfuASmP/BPSsz8jjdYFd3Z1ugPX8MFMhPOg9OsVMLkQXsN/S+SOSC4ueFXNPop
rswigdBbHAQNVEsfrSFxB/AazRysM0N8IHJ7WV/OH9Y8zvtnd0IMcA89p3buwdFy531ZMBPJGEw5
BfItRnqXMfDSYbdxtrhAxmR2Nbvsg227ZU7gZ0Pac3nKF8sPV8ZvJFbZZR9SXD1gEvVUNOSDD9CV
ie9Fu0y4ZEeDep7tzKYTrW3bxgI8prVbjWisr+6Srh91306KuTuy+5hmodAFXiR4q7UQFKGkHTIb
hPtu0UZHWjM1iSeNRcJy5dxt7HuWQeHhElxIRqr/no3/C08Yj1HhSQ94AYNQx1a/mkg1frM4zAVJ
7zxmddMe2QrEngj334zQ5L9VGEIFWHwaax7X9gXf+6vXZ+JHdgeqzby+QVAYHpGNhQwA6jYjMqth
vBUa7zE3tghTlTn80HAToGHv/8Vj1EeDD3VW9tan0A2Mx4Wn3RueNql2eh3byC6701C04HXXXQxQ
t0w1v8oyizvooDkdUfGaOYzqjBlLGnbg4q+9ltBmPtszHjGfpzkjg3xq1LrYDrOM3Zq2yKO3udpt
uYG2VcwXbH9wPHuhVtGbBdXuk5EFmamMsAKySAFkWo6AaYw4YpLmx9rBAr/2D1U36j75A/ybhO8I
8cIwya24zjAQhYtpT0x9qGnvJJ929UGr8E7pj7HIYpvpiRkO7YrBT0Hb/UCfZPgoIL0ugivPQZJm
nZgt2XT+g8wFlivnkgK/mq+lNJLyS45hBI9b1tbKgPXfrynn3xYq+EhiGeEhgsRBgoVli18EHjWj
DTAKk/mr8lc6RtAlxpsQbwPXdtUqU3zKDHR0DgsCRICHiCMfQY8mrNJW3dip+C+OEr9azgVMEMZp
DjDddpk9TFH0b0eLNWWT41vefsU927A/VqAVfhRdE6EX6+tR1p9xRAs0Jmq93c3Tj7AIVb1cZ5d+
qPVjQSdCS5uO8eD5V3fSYxP8DzmpnCszUpMReJlQz1aQ+eKe/gSOl4+/f7j/tuVAyERfNgS48RiW
TP726y6a5WQNtdu4r86CQsE6piO5CLQxAqER+8Mhl41379KkmBAXIFgT7pffX8G/dUTmCtjHji9Z
2BwY1Dy/PMYWeqcRpr3GusqV/GOy5xm3dCt0SoO+QCUwzPKNzuUEwrxdpUoP1/7/3+uAsiaN45aQ
QvzHkwAHAAxrmvp1y4tdCHaAOTtSv4sNdxmrx64HNOiT0iBDv7+Mf+u5eByeja4NdEJyNQKL838/
jgxSXZv4XscLISktkSI5oeUNh1kPlRv84/dZicoqE8S3+Pn3X/0fb4Ivxn5QCZulwFP4dUEvumWY
+1q/Jlbqo0Hde8G06A3Ytx8+ntF16nvm0o7LWxQ5DLT5L0/AMTa0/9vXNHBk6Eh2lcK2BXvJX5/B
VAS6A4urXzWlKI1Cb9tgEBp5e3dYuXOcYyGhDb1hdxYsSyig41Oio2yyGTGD0CK7OJthT35j1KQ3
Pkyy+eSIWt7uaftgD3fHhPIeuaYZm5rMsqUyb2rIA1/IrCj7PvRR2WvrDNcAi6f7QCQi9x8NpYGD
eIogSbyjijJufq1amFx/otyI0/ZzHAZmFdc2YoLlAdtSWhoIeiKcIC9MkGae6WG3YelDLMnwd/Fv
fi378Z8R8Q2xiX7p+NDBKMq6p1HOnhn/4iBVVVfHTWPPP4QcojK8oMde9dcKpT0xZlMb7RFQ2+0C
CnSQTd7zbzm+6lysYHBzPz2uq/FuvSAXtSLnD0vKIn9hsIXxKorg1ROOeppJGDRJr6cf/dRCxGvT
A6VIxEydKIiiMaRJlddjcxJBNcOJhxjrLz0qTN+qv/JcKDVAJszLvqDMyrmEVUrjmKQ3I8GpLV1U
o1h7qQRhkFel/BvUbuPxu2vhYDCZZrbJFrmwIpDG5cYP2oQPk/OS8PTArEzww9XHdOf3X8BOw4jv
K2IuKi3AEKMMizwGF6ZXY9IGElcmDmTbsRfG3dfOoNWWdwR641RVTaQL0NypDvnhbiuqq4DNsXfC
r4Z4WtREeAYwyIgjFFntzR/WmZGf4JQ5J27bXlYUHhHDshGbxRDWqhKFx/jnrBD0xUhvdNoPYEeZ
ippzOmjyERvV4JpfupFZCf/g4nSz1HT6hWdkZRrVAGbeZpzaEVSp98UnvN2AMXwPUn+HF/hta6y9
z6Cqu57JmKieDlFSUrQ/lSuIog8cRWVgj6fUyoLkn5IGDaR7N/S9/8PZeS3HjWVZ+1U66h498GZi
qi+Qjkwa0YiUuUFIKgreezz9/508UI+Y+oPqmo6JjqkuKRMJc7DP3mt9y2vvzaxbJiLUJU+MHfvi
hBe5W2Rl25GuFLN2PCumugz1URHBNpqfFaoYszVTa6j9PmjzcLmyS9rN1S3QKqb8jzwxCKxrOpL0
2qIDJrCYK5XrZo36XcF8YDERkM+TSowd5zMPq9wamE/j1sGEQouFBJlZzsEw24i+9IocXa+3Zkei
PCpkOWVajviU9a2s9NhRhmsyWxVOiQQi/s3V08XkrWrE1FKqYP4/W7jrrNaQopXRg3x/gPGliyVn
Ipa0va+9Y1OKCcqTUfjtY/jl5eE64rXhUZm4XCr37F1a449IBkzc9+oJMCCndlKYxvT4JLySo5G3
v/b0235ix7qYygwIW5gDDRzRjJDPXlp2jl3f65qHCIyjGx60nMFIgoFdZ4q8I7tijNobrY5aD8uB
hoKj3PEspgzjvFRkPD15EYqj8GKsFq72Lq8zxxUJciOF68U6UF4ZMqxqTBw2ipbVw0M4Ww0k8TpR
o2Q86Hg/Um2PRJAh40Zn80GcXMzSVRnIg2j2/Xa3I5D+P/9ugbSykdC4LK8GAQZn11yz63Ekn7Z/
oKVrQ0kBfdFQ5yF97WkX0tESHcZ1tFzEYL+AHpTmojXbmOfNff9DN//zPBFficofKKtJiHDVGRcD
BjE5tE3kB5tKlCTNseuReI3CYQf1HO0SE836Csu6ncc75AbUL5cr4CUfENtaV13BzjM+aIaSxuZL
7Sg2Qxr8rhwJbsUparZtDPd4PGJ0ntNspyopfmWESbyFiCKPdG0itrIOVK+P7yfm+1Z1AXYXndDe
4e2r6X7dej1gQh9eXdOnBSbQWVzlH6JCkCaauufZze3iN7uE80KWDSDEVJMKRnV1JohnxUvSThib
5967N0wCDaqPcqL7Q5lBzcLqvc4m1z7028/A+aMHnlzlFmAvKsroX8pHAUoCcJe7wOwEM2sVeK86
4VUvQQHPmvC3vxfzEGoQB9eupZ7zJS28dTHcJ/NeShdMqQtZeTfthLFuv87y3v5ejaSP1/e+BkzP
E7+YoSjs7bO1JkNhOTXjstwDR9Ea0BVdnRsIrGW5ygIV6eWxzB3HUQiBaabKuqszUEkx4YD4T7HH
1GbiNJdlNNXa7OsMaLKPcH/dcex/U9pr4jl89ZyCH9S5LOw1VA72fH3yJjXvYwiu91Pg9uwSV2KW
2dit+5kagFi+rQ5esXlKhhaQ8qYI5yn5xv5PTIfXrUhQjR7talRfWVLgc2PAC3NTkkbePrdnrQ0X
tgTlmlAnA3eAXXN2L7e1mrhTkVt3CC4mMb+PI0e09k1D6P2q04sjHmsv2Vp0rnLkU5IPk0qB8dsH
88uNresEqtjsEsV/nHNyoigTOgxmw/0P4YqUo67z6PYkGv5PIInar2cB7jK7IcexeLR+2fYjogzR
GZisNE6NdLmQss2imHAYbzAZCKb3Upb9QDqrmcIPA9h0qrnCFlUa1RmqC8qB0QVxAlNAi4WgecVk
5wCnSABzpVpbHwh2j2814HXdsmXGTONsR888teLvb59M65c70XDhAIhrq4l64fxx9UxwWtaQDPcr
Jt2rSs9+12v17Ebw5ha7qi5wNS4orwpEAogUY2wnXYU+ORMCGzRSNb+ma3QB4h3Yt2QlVkXaVQ/g
gZ1A2YBKx9O7QdGAyAyR88RMa1/bE1BCJHARrq1LpwMyaBzMDpNG9zQY6IaVnSwWVnwHnEMh81wF
ak3PZrj9BOPHhiuxOIShTzv6pKSOHgRuy5p9BujqUOwydN2ud+xp2SqPS0n+NyIfeTmEzovCe+ln
ceHatigNti+mhksOC2SGGQ8XGqsH32qTlYxFSgLeswnMNMBOq8pLl71TxTvlGuWmOL7aw2Q2Htjn
uYSC0ft2zYIEwlytCHZjTEs1vHEGLY6av/u2QYJgmCYEZEtHdXT+4retKFzACXf3qyVrKZEOfM2i
4CQ3llwnqbdp41TImd6+jX552TG+IYYE2onYKrNXf11vUWvFCez96n5tZa46cIAJQq0an3InVhdl
FibCiPn29+u/HACoFXwPTCgZeDHjPDsAsKUJUpZ6uCPpXOyqCH5sRI/UCPukR30dLJOHypHolf6q
puXABdSZ6PJYKR65dKgL5WaOVGDRN1zpuavikqmBAPWv5fxcEh39GLRWozp+V4RDjwNdEnTXOytH
NMqdhWy3y+l6O0NBBJsHOyOxt502w1322aOyasR+Bp0wV7Zvn41fFiqbXqBh0DBh/scO4Gy5hvSE
3r6q+rt1iVqhsqFMkJEK3HRG8nBp24WwvsqB7Zg3bO7fPpTzgtS0gSOxXNMn1V1TP+d0BKREw9nN
pvdA104ynpNeZkwhhW6lxfbt7/ulN8uNSAXgWKaIrvBo4b2+E0fFskO0f+H7yAxiw9gwFGDDhniH
7hUlYwlG9ctoOrkAUXVBTTIMa102Ec1Lj6JB10+Kwu8ezl/ihxgOcApEPchs4NdXVouQaC7LPHr/
Q+ouPRZ4sYTGUxZoUicsRaKrY2o5vWek3GrV8vOgC/mjFAkwZRNXTy6UeWgw/neSVk+qw8IEUX+o
wZuoOVrKXEiQZAG6So+k/2NVOK7GZqmDyJguJbkftWhD4Rwwn6oZjKqBc117RafOsPmdCtectDfV
Ttyzfy3IGqQ5uSq+K6klxwkkxF2rVmGSRo63L/d5LcBDj7+flByNikDEpr2+2n1H6qzHnOBx3Vnm
DeTDfRmrjLLZms6MniyURjztf+d7WWIp37AsORrXFFryeUHEpJaIYsAPN8RhCEG0q0XCN0JOgVBl
YlMQBqNVlvb2N2uvM5bEV4vCkbEWuztq1fMbHCtgSD8rUK6j/ORmypwAuO3OTeqqwf58cv6tsrpJ
+sx6txai31XdZaJTDt5rFYKc393nr9cdcWjo7mhZG/iVuC7nlZmNNIq3RKBetxKjvLoUEBKw1Mgq
UZp01htu9XlZ0X/A1z7hvv63xBYH46nUwzp+NXxrHNPrW6OxuXHoZzfXTDzNhb6UlBrSbhjUhzns
arPHUt6RAZqltvB2aEZTaF/qnq5/uPFqhkBUZ6Hj4dOyhgwN1O82Aa/fWSzOHvIdnXAdm90SzqWz
I1QDFRZtvZjXY+66S/TBsJquSi95L5hQpoD2UVA5JIzlH3XOEDXKNCQelrIunFDE3E4OHItxR5bt
4BBwLgleY4aNkNQysSB9xvUNPGJ1lzGyDJRu//bdKJ6vn08yvBjTcnVbZ3W3SF88W21B4w003D3n
ZpUJJ9JcUEHR4amQ5p1VB0k12O61Jbc41W8fhPV658eJ1A0utusgHEUE+svOr7PUYURgPt8k2DDh
CQ51W7rNjTd4WfAcTpMCBapTZoSB9wvmL65rKhPDYknlSlkozduO9aJKD1j8VbRIQRemXyJFYxpp
+HarDVSkbg9WlICxGUEEPNgTkm3U9JDaoGwjigIk1qLPuxJH6xzXGWE3qiOaxivWvwynQfS9BUMC
0Sd9YaqVtaxdkercEiUf2Y/EH42+4mK6S+ExQqsqkeTVOvKSlOaDvnBPuy47irVMsTHfKo8hk8kY
BpgxOM2wg9BitG6BdDSJ6CsP6SxGx+pQK1XIL4j6Pj+k0nUUuq3QlGU6UY7qzrHgb1ZbFV9J1x0b
QnRHcwe5OVKf37562i/3EKM+1g2VNiG1I7zc1w+q44Liw+cR36xxBpX8+eAq0RcfVbobgUu40ph5
xM1Ipb8lW6krN76WOU84HYS2Vl1S0XlfkBfwT3KGvf7sHJBJ+aQSaauOW9S7dvC7tJzXk2HuRLQp
vI0oxRHe8HCfPQ8GOW4MntXmGoBtZRXf8HJGRrGXqvZFBhutTypKOuARaK+E91Iu2xH5z9xYb5/f
1xWYpYv5tM1I02ZA6lAPnlXGA7aDxqEJf+0sCiINaBlBboRbZTr5h/9PCEhHpd9lGUQGOSI/7ARI
/ImKSTAGgrrEyq/X1JiV2Fk3Jx4nwXYxwjGkGaACL9/+sedLKksA0AiPgR2bWirgs3spHWpRG47V
dRwlDgtN3nSEyvz4/syBMXzneK2IVwk0+Im/GxX+8v10nV20nQyPeT3jmHl9LxfZHHUzxcDVOhYY
WRCEKeDVxDLXLOG7qaXJ/m+eAC4zeyqmIkwxVZbn1wdgg4u3ydhrj2zWT6uHeYLqri+/EHW1WJct
SM2oN9CKOx/e/n7xA39+Ibgoe6lLxNYDjvAvL4R0Gk1kGOF8lbC4LO9dt4dCF7V2ANSZg26Udm/r
CGV+c5Pr51URU3vWUY/NDkpC7rmz351axmAsedlcMVWL6v7WMatyfvbyJlku18SkItVK40OnNYyE
kL04Yme86oHiQE8YaGJxQNG7bR16AcuGMRGI731DpjQLyRrJhFRXrPAE0OTcQwwhhXltMHi1oElE
XF4+GR3ZYNZvtB3nlRUdOG5sk5cB003xrnt9WQP0cxM0kuSq8wbQNT7igDgFNclrLq1BnKSDhT9Q
zj2tWUHc1DNAHkCFILns7d9c5PMlxeVcc5ldcVQo4c8BpyME0RAlY3Il5c3xySQpKzu5h3j7nvr1
61i5UGIgAqDvRkn3+scnsWURVLNYx1BsIb7+8LZnAwVsJw0Sv/nCMykN59iBXWuziJElqRIee/aV
bRtMgspSH9ceY3Ka1U8hdmeAL6MQW4hgtyG7imYkthoODRuY163eIyDO9giEArW5gtCSMp1e6eTr
MNEKaYz/cCNPJzP8unkphRicKEOmmnfW0ncZ/m8+lWaNJQgpTIWDWfhqK2n55i0vmrCZpJhEgXIa
QJ4E09KauFoXrX4Q2z8nzkVaUheFDfroHwLyYhTIm4SmBO7pMoATdx/LGg7jHvypdsjFCDMfMNA9
O1osyrof1UozxIuKphkR1kx4EE6zy3hhL4IUtVDEcHpxCrE5Yngmtv4Nc2G+ZN0UlGFhITYaql78
JJ4fvlmehzaxBZAfta8YT608FrTzC8XJKmGXO4pM+Gy+zoAA273bKGbY+WOjNLN9aHOGft5lUi+I
rYyT+l5VR+hAGK1HTMR7K0RedicHo+tmZV2OE+mEXUHZazhACZhveV6DgmjlnvARp4+NTvQl40QR
kfGqamGpc3IImIzP2kbuytedoKt74mQ69SBkOrEQqmFUBLnDuYpPH/TzVn4tqc3CjM37DJfxADcH
orlJVcP8tvpOdekmPhSZZPoihfe0obK4Ixs7tJhd5lBlE1jo8el2LTRh51Oky5kQqKbYVzxWnn3M
dQYJV5A/2/59QmghY3DyBKzF28qyhIljQRED6bPNyT9BGhca8G5ME4owPM78S9ersbPpCFiw692g
VsJFuMKRJJcHl6IS0q8n/mLwbQ18rbErs5Spn8//BLG8SxPVOqxkgwJutIfUVmMa+HGRKQagBDrj
XZjaaGK2K3R/9aNiyT+N+iV2PujpfHyFKgG0wWcImJq3jQoBChbE0qfLk7SwGTW2tpecRhH5jVGy
RNaztPanLSXxN4jVmvnc857u35HXmlf6HoCaMj875jLhr2NyLezuFkZ+IclCLtbSMUkWrc22rcx9
AWYhXhQo60SLh6nlKV1CYkucGodV57NXtjV2blVSoot2yBlZ9iudgdVQGEOWHEb0cO+4aaeARZVE
/dVku4If1gLOm20z/oDbQUvu5W3d2xOPbHp6cAeYaDV45cHV23I3dABfaGefwokChXyDi0rRgXRs
BhnfJrfqKYIIfoFsGyW6nliqXztoOpdtBeICPdbK9lqHxnYChLLZ4eu2epDtGcYcRBJNMNw6qcHk
3P/RMiomgQxYf6m8xYBC4btdnWrS0sk57rhh5aOeup6rfBisZjB2Xn/yvqxZH6uXTz443YmWpJ60
Butp+uFsT4Az41aUFnTp2tMtERazWmglp2ftjpk0KFl7yFcN1eepo7rASLsq/sKw7h6rXEfNXRrW
kIPsl6EG0pdtu5O4G0EVYLQ9rOCmZWKUQxoRZ8YLt/UpNWM1/64ajBXG5rnUq6UvsiDrr2vy7Gqc
bAiz4x0AxBiHjaQgqZEm5kq1FlnRjRWX9oKHUy6UcRG4LKL5VFo8jGkZqSl6bU9Bdup7ihnhKZcY
kVF+3indoDHm2X0itJqr6wdQGbDBIxfS8A+sW0x5aX7c26dVr+UssMivTlK5UjILYnOruY1wFa5W
qETSUWSb84eP9mQUX93QIUTl5XnobfHOWN8Sa7aOZNusy4NkKKzEidUuuRpeG2LLuC8LyI9ZFoIh
jGMISLUCgZ1kQzbA/aZQGjF20yQIQpqq0AGZVOmo/MT2K5L74B/yjhNv8N83G83YaDvOWC3odgKC
4M8bctO/xnAUUmEuffnrBVKlFVsHb77EDwluQqiH62vOBHeGw8ldxGhw7Zukklneyki4WZrZcH3S
l70xKDNgsq1+7E6uKxUuPNqPvRjPKrvaMyy1vNAYgLPNoE5HLf2xkn54HLKMT7frP2kSFzPJb5e1
G/lhYuOwZs+llErcRykLqngZ9wU3H9FJgvvgyAEgO85cu0kUd1avayx8SGQrfF6fGwa40YeQMBkQ
8rQYlJcswV8oVUZZNojVcQ0hqYjb44W45hZIuISkMxUJ9FsCu/WBO3ad8Hqw+BQmzcz6adQFoVek
xl6xCXossZyc/OWtdF+b1ShIOQQDmJm7YdoXhMXWpgHYt7teVRGi7zrZG5e3rSc1eGslsL7uSfBl
BbiMa70n7pHg8qXwNmGNqSQiIiU3lGWfYTHhRpC+3HVBXgvH9UaXDjYtnQWsYrUIAszCK7/uEFdS
1qoD8BQEfUx8JeFvrXF7WVStmW5MAUW8GJQcMYJH1iBWHclbswpdsHAIlRfrLNaRnhtmae1oeuzI
m+mgsMq5YCOtCYHObg7KpkbQCdLQk4NyzZpamfDm+onUh3wipD3RG80lXWTNgpMoLjyowjqo8irg
qFpJeJTvI+loVE5Uu0iuTrJ4amR5uLKwVp1KKDFxkvbZnJJe1ttTWpUlgsOWBals8rSysiVc1ibO
fYgwdINQI4GMM8kiT8/oMgGTxIMeK65QxMu7eaVgJPKZS0SKrUDODQYBnk0LKNa5dLuiLmNsdoFt
fs3lxS5PRCzEz5ZQ8UWMkO4NWxUCP2MIw3Z4H4RDYZUbab3MXEdQGNgCDNT+0uKoJCfv+6rFo0OT
ZwQHQmzREdiaVNObNXNnbi3Awvs4YMSMh1fyJtd5GjBlYRDXKC+4/nUL8aS8U8fY0EiZk6RGW1Lh
VjeHjNUhG3lp+q3rxktmX67NCiUcu1TbhIgyIxsN23BqNvOWTDF2DixG2NpUgluANMoQQyOzAP6I
70EE6TtzmMGHXA/6BzdiUsS9qPFK5s5ZT/KqcuANjeRmI+Lloum2lZFhaF7ASO3YhExltTUxzLfJ
p7e3d+c9Cs/VMeswIXAtFy33eZNuseypjMMiO+ZZ5aQ3K/B3pRzNA8VfvlsnWX/rixlGsoWnPUPL
3DJ+lZFnqdHVbrlExySLavfrzE7BgXhSoT4efbNWprzYFVA7WObf/uLzYQjtcTa0rkk4ClMPQknO
+pKK4hoNnx5dFONcueYlTcnODo8e+mpyeok06h33gLG90aYWRUTUZsXGjGcDJbfNO7XRr9PTDrhT
Ud2m70gA7Mfq7u2DPA8hNXQVwpnG9gGxqvqr3H/uBb6hGozDKiKQ8YPTapVqEtEuVd2pypQ9kusq
chIoiK7jPk7dUFXVocwwOMW+DkJDeWzKWCnDDSF5zGP9nNvAyHemDI6vozzLsNvFmVIQRWo1YLL9
iErViHY5Umaa9vJpsU4d9dPP/K9v03+HL+WdbIa1//of/vlbWcEPCqPu7B//dXgpb7/kL+3/iL/1
7z/1+u/8632Z839v/pGb+FtTtmBuz//Uq8/l29ej237pvrz6h10hgu3v+5dmfnghArs7HQO/Q/zJ
//Rf/uPl9Cnv5+rlzz++YfvoxKeFcVn8sf6ry7/+/EOzeQ7/HT0vPn/9l+JM/PnHzcsUfyt/+Qsv
X9ruzz8U1/4n3gsEHvScgD0w2/vjH0Dlxb/SNPef3DLClSW6NZZJT7Yomy768w9D/yfNZzFwdyzu
A0iSf/yjLcm14WjMf9KgpimOYpZeLTfWHz9++qtL+L+X9B9Fn9+VcdG1f/5xNsJQUXfyKKigCZhf
iHv3dYeqgYYQQweob5g8xM62LvVZe5eadap/YxKm2yAI6FteQcOxlH2Q0ZR8/ulcrQf08wGcT4VV
ToBjMA8WawtCmPNpZzzCgk2xeF3T0az1rT5Qfj2aoaH1l7PlRdVxmg3dugsaFPGKnyTwjo68zLsy
34Sy32O3uWju/Oa4zkZzwsjFj2K4Q2f+/3NcIsCl08ZMu9bHLmu3Lq/NcNPE7oi1GeLdIHbNjX0r
daEpBt4IZ2g+I4xphzi5Aw2cjhsTJ7FzBBeP5/c3x3fWW8QyZ1liVkzTnmY5N8vrKweH0yR8zWJg
YMcLbA6U/fMVSkr3TkGjSY8lJbv0ioJXMMn1Jh4RPToFa3ca9Q3kQgviBWCQ4SoU8btEJpCWeDcW
Q2z9ZnU8E7bAXtXxzPDeoLOv2fy3eKv9NFTRylkjeUXXrhbiYaZLfBhVcFkLor8f1lOns0HNi5cS
hxI0xyadt6xjrXVRm1P3O4+e+KqfmvwaklXN4t3JS5Qbj//n9aEUlI9ojLTxikCdodvUGOOyG9FX
I4cvha7wKaYVGYW/uVZnPXDxrST2oG5nvIQI9fy1XSylYhekZlyVBG8NW1gmNSpKVOYQWtik1e8X
q0lUX6FfNh1KuvbqZsZLMjy8fcuc3TEchofWjBkLTzwSq/M7Ji/MYkBeWl9hp9VJEDEGu7/E6jkt
fl2RFHP99teJG/D1ueayM1BCI6BjL3bFWfnpshszQB2cX/D3G+x/86avShN8DFqcaDq8/VUslK++
ymI95Bmg282FFUvj668ia8hmp6RPRHQoc4+X5XQKUbYYEGLBUT012IQYp2AnNi/+5lcLMYtQy3Nl
OQxTnPSffiXxdfA65rY+2oqWTAfwQuOWyD/dflfGCz9UoRnR7KAgK81v7qrzy4m1UswwGJEiFWFO
el4ZqdiuGqOojm0I5XtTo9hr93I5iohi+d051kh5OTvNvMM0IUphU0Ulxrzs9W9t42oKSvDXh7ZU
5nIXKu38vTNQo14YIfXjjucakkri5cum8RJ7l2SkpeXIfCyibOv5neF0jY+mxQOePGdbpyYnNo9L
9ypoYn1HUM24aTqCOJADDcfMzI0PqFLHi1pV7IfRs0Hho3PZGX13O1lB9Egi61iZfuYFtafs65hg
LPOoKgsAk5chy0DxNXX/3YN18rXq22Ef4nShflysW26HrzlG7IOlgiXAigGczqJX5OmBdpEtbg6c
vNbdKzww3cEFlPkefKv7Li49wn3C0qTrXzp7Narya4p9wuYVFb5WUmQpJ4XEHl6qT2hnMPFgS/Nn
6Cz7sreSo12UIWFS+ZPAdN0Poz7tyGVptoPWBwdE1vYFVpPoS9V3351usVWhxq433pgufgDfYpvb
XXrwvAn+Cg1F78BpMAAkMr6BlGKCxEw0iMeVdtEZ8KZGIgWeA43ULt0mh4h2bdF8wYCvixa/sy+s
oHwf1nAlFjUotryeta/uqM9Qnepm3s1lON+gfL1rUUjeW27X+53dafcukTYPQ6kO3wfs+Bs3sbzi
6DkGaOiZlKF7husm4p9EI8c3hAW8gVimgvtGZvjZgqFVbtA/1tc6/EDMMd1CiHjQHSxQq4ferh6T
vDCOZWSTwGTWTBxK7DIwT5ZN0bddvbMVz1Cu9LBdrpGB9e8D+g6fkqHIAtLhveRd2s32o4ZG5p0S
RsNzzkyXsLzB29V9qlzVtqn4U+zO3mb2TI241dzVDgNkt52S4Ur1GyFP2XrDnHxLMfTotMVbe4sI
JEy8vaPUSAMe8XZzc91O5mT1xzKYv1mkuW0mlDZ+lsztpVKE0xW0b+fjMCrxRHmeJxeRovSh38VO
d4Gf5xkdR/YXFA6QsG47HhKjpplPaustTiJcrSOCPEfsVqGw9PB+Qi6qVTzNpJNthZKFreri7DM9
JpaDTSqARSf1db0dNlCyiE4JynzLmjzsNF0Pcr+yoken0a4RM2d0rsq/7LoMfBLVL7Vqzh81K/ow
a2nrp25C2nljILXQJvWTFruHgRjETRf21TW6fpWdFTR3MoEPerlMOyNLk4sJWdAu1ol80pRg5q4z
3XE/aEq7GYdkuR07xzvQgq8u9Lwq7wp8F4/2EuS3cR2Hd3EQztcJUca7pp76Kzh7CikwzmAZ0POI
u/M7JHLYT/VhIGoS7StZjHNWDSRfRdOLUYEVAiWVen6MXPdGi7qEWGbcL9nHKA0y5VMsWmd8iDuS
kzh7ThLdVF5VJH9pQaJ9r7ly+vNSGM0DqDWLRPai7rpbN0Gd/MFzmjh4bipe5zlm2jiJj4MNNeu7
Ww5Dv1H0ubUfEbWrf5EOzzw3SvpmIWzYDaeDHrtk6xlhq2V7WZgVCtksBGS63WBeTpHJUdFMNXYE
IaYqud+oD/DStEMT72dlIAkR1RNVXdv3JOp5SalHl2ObBe6GVEM+YTAUxvbKHIN5RujlbIap6t3r
sFAXc9NORZwerZlTUGzKdCqba0KaTKYZrMSmuatLVzDGtIZ15bmP0in18wA1DnZPkus2Bo3Fdmey
jtobuI+jeW1VtEtuaq+slztTrXnDQjFYgpdl5vm4yavU/KIzUrWO7K6Xp8LjFguZzDaUxysvs44D
6yPmJM4NPC112LQgMI4L6FwEPUZgM1/wq8XAtZBjdFuyhWhdrXOGhzyvySzsI7ta7rpicu33ue2W
GZJHb/SQx9PVs/x6dCv8DF4V6C6PNKivl4KOdb6t0QCWV3obN9Gl6hFul2xyBUW8vV9UrlC0cwrc
g80+duzixu5G3djTBTceDDZDSXxdq8Vs2hsFVRCNDaL7sjS8svoct9GmZpDJ2sUqr26gRo8qFxd6
KIop5ADFIVZLgoAEoYcBTOGqybQdakIhbH+JGAcXWy1Vnb/Q4LoR+YEMsenzI6+blR066ME5kI9I
kmIchRgXzcFM+wPSrdH1mTC45bWVCWaUh47SfPZQ7DYvOe2Rfqu4ajW0W+quhLflyH9NB7afpJPt
iDqKk2u9KNL+M4ihImbxI7qPIeI8BKX5YuYquj7fIPAUfh4kEDX8TvXRVPcLtelyySJptg9hwIIJ
ZYey/aKMqjB+qjq9tW+Hdl44UxHU/uBT0cwFS1bQ53HwUDOEIRaQ+WpmOv7IpoqINcRGdQJxiGe7
8KOsQNRHiKhZlwKESqe5JgJi6pP3Su1FHxxc0TslhhuVuV49HKY2rS/DJgvaTV8L9aNhTZ+tog2e
tHnwjhXxTJsx1qqtm2n2M2X5h7oN40t+XrEfC/ZAAM9HmzxY0t3NYMz28GHmwMcT0915/fSlHjq0
CbilDoGbuDdKlweb0Zy5z/SqvbQJbn9UCYum6VTxbsGmukG5VfKVk3qPhi7ZQpR03sXOYGyw7tpb
rY+sbYSwzG/wxxHW4zn9rsZMvU8VyzvCeO93ZIAi9LUnFha3nFLmnWqXPYBByrausjCUZOibTQQA
JNkxcgFA0/upyxuHqXl66S2meqmT/3CBlF2DFzREuyQfgz08hGdtzmPHR5dAMCgwLCZ5JpkOUzMf
TSZ1VzpCXGiDZnY1FNzVAJhIoCPN0/WLorK+6mGVHQzgVdCk+8Vv87647ArS7cpFm3zXKOfLZoHb
WbTJi7nkzUMdWgyINKfflkvQw87BxV2K6Umrhc4TUD8NMIvpVteNWhQk7USV8y4ZG48qwbBCXniL
tvGaDn6YpfTD0zJWTb6Lu3LinUeTa94YTjwgDupG7Ts9QPcabr7xrAdshnHOA29q8RKqWFaSeN/H
bTf47K2aeofGw3pONX229o4X5u4ns/HC5JaeetL6Losvu06rTSgBCSPeFpZb6H5VQEQgCLEH0LBQ
HsC4y/rqkaCq9BiGsU4QXBlcpcaoA2vLymEzeOFwMCpU/z7C+/ki7cJZ2TYlPjIfM3l/nMJu/ABw
qrzrLEZ6eDYc96GrSVT2GY2l74s8KaftHA76h5gpyVNMrMsxaoiT69CvXEZiY781MTJeqvVEq6GB
sLQj5QMgVxxb5l61q8rezcPYBZuePL2/un72nvHrgcOxyRhU/V6Z+Xs0eLzCbxRg8n5NfjPjl6S7
4IPxG9cD+YfbtjP7zTQ5nbbvsZMfwfl6fmUYvLcIQaOZr8dN3BM7W/XXgHuaz4Mbp49aNgWB79X9
8sEwQkBK+NqSvVNOngEyTVFbH1dHPW4YOyU3FppH5YgMuH3q2PDfs6BnWLzVLHnXkAYMxW+stoRG
ZfO+HYcx3oVJbWBYYmyzMWfV7vdePpPFaJDneZF40YjZmvOd+8QBoKAI5iS70udQ2WnRMn1Bau6Q
9R5rj8zQvA2au2ITpVa4b5sJ/UYQlnvkpfF7cB5ftDI1L/iB1rAp2WJ94NTW8PyXqt3qZaw5W4FC
2yt6BP09aslpZd90MOyeAbnhGLCsCNoYbj3qw7s6VscnO3aI3xyTYHxCjtMBJKxT2tJpflMV+Y0C
Ve7bWHfBjZ3V7jsGht1enWbrgkh6O/eN0WkOcxweERIk9JhSglq9NGmuFzXhFmv1lj2V2ikXFSjT
dxY44i8uGxVyD0lW+8bDqudb1bCLT1k8V18gaowHs3f/0gsKTH5O7/Y7KO9YClA6sLkCNnBhkjuP
ANVV6q0Why9odewjrP1o2xSxdgATSP7RoBGM0BTtjd5lzU6zqq99l47ufnKtdKtYg/ZoswveDnke
XbAnr3bFbL2QIQ3RvM2vQqcP92jXvXs10NX3xI0HR6aajqAcjrfdGJpkxZWEiSIMICcucT5abdDe
KsnAqqN00aEkLYNY7sq5tFSymnOztXZaHqvbzO2gc5n1tchZp/pp6w3zuXbTlTp/NbUzYLkBz0hd
aJ9AfqrMNEP1Miugh3ZxxvTNbS+CAPrHxiWv29gbSGWoRUNz78Z5sCVr71tjOJGw6Xk7MROj0Onm
i8IOsu1s92xHlTTc5UKCd5g0Y/w2j+aToCkc05a5hYW61KfKekCh4Xxnj1U+DuwjbxN2Hu1uZlxY
7EZXGR8CkwIZql9fvdNbtXBu5pyny1f00L1CcabGMbob1+ox8KGM9RVSKe7iwlLew2Xy3INLCFJy
QYYyAJnK7YLP1D7a1u28JfRnO3/AJax/hFPVHsq4sjs4wimbMk1Ln90pM7adlZFYXgTWA2A8SKmp
l13Gpf6pH4fqAaoPdVQdDHdFVY9HgiRwnTSOdhUITk1AnfAYqO4AnwF8ZjxplHSW4X6obRJrWyNT
3uGqfGZcqF/Y0UwTUM0ie1t42U2vsoa5TedcIQbmIIYq/8ZS1kK9VKYPZU+wx8Zk7Hy5QIDYzh1V
0IYwbWWXucN0OzXOfM2znfnGYHrXUx3ZxyRIv7I1Tu5B9ZBnqdT6fWF23Ou8oS6mQrf3JO5RlHGf
RDQg6vQyB8q6m/Usfky8ariFL6ViI1ZnfYONI//MrAtFQl3Xt2SU4dGr8voii2vlC41TFvElE2oz
3UkvXJ3xOi3rBduZEWjfm9GE4eM42a6Cq73L6GPtWg98jK+lDS6/MnXIJ69YGbFLFwM3Y4T/LSUO
t2vSOz3NmgfbNtINg3G2isqMNgE07o0XU5upkHUuqmr4KzbThuFr3drloS1iA/tbWn1enMQkSThm
g4o6WOP+m3rUblX4xeJjcyKTY81PVO2ObLLyGIh3rVrr7ZVh1u7NNOjmrbCw3rcDxFl/yR39YoiC
q7wIzXpTLpmzYVcTAWMECnroYmWcdhYF4GOUuMW73tDiL17W8QAiufwe0dCgsg/Yro5TFW5p1AWP
ptqpt6U96Di9qAmvC1Pv9k1cDYJwUtjHKlAd4NXeeAhN5RKVnkYElwL8omqt3G87bTFJx1S7l55e
udhNDsSzDOUhgw+CmyKxP7epqn9Z6MW0vkOm3JZ6nxPmts6+oWTdcQL+H3PntRy3cq7tK8IuNDJO
gZnBBGZKoqQTlKiADDRyuPr9QPL+LQ5pTtk++cthVUlLajY6feENP3PDfZJRpvhZYbgPCIvIrRjt
BC/AIt+LsRa+qLM2GOsmPURGU/sR9JyZPruYrxSwA4I42jSfVLyk7qfBBiVG/ZkfwT6R0pofAXdO
3yyo2jsqwIWxnfRmIYuy5RfM2uc7B02RwVOUwpxw3kG3eEO5sfcQys2/5ks+tl/mmVNOdIT+tyih
haEnXxnfcXOefvJYDn7Cwl61A/ASHZ1exwO8bzwi54jDPIDh6irHCIYbU+sH6etONG4STLKTEyWj
MLoKLSfc4PQmxbOKeRFu1Vx2kMxiy3zSTF4wGsB4+GKeHrtK6QK4sLr6qmdj993TZAl6zhiwG4Om
1+gGCqfDUnozJWirToSG03g9i1g8pYNGG1QaTw0v7bXaZMVPaiWEHDJSBuMu60SN1+VGc6qsgsiu
87Mdh985TBNTGbj5Y8gRD1DhAyowaHlbcKN5GmzCpBO4cuqfGu3U8rrOHMSBlznkV2akdUuFuNFc
sC+W9K0HCM6V6t4svZ0sm7JGoRt6a2dc5x30qGs5Nqr1tS91DenscZxDLF9BQQBDVrsyKHMHvKGH
myp/aq5ziogxzEmcqGsW/GHWdNiKfqmiPIzUDO4CmCNLPTYC+Tt95uIOp+9K7GZd54WhWYcfm8xq
9d0fZIUzRk7xM3HbbnlA7DinqIfXOylmZtGwDZa+aOKTs0RLeoqMZbDvdKVDsb3Q44QKezVrMf8w
kEAghUK8suYyRKPZjg7OnPTpnk67fZODcFvultQMk69LVeiUNMOF5LGf9Rbrs0prbefYpYo23f7p
JWdg27VTLcWE0queo7mqwcWpKE/IOkLf13Expb0bF0Wqu8qGSnA3oKaaHnBpnYsT4taUvlUXe+x9
z01Db2MIo+nJjNLSMXwxlAA7aROERuCITusCQlOKBVgcqgJ8h0PCQFcI3L5nmJjhqpQX+g1MCiO7
HsupSn+hvAD30B2I0A8STV2xW3rVUlKPGnM3/1oA8y14m0RILvzCWzGtUn/qW/YT8klry6yq2CW6
0vD/oTtYw4Op5hp5KZJf8P6s0GiTqzxW6/RUCJ2xS5vQ9jOXcardEQulDRGyqO9x1xPfsli3zNor
yNYacnigC9skIjXm5Eg6JOEay6jWvK0TYCkUdhuzDz3dVaxf6I+K4cOYuTpLh4ieyj9w51o3izkb
poUEv6gIngo7JBuRYQRsNyTE/NAKHBeBE8wOzr7oUh+Rf7GNXROmXFICuzL9vo8Q99jVIZZhO8Lk
Od0ak1aaSJpic36XpinzjNE4orCI5mhcHpECF6gv2908oRs8mjFxHF0y32Jr7HkCR/dqIdRVtmvj
y7gul9aoVwuNRbuPjVbBiCFpaJCGqzZROzvuLsv6otvVq86ZT7HDPYmmB7lg/GZCxGBbEVxzNFFu
w46IYJfo1ljQHEvLcDPipRH7Yy2Jrbj4JpgNg0G9zbAH2yHmo+d2bEEhOkcTWFR8IOIZhmX7pytq
/F7WRkf68FHLe7fw68G26kPYmEjTzJkyLFdKm1uDVxUS/jWK3462dRfQ8zdjWwOKTqdeObG5oK32
jVEdMOO2mwcDJKH85rZCUTazbcG97JZUHkk1tflED663d2njWOU+1/pCfYgznNk3XITmsgHJOqQ3
9WKZLmUF0ZbXk1G6G9zgZLhbCPaJYUvXcq9IjPCedtRswgOM+nF6RB01obgLDfRpcJE29qAYsmsp
03QuXlkoZ3w38LrNN8IYoBf0JqISBUuEORXcoR8uDNKMoLRiufuoKeYNVGjtabX3Nj9XUpJMaUsk
f+gs9TdqRJm+R525mncWxo/VRsMGQN/MXAzhdj1hXNEOSf0+L9et0aX5/PzncHaNYI86auMiI98t
GGJ5jdaOy74cxIqBtzQKg0VfwfUCF2qOu5xAEeeIhkoiTSGgg9ssbdOTGKKy9xJd78pNjDHyfLRm
rYludTWs6lMKAkbFDjntO2qpcZWSV6KJ5Qz4yI0L9UerspNtysa1d3bnZr0fVUp6Gmak6Q+2KuQv
u1XH+BcUUrFQedZCK+XDGVR2akXT7SNNkaL4bDSorGwSsP7NNmuK1TkqqnJac/6iM7k7TRtYAmkb
eRbgcR0Fo9Zo0abNB5wevSLK6jww8QWej2TstIcB+ehl+iultpMdeQZwTDQHJ63mDUo3U7Oj/Utl
XTGlBcshdedP9VzOV9qc0RSnEdFwf7q64PaaspK4O23A/KC1blvFERVHFYFcI1kx8p2stPBTYsdm
HbiK6SiCQjmRNvd0EWJ8YVATu3WnJK52DrLXvJxdl+jBlA/0s2Jz6vvWx4NHYQ6yULLCy5LVPrQt
HMXejKqT7hfNTcy9iPMuPZBuuB8No8KXjRMs503kqB3nNa3wcy+Wtn5Wh4S0G5imMLH/7OPPTe2E
48bAnBGhhd9vxJ9W6VTEebqtklQ8mgnCh9d8JLO6rwy81r2GZmr3ScJVtG7+3Jh2rWXi49CoVbqb
hJqY/kxmoS+eYuhDHChtz8K5NhzwPbqJYr2BVdBkEG+X9KCxlAc5xEbqz73etT+sRsNbYODF4/ax
MH0NZuKwj5nROMZGLfP2ixS2OmyH2VnK3rcrOWqdH0+9RaTMIuPyMEd1quxLu2NbCBy59UARfSXv
xt/SHfncTUqglsnk3ipUPkMvqRCK/poDvMuv8ZG2vlNmqOerVukMY4OQFmEGEZGJQh+R73IXaghW
f0Dluub4TtVwMFLFGq7yMlKXhwbJpOGDBbSopwzCTkoOodLESPvjc6kKcKA8kid9WXCt4T1BYgjn
raRIkPVW80W5aenny2BMcYncmwZaSSSWvQa5b0MKHU6jHw9RbX0PiybKPOz74urKacwCIxiuKbFs
FHUFCW6qCcs2dSNcGgrjCQTqLAfPdKpxpjqvF8PWGnjpvzYF/HDEPTAnApxSw07+jPIcOBRPUDYn
Hm7suBwe2yYf5D3JxAxAW3Smc2Xn/Wj4aYr6/l6GRfoFu24g2B4qOc1aw57ocuxxN3DEDfWnot6S
6XX6MaJpSrG9SWl7/CNGMtUeLylnjixjj7xQydMFKsPuOMVFsdxEajb8EMnMDaBYAtkZ3yGolF8b
VMkNagHjkF9HKTpKjw6I/WiTRD37rHRKFk1NXbM6ULpAhkrBLanxc3PK+sdFJabZqzlZz35YbOUT
jaZ2P47qLH2jS8v0KsQ7fq78CIPiCeiOEv20bXqf38hZlfJzBMPm2Va0tP6uzhAuSzKp2LJhkNV4
w0uPniWUCa/DFOrZHdox/jy66Hx9M+eQvRFS3nR/0WCZ6j0Mp3A44HSebDDLyhZq2DGtiJMOLD27
biMC+S2WJK36OFPPwiNy/bB7He2W7qosqKDcoNbryt1SdFr2ZNLn56JHjNXEcSqOrTbf6QjrGLQP
Cbp+xHFioS9WhZVj+eVc01LM05aMqhVxxHct7vQayBP9SawoMTmBXJV4vZ6lyz2ugDyrFe497XOx
iiYDrIrGBMwOXaj+1EgMmPYNGDuxNlmS5Qo3Lk27gQ+GfoBi58M8e9VIehZ6i1J18+fKzOuE6khp
jtdF3ZXGw4Aij7HHxJe7uSZDz65TPBWX4zDkJXggqXaOjZ1ENrfJIWnDyr1LQ9uwb5ylCzVaLUQs
FkURKdZT3+nKfCJn6PutKqiJPNmmkrhbysAF+P08rVQg5v1oNtQKsZ0M603fUXppqJxW6HdtCzAV
irzVlaET7rVS6XDCMeAi0O23C8MmlxQfz1CAa/puasT+BrIiKMSfM+1NYurGGpopGKrC0h87Y3bb
pzI1ZPZtwlRkClxBx/1uyVmhz0iv8/z8RtH8W9DSfwkJfYE0/S8AqP8fQktX+dd/jSz1fubJ8vNv
ZOn67/8fsNT+H0A4OuJBQMoAiGrgg/4BLHXc/9EQ7oSmYiAz7Nj8zj9wpSBODZAHgJU1uE0rOOuf
uFLzf9gBwPOQsnBtVF3+HVjpGTaJDcVfgIImTQr+LrCUL5FCPVLaAl+ZNuiU+ODEziYpG+7fZffX
53gDPHqG+/ozjKCgCTQcNJ9YAUt/ga/mpXZxGpvboFeUU9WpO2LQUP+hT/EdrJ8L+v5nKorgc9dJ
mSojmYj8c2ZejpYxJRFqSxs4jX0TCa6xpB4/JwpIeOjkrt8Ycjtlau0Zs9g0TnyXDspXERaPpZ1c
yyU+TCQOGBbuwqh9Bt/5oWuVT+9/kHNJkj8/o4N0KzISaMvYZ6hQMeqQftypDcgNKV4J09cl0BzJ
PbShZP1IuetDTeXVjJQHnP0okiiyRgd7ujNS90rVpkOmxJRJzFyjZ1lRXp6KC4v2G+74FzDw98/I
HhNgIyxU5s0zGFlMT36BqtIGIIt70sbZEz2KhSmXXJ9qRxzVPwP99ByqC6ie0+GJjc7TazuY9GKP
E7aJ+0z/JW7qr2NZPi5Rua9Ao3gofV0SOjoDbv75Senmo8eEeCaiFC9XXEEsxM5tvmaEo0Egi7nd
JkBWPB0sT1a59t6wBLCZpqTNOKqb99dyXapXn8lSkUdEF87mXn45uNo70spC2QZ5kwT0FzhHypf3
hzg/piYQchS22c/groESng0B3g91Sj1tg0J1Tv3c7hMzC0RlXUCCniOA8WRiHNDvusrJAQt8tiuB
jRVzWsZt0LjNz6h05HWbJQks1BxhnMLOA5BHRE9zDtM3IbSs0+YC9tXiYnvxNdcfQVAF5vpDyY7/
vPyaZoGPFbztJgB+SPMtScct+eYA4m2edx36G8qR5uz8lMgEMVDE+79EmQluIQdWo5qZjH2MI5Of
g8wzST6BnS3Yk+mwzAAUBXGl3CF61X6dmvAaOOKNrO3i2izBPolsOCzpIjdkH56aNBiCDFIEoker
FM28AHcvdTNG9u2QVTsYuOHHCrsAr0ujK1fV9D0/xpWiIohEtcLcIUsYfTA61fAnuoEUEHrYIGF1
60jN3hoJKGIzS1N/bKiwA3C5GjMl3452deiI/71RUxFmsCM/7jLlSRmVbKe6UbmNjOnZKGTkCYue
U4hglAWmUxu1rT507hUw/O37G08/Uz35vSOQ3QKQbK+OJec7ryp6h9pP2wQ5BLctRafM79Mx9rka
HmxurXJMHrrYTYJ6Qr93I2XcB3bZwP+pdfUnwgCfekyFbzH8RMGKne2DPrBRT8CrkrqnQo0xuoaX
5cHG40JmysrT1PCbskEUsAGI9JXy44y+Z7/nETE3QNAWL1KdX+/P860DZlJUpG7ABkR85OWumyN1
MpeWWmCktcrHPEq662hpP1AZ/fn+QOcR3Lq9VxUq2nb8DybSy4FGwI8N/BG8ctU825f1Ao6OTp4y
e4BbiDn7sdsObf4lZR9cYEq8NUd0zAzBwaa97ZzNUdWrRshONkGbVNlP8KTXoDfFl5Am3YWRzp97
Jgl6Chi7w72qvxopXFqzy9UQkcjSvkO0GKxrbjxGhBnGYoAllD/+7Y9qrTwPG08sQBtrhPV3eCGU
IUSGAQNitUvo1lETEmDlE9PqNqEU1waUQ1i4Fyb5xudkUAoM9h9Z47MoQ6naNJ+SsQkQ4Mg2aPhd
GWOMqLcxXYr637qWLWT81mvRBD6vn13LJpocbp3VTaDZ8ieS6990e1wCnF5BsjTRxhynwwgUuVZb
zMCK7Pv7X/fNiYKYJ5KyUeE737JW7aDz5rJvGr31CtO8xvF016Jr+v4wb2waC3g+UuWOC1XuPLdx
+9zqwrBsgmrRhp22lJ+SBndA2AkoPYgPdAxc//0RzzTSeU7hU616kcBEYW9Z5vm+EXWzTI1SBxrW
I09kdP6KHIsTl9t3zh+guscbRbfkwRojbetoTfrFaeV27KwKE/VxOcTz/2VY5EZvE73eXmyoypDN
NLoj59Gr1SvSKaOYxQ7VXWf3Lsif+Zt0v8N3zekcQL831P4OhmPrjZ3TXoj63lwGF94J/UIBzk17
eZbsUE/hvbt1YI7pQ0cvNywoa1rlzUydgtpxtHl/Eda9+3f0tK6BTj+LiIM7CQbXy/FmS4m4MSl+
5ot71OrqCVbwhXV+a0roYPJ4kWpp4jxAiyx8/8JlrIOIEtvO6IbS1+jz7kYxfwZWcOqVCwO+ykB+
T+qfI9pnV23kxhgFUDsJokqG2zRUhluJCAs2h8O31pTQCRq7TAOjcsyNDSbAJJTrrewL6og3uSUx
azGnILTbb7jBXkc1bOHG1qd9aic/3//6b51tQyCjt3LTSALPAue5FaVaDn0dZEr6yc6n61Gvb3Az
vP/vhjnbVFlPh9rqhzqwEPrHgDvzoxz0ZEhd/8It8kb4aP09obPthDinmyzAJgL05L/TVN8Wg3KL
MdMn3C0vrfK6iudb9/c7R8PYhTN3tsqjrWqxgfcdtAB8O0sDqJhrUVkTN61jXqtOflCyfI8eShUA
AH14/5O+dW5QQYerZqLvyn9fnptxSpJRlWyxQitBLlvO8NwWk/z8341y9vKARZ60mMgsmMEJUSvY
wsC/kHS8ERE5Kt6YVCHglfLNXk5kghUUguXGaq+frvET/OJOy4No0zs7Dh+R+sk3povR5PvzevOW
habOl2NUqI9nGRXaGdq0SFsGIco5gVJOGCvMD8gpLIfJ5vIDleWrVisoPub6IRTGhws/wBuBNRUf
rrZVPZ3A8yzPSac5nLQJk1tqkV+rOn/C/TzyLbioIio+TnX2xZDJrw7Nly2SCYVXQBV5/0dw3zj8
5MoYGEEqJsU/J6ZVmFqB/SuhtZtNGCxN/hNwysNQTrbXmIrtDfE8+6ad39djox+LIhuDboAFmhgg
NMlTNxRTsvt2DuNA1OUxaqmsVu2Q72hDbnRpgYOesuyQGzPidbH0m2q5oW0Q7Tqcx9ombk/YHX2a
FVrQJSSeaXKzoOtaJGhFmgW2HqI6oQ/qBnmiQ16XuGMnCTldlIRo7LQozrJilrLMGyh9pZdoNDPR
mJu8Wc8eMbDON1Zl3MkGUY64iunh0cQwbQP75bG4LiPZXRkqQAltSbZ9F32YBtA5MtOPUzNdRQ49
tgwwuK9HDvXihc4z3TV1Y1BboF+2tFssX/Md6sqPFi5HkEEi6xAu+m08wVFtYXlv42wsv4jF1Txg
6Ke6aMagXYC9to5zNVDZ3s3w5XxLgizQBGgv+jjimIHmXAsVvwrTfk7a7EYv5wOGZTk2GC5ckKox
T70QyqEC6fj+fnjjmXRUgkwBDx6dhHNfzDAtdbeguxF0Y5kCpQSBiMDWvdomd5GbPvCnLhzCtwYk
4XJci2BjzRVennwUNCYljWsZlD2qhDJ3wJWjC4zP9tFZBor1XXlhiq9KWjzMDsRe+uU6sZX5u/rw
VyHSaOJ8Bt9ZEWTCYa9RPdxS+EofK/qAaAom3/qa38RA0AXqb94XRfFTVt0VP1p5HWG2hRBynB+E
m2obM5nmW7Mry2eDNvSuF1brpU4Of/v9ZTkn3q9RqoNyBa+0iuQq7/TLzzQ7RTZjSyeDFhqjY8tj
j0DccSniW0eXrd84NiDqdIHPUGu/BsV5NJqxv3BXvHFVUFElQkAOnhvrnFFqjKBIut6ueG0K38QV
l9DT9OPFdi7Mdn1Qzt5UjCDX+xDdBCoOZ2+qvppKjKjmBlpWfLVSc0fC8aeH8S8j7PVqfzUEFXXN
cHAzQUX25fekWlH3aQPuMBu1T+3YtH5clp/yKgZPnSb4wsf3VqTf263ZXpjcW0+dtT45KFHT4X31
6NBDd3FEr4BmJ8fMMX/mMvwAoORujss7szJnv0yHC8Is6yF6NVskYcw1naBmtB7Cv3Y8ADtnUTvB
bDMTOaxweaxNJBaTzN1Bqrkw2FuflkYC9eC12/GqutHPOahUx5VBblp3StoDA+4LP9Otk7Srk2LY
j3ptPeIC+vX9M/LWh6V7AfRo1XGlXvVykuZoxZVi0BIfBOKP7RaQSOrlVbIi3wQoVw0kYZY9vT/o
74z07NNSpEQNA8kQSmTqemj+/rRDW7QmD1swLG52MJQWXDbpGhD3Zz2bIg9EmeU5U/GcWN2e8hL2
RugUzdbgK+3CZ7HdektRtdhF44zSeoOwjtchr7NVKq77Jv1uGJJaoNJCVgYZX1q66Yu2ebQz8xlc
4hcbJt5GLuKjnvWm1wuQknamBK3i0udf6cm6Bi0BR25qjc6JOs3gQTaJN6mbxdumrR3PthttV2Su
shmS+vH9z6Ot5+jV51k1k9esTsMO5OXnMXPDki5EdIhgBcGUrRietiZgslWRFK3MozEDvwI0fJzX
6CBWtPorxu27DN7Coxobmw6VoK1dFQcTWcqtsOFzI1AIoCAxvlhOWmzSKHF3lRVfqpS98TAhv0Cj
Ff0Wg9732cJ2EcK3WSN5Jawp8id+Hq8vFwHEbYquHMmq9lBJLpydN5JGQZ+FnhBUN8slNHz5vfJ8
MrVmMatghaDvekg9+KNSgZC8y5RAAG2ifVv4rqmEO5knAvwomUWKQ7AHsPMjwJTnaew+9UhsAhNZ
7lOJAsuESedWreDdv7+6b7xKa5Cg6zBnbQRDzo+cbLuotnujDCCJe02XftDLsAMkU2FRBQZs/WV+
TBh6AhowjZi62I/aKC68S68vHCFQiYYpAdIOEMVZGD9hSYKt/FgGypyd8lm9UVUoue287WLgZbN7
NSaEsE57Kc18nT8gteWotkGRE7lo9srLxVpdAlBwSwCv9zKB9ecGMl7gaHaOr0bPDaoH7FL4FD1g
5QtzfvUWnw19NucaaFZcqDlPJHyWLJwOc0X/QA4XVvjCMOclcQdZ19iuMw6BO1yXeU9xtYVOfqne
9OrBX2eDppHNPbrq96y//9clGqmF1espH3KcjOYQwng/5dj6bC9s11e5+jqM5qhryxxZNm19Jv8a
RlscoF8irehTZEDojMfYMm4wGXweXPeujwr4g3l0qpt6r/XOfzT4bxc8IJ6ovq+f+q/BJRhDkoGI
waVyLHuAvmH6Y846QGjyW93Bkk3j3HeaDyVqmhcm/irPXCf+19hnE08VJYnjiLGjpN+Zbr5trLVT
S9I3Q+YZhg9YUn6eHOXD1MorJEUuhDyvrtJ1eEPY9C2psNL1eDn1qLSnBbB0GQzOczxrXlNEp7G+
xfh5bxvuhcHWubx4cc4GO6uJLKATSaDtMihKRO8cJIKHfjOaGlXr/L8c6mzbhirNQ1LDMoDzBWYJ
jStuPzE8aBTl31/BtydlYuCzan+hT/byC8L4kzUqlFXQd7axlShlr62iiVR2mW/Q9B/+k5mttXFO
JNKr5yXBgo4kaDtmhrlJv0MwIvJgYshd2BTapp/0/MIOfXN+f413tkPsMRsw9GTRkkje2WK8Rg3m
UDudr2rd/j/4lNwzBpLNnPbzPgp8WE3kKcBhtNRWup1x47aV3+QFNt7ZpWb6q5h03Yz0FSheqyS5
5+vWoi8TYmHLvGajpZsLPRo4de9227ZeDmkOHkHRP74/wdevMp176oHW7xY6AgZnJ8BoVEXtwnXx
enxpoayjvBg/dzWKoJE8KEZxVceA1aN83pad/ZgPzYXkar3Kzo7gix/g7Fz0hjRGdeK81wmwm9za
G3QoMLh9eH+ib7wabBkyOErWNA9+5/l/3ag51sNoJvBxW8ghR2Lz2otw/LuwNQFcvZ4ORUKE/3CF
wHDn3G0Feg/XdkYMa2nK1wR5VhgFhbUjIgB0XW7bUY3vZzmN21mfv88ypXlLyW+TaYlO8Ut9zJQa
HRJZe4mjDYHtpM2h66mv5bV8hOtm7eylAfXfnupKv04n7X4uJTq5iYX8moiHHeBJBXEKBHb6YVJ9
YnzFDzX5kfpUezVXkQuRDx4GUvvGKUSwdYW8IEqC/BACT33IPqdZ7jYwwrMkwGnB+VXhDLCH92xi
IJQgMK3cDb1enDJG2iDv7UJ2UY+i1x20DfRTOGbdbsDh+m4pcTUfXDSpG6EFJQYm26xYfsgO+XvU
HT5H1Lc2Ez1fwLsRrqvdEDiG8lFP8/yKRfpq5hbiwGTHfoWGgqfpckGSpgEbOof23pJV6aF6Ux/G
QQHEq3SVj5DxqV+mfSVR0nTRA/HAE9f3cWo4QV/a4a2BLHQASg6zEguMhWGSNVkCw9jYTLwkVL/I
tv8wKqHi6aV2a4fikKGjI+ntaeaugVkE3kCzv8Sr2k5iau1VYesdBT9lvp4z/JvibAnv0SMY/DLB
e5xmuePXnDCY/qrlIUkFHDvOsp/QspEV02Z5ozaEnivPYYa3AY60M7cWmtpXjomcEooOh0aNza1h
dephLKMrgXPW3izy8ZCsIkAYyzyiD/0tRJzdS8fHBFryERp74Q2yqfzOyb6XRi5vhqV5Js1emLa7
0amfe66xdIGug8cfkeUewRagCzMVvIHZ7K1Anz12eigPpWI/oKHlarrrW+6sQ9VPzQ1tY32P8h00
g4W1G0Pw+MnU2d7SV+bnWRp0NaYo7U+Ac6YGNYlwh8YzvPxUq0b45/FxxOfnowDk4gH1w4jULrRA
FJG1sXHaOhp9O+2xigA+nNbNNo2qz5UD6hi4ceaPzjjeo7YTkh3q/UFpw2sJBv5pxGHiGGlRdteE
Ule2VZ/aXuvCrJ6N8MpyFGMTGsaIoEiTBiUfvt1CBBn13YCMVb0fJqFcW+hjNpSPG7QuRDiDtMez
247iHaoC7X1forBlL5AEyccyHzz05FPPLT1zkfJU0Ko4KCoc2bZNgxTddv549ckGDS6Ksfpm9lZ1
CFPzgTwaMrZN6OOhO+Qe6sHqvsW6LLYpBlKhV87t+NOMYw3KuTEO9dHV6tHZKCgHIh7Uf0hmsbcp
WEA4if0unLZSGSEKut0uhz1xnDTzix1P4lSrAtydzBFnse3lFlBg448RQrUNa7LoPRly3aIYKXoy
Nq+aw9wvV4R2LmqFK0UZxystir516mjB3uJ9LXQz1TcQdZbbTgIvCyJnBl5I2nNjFy1CKzp+9p4U
cxv5GH9qO3WpKHs6UbMg9NQCUcKoQAsUpIVTXzaTjaVbWslbRSmHa7twh2OLv4bYibQvt4WltI8J
vkEHA7ovrOLCSL7DIr21EcP3l6G1ttWAtNKAZ+E9Et6W7o0VN9kMNe0qTMfDMLY3ehyN8NbLH2aP
zpsvMZTeytpdGl9JTGqSYR5aB9GaEWz5rBlvzNJ8yHTo2R0ZtEsV5pTh3AZRJjQ2aCH7ambcoiZ5
B1TxfhTGLg7lk2zSH80scfZwlZOZ5zdOpO7tZDwai5w9G6bLxrZjRLIb8YRwA2UZFQhG76RUkuHd
zMBsgqWtTo6V3y8qTD0HK7Ltgo7ShvzjM3iEdmOVVrfLVAHenBcDfS3pz5F+hz43judDL4Ip7u6o
2f2A5BZ6UzuPm2FEBAwXO58n55OW88tuZ/9ioB6RjvC6q4dTKJOPZW9sRv1p6LCGZvmeWqt4wrhi
jYYVkmRVos/XPWaOfq0UZeZlHcSQxN6OigHoqX4YOuMZ4Z3EG61xC9mUpnSyj/gyYnbvlS7kiH1y
+6b1FFTI86rc4b51XSKXYDvQFIU7CljyPRIcNYVUq4mvwtL0w674mQ58QPdTXLl+Ld2PZZnsqHUf
4CH9CtMoSIv2OsrjU2z228npf6p5+XEYjU08ivG4ZNpaLCWKtwCNpfqjLZQTr78vSErnxAwont/o
0RcxdTnHPH4apIXTn71C99PaH7PyDp7R3rW4C6YoLx8UwUnPluKTPszeODuBMKtbesW+NXQmrSjl
ezyEA7drdGOIAoVw8UUx2nsDha4D94yHRN5XztTXbJh928623STKZ5eCXxQXJ7VpnCByH6wQ5REx
Od+KKrvuCusasZzcTwe2IxZC+zk3jl1oogLEL0x6WN2lUZxvasOcNjZKapmJWBsBCXoLHcpSs9X5
hrMERt0+ZOX0c5zb4VjTu++OeTtG1hTEFsStz3M8Dcm9WWB4Ud2HlT3FWzCSqCck2XKkgvnr/TDs
rTLICmzXAVxDzTKNs5pVOIVwXWYqZSk2qPYQgwcE5+d80cbbWVNvQeN+ioxx3zvJpZz6jcSSnjvl
XtUEKkPX6mVaVKMcoLCN0E9oEQOKnT2kcD9THqt8vHFD6w6F3UOo0lFtkezLrJ8C2TPMau87YZ+W
9hvW8JvuEiLgdfALStdiu1EUWtOLs1RtNColipy+DKJw8Ed0AZai9BXQoO9/9ddBqWDSSHuC5UP/
4xwplWVa6IbwXdj4yHgkiE4p3BLLwzDmnjpA60JY6f0RX09MBT2DzLVGqQusyPr7f4XbhhrXYIOp
noymdXAQfSLYvl4Uc/P+MG+kgmu3C2ILHUhdP6+AxmmiQjJnTYe2P6J8HBSxAhqy2SFzcWFGb+3c
NTEj+EEmHxvJsyqaUVlj2tmMZRcVAUC4s+ZvWvnJaCXKemVLU0g3NniRkiZe6nuuf/WrHOmfQ58D
MauiCcuk42vO+XzCxSrARXZ9+uVhROZtWXgQ+9g+IlF4IZ95+/v+vzmfn5lWmZSmgDsW6KH7Aabx
zizlrocfhv/I8f2lfGvHUEJwOKGkT4DyX+6YaTGzSZaUnZSSVFMX96QofuX0t+8P88YtYJpCYB9C
e9ShGfNymEirhLXQ3g/6sfcs90nLoZz1+j5us22m2BegKm9tGgcexErjoepM8vlyOLSsbE3mHedg
bo+WOhyLalD2jZM9L42khMjnRc9K/xjV8dFCwO79yb7xTRmUzrVjwP5BzPjl6FmcZ/C+KpYP1y5c
E2YERW30A5teGBdO4usrRoV7tNbrNCABcFxeDjVLtNGnpq6CGFfEkzQRHi8KbaD5MCa4kQHiWlro
z7Dq/pe9M1mKHEvT9q209V5hmodFbyT5ALiDAx4MsZEREGg+mser70eRf1aBBxl0Vpv9VouuRVpZ
RhJC0tE53/B+z2t+0jb6ILN/c2VFPmnllZJgb7C4Sauxz5buYWDrm98/xw8+g6UGxGt02KcZzXp/
c+EM4xBOaAHMtr0Q5tbWLjXSCcCNn1zog9WJuAhljYKiFXT+cq9vts0cD5uI6chiY6f1g1rd1FP6
Ukj2qmrCC6sxP/m6P1oeDhmGuaDD6UmenIizZI81UAGeHGCTujXXNWCucPzs6X3wgpb8EBNaqJW0
XE8+uTrOZvAlfHJIEr7VizTR0K9//4I+vAQtAYr1TGdR0Xr/3MZMzHIpc4kxnvYmaFFXbe3j/+4a
yyJ5825CFReUyGGDgmzg0XZ02/SzpsMHLwSiOhuggZiBM+3ke0X1MpSUM8SmdeQ7u4hf+lLfRvL0
L5zO/P3LPCCJKprhk8fVjzacMZPrCAt3szz53msCf7NBWv3+kX18P/+8zskjs/Swr4yS2h5SHQnW
WO8Ptn2sqOj//jofv/5/Xmf5rN68GmmYNDR43A8jftc4Y1xLefRZq+DDa4DW/zlP5RinIwPdZNam
A0yQ9DVYdYG6rerPQoyPL0FnkgIi3jintdjSnuwRWQIF4FY6T1qx6/vPoPYf7GSUGhF1MEZocC8n
m6XcO6gTHcq94L1e9aADPhd9r5p8NzuftfM/vBuL/hxhrfarI6+CL6rJ6xebkfjEjWZuqf/bWhUk
MahjNEj56MGsZYj27YtXnCJ1+tQUG3RIl45UVG5v92sdVhVo3E8K1R/dzxL8MVLHIL5lnX6cmIUY
TiFzrVa+nhdi7mc7zEefi854CNPai7r1lzBPqRkSN3pezpTvlqyyCFJKjPEn2pePLoMExUH/oiq8
nZM1kCEgscOAQ0bDrUgvRkqUZD1a/UkbSv0gauW4tIjO6Z4oaOnfv5yZWrgdZCwAitBXxUQ1MVqr
igULr/Kt0lhLCQo0x/Lb2jgzKOcooQoz4BGPT1eYihtXwkuf83mJIWasqHIQRs4mxYGLePhcDPot
zLuVBJGv1jpX0S7BAHxyQH5wHL+7g5Nzv4kalACOJjZZq1Fd/t7q6iaRiz2mVCtdrTe/38U+vJqB
lI2BSt7Pac4UOotlLXSYDQBWQKRXAF1dKQI6WrzGELF/f7GPFgGRxj8udrI15yPje3bMxWR81TgP
3KizXMu8//1VPr6lxSGFwBAV5UmEgaFA29iQUTejMbl8MN4oR7D+doiIvcK0/n64y9b5z6udfKF9
T825LLjajIeDpWGGK91F6ifh5scPDh2HuqjjGHN+v6qD3qqyvETGYkvTShLXslP4aV19cisf7dNE
7P+4yvJg35xoWT/LjWWqtOUSYFDOxdzCOKXUq+j/y9s5WeIl4uh+0rhQrxW+nT9n6qNRqZ8stg+X
AUolzWZGiOL/SXLAWWf3eacscUCzkYZXzaw2BbQhyl0eJPBPkq4Pn90/r3Y6S4N2IcYPnauFerMa
Q8efmQedbJUl/rfFp5w/znKaIhOhr3i6GMxKLjXZnFgMsuoxirDOMar+/Sf04Xp7c4mTldB0AJd6
aWQlWKpPVdkuOj8CL/L7q3z4zBjYJfjkcEPj/3690c+JA7obgjx1b0QykxvFqpTJij8bgvz4QliO
cPTAdjhN80N9soSJ/+qmpeU2WvB6ldZrVeHq+fHv3hK1NdzXCA7o9/5SghJqubDCCXXwf1hrWnXW
NHRIqu4qIfH+/aV+Pem4FONiCIa0n5O6759er5aR0jHytgkkaw3x8w75wyZSokspjTa5tqNdK5L2
k4v+ujC4KDU2PN4Q6qKVeX/RdHYy3LVmooV0XsnWvVNkl3kzfLL8fv10uQoIGfJE4kaSkvdXcQB6
zVbO+xqSGSPCnAZgvkrl+7hXqSqYn7yzD++JtJmKKBPBvyjXK4bK8Efge8Jb3FcYNMkk+oVwZ3//
vj64jEI5jQ+W2iGixJObogsJICuZcgIt1SPi3nHnbtWJTzai5a95X7aj3k7vDIzWMj1wmjLg2CGB
nrLzTdjg4OrbsIaOELeTz1TiH90O82SWYyG2N1Hbv39HoeizuHXgWOSFfqsbpa8MxoHhlr8dAC/y
+sVWkDwefcrJHqHMaaZllpajIE1rzzbQSMaS8cl59MF6A+cEwAZZK3rwU5lkayd9ObZzvlGdaWWo
xS6XnV0/VSsVBgs+Z99/vxI+u9zJPZFaDwF923xT4cFLS+LKVmGT0wVwYHTjc/n4L1wO4gj8HorV
iETevykRFbIKiJTLlbUHYWcTGPMmwi4hi203oTf4+8t9sC8heWEHNJmMIN8/WRiwniKQt3m+AQ3o
4vf+BCkXw43Is4xL2GdQW63twi/7/VV/3eLxEXtzVfX9TXYmFlhTIfINagSvjGdUbuMKvNYmzc0/
PuS/RZf6H3Gj/mcIqo/tTf8N6VIGW81f06WYmcPJ9CZ+fnpLmFp+5k/ClPqFSgaDzcAWmHBmeOaf
hCnrC3OVpkHCTgLwFjClfOEHUCUwy8NOQ/v0H4ApA/QUsR3D/su8kUUX62/4lv6cTnq7a5JdU5sw
mLiClUAifBLwSPkMzXJy0vVQcEDAH+zb1cCY7jl+LWPhYQ3BvF+UqZc1st2VJJmRj0AAyQ4WG99T
VDqffLO/SOSolYBbMmgyQV6S9dP65RzSWUt721pNo60co8bWzmqzcfxIKYeD6Hq84M3Y2RWLKqia
5OBeYLl0jQ/PfHzzFg9/PIO3jqqoN09OFHPhVHE8Uh/CevOXeSCTsc8mqjDWbGE5uNjZSa4BEP1M
TKGCp5nzEuEbjJlezRSCbU7oAsaiwTert1ao/OXdbAjlYCCI8KZZ0x7UQDI2VQ0IagYUP+Fjte6i
ts38mEHNfWuF47pBWsPwhXxTGe1zoDbhqsCrfgfd094j8IwusfWRz0llWhwAtBwMYB3Xh4aJsxsr
KmgU5ZZx4XQlTGykVMzYMAb0qo26ucnTLrjAfkrskSdaMEyzi2JAMc4kQuHFUt5tBk1/zltkKX2R
fuMXQXNkRNMLWgXBjIWEqKTRNS+0whs9yy5GJ9TvstasgAzn41Oq6NF6jC4zfCMYMNCeLSl9NBP5
cojKr0PfWmsokmT1It6nRZQ92AlbclYq0TXC3Mi1UOIDbFcM/GxC+OyQt1dDUzf7uQL1qw3BuMZn
vPkqBpHCyRbNGUh/5jgzRTtzIB278ahPWPipZYrCQbtyBqDuqJbilVGOJrKn5BmM5ViSmEjyVdBJ
A4KSBMlaoQURajd5wukqRFuVy1HmQnRXYeAaDWTSyKz1p2yo4uwcvslOUqI42NaO4qXDTCBTbGHF
y57U35WG/GBavL4yxJU0jxoTFUb+XZrqc62JXunbMkYctSuO9chFeiZvQyAsSMeK+iKRsSycEPX6
o5k9O/ZifqTAv3aK4Qyc8OTaWKPvha61m86IS7ef9MQ1jOECOGb0FZe01Ev1VvKTmWmGHuufqNC+
J06wbkC5niGgy32KnAwFamp2tFDauMzO7qIsAqlZTi8JUrAVpXAGIgbITpiSyV5tRj8U3OYALj+k
zawgTgtazBHSwW1STG6C1LgNR8BmelZtLUlGKGjZuZcN1pWGDilzJduuznAkkFd0Gm+CrlYHl265
B+ZGPpQZ8I51ZwcOKjNTP4RBOG2nuXO+ctjxSiscieZSxsOvaoL4PIhl5aow0/EQAzHOMQqzStDX
jXkQmF7tBBKyZSUzmLPCqQH4ZaeWCHo6yZxTnIiG6KJgN4E+bA8+fkwhU8Xd9BTLcnotVeZGMpY1
OKe6ZIHrLDQF0lNqBhcmVmfRVdHTivZiFFKUyhqoyouJ5ITSbWT6BNfwshqVa7kwxnlbF/VUrC1j
5NfRB5ipaFHSKxykRiNMH/CvPTOS/CjHpeG3fQjiP+gCOLtZ4MJDRmZlzDL/KV7Nmj4YN1Mytx7I
cbHGRJPBZKmqQZsW6lNmOcoTGx7aOyPKCjcA3o2fg6VHNP4n41uuB9IPObK6awja8lGC/7zXgpx5
hiCwqhepCGavUNNqLcFsw6JrAhErl9G+VQbczMZR3QK9gIuB38FZEMSRb2XtvNGGLMcpboziLQ6R
8z3Sr84dRrn5OsWYTtpOv1WVZtiqQ2y9pi3Hhy8rVBhx4ahuI9G0dEL73LwY6jJOQK8rCEESpIw9
oXbqAsns/digdiDkggpWhd7HmFhotVoPsmvjvHkjWGHsaSzXQz4a7V2UItty5z6KxbozpOQME+og
vcPhwrSPiabkNpRufFBm146Muvwx29W4CP4SJbiMdT1ZO05DoTRp8VilTCjDl8GsCzMh2fFy1Lrm
nYXT8DGwBODoAC0aWfvBNoa6duswAbue6srDpAJJrwqkX7Wou+chU7BzUiztLNHE4OOMA1hMQW1b
lE6pcWIlAyx0Y1glXaN4NvSJM620iNZEB3m3akYA804wnncBzkqLxk45MrSJXVSFNxzCLiuktifX
43gIjfCbNgZYqdZQlNknRLCrUiv7SvmH0fwu7lTNE0WSPE+WcRvXVFag69njQTAddWDJjAeLYdud
KMqodCsRYS/QNKVyXHqXRyCp48GxM+NsCFDwVD0bhhySVutoS24jux62FNXz23DKs1vVlA5878NZ
xPPfd3pHv24O5HofGla4ikHyr0L2XKybsgxzNaDKWSKIj4su3ox1zwLv5/zGNPve1yoNY7sks+yd
k2hn5aDJsauBejvWc6U9TggNOg+XcKW9jZdhw1aZwnVY9EnK0F+LTjQq7FpGXKeXeyvSzfuSfWh0
zQ6nrJ5H7ElhFiausAzwYW0e9n7VYa/H/6s2Q41XTCwwoRiKMr3GYgqZoZDVbnEYMK9pSCqdi46p
VsAsC3sVVuV8hRmchQRc1zaKKWnZysRR/AY/jpVql+lXo8iNcGtMBdtAP7bHfLJ2o95raxahvNgy
FHz6fb5yMiXge+kH7M+koeuOE3jlQ5jU87XoC811oKRvIGnPu1wppTtGzTOsM+WNFMB0RGFonCvD
PACgS6vHDFMNfwoK7VFti8GTu8TZFoGE1UoaiWNTJ9VjWMnmnim18jDBj7tMpNpZm6GOXm8aoYsr
fHehbZvriWMjRpOr9aoHWsGChImgMEg0dq04eaBHl97AjkHTJA/1Kpzr4GJO7fZWxmgn8cxOxrG2
zCQs14pOQ3qddANiMKupXDLS8tFpRnsXDNVRFkn5FOsd63C0HJePwX5KJ5WjTkqKCB8MglT0xE21
xvgj205DFH41FdGjsRaqea3VVYe7EjYZ9wm8EAT2WW6cG8D+/T7QAvSrVsHZb7Z27ZvM9gYcqFF9
bjSxaH2t0ZqXdgxDP23NVWXV6VrHzeVQz7q9Hkqj8RRFE9cOLiJ7GQDXS8RAruz//AbVOWOxRMKE
EqijYgYFPW8TjquLJOgS38a4d6tmVeZplYIhXdRn56C5y8efG0QYx90ucZzgEWca289aJ7gsFcje
RHAyX1qQivhsUqRI91hZxSqQaSNjgKfL4fk8aJ2+l4tMPdZtbvvoQdRj1jVYjgEUL0fHdxJba2+D
Kmtf4h5HGc80B7YZux0PAHia+GvEoGxDJBJhKNJLJt+axpydn9s1C35E6QwGMCCqM4U6Hn4ey5Xa
gGnrm8p5BeaMVQsy8RfRyE5XuFqoK8c0kXm2yoAzqevUtVL4mqX0i5Ndi4UqAL9kXOdhOB3qprV9
lFvDA3UcRjL7MDhEuYlsBkUroEStLR81jA32gaPgL69X+nj4+S+JNFiQiaHxTxPhucbXMpSPwEPq
3i86w449ilrcAJx79jenIlqIxtJ8jow8fcX4CdfYTPBjuonc38b2J1wNozIeYH2Uj8jxy4eGiW5C
LytholhpTf7I7MvHae7lQ0/kvynHiovHmV15bVc5itsknEO3OQ4JF3XRgx7B21X3wqnj39p6Fx6c
BIjBz8cfOr1zpRvVH6nK30rMP86m3zGf/zIt/zfMuZeG71/n3KvsP26fsv7ppajfJt3LD/2ZdFtf
mDimsEktWkMHs4wG/T+ssyN/QZFGWsc861JAfpt261/IOxfwEMP6i05H+0farWhflkXOnJ+8zMMy
yvw30m7m609ySwjhhPCKzt8pG8jGltzzTcvJ0udxoqJrrJM+OHY0vm7TUSqesPSYt2WjOmeNMLIL
DFqwbZMDo111Dt4+boMfjeb1va3saiWvDy3OC54Z25nqtvryaTSqBGJe4PHzWCgN+HSz5KNGAz5e
hbYVRJ4MNwNCSjv6mBAK4u0s/oZPn7hpTG1m9Ax0/TUjQqShjpJelAW+g1YYMgJjqCM28yMoAAvl
mZ8XlvW9bp3EV40YDyMx9WayCmpcDLtFPUlTQ9buo1jSLFKVdHoQSYOhRRqZ8j4KGtAI1ZxL10k9
tde5khsvZSwq3XfmSC3drqmg62EYqgMI7vECg4zQhIxQzFmx1TISGi/gPiw/M2LL2SZ8wS2eCKpZ
ugpD5491Yc27UVXSdYWM4VvcUlLxWikD34TnCM5FhMn4lGFH+JTmxnQeZPlieSiGbyQGAQ6djVbw
92EcAQkAkya7fMEmBW96Q5vAu6blMszEC8gZZA/bq0zVam591PYKLddkBUhCPmfkeyOG9px4wvRn
036VQ6M9hviWJG5Ln5tEbZ7wCR1VQLNINRdnZCm5FGV+0Jm/fQGcMDJnVJvJTE+yYBtk7CME7yJl
8teQUzegr98VT8XYyMyJ9E60bQWEMXlqH8a0KgmphbTN8rR027JcrjnUfpCoj7ne4hYNRUFiI5Uu
A2MhPGH2E74Gmm2AmqNwUCXK11SpcbJo5X0ddLgI1o7+ra+jb4xoYFMDid8icg6bC+zco9DtM+jd
1cAIakU0q8XlOTkERsGE0XuCiD2ejpfhQmqw0hzTl9weGx4KcgKEGdBVcymbroMlKsE8wnKX+bkj
nZD02WiBixnTkMcbA3OglgVk2/fzrGhUhBICsXI6zlERrhmHL7et1gY4rQgb4JSGmwGuds24CuuW
nDuJDMbKsuS2h66ywV/Tw9SHVNxuF6cA8WoOzLNIo9qvwkaSfhgKHIyx6Z5qkSSu3LUPgzpdZwWQ
Dzw6EE0oFGYi8sYiwSNLjbpv5piXpIaN8IWifcemMff0yFRDVwXvYDUUhSrSYzfARGaLA+50BpgU
VHBUNmvhNLU/MGg3ts51E6T894kijmnl/KAoQsJbqPmqK+pDabSpXxAluEXDOpUUKZyBD0L7nVta
vthyW3qPE6QkrUpdGbdDGsbfMLKTH2pdndehOgxEclMpNqmppiTv6nUhp4VXYp2DraUSr9RRHq5a
nSpVlpt3E4c2np+j9h2Rjmm4vdJoDySMBgsoqDvQ6HZaepVIHGzPJ5O8SVUOdWfwNaWSzlqdsDoy
CognEizFFlA1/n9M7NXm1GNNKqnnIYT3VRromZtgTYW2W3VuLMoFroWf76qedIfyVO24kx426yJQ
sEQfUlMKXFJK504dl6KMXS5+YrhirfDwszVfg4Z81JlJNPy5iu3wUh4Yc9Unyv+SFmsNHm3WjV7O
gi6RFbQHcm7mvqqquWfOJ7gdJ8xGD3AVGP5RGHqKpPg7VoHMDMhTeu4Mw3jIssS8RStq4BM4EJyk
cYTtUagwLDY3TXEblk5wbHtr3uppS3Jct42f6hbkLBn324RdY43mPfbyidId9bGUIYgRFS8kj8Rk
Sg8Nv5iEA7omGa96IpRdMWbl5FUZ8Tl/LOB/MnjkliYUpNkYg3OqquNhShLmzxPCkB9Gt3xhUAOe
YqFzZjijCF47h6TkEOBod19DI+QLNkvzVlRWo+wyqwUi+OZU/qCGqvzSLKPvhwoB0aMKL8paztO3
xxw+6fFkxL2x7iNg3iGuMpWJm0ebnuexem4uxlSpSBngsskTLZCpZdqBmAG1UFT3qaAtZNpzc/j9
b/VTqPa26G0s3Ui674YCmp0z+OS30hJ0YRGjSetOijTsTANcV4a7uRhMt4wrjdne+ajM5NmdeNZY
jG6VFQ1zq9IxjfG70zB6DYqEIHMZU3cKx9eNPHfxNjlqDKsT6Hav6MDx+W6S82Xx/P7X/8kePP31
FfTK9AehfSFeff9QzdpqyjDQ+fVJtDcOYnb07vuQqUd77CmQQK0yneKQUU1wSzXe4EOkU3kacfSp
VnBMN2Ef5FuGdj5B5Pwa02i0YBFfID82DQvri3cvW5coqLeooNZWVrYe8wV3WZRrLg5JnRsiPtDa
fvvzUfx/C3zfhcd/1dr6N4yOF8H/X0fHm+6p/ZE/Ze8aUsuP/Bkb2zSXiHjgWxLqIkkn+PwzNlYX
yxPkPIuGg8bw8kd/ep5YXxgXYbJpmedgvGJpFjO/2Eb/9Z/ExsCB0dAaiExotEJk+hvBMYBnFsqb
BQ5cDrWVygZoMj2FnmTZVd4Ex+mQp4wAi5R5ujFeiZ/H3XLwEUwcsH0i6loOxTQJX+3lmMSLVFqg
ldeMu22TZKp9dTlUIX2HLjKb6Sww0vBMTS1OX8xqVwE6kUFUGhbOIWgQuPff1Rk6/qSXhJ7T8K1I
4tQNl5qwMDomMHVCEMkyPNrM16ndP2BolwB1Gp7oSTFmmxI6WaPdr6ppwtF9qF6xwsvQbpiR22o4
3IG93OB4gIEJw2aQvAk7mm6CMmw3hdtFKIHc5mfkoixBjECFtG4H+RguAY4WW5qfLUFP61Ry62eh
LmK8LJjgJLlOn6cWUuakTNqaPzb3aj9O12VSMsOvQUDfBstxZ/+MuYaALQlG56VVKpfjEpjZS4im
E6v1P4M2G+ZiEtRUG5aIThvK5oKyKnGewMJkE2m18a1aQsF6CQoTosOSKFEOmHvO09SEJi+Fr+Cv
iCZLx7ksQgbKO8bTQ2oRKrl11vgKVHY3XULSeAlOhyVMTcMBOgGGjE09r/VcN75O+fTVgCO/rQY5
3Iuoy8mGbPWpqAXOFti869hhG9G3bABDIJRZpbOR9s25MWaPjE9PL4ZVNbtYz8wzRpyxqaqk5rta
VE/yPAl9id6j1rW0ypAhno39hgZ6x+ZoOcNMB2iwvASD+7PBkJwrJr84soyiOrcooblIgKpjq0qx
V5qN5MYUX5tSzR5mPcjP7FTp/B6rvgu7GcwXApsOd2EzfYkJlIi/K0Aq15EpNGnfDhUltnZUsRtr
OfgpgrVSsjKMKD2feyMxvH4M+preIphUhKWB141hJbZ9ITEDHdhZmiAnUMVNFBKJuMyH0VwZLMr6
tAZ3c2hoO8bnb0g+GZDvl7lPYVHknyNqLbV9bw7ZpWNDYpW0CbOt7F5tBzK6qbwjqGx8rZ5uqa3q
t/Sq0guriARpVZWSInXQZDuP1sI03ZcwOaqHXsqKvVFp9ratiZcM0TX3ozTE61iJrWd7TJLSp142
35pNGnDo8wLD0JzuZQLl9Tjk7W0CR3SX50ZwlIvc2SSSJaBmjoZ9odZYoHUJGnMLleRNWtTZ1djE
+YM28clmXSHvLHlOtFXcTUlxpU6DxHrItXgtBlu6x4NrPHRClSj9kULy7TPmHPEOpWRD067YUtu7
pnn7KgdYZE9DoXhW61iuaXeZPyuKgomK1p3HFOndKMqvsiB4SOXRl3pL3krDVVVYnY+VW3rGsELM
hEL+oxuHEXKDJtZVL6/zBIRSDpvL1/AYdxmzczxd6OMR+06XKqrXWLW6Enm47hJ8hII4vFST5iWQ
tfZHG9XM/sUOvpAuNmogyi903OCkr2lj2lG8q0MJ7+bLUk9jY1qFQzMn06qhsQ5yzzQCFZ1sM5Td
HTLRi5n8/lmDsPhCe9d8MAphHjCw08+rCoOUuj3Ms0TPLGxtptZNEA72nG2rSscVcK5p5S2Uuesk
Np7blhZEMjqmp0ISEVHvrDJdoR8WRv0d/tDapZBucCSaTC8wrdIH+TjsO9yo3YwkaufYafSYOG1w
hUtIvw/iPNx3tMGRG0GnW0e1tPiZNm21aiRtDet5Nw7xrg2sC7urC3ccxXd1ojsok070jQC0VHae
Go+4Mwb1LbPjit848rUxjwzbC+w1SRg9zahSr0nGcS2lVXpeVI/VGHnx4osYMit4AQbePtRZEK+6
qOyvnCRPXYkc/Y4OSUfxmpFXCjCLR4aSyJLbop9fkwCmbiGP1ugGloX0RimKeAUXxJ/r+Tlj4Gos
G2rCsjb0Z2VeqtRaIu21t2BHZh2N4a6frpc9E2mQuZ91q4c/qVzwvmiRm3TdYowtXaOq6Ngxo3I0
6dWBNlCu7EwSWzHK44uK5/x6aGiBOuGknI9tfNvoYHotOpBHzaSNX+BV4pUEkD5z1QPMzTrcQlsP
V6zf0lNi5vhc0cq3WS0VN31DcSceqwdZsrOLtkqsFVWfF/ap9VgVEi19vrhixHXHwv1X9egfz7e4
6t1BTrHWQkRrooMUJk12H5YwdgudDJE4eUKDPtUHxrlYj+PYehnt07oOdgb0zW8oz/DJYSbb1YJM
XpvzsAG4KfxibDcB3s+rKHdIRhXm5dT0Ky7H4aYSfYzxTDWubT211w1n5dFqw6+BXtW85sb2i9S6
7Yf5Ye6H9LZvkorGwYCzZ2/kW71vIq8Yu2jdQSPxiUHAD+rwM4CUAOMpLsOxu2xw/ATWodoXTlLC
CwUkfIZmdrqIkNlusYCpPVoR1AQgG8IWW3QHVItX8UT1DQ0k2XAvM08hXdtyR1GknYSnJcFVGiiX
6VIGKLqmX6c6UnPb6usLFXNqOlpsTPXMTtWm1APHeZ10+sMMhlSLgZ5UN3ijYhjpmo1qJPo5lqx6
H7laRGnRVSeljFa03mTrTsrClBzX7lVfpVLSPtHRE1eTU1wJRV2rFEfSTNyxdRuubmK42Patshpj
CYp5HSUgZ1WKSL1+r7SqsRmaaDs6zl61qutCJKDP+2mvFTpiujDiBDT3DASt4Wv7AsYGtX+XZOeM
SeLaBV4uPKow62QAcRTfc6w+UWGCuTLSGsCu151YFjZWqPVU1cRaSJPl9rKZA4qXQUTrfToTUbwa
4bo0ff3clWG0D3tnvJWG6EAoehMDYFpH5EhbKS1kX21SXKY0TjvTz4B0YHrKuL1mB+lzVUTKLSAk
0pIlTouSzlWHwPhqDGXkI8/BZbfonNtBRU+jDs4Pw+nEvsP+0+1H/XmkX7QuRqu+luqu5xAJ2hK6
S7JjzlOmpd7p/aBGvjNNcbLqMgLvVdnBYmjdoojieV/Xodr5rT0W6aWOaMfYpx2NlcTVjDGxziQH
h2gXUckknelTlPT3qTPEzvM0NRMUkf9Ll0Qbt9NxKn/8138+F51o6+nmRxgX4m1fAAeg3+VLl2j3
6qewe5cv/fyZPxMmlfyGPgHQV7SkeEGSS/3pEUmfYRmFQ11KHZ9uAlnRnwmT8YVUGMMj5nEpKNgL
w+DPhEn+YgHwY0z8X0qY3qdLkNbMZeQdygfXJ2060fBZGWZWyHCadS3mym0qw7ilv9CutUCkn4is
f0nxaZrIcEQW5zdSxFPxc2FqpZHETr1evNCqvIVim27YF486rd/Wkv7I7/+SBf7r5XjkioqbKgBn
EPSniWAp2xPks3ptdtpRD+yVRmLlxkqCn8eU7eckC9dv3vwHFatfClbLS+YNL85DyCtPU8++bowa
x/d6HVHi94YG0+O+WgVYyf/xLf7lrf3KuudKKoMEJvPykO5Pi1AGwq9E2FO9rsKg2S7hGUQZKvNI
wsLpvFCi9MKwmvaICqbkhO1xMxpu+Zu+9Xr5kE/mRhScBq41ODOt7fpK1oNyZarBmSDiuTG6vPpk
7vdXvMIyvyw7oKJZYzwh1vPbtDxRmQDJnDBbJ1K7Rx25m/LmYIXOxNjkiB2F3Ps9eHU37xWQSkMz
rH7/bn4tfC2/AHxYPrZlrumUVjqGpMpFZsNVUJBHeII99aLgzFo7Y+vHliRcRsbPHEXybEyDcLLb
gWI5H0PjSZaHiyIcJa+V52eoFJ+5ACy3/qZiwRdItcJGaUqZFd7yqYw2tiPaC7iXrgM1BZJExF3A
G9JotbWdkD2zKJnn0Mo6wDvQgJzETJv2SVXTtE+l4GxEaGbZU3CHxCXydKA9mUFwx7ETr/OhC1+l
BCnYPE1GhIp3gaUhVijcaJGNiTjLH6WgPgbDPPsBahWBdnLAj72ceW6qjfhskaHJiyANILa+1qz+
2C1qtW7Rrdl8Ib5TFscCSdu0aNvGYK32mn3U4VlKq9AcdM5uiBQDMyWJpa4S3LHLFZzruduRiXNI
YsgufzfL1sKRXcuU77bIaH4FaG5dZZKcx7qK2/uG/92jV5O/T1RnS+KDerZ8oVkz6cBUjYdExLlK
uSGY1k2ZUC/v6px0yGyWWoMsQOLl4tIaprx2I7xPcFDRugh8VhdUntXU6RP+8MFdneLiwTaUaivk
b/NGtNm0pvqMw3xsFeM9xRol2UyBPJnnhtk7m1FP0jPLrLXBXWZIL0GDFas+lcofORc7atAUTVfY
draLKpxNy1RuX9WJzqSbKnZwmTVtQauhqXdg4mTd1TEKMtxsqvie437G+4DkNttptdW+RuowbU2p
cO6FgxgPqayUPwjLDC7Bxw17xcLooVcy9Sxr4xQL2lLvfVHiEua1iD1Sr2Zc5jyKWmbLer2YtiIL
iAQbNCGomfMO1FYGClymLo+ZWER41m2aAb/xlR2WvccEsblz5gaWYpKpzfcyjqSrsDPK6SzCmmaC
FkihfUVVTdZX9WjOs4dDGQZ0PMulpKAjZDnPK7k+Y/Sx5CYNOyVCIzX5b/bObDduJVnXr9I49zTI
5AwcbGCzWMUqzbNt3RCSLXOeZz79+ai1VreqpKVq9+VBXxqylGQyMzIy4h+qaVfVupLsSo4T14/a
UF+RMJkb2nTJqq9KrlxoQ2XWpYiiKdgKBKt8t1cT7rNo+80rSitK7YCJvdcCPZZdX23GJ6FVpHcA
VxHyS2rFNtb93E7B+dwEUuzKcQzGNUniaz/RSpvqVCbdBYU1YrheLR3xis7dukt6avb6bIFYBI9r
oK2CAGCBwq6pX48Sfjo7K+gGsNhR+qs2J+3Fav0h4GlpwCW+GW1nGZx1pVst/qxp/Kvu+xKXA+vK
nygPqGlwD1/8PAkz8+ds57elauj3Zp4lp1Jqd9tIRWUI8FyZ0iWttUu/HDMHnCsum3PFna9XgVt1
vnE92X24o00h1npiB66GRuAW0Oy4QrwsPg1N0Ttpp+mepfY1rqmAdGIRc6ea7eK+qYLiCUuZrxLA
p5VQp3SblmjVZKh9uqS5z7h/0lMdo9FNjQkElVJYgA9aCby2RVshtobSAQrKXE/addGPJ5idmKeD
VilbKQw7N43qehcXhkZJCukGQLUXqG+pa0l0l4DIzhRRlCeZDf43zsZdLNfKeg7beTsr1i0sczJx
2mhOL5F756l0KRdq6+hKEK7HplWwUzSzXVtggIvHY75RqWNCeLe7b8LAYiKvxJUY4l9A7MROiQIs
qoDe30myUu7i2Y5Oxzh5roJ5OJdzdf41xkp0nxE3v9VmFu7Qyszcvs2vEXwzqApmRPKstjOuzNxp
GubELc0WVHcWG/D0Ogw7g15i42psMczaZsrQU126JYy7yB2y9KumyyrwuuhSgJ5wm7KwbUc3Qity
5CQjawOm59alcjNE+AY74CjtO65cmgvaHfSAQh1aD4KUVZXVF9zWw5sEwwbs679ridBIjYr81NAT
M0eGYda/VhQnLnzMPU4jI+vXUD6qkz5sO7eI8JuQhsLcqdNwBvhh3ORFGl3kWXQ9ROAmHGMmg6Rx
XNfs6HK46NOp+xVKFqZLbdR4shhwwIjH8mtXo2vqiGCOPaNUgEIE6S5rh2ClI3u4CcrmJ3hec4Ul
Y3WpYNWQu1ohSx43se5XS7HXdlI7piQ2T3UK2Ji0wimpuYLaehiBlq1la5zPtNGwr/PMnk4Uo61Q
2tPiEzM21YeQYOGhmY64ZV2KM6XFisGs8h8J3KzLQYECSPNt5rY139govm0tietgVwBXFuo4q6vZ
1qKzKidTCUxVe8zmcvqWAiw/SfPRfjbqdnyExzBjT6yDyY2kQj1rgZ1zeEacKxbgdTysVf2qKsgK
4zhq79BbmDdK5w9UaFIIEKYar3uqawAyg2k3AE9bRUJG/EH4Rb8NaJdu2rEp1ko8q46vht/rMMDQ
qulm6g311FxwJHP1jOwCb5Aa5G2WNmsrEoDeRp+/H4azF0UZ/i1q9dzn80lfzE9JaSKP6Mcpap8t
NTfLf24IT2sry2/sRp09OVWv1E6s0jCsnzLUFz0EQuUVLP5mh6HvWumj+moOjcsyHG7zZhSnVSl+
BCqoyV7AZQvzRY3WTxA0VpRVg0QquGCayHqcJiAPqucpHerL2h9tpP0ooSIxqlEEjpTJ9/KkG9ZG
xLmdGkO+YjofsykMr6jIQ1srW+lFmPFNgExlYAN7L60wXZcKZxvWKtGLUZXKrq2jcBPZoX3dwbuh
LmONqGvS0ub+3mpgZBEVdeSSQJVqRreJJyTHwA8+U/ztnkIRgmSY9Ga8mJPS3oRo6VKZELX2jWzD
uJjZXeGqF2yZ7djF6X0ktRW1d6u/KwFRYOPUqHd9anUV/JPuym+NrsRCTKuhQxn2ZR3AvOt46Fts
bfpHu5YiKi51ggUspcHoFEqEcjZMof19TmZDQwdTg/zRAuF9YCdEO9oMoMqp7lUviW6xhOxQb7/N
EwQZRRpGLyr9wESKA/09p+wSBYs1VQNTGfUqMB5lbsFTQnGoyCUilZwuKmEZgEqxTAVdUxsGKULx
VbYqp1pc6qFeXEmgQCkAZnXx4BvSKLulPopqOyMOXjlTFUV3RRTPvQOkHzBXUxrxg5rlSKWD/W5+
NV0Hm2aQRlg4amJFhVPrTXmXVjO5HrQouC555+pzShQqJeUsUyvtIqrmQjtJ1MD0T4osxg/eyGr9
HPf0+KeRWmmwxplT3TVGq54hW2xty0Brb+wpQzAj4nz+GhMDVo3W5rdjV6zVTBtPy1DTaseQ25yQ
JfvfpwRFrSzzh1O6X8N2AHNwHtExeqYaRobp6E1uP07lYP1Ks2r0WOXz9WAG/jZH7lhxy6ZSPYBu
oDrZ98oGodHJduokNUF+53NEmTydg7U1JdNVLAKjv4lsawrdLpIzjkADB2yzVfmzDTapY2faJe2A
DPNCspxy1QmCTNHGGKejNY4JS5mP35QB9pdcdXpou37byqpTxyFJbYhKVHaPfsz4w+Rq9UJVabrF
BR0uXJuWNTqPi+G2PgZJiUqwLD9HFFhjWh1ycVsFeQpsGrAgdWC7m/QVcYNTeCpsvqU/FTdVyoLw
Jmq7F201UqKssjGlPDfka6GEzTcpFPa3hr8drhXZyFyjTftrhTvCSVSE7U0ezZKXTml7Zg7AZhoA
LhEJ9VxRFpX78aGc4CSQVHUItQJRGnUqyHZR7DQVYzzyzlmdV5k/9sZDGukkYhjrnItXCgbYQWNt
vRIz+LTxBsd76Bp9EU6+Y77SOIjwC6cjeiV4qCWt6ju5ScP0AVBavJte6SD2aEMNwbKnfUhe+SKv
1BFzYZFUYiGUaAu3ZFhYJtnCN6EIifxLAAFhjls/ccZIwEyBCXXR1wtdRU1t/TR4JbFwFa9u54XZ
Er+SXJSF7yLsZNgmU7et5IlbyMKKGRd+jLkwZdqojKDFLPQZY2HSCCsP3T6wC4yL4dmUC+MmlOba
IXkIz5OFj+MvzJwgr6uNv7B17IW3I/6g8CxsHsuC1zOHMHz+WyD8dwqEn5YH/5e/QHHwH0/5z384
T/Vz93OvUMjv/lkmNJQvUHYR4QLRsMiwLhIEf5YJ+RF1MxUvJrAVSH4tyg5/lQnNLyaKD9ApNHzZ
UNh6g6swvlD1UkEK87fARABi/g1cxbuK04J1Qo0XJTJqlYL77H79BlJcbpUAbt20z8zbiI7CSTtZ
U7ECPyg/q6WNJK7eJ/5mkBeaB4TXyWmHiUMl6UNz1yOEfRMlw7DlWKl+UjsL7FVYWfgXRJRVntG9
TfFrlbqcS2p+TBBMPaxugDgBXYT1FqBuU5cPUU+SDKNoKjAJRQ58ehpGVdwmhj4B0rTJKkLbrh+U
PiTI0cvD6Qk3FANLHSQHBFGfsu4O5q2NFxSiqMVqoMSJJ5uUIAYaKlglyOYFDO3pqmvV4ZtaK5Pu
VLOK+8IYzRt6//PaMNO6c+JMyr/NAWjDS7Sq69CRqeFdG3GMmLbIE9iodYo1JkdT5KAAWnlNJPfH
pOsOi5SvU4HKACVKNFCoye1/SIWeQ5YaxUiDVfdXuHiZTjfK0souZeMIgu+wArsMhcwKWo+UuBVq
PftDRUUGey1LRhdua71O81I+abBsWAm7x/Ch8U0v6PL/IAr9LVdhD7J1Wb7kt2398tKeP5X/dw+o
9T/7/2z++Dcm7+5T+7T3D6xUaCFcdy9L66Dp0vavPbb8z3/3h/94+bfiDF/q73FbzkudHQYXfuGv
6KJ9IUKooAesVz7D2+iifQHMhaY1fQCkIMBn/TO6qOIL9m+ywY55xWwtAgB/NiH4EaqnmKpAsqcG
vdQL/3rzPwvlTNrf1rONw5WiylTOl3I2aQ6G5YfVx6rLoNCMbb0ZKeqEeuKV4F8G3wfygK0D5iP6
DRpfbp9MF4GV0IpuPR7KaRfJuVA5j80ElSrNWfR8YO0qTUV9l/iSgClum61PZ9eSpBPIu66t/tTa
R9tMoeF1WysMvpZJfQ+SYONXaKmH8VapZaTOV/gdbMZydlsqG4vPCPxFD8j2V6Sq3NGo3RkJw5Ar
nh/BV0ZeNh7VswTipr2tjSGDdApbjdoT+QogdJHHd9j7fPPt/mYOQZBF0jqxW67eHkUph01CFkjx
EpT9m0XwQUviMPAdTuwBWtWSjd7IIGFu2qo4KSGsDsaVhp9EXx1TLl8OgLdV7MORDg6IsioTyFJ8
QltcSeJ7rxzpIGjvX8VaOlVgZ5ajDoPX/WhSUaJvRDzUGys4j2SMm63bOdks1xnuRAmIN4HkRDk4
VpVclOGpWmSbRBhuHF+2FqCgNlurMPyxxyEI6a7Rf+1At8nKw8jCCQvoMXi7BPx+DDBs+VtUGc9s
PXAMnHdMhEo5LSCCrlD7RAe6WKOMvwYzQA83WNcqnFUp2eZFgh8N8A79ZAE+fP4p30lKqCAroSVx
qLOPlyxhfwJkBD38cujrTW1g31xAf/0RB/LK7r52FAYSCoht5mh0U0CkoMuIJ4nwNz6P9/lzfPgd
3jzGspffACwzmokG2Md6g0iAA2rXmXDgUICI6brYfD7U4Vl1+MZkN2+HKqhH22EwEhbU2V0wJ74e
O5gcHXmjd8nNH+MYGjVdgh0Zzv44NniptE2Y2UbchaVOSdF3Uox6pKz0pPBrbZ8ZCrwV7aSWu5tZ
uiiKft3MXwUgfNB7DgebU/hr33/2+2OKUYfNocNHU/YfTUOfAxxKh04+GNJwNOGw4C623L4rrrxN
5fWGBConuPl85j/+yP+aESL/25m3JTzsy56PXBlUQIvCKQSQM4woU/+Y9NH7wLEs638NdRCich3n
d0ri9WYagbIuhZXsiIzqsREOIkfY1XJi14wwTI+1edd0R0LTx5OF3gtSPQoNvOXnb3YESlykxnSE
MAq/bKcfncnqCHRAvj8+/ygfboeFdogOEOI9h4pbEQjDMWsYp0rhHvXeAtGbbz8fA8QwT7sfyPke
4KZNHac5pPcP9jcWO2ixZay4rE6IcMOGBhPVS2snZtltE9nNLdBHMyWrbNhExmkDFHYOgBRTXR2D
jBjKlVaPLqOhc6wa8hiGPvd922GUF9WNoyxG3FY00O3ot1Kqn2XjfZzIWy3NN6FCYzYMLyXgvlmX
rNNSp87xM2iHjdylTmfPF635Q0aGAsmEBLt0iZQS8b7eShdXZEdvsQjAuQuxWfVno92TrM+4skFz
ibUEzqC963Oe32R3V+wayV4VdACCmVtLFhPCy50/jqtQNpeeklvPD5WkgJeKt6ncbdvBK0t5XTTp
hchfZNy7iueoNn/pWv9g6PMtop83rem14mKIxusuNX/FHdJDSBf0Cgy/WL7FegYcaXjaMnFNiFdJ
UbtaiDbb4iydyWsIRa4xACgMKLU/1onuSEgD6IOOAMTslJRsE1Celb1miVxlbXKRNOIsqX52pBDz
1rxuqx/J7PmcjcsrDLm+8QFYTtINTL/c+BHMj532tU5sDqcnPcqu/DF1DNhPGpRvJGncuazdYoiR
LLJRUDKACMbn82iddiNyv+H9UFUbTGNPEOxY4E4y5UwQtOfxNGzoQlB1S9ZS9LOKMoj2sYeiyA2f
x7U4MztOimyivlXoZ1MoflrdSGvYvx3AXa4i2WycQEnO6E+fF5oGxDEYLtR+uC0r7GXMBkGPWx8o
qz2dZqJxywq4pRhWdPpPkUd2NHoBlrGVM90ZluMhWmCmUMAKfaUK7mk+1kCAL/X2WcpiePTEcWkV
VT9H/lOU5U6dT6713NoSfm7DGtTsrmq1nRmcFuwy3Qx3cfykwrtUBnnDnOdYn/XtuYaV1ZIRpMYq
ljporvGqhs0mIho+pbroLyLTYt9l/WXDtZM8xJ4al7rguu2eBRbdcY3n2EXRcV++kjXYApW0ipvw
psj6DdbV7lhmrqT23+JA4/TTnGJklyUZ3Ts8OwNUL2IKPZ1NPBbndogSRSpAvaYXtQktVY4fI22R
lyguinm4oSd7lpHKytoPxcfQSdephoVe2/3oXkHG9YOK4o1v3vf46RSQdIPiuZ1eBjRhZPq42hhv
azMnEZpWUt3cijlfh/JM75fW4FUX1bDYf1KUdlTqeGCf1xGPj8oUiRNKNgbzUHpYebitHV2MkrRS
kgLc4cqYJzdWpHUazmdlija0aE+zqljB4T0fg/yx5K91gl5ycVkInDggnMEWsKDMFknDPAxreIcO
wh+bSArdKX5AoWoX4kXd0fgTrb5Jykd/Kq9gHaxDQ9uAtqTXVK7aNqYGBmRvUUWgRyCb1Nyw9dMF
0GHKwSSTAsp9kF7XGQomQ7eKAA4nwYjJZ75JDWkFpv5B1eqtESMVyeqfbSDZ4TqborVWjWf2ZF6m
C8mwkB0dBK9TzizLrNnZ5ozFXbadCwNnUkSxeMNF8cJoRuqFj/iAreP8Fj9bOCYtLbSmyK+iLNqF
NDysWrqO6ByOjY+gjLKKg8EbpTPJEKsqpts9P8YicVW+gk64brlv9/qwYo+1ZbFRGEgpSxgSw07z
003daFvV73Y0idjCyLB3Nl48cJMLe23JVySaaKnAZzColEoCo7Z4G0juHAxnqlWtKVB5fmKehnXw
1SZASUl7lolf8mg7jXwV2t0pddSVZNAKCBas7jXd5Au1etRFcFN3uF/256UFU2Cy1xLYAKgIUGux
N8p3aHBRgkk8lXA3xOMFuuMPGOqsYiU8rY3+Er/E8zlJtp0uVr4O31RKd1FzWwd/csP+9kKqLJnl
3iHIpRaUHUglXF6xETo40iW4qzSoi3qjR8UJxXrOLoKBKFeFZTuySDdZzpVQxO44aUCyE5fi3Fqz
wtOkl89hZdPz6a+k8AHL4iOwtnfH88GTHRzPtLfzlIQMWBvSHWrtX8q4Hwp43nrzkPIt7SbbLMJw
n6cF71KPg1EPMnEsCFtai2W9kUZUsbSHtos9mObO56PYS673btoBCBKYhbW4vu9nUqi7KFAEE17O
xMuzM7a6RLbdtVedXK8XHepitNfKMFwuCUAcNusJ60V77k77yvoW8ClSFbB6teqnZGV2p6ItV/Bi
Xu/o4QBsmXWlddq9ViFporX0nSZX5a9W8k/6WuwaYzcYD+1NG921ikpxMMBwHhqVsu63KlfC3sKj
sF7BtHHkIlkr2rfSX6O3tZGDZt2VmlNaw2YKdQ8JvItaba80c95Y6kuUBFeh1Fwte85QeoDv2Tep
SehxBVdpAxHCzs59pIzsYHgIDYUWxnDdlOJxyADlh7dGsIiC1uifTPNtg35M2HfbfPIfpsH4lrYB
/G3tREblXhI0aLmNlWb8awQM1XX0NzO0RorEXQwIIw4SNWZDw1z9/Mu9Ig4/+XKHZUVCoF9Pcros
ywuZmBjWt5q0Wco41myd9czx/NCddA2GOdatbx/JjN/VjxRQnq/FKEOn+HooyI9P56jXGqNjLtRQ
uS134UWU6WctHOHXF/0va/QYDJqI8PfVx//NA+pT+6TRhc/9V/lRfEGLR+fiAuxhQTpzA/uruaF+
ETQoBDUdlMZl6o//LD8qUE25kMuv/oOAoFWiwV8YaAtBFfTcgSxTDll6Ir9TflSWS/TbxYtYC1ce
DeiEogMWfhVceXOBm7Me6hkaVm6BkJury9HXwEaOixLPj8Jun63Iuu4q6PmhSMqTpicFmzT0Ut7M
2NUfw73VDH0HkbXo/RD64E6g2axSi90PflBUMAYDPud22I+fdlZ/YuXZSxPHd6PUnEaxBCsipnBZ
5MUZxILBOzL+4SZaxjeZZYqCiknL6OBkoftQKk0HdijTLClyqfmqKzhi1WWZ6SFsJXmmvqRKqEuD
GTbl0o2sSkK7sUmGzZByHnKvicBgVIFdQhuNQ9eouLUJlA23aVqWxR9n0m9txf8/S/1LOvL3m23p
I6Je1OyzFP652XT7CxJDyBcJqPSsmGVH/bnZ+JGhI31vq8gHUa7Q+MR/dRLVL1QWFva0DS5T57/8
a7OpX4AmAytkB6NnS7fgdzbbu2IbD8XBbqGewF4Dxr6kGm82G3IfDXked7BYV85kKqytG2tBtJ4T
3e/WsGnTfr345PVOixh7umoaSUgrIPV162SGqE9CmIS/9BlG7CqsbfmpA/TKgYN+S7RRfEt3UBY2
7gs9j89rVO/+dH7777L7P0vb5e+X3V34Qgs7fMqe9lbe8kt/hnkTqgveMbSEbGzxFJp+/1x5lkwr
iW6gTH8Hqfi3XSZhfqEPadN+smmcwp1gQfwZ5oX8xVZwQSXQY5vwGpIOukqfdZmWMt/bKL94TMiL
xRXwdha6cZDT6/XQTGyM0uO+XKx0lYQQHHC5eTMpH4Txwyj6xyiWQAGBDSMO2xQiQ/tlsgWGCMhp
ETQBf6JmM1CvQxkUVEbmVuXvuqq9jqkppqz90eJb3vzNlpqLcJ4nzSi9TONWO9WIbkqLVsznb/bu
gMI5Q6MrjEkULQjqjwcHFLoglAGR1vHwIzRONEWM36OxRzxRLqaHhjMCCqQcnsyx9nO0ctXFYl07
UmpdgtfBR0SwXkNgAgqDhbj2QT18KGa762xQ7s0saVcSOGp50XkEzOf3+oMVtdb1NAjtZoZCvour
qlqbHU7vk5IDLZAqczgyKe8XFTEWTTeSEG1ZpQfRrLcl1B1yE9eNIKl3UkozSbLrdvX51C9/ZW/p
qijAI+hOj4f3NhaB+LcfWMI8Vw6GIAXLhzG1hcj6iWwgQZ0ib3Tkhd6tX7YnSBSF7QhjBmuH/aE0
vRWoV+Whp6FXcJqNQOdaVaCJZRX5vTyO0k8lqPv4t18QOhMpD99WobX12vt6s4L9KjbavrBBlUUa
1ZM6Vq/NtjMf4Vyku9+cS4APdBFVpnQ5Hg+/WCDMvlJapfIiPucJeGDqzNYUn7ZpZR15q3eL43Uo
Ou7ELrLY17zz7VuVdqKNzVB5UtvEd6GvnTaSWR/xyV3C1t7aYBC+FfIq+AOgkHNwZ45zkQ5qXJZe
5NupA3o32Yp27C/BndfnaaebvxvgTEiJxAASCVqxiB3uL5CIEG8b04gvlDVcCTU6m7UYVSypX2cY
4ekjgg+ff7APZtEGE4DuErRYFS7l/oC4YA9zblhEN8sIVmD6fFg8MD7+k1FstJqhJ+KdcjCNJmIP
maGalCpREXNm0TVrRfGz/2QUJhBIDM1sOiz772JGLUzRVCu9oa789RQPz6NiHuuovbvPoJnFeQqr
DNNAMnHr4BP5yIVUrEreRQMrOSiApgU4X0Q8lIdMmYwzVOKTbSVmFGfSLtpUAs3hYpCNI7Hkoy+H
cyHJJgtFJkzuv63A7kYXPl8OOZhy1aS2ukEVxz+yIN8JhS2va6osDWWR/OFw2h8mqhLDQqyFg91f
bh4tyihx2K9FNtxOWX8XViWaq6rqqHLhBVG180vlcQzAuwY1PM1CAd1hB/WRp/rw3QlmzD9tNNyL
9h8KDYPE1xXygEnt7iRfSButmo4lGx8NAnOQQM2qJQtYYsObAANHMDLkmkFAweeeJPU53A40CT7f
Gu9OH+aXoq7FzRRuIF9zf5SmsZIirsbS8+tc3nZJGd0lRDVq0WZ8pLq51BEPghnRmbsLzFb4z4cs
zYmPAQ2vwze9QEDbz9FrsmQ9d0sRA4Eek4V3hr9DLU/lkZd8v2ksWcbMkzoSgL7FUmX/LX0j8CGe
FKVnDE3/Pe50CDQwv+iyNiUiLJF+2plD8dKwgs8RmUpPUg15aIM69JGVs3y0vTnAulTFtZT4YJBv
HbZ5JQAWRQvY2hNB9UuW0fYppz5d+62v0vnvE/fzr/vuwGeW6fUavD5xifx9/70b3wqaDPaAF2sZ
xNgaYIFwEGlMLnBtAJicFf60znptuv983Hdrl3Hp+3NsYS7H1j0AXbS6MdTx0JE58UzneM0gRm4H
+pHT8YNR8PWTbai1WGHhOLn/dpLdpIMwkboLYbO6QDUHt4r775+/yjtysczFApwcOiVATJer9/4o
g5DQIE2w/sNK9wciJpejYUCwiCJwlTBj3KTPr0JVukVnch0DgAPbZnghUl1CTXIH+zQkGuFwjOj8
Hzk83+3d5clMC+Y1Fy/KXAd7V6/Q8u4GXOEyZDRg4OqDkyeT6WZ0N9afz8K7vXsw1MEkdH7UF1aF
zR1CHd1uVmpAciXVaCFihR54wFoS7CctUqwjS/jDj7zI0YG9WJBJyyS8CYNBP4tB7gbMHdF+WqOq
H64qg4L+5+/34Sg24vJECcqF5kGASNRS9en1smCbTvHUjO+qzv7D7w8ioIFb1CGxFz9EKsuSXkUy
NF2vVqzKnTthIhMzKEcm7KNPxeWUyitlVUQSDl7FUGt4NGXMquDs3PjI4XzDzV53p2YozuN4ME6G
oO2dpJYwVPj9F1zqixoJ5JJnHSzIPkG5Hq5chpmaFj3AZMpdqR707ZFRluhxEERVSlV8Jja9Ih82
8EYae+YIRxc2tNTeV5Y1Aa9Ouy1OSNLpVFb9ymonTCeypREumemFiVvUGj96axWEOXL8ktGloN31
wSjdmB6Gi1K/fW922rdMQ284QQz2jIt97xmiIS4nVbWz46F1R3rMJ6rUtZiRjJ0rSXp3rZpav06C
Gh2vtJdPc6gap7B0W9eijLxWURhewTCKvLYlDUmCzveydATFmM2GO82kMp9PzgcHDIGQU4ZaCKDg
Q1z2DImHtmeEc19WGafQg4cLpgZmcBBpqzrQwqfPx/tgtbGaKU8sNUSO12VjvdmeAmGzShhx5kl9
I3m6ivRv3cNZjAvaQ2gcdK7o4Rpm+VQfWWxLknWwCgD10RlCeJKbkXFwdbAhhi22GKk3w+J3dSR0
VnM3166a1PGtwYpfB2Zeu0ETVU5RlsoRxZMPIsbe8AfbrGOHlVLXpB6KeOg0FaiJAR0ej2QuH3zO
peC7iIHQQkHKZX96E9hZJYrmjALAezuSdW7jQClQhxbdRlfr9sjyeT+pnCRQUWyaBYsU6MHBPUsj
GTVGXF6Be6Kbx8U3GBH6dwvDTMCoBpuhCLVLKTQLpKl6a/f5YnqfrlC5JnCBcSJGUsvef9tBDeS+
MOTSi6vkUtc0301LrbiW5mI8ZX3JFyg1HYmWrzFpfxkt1XLc5dAvoU10qFzTwRFtOr8pvULJKtjy
qCIbriJEHyLbXMilo8ECOoPRhhr5jLjeiYp2MYLhSqXvKhmVdnBC2TP3WBu1ybzo1FvKHWrniRIm
thNOjQQsKpfEVafogcA5pQmqmymIwrvP5+4dD4YrO+WjJbO2MSkgUdmfPEWthiAK/MIzTYiCN9TE
hhctqsvhdEwr9YVr3GhfTk3X+a4IOiQhaNqVAOqQryjWGF7YX8d0tladOXIuGFNtfK8bheYudUPp
CYcebOoVbGBqmN5WrQMRa8EQmfPU3siJZKJ8CfUTycnAV4LViHS1shFW3DzketvtEDQvHrvABBpY
WiVqqsHQWJfc01xRSYb1XcVVBinwYkBG3srql8+nZkkRDj8xN3LgkNxXF2bD/sxk+pzkM7xXD8kL
/7QhJXPGwFAfVOqaR5bTBysY8wgaHyp1KJRoDobCeUaF8NwWnkSVxg/GM2WwLVh7+R2KPhBvGyAm
n7/c+8otTJzlXsV4SFHRPdl/u0qOGqi3ER7yugYEIRv8kwlKuctGD05sgaKYn8DeRITep4RUi/iy
MZF0+fwp3r/38hBLLZ/yGzYZBzs3g7QOssrPvN5erhipjc5GV83WThkDBLMzE2dEdPHmn58P+9HL
k+YgcMPmlWlCH7y8YfhhMOuY7raRifxPWcgXJHiSq7EH3HFo24sojK1HvwWHaBao2sZVPHufP8T7
mInyEBdL6krkW6Q++x/AlsIae0DMcqVcheqsmmjdRW27hgELPDIIE8i3dROfxiFYVy1JzCPja++W
9/74B1mX306y6U84AldR9xS0uXWja3Nz5Jz/eKbfvKXYf8uiISmufJF5nToW11U7x9ejpqNN1Q8Y
DOp6eRoYsomYpopTpFYsIrjCOLLWP3pTehQ00SlREv8PdlfbUKfvBT7BPVLJV02vyY6Cb8b28+/5
8Sh0yl+/KOn6/puGQTJ0JaRAz/Q1UNFKJq5qf7KO7Jj3lS1L0HOBcKly6NBXW6LWm8xJ7fF20KyK
ZDkGR5hpQ3iLcn/ronSFELAeQb2GH3CV+9QkckxGSODH5MXSgEHNI4qoWNIlW9yEEhcrgfi3s5v9
hzu4WndGWMS20rCmrAJiMioz15KPrO3nM/0+MDPKKzABzTOscA++ZxgOatXhbOXlWpneq2qVn81V
Eq1jLTxSKnifRzES+uNAVOChcY3cn2wfGYuk09LMm/BYXVk1Zs+haYfrMqofWzM/dtM7NtxBOJQE
R1tUFwwnpz7WlqrhGnXg77jExzvbx3/s84n8cDxqsAtTeKEQLEv6zVpq2gAn0h6Labn3g/tMLRRP
akLDDSuzpbRe+L+dljKdpoUwMaQIyjcHy2PwMwMPM8bz8046S4fAXCeopK9sq5k84Q/H/CI+eD8o
dIsjA+khhYCDEJtjJhYOEz0yLB1nLLO6cG3pxdOszPjMzFmx+Xw6P0gKBeQcGMVINNoKjIz9+ZTQ
kEn8Qko8ygW9Y8TJr7bk8ti2myLILyUZJHgPuViJkrNYqk4i33LRA8L5J9lIRXBW0ER1ky6GQpGj
A1Ju1LTwsGxyw1Q+lnEsK3c/ucF8irIh1yCaAe86KPAhW3XAwMxLMNXYIi7Qr3xf34TD4wyd0bGm
1nZxtDWPhOIPh6WFyOFLtvnOawIRYCVsbTwjVLkePNWUlkt3lGAjFZ8HRm6cBOYsUyUzmiNx84Po
TAOTViJoF0BN9sFp1wcFevLFmHjTgNicVKLj26A8ceT13mEeuX2A10KJc9lRyOcd7mAExIfCDxOv
TXJrldKf25h52FxixGNuh3qOToRvzk+Iq6l48nbyhdwjb6OndYLAU29dRGmtH3nzD6Il9xMi2Cvv
33o9UN5ucrvO/WyOEw/6g7xbXChdTY4UXG2s327Z8vZLOAHvwZ2TBsT++q/S3qJMzdsnrRZ5uRxz
jQ9apLUS++vnW+2Dz0nQojlMBkuV7/BIz0QFHbSxYq+qfBgQagWdNbHi35860j5iPyUxNskrL+rt
1MmTNmVlEXtZz8qxesW+tVQrus/xL737/IU++EoA4ymB8ZV0KNQHoRgTqV7wCLFnBwqCzHozItFd
TydWl/8JkvtbJPuHQ9EgonnzyrBefv7mrTqpyNAjaWMvzHoEzYuwduZJFTuji7Uj5+drRD8IM7ap
yNxtSFtoeav7Y2WNUnRdb2MaoynDHd4y2sruk8LTS0TkauTKtrVcy9s5n3CGrAztfJaMHEGxeDhV
rf9H2nksyYlFafiFhgi82QJJZllJJdvaEGp1C3PxHp5+PmqlpIhk1LPRRlLc5NpjfhOHH2KMdUFq
2PU/Gla16BFOBrx7bFYL9L18eYAAZQqaIBq6kA+mgHqDb+3wTixqiEobhO8WAYUDwMnO3qO3CIqO
XA2t+i1oqJfRT2/RfTtPdGxgDVeoTxu9OHgr1yDmeuZwiIeCr5MYrY/mJshRoGgn2VAl5xJx+6A0
KrQHDbs/oxVZnk0cqwKEeeWDF+zt1uBR4HWmAkicDJjmerm0Oe6QgoiTM2UjEeCFZ5zqkjKFhV7n
7f2+kxisVWaVLtMKUrC36c8kpTHGD1p8RotfOo+9rQeK1qn3fVlrpzFGTLwu6+6dMVITHUdHhX7T
FP7tH/F2JQEXg/0iFNEAnG1jaWxcW+CoeME1VFpWrhSOE5NRHqzkG5Y2DyzqKJTwwRKvXkabMKTv
JUAfjhOfM2BwhAARBsYNhGJfWsKJjnOoXbK57R6rvCzu4rCJUFgvvkdhZTwu6DNiGDg3D9q81Ofb
n/8WOcUPY5kpPXDlcEI3j6JCNRk5EKSJ+kYK76QEOcl6itoLgkqqOxfF9FyouHDk6ZD7KO1b6EEi
0LU0yXIK22g+eDz3Nh+lYGim67UOa/Z68xnmhN4jNoXnqDWNv8J5loOBW8WPJ2E83/7yt2EIq87H
03UgXqNMuhmq5WXWOkQlZLY3pd8We8OeWvwcIeFgFqi/dRHUYwogR4XDvX1P7qLqlErBNxGSXA+t
9l0yzFotzmoKvxCtJnQSWSXqLsN46ZbqUZ+lp9AIc3euZvVso+T28fbH78wzOY2NdAAPKDeYev0L
rLHv+1hF2D8samTP6DpctHLu4ScpxsEB27nEVB4aUIjA9pnrzTxrSRqb8+urpqrtvRSb9j3A+s7l
t0EkNoba7bvyjwE1ZGqcaICjCCjLVDY332ciJJsKntJZ1SSvkZTGp+3yH0I9bFiJJRmCA478wvUw
WlHb6KPr6ZmY6HmZUvud3aUSBMaqG5E1VAjfcVC9M1ttRsmDmLoIo5p/yHNr50Z+p1RK9eXPV9Yy
dTobYLBAfm1+UqxFmYnUZXrGu/pZ2Hr9iNtNhZgROnm3R9q5OZFtJtADsw3O0dnsYh0Z0QpX7PSs
1auhqJnD/rX0HpOD2+OsEePmFUTMig6RTbKAXejmiwi/pEWpsO6yMenBJwOZCz1p/0U7/B3X1RHZ
bG+70h8EIwWiFZX9zfPXNaocG+CgENyTw2BpdaLkpMaHW89rzCHQihn6TD94HvaOIyALyuZYBVPV
2HximjlOPU4OQWZRJkFVmXg5OsSz2oBJ9+3ZfMNhZKOuWQAWbYBIQM9tXiLZSZR4lEM2iKR8jDs8
WprumbjzMYTqiijXJTXqu1ZQEg3huA3Wi1zX7lS2zxio+kVExX1snvVw+mxVh/zK9drZLjWqUFD9
EB1n0Td3hWXhFEuMl54zKp6eAPTpmVOluJaSjL6ZCyMY06Z6Xgy1vOMTo1MfLsPZknoTKFB0VDrY
exuxOXhFalkm9YrNXqhbQiHRcJbSYa5OCQSZhylvfmQ9jpdjYUUXDiBWuEBuPWF20/2sW+gGFOj3
xhgDHeyRt7Vi1g3JJfJXQHO02a7vmoLGtayO3DUp7aE7+tXOqjBSe2GBJDHiscACYsf8WqrxcJkX
9HFv75u9047ABM0Qdg2osk1eN1iYdsn4iJ2dEX8GTcGPvCQuPt8eZfcjSRYQiOE2pS5x/ZFhiY78
gFvwGUQmPA6KnF/wa1B8asOomXPkvdnGCicd9RwetH7EV9z9SHLK16YwnKvNHANgVfNhVbG1o6U5
tWhuemMW5QeRx+5pt2h4rzUwQJDrr/gt+bK0PqrHkW0VF02Db9SEr1cXJ36PwsKn2/O5+0HIdTAa
cae+DeZhci+9I9bXQFLsc+xgKBT12R+j3V/rooiFga3gatn2D2vhpODBUHcoIqe+H02EK0xJLf/D
e4MCCWETCT+skO1pnHDpRukXhnGvLH6EoIUvoTB6d3vGdhaHrUWAjmEHNUN5/fvfFqeacMEqaEee
KVzpIJWq2bUFVmKiOuot7rxrjMR30JfAeGJ7ooyh0eMU0dDzjCHt4yAJHRvo0r7TSpH6qajKg223
sxcgzSCXQVpHdreN9HNjgp0s82UTTB0f7oAVCGtO/Nvztz8KJ5+SK9nElq5IJtznMqHQGa2Y3M1y
wzxFAy/IfxgFuS8EMFmkN1GORag1ZuvcFeZcP5iJM/gkLflB6WJ3L1A3g5vETqCpc70XeH8WVYvh
tPepEgV6l8/+GBUI71vVkdjUerNsXr61JP4KXWA0a53W37ad1ChhXcpGcs4Nak2VY/+LDlmEUk76
Xm6q/r5sbf3grt1bKd51kFArOo4Nfz1kgxowOsgU6awul/yplZZTnJjxQaXktT+y/bI1zSeBAURP
rHw9zDDIySh1MEdQz44AOqAEg+C1lbTjpcFl7B26HOVySlQLfj/wPPS5FyLu8b7Rczt1mzhc8IOX
9dqtJ61MfB5B8bWJ1fqTWJx/jHBB1WfqjC8KjTbZla0u0RFQb5zVRgAQgltX1qDfYy+B6Eti1t3H
SB57yY2VESeRaTbRaissZY48ncTrpwXiNRCJAwlMjnSnuOcuq5UPodo4+mkY8uGb2SQptKImH7tz
bQy9hXdQXo+Yhg7mOSsBgaIFUKp/yaTViByVen6XK8h1rpKYPwG+GNiC5hT8C6vM3zX1HKgFzEuv
nXrkvksZDfjRBjIB+lPNvledo66/b54usP35qZ2DmqrX2jkM/0qWXzoTfxbXxkLw62oL8vey0MX1
whx8l2fjWPvDFNOZ/wnh3cBE8ASR2ehdB8cl9MDVwfxLE6n20pCvGKCtRoHQ0mDiaFkLS2DmaZkl
cieLeelzpUr9dumVR+asX+5RcIo+18Ku75BFrd/nZtyc+jkuaZUv6lM9Kn0gG4iaOImVyF6UqMiA
QCSm2GiZ9fIVYw2cwe1QivOD+2cnrV/rcuAI+MOGNHS93XDlkcfWYFdXdYHONmBl7u61FSNVmMFq
IVayeknWP+b259t30t4RhjcEVRo6oU7t+XrkYsgXKiJTck7MtAtwprBfpGKmhpvP47kmr/gb44/w
dHvQvUcE2gj0bAqN6yt/PWjWq0OYVIAEi3FS75nl4U7Lp/JcphM+vo58cGfs3IhUIg2AE7whKyP4
ergm7C2lMFtyvirOPUcYpV9VyT8LRJ2DD9sLvhmKJgLlTzrq2166rS5NK9B0P5t2k38KMy572W4U
vwav4SV6bbkKveYTlsSxP4aR+dCoVXuKFkCU0SAf8TZ2Fvfq12wuS7mMDCmMeApYQgpkcYqYiFT6
cQcqpxZSfpel8q/bS7s71xr4kLWRuNKCrue66zjsVsNrgMAsKjK4J/l9NRsBnkzawaHZK09iwUVg
BScFu+2tVt1op6h5Af09WwsArSidgJtEenlKkib2TFvUpzoH0GZRnPOqSRtcOlzSXZkWSE5Vo+Z1
meWcoH8dhCw7u/vqZ62r8turyJ0a2bwdRMqLwNUDQDvmLimKlrXenuSW+vTtKd9JP6jR0qmAgm6R
gKy/57fxRkSdTaFk7DRIEf7QdBV10OK7mk3yKXUsXMJbvT7LjZAuatUfHa43HHhSc2DJ9ERXEiJt
5E28AQhmKrC24gaRkQvFCQF7K9vD0voRb4h/F/zu9TkJTNF8Ccf0DgjEI+EW9gGOL3XVX5NSfrMw
a8vM/J0l4xWQ9Z/U3pkProCdsIEOFf10sKVwNbZh5AClKMKjIzmPJvYXGM45J9GXR+5nO6Mgu8E8
wJUCC6dtogYBll7G/Juy/Iwlao9J21nghn3wLTvsnpWjCwwZWSEH6/rNGcO+BEZ0ooRBIwE/Hmsn
P5miQ0p4mcK7FQ/46Ehp9YJhUHiSm9g4qWYjn/M2OTjrbzc6dTSQpGy5lRy+jcXkXo0avHjCwJrT
2ddTwDzTIqJTHWO0UKlN/XR7ox+Mt82zxxDbbSusKXDFavkojLa81JKmnkkYyx91rR3JU+1Alij/
rlA3RJxQGN8WZJHkSoEDWU6QNuqd0HpNQsWwcfAwL7XU02eUyUQ5Y5Fmo5yqtMJyYx3Zrx5z+Xd2
HeIRgdEbGukokfj4/hzdf2+vd3og1KhVCxkKdAjW7fjbwUcZUO0SdOeD1mpnt0Y/F1BViWqv4Zex
paB1Zr/Q6tep049YAdImMKqeL9Bpm76YM0DJsH2orOLj3BzhI3eWimquTt8IGAv1wfXvf/tpVlXP
Ssh9FFhd/DgumjW7jSR/EKEzfUYvP7vc3hlvrkCiF8oSChIbVODI56+HizBqjnFiTs56hNx1KMm2
t+Ah+2TrheZNaUTLNmxPiVD+Qga7O1iHN8uwDg4JhDrvKjm+basuU671Q9wmZ/jQsZtr0Xucfb4o
QuRu1Verpub721+7O+BrxXUVG+IBvP7aRFrseqwGLrOhCs+ZKJDdm4H+O7Nso9pnmG5vd0dE3Dd3
G4BiwC/c9EzyeiSuBy0k2FDxwFfKvcmrOWaOV2DWezCXb/bNOgrvGPeJBuRlu28cMVlYVfFpdYRJ
WWTIwlukDFfndu5PYyjEn6bk63iUFqBTUKeErn/9VfUQNbjTEImmOeIL+RINAbrHR7i/N+H9ZpTN
E1lMqqVkcc2CGdZzXcLLpNhgP4UmZnZ0tSxvUCvjfdSOR7Xpnenkdl5JQ7jUQnvdPEiTqbeDmsz0
ScuiP0uLsIJumZKTKc/Tk1h14m7vzLdPExHfSlLiMK7t0O1ZwGVMUlNc4s9hpaoXaEfaSxVNGnL1
7NTWTqq7bu6z8zwATFciq0ScVovdFBO0T7d/ySvt6yqD55fQfyH4ASmOgskmx4gAhTWSDSMqjJvE
BSKTeqrU/ktiCGifm92lTHvn4J+eRhoicj1yquWMnRyXGWrHyM52dnOizK77o5BPobmyQ+b4NCMe
LJKycydZ/oCo7Psud95poJ9wZrIal3rCAwUR89R23ZF89s4JvPqizV6tsM2U4iKKifPmn4WhRc8J
AKC72/O2t2PoeK69DBrMXGibA9FXQ2hhmX5Gqkh3R6NoT8KUUR/uBx81kyNS09uEaV0mC88XUgY0
GMz1o397KCYrl9Kls6JzPNT/WEmm+umsa+8FdF0/D40XQ5vFCahK/MgF3FFaQvITxS7pYdD+nMyw
/pYVNUUDlitue1oKze5KWNLR2anwrZO0MUL2pcXJUx1JiDN0V+0MX6/bE75zN6w1W/jaK2YGYMr1
BJC0RLnSsapJ230oolT95ER9/lGhR/lJiXXcH3rKeW5WWeHBUr/CjTdHhKFJwgngqOnrmw3FdbEo
c5Jg4WCVD5GyxK4IQ6xZx4w+mkVppBMJLL/p22T1XJDhh8zCM9FEmbnM/6lxXBFjjbdmPvwyY0FL
KYPdLQ0/qFNfIqhWftv0TyC30Z6v6x+WUaIrmRfdKaqO7AR2TsZKBOJl4lNQ9FgfzN82UY+noTE7
zOFUqF3gWHgvOgok99srtTsKCQTrRFMXBuD1KFRBSSyjMEIepx58drTqScNsH1yhO487NVsMlGE4
E+Rvg9xeCCGJEfUYuvGLB6cTiUyRKXfIhXVc3kXqrjWVg62w+2nAxRGtAqKvbZWIhJzkzmBp0bnV
nZ91h+6xESX5wU5/rWK92W8WDxH17zVP3Uxg2YR6atPyhCWfVu/0Gnc5FGssl1fYuMd3LvNJ6MUJ
1JH0Wapq/B2bTD4BGUs+gokZvXGYdCp5uvFuQCXU74xMcrm0LYSMhX2PLe3ykFYFbiii508pO9TD
2p0mmyiB0jNs322YicVlEnaSzNr0zuiaKjox5hD/+g/bjJIcI7ClcPm+3maVKMPGrhlENtvurKW5
cTKbovL/fBTCZRDfKwaEZb8eRbM6MdKOYMUXKL/FbDVev4YHt0d5W6IhUFx79jR/V2nMbaiK8L2j
hxbi2U4kp1+cNs7uQd1Mz+aSoGNCwu4rll1RWUcvGoPfzhuo6OCAkvaXccL/DStLWupFUR8kDHuB
CiAmmRFWXD/R0fX3q1Fl5hEU3oAHpf8BpEXDZg4dazlfavy+29RtUYpcsc06CpEZNKfeDNK0ao9m
aB1ocyig3wOuQ+OG/tMWRbEsyPb3opOCGbW1d1EyPdaRZK8mt3pgpFr+rqjG3Iud8BeVzfwXHiiE
GsswfaiMUvlwe7l29rfN/WmQz7/mk5s4NXLasWntEq1bPLh9FIoUNw6B9f/pKGv3i5Ab2Agc3205
ti0VgN0L0jlmpk6u3KXNXZyJIx2Ft/coo7yaMK0uE9q2EqvjUS4KBTsE8lTVbzBivCThgJO3mkwX
NVdGTy7U6eBUcQ+8WU6G5QXiYaXcDE37el+16Ks3xkT5PutR40mUx0rLq5/LSLX4JOsC3wUwkaga
O2WjeX3eZi9GaE2Diz77pLijvPASV5b8Atpn/gBYReIllt+ZqeN8jAZdfMdo1NZPuCySs2iLmn+K
Y039adM8UDy9SkrdUydt/t5nSj75tW7PkjuILtfv0FxG5tWhHZVBmBAq1tTakn7CBi8LYVQl6L4n
eRyu/kAAl/xWSZ3JT4wyCn3U6LCXsCW1SS+pmUVPw9wlj3h4hX9NI3r15uRUP5Kon1F7TyFRuSo4
vQ9DX+FaMU75r6JTi7/TKqoTGMWyMdJzMQa2s5OQHGAxLvTOeU5QiDH9tpAZKqTeObHLzYkwzBor
kAYmjNtlEPHP1K45AcjmJz+k0VFyzIomNG7Vsv9iLjPUW4DnX5RyqbDd1NgD5zRWCyTpux4uLpi6
n5Ou9O/MpHBAfxlmc5mh0H7IgYIbbq6o0qPS6El40uJRv8T96rqgSnL2Hffn8WtR6e2HTFcWF6f4
9oNNU8GLjfxR4PmFIhVmlAVueRVVl2IMP5lDbTxwu1ifMopWH+o0DdHVhxrpNwX+DyU9PefSSSm9
P4GelOTjrVvJf1eW6GxXH50koYLjYBmaS6EzYu0xR9+VYhlqv1eU/jkdYjGfG6OSdO9/MsxUJ/y+
aRslFq46VqU7HyRhFs+DXBifkfIrchfFwPD9VDvdSwQHLHILW4DWVHIJo3Uy7eizjSMAFth5/uX2
iV9j2Os7DjAHRFk6IxSD3sCVo8axplCkYRBh+u2FeAB4famoZ6s1P//5SCj/EDnRbqWIsImmCSlq
tYlySqOoNDxUbfyrg/r9LDtt4v2XkZB5NojeaS1tg5k0iuJhihmJnCCoo7x5WKrQ8Npe+nZ7pNeQ
bzN9wMuAMa3OdSvd/fpOEXZl2xKbMqiiFvEfbck/SRatS+4D7cLjMeNq39K6BNnox9EAL0ugp3/w
I3YuNn4EPwBeCcmhuvkRY6VN3DqhE+SRuQTZZOauMTlTUOrFZ3XGJ6HHddoMUZU3wvZHkdqUU3qn
fGik7t/I+Z5K40PXhX8ltvlgxpr5q6+W6NKmWnXwsu/sNSpI0JhIYakjOZt1mWpr0eWSvdZJ7XDG
PfmfrM37E4DY0L09JTsvjA4bDEQNSHTi2U2qbEchGBstw5fMMEt/yA16S71l+ZgZyzDPMw1vblrb
f77vqLSvGkirShOp8/VmiMIEH+p+rUlbkfxt6JR59W4YL/xb8z9MJawKCkccXCoXm8NkKZ3uxAVD
OSLGHiYRsQsEokaEr1sOvmp3jyscWPY3mH7osdef5Rj4oqMd4ARDM9L3L0EDnNAjbfEmUzEVUI3h
buTBPUmGgkGMXRV3uMQcPd/r3G0PGtojJHeIhnKyN3Nroicx49jnBEuqZIHiqLk/xJMdYNeu+YiJ
Np/qibQkM4qjVd0deQV9r5nfKn17/fkGpuuplFEv7yCTngoMj10dS9l7aUCPUiRj9Hku0+akCkM9
WOS3MR+YJ4ugG6cBypCvVoW/5c52hHxDE0H364HXIhNfEUfMzpGG0d6pVFbWABaq7CZzM7Njjc1b
go9lUEhh4repGf6AXfIIEMo66L7ufg9ZB2AKqAIckuuZ1Al86kyoTqADnHmmRVWyc5MjGNK6Hm92
ChUiUFzEKWB/r0cxaJ47BBmMUqCBMzRaG2jKlD3J+Ao/FZRcD+6avdtXXfcFIA2KAtrmKA4onEwV
920gFXH9zpkR2Yiqrjrh3odP4jKo+DhpKNq3WvyuaMajJu/e9uQ2JTdgr9Di2FyqY6WEoGgYvp0y
+WdrhumDZuVJAAUn/zA7Ol5bWqP7kmV+un3HHgy8vRaQ0SWmqhkY1To5UPUo+6qmluT2KvoTcVrG
fq3F2d8iDw9wm3uXO0wMtBOBcpCEr3//27HozGlpgKmwwDTPECpoSt/Wsuwid3XjzV1cfkS/6Oft
j319Q7e7it40FXSuH5Nuy/WgvWmkIRoyTjAZ2d+zaeanCav2xc0z3Fa8odDVwEqj4r5B49SNJNxx
ws7gep7zFnyWNNMwsb4aUlO/b43OfFYXBdNYdkeg8pxcat3Bv22o84A2qnqXUVADYoYWJRi0gv+q
9T+bIo9ebn/U7s5dGcxgxahmbRWW2k4v56ZjImnm4EuXI+d0p0mzuOtlA5f5cG48tQ/Fg1SrmZeT
1tzdHv+1krGZ1NVHhcBlNeZ442gYN4tFcsXL0pVN9yTLSfaUTHb/1Fh67i1aUT7xQ/JHu7PwfOpw
d6vjenwvkbb5hYJFoCms7C7vJ/tCOFk8DDJwsG6xR8wCNRgx4whrPtIB3CJS7LItzackU/Cz7Dr5
s2EPk9tWreU76MSdsNaJfVkFdzAxOq5hqvKASh3aUopGAxmLbU/0p16jVaKjIURnXY+7+mznS/Gk
98n8TVEicTQ/b28yxPNWKai1BQaR43rP4UVYS3LDLjK6fDWzGpyTnMTawf21c45XJDd9KDSBV+7k
9ShxbiShatdEj0iMn6IcH1RRKakfNS11oFlkvpp3eVBSrAlur/8rtGO7/mQfSEdyVa95+fXQZaIM
44CPOglUmt9VsVYPD7Bg1d6zzQlz1EJU8/dJ7TTf1pvJ8hZDiC/ZZJ3gm0yzh/Wj/leRNP3HrkKm
3UPqRX605bgsENoN6y+IQSgvEkbxH5E3Hd/HizX+MYlihcHTj0DCnO0L4/P6C8QsbMTY18krFO0i
RVnnWepUATOtS39R9d43DQ3QP2W+QHJwu7w9gztvN7kHQAgoFGstb3MVRkqmT3NTEprlQG5nFV+2
rmqzi6GEB7f9K6DizVrBEiF6V5AY316A2SyLfllMO5itvv2k4QX8UEt1+gVEIq7SWt05bkk3/284
juo3iB8jfn2980NqqCBQRk7mdzO8xJ8hmCTsKKfpKaWQmruxkaR/qZKCqNuMOuDXTBhd7DYluoHe
HIbqNxFiy3aw5XcCEYouTBwrhqaArl2vWtLaFvJhrJqSDFGQ2EbrRXIkH4yyU2HlvcDunK2NWjRp
zPUwE6Z6ebs0BKnNOGIa0iZ244ImnZBgJdrMvCpOkos6FuH3IhfRx9YxlvsxzJLskkhZQv8GuCK5
XDl3wu0mJ/l4e/fsdJlWqgBqB6C1wWtvKUClY0lpaGVOMHamX0vO9yltVjm1/FRExqUqxcOA16MT
Ut+J9Jd8lP8Ww/JUzfl91FR4FY2nsUo8Qy4+DhT0q07DLXW6SEp5Uo3KkxzoyBFHoNd4TXqncVXU
OA4meScYoGC54h5gu1FL3NyRSWb2AlS9HZDoAd7sAdjkVa97rW48Kk7X+dYKdrw9bzvvJmPSLUHE
TeP22q5rj+R3XMx20Dk/sixfHpBSze+KCiiwPaD8iw+w6cY1RqVaBIj79uA7bVmEvVaKKO0B7twt
LDgLldCqQPYEKS1g10rrByVsz1LafJIjm5a6UgRSn30sHOUlNqVfOnwGNWmPpF13592iW0RmBBJr
2z1QEPaNRN3ZwRI5z8oYr9X6hcezSKKTE9ada4X/3v7wvUMLBJtE6DX2227Wsc8ymHWsdKWMCJ3k
tuWVMSf39iiv3n/be46LAcl6GI3UdTZXapnIaEb0vHVdNH+HJ7ieXpSEKnold5MomsuU0ZWR89b8
hBUvJLnE0s+mEtXnZVmbs0kxXmhXx48zYnAPSJBpQVZRnZ3MGNtUCL7/4QCwE2mKr0AS6h3Xl0y7
aBjWV5od1IMqHmjjqQG0vtaNI5z6nCWVniJJmg4G3V0LQmFYlSjTEJxcD0q5e4EIutgBRZiUYmVt
ulpZGwev2945oyZpGaAdLCpH6vUo5tJUjRaOdpApdhnAuDCpgI5OUC9l+tkwkvYxWRLnIS8G+2OT
1dnB8OsxfrMTKCE6K/l5tYO5Hh5kf+1kEsM3Yu2hZybCCgOuL/QGnPgezsSv21tvd1JXFJdNcozn
zGZSpSoBSTVQ07BjXXHn0NIvHcR9//81yjboN4AfTtTA7UDSmvaxbwsIyI7UHczd7regg4CfJ+AF
XHyu545azEzZpGVXKj2q671i+ZGNFMR/+BagKaimELsCproeBSdeLdf7gW2YxBGXrfmxQFPt4MLd
24VkmRC24DXRkN0MotpFh/ooN90UF+q7zF6S58Uh0JJmO71omYXywNTCI69L9eTQLz/4xr3wnNCS
hihdKzqum/MN5iCuhjpjJnO1uBhprxBncQFCGRsvKdnjqdN6w5tkaz4ID/au+JW0iKQPp48ewfXs
ClWtTbrEXLhLFL9vUI32a1N8U5rmo93bL7GFQ9/t9dw7cb+PuDnwemYD35C5chEoxUQ5/5lZ6oJj
s+wt4yIdbNG3ulora31FOKGVaYDy2Sxs3fRJL3oelGyUim95U061W6H6e6pbmOAxj+zj0iLpWMwS
dqmdcz8i+eZPmi283u7/qRUrPljrnVMDIA7KD4d/NafYrHXjSHZPvmIHEVJKl6LQh/v/Q1y6s65X
o2y+exlwVI7We2aeUKBKolAPUNkyaZe17XsRzQmqckfpw+6XcbHh6UyFjB7Q9V4ySmmUnPXW0XAK
J0pcMOZe0/jb+2evxQtUBtAAVXG6glsuQWhpAmv3HtiJElsoO9WjfifJdEoBCphnu+O7OtNJv+ma
mEoXPyYZ62nZkIRHGjIZ90Y6LLaL608VYdBThL/6gcqz60jlYOMFPlitmxcGep/KzLmP6lKpXK1x
oCb3y1xT+KEsvxqVOXnkaT1/upKo1yai5eQvxBLRi+Zk7ffbX72XZ5B/4iYCuhpm9tYWwkTZWSnB
OFI8UocPRu/EHt3X2p9iJT61kWJ/adJuDuYWj/pWn7X7Uiv0H7QWsbo2wuw+FtilLz0oits/bOfm
BGe6Aj35VYCyNhcIwpM6bluoXsSL2bjclK03dCHJA/UlLxc5fTF8PoPB0L7acjN8vj36W2EKtOCB
jyD1AYTUQJD6es/l5KkLfYowIIsaGs/By/wpDo2h8hIHnlkxKYrjC7uNXpR61WMQSzcmrhJm71Xq
CdgYDy2darsggfUlmsCntJ6yOEjLJFtvAO4UV9iZfvCzd+57GLTkjCv1D+Tc5uW0JtWQ0nGtLznq
+ES78Kc0mt3ZyWJUCwZkGCzKXIHchuYBhWPniL7iDV+LcbRpN9eCk2bpYC62FSgzKl6uY1da6xp6
lR9c8m+vH1qyoBpXYhTuCFsQlZxZjVa2gxWErZP5siTilzhtUs/QJ+s8kXC4uROKl9ubYWfQtcEB
iocUkWh587KwT6pKKJhQ6KHa1u5iO/P70lG+hqbaPJbVUvxsrMk8uM5f4TLXESQdCECJUHEgfQOs
u96BRaFNFZANwKk9sZIfygKDu9DuNMtdECDvn9tqqD7JzZhEXtUa5ackbLWOUDrsNSIna0UU4pc7
QIIttIcubu2ZsmwctX4VmaN9mqmDtV4fA+T0Ws3IZQAlofISVtC53KxNptRzsjJVH+1mrmvEZ/o0
cuO+kVu/7SftR8856EBTFZAj5CYs/3EKMf6wqEN/S6yyg2SMumTpNnraDH63tMtdA4umDtKWo+IX
8mhnni4QUXAVSVp4TzL5hSqDLLvovHc2xsKhyC+hUdaOl1BTehySLuv9yJRyOO+SsbgUsIxqRaks
g2fUUZn5IBQrwKr5ZAqfbDL7MAmrT07znHwVhtRWJzkMp8yzYJJ8m8NB/zDZSV25dHan7AEVscn2
UTccraFVgozsPfdNZzERSB3y6Ylfnz4OTd7onpgLAUy2lzWQgn1aHGy4neiCyi38RwInHLMAo1yv
PS4cCZW/2AoQR47uqXK3L7NBDcSOFA3ZTFQFa6UKnxsHXM80mc4zyhpVUJo0jVsbtIBuVX+etamo
DlC5IB6nhrDN2uLeDiO71cwgc8Lsoom6P2NWWp9uH7W3QRyjwDFFbw3sHCn09YdXmR4nGGyZAbZs
2aUhtPUR2fBxCpnIFMsjfdCj4TbXVqs5bceNYgbQrUyvlavm5AxApWVrdRdIhj/Pn6iR07Kgg4m1
Af3w689LMqmRFmk2g0mrmvPU0fPOKmk8uDrevgKMsqZOpPVoKm2Jo01rakj2t2ZghqrwtbCdPgxa
pAFzlBgPd9tHC4SHtyTTEbNu/f2bOwspD4of3NLIiWyhE1lUOXk2VyZe20Ly5qxF7kzP6rtEWMOf
KntTzHFIaoD107cEgrqZytRYLEOMRmAsTnPH9RLeDZYqHzme73zRqo2DDQJoiZXHfz0MhZs8KpLS
CLJYih5EkqqXAdhWUNZWefCG7gwFhRV3YjLFVQV5c+HrfYxaQRHDqU6kEo20pfawl3D8qlyOCnC7
Q60KZq8VeRoA118Vt3HSNqOjB4WRlAExAn3CUR3PCpfiwWbceTxx9qLpyftJ5XGrNUn3suniRdcD
DI0htYoQcb84Mp7lJRFflUaRzxRKl4MwYacQxzRyCnToy6tX5gYtICuE5xgNa+iUUp6oRzTMpopH
NLP0+yETDTqHg/4yRurP1NGSj0IDqonhRxJMi+MgmGUo9wtiFL6Z6V0Q2SILFrQ+6MyICAnM8PPt
W29njl5Lk6RuAIWp4FwvB8lxSMqx0OXB1p7Ljrsh8HSQf5cmD+PL7cF27jwHzTUUH1kMIMrrj/mt
A05j1LFRRtIDDK61BwJC4yzN0oCgHQYXs5SPf0yvQFYIOBXoWaQXiduuxxuzauQIg3oOF6CxjQLF
N7fz5OCrdnb0KyuMSJ1lB/5+PYqVDmldZQmjmLP+YjrZfIqypUPOnev89gS+jXW5CFZWPG075DW2
sD08drJCSy1Ks3OjvAudNkJxIDnKf97y71mllX6KnCHAARxfrr+ozq3JQJJTDdBVlO4lxw5fWhFV
9AORFBFuokvlya6r6Q6brOnfvGzmoJj06a5Bm+GdBaH1wTHpSBtJXS6otmSZVxPEYnuRxG5vxUvr
LYpkvjeyeA7+dIIoiFBTXmVsyai3WUin1WVnVraK1AmtjawKf9p2E/2XQSjpQ+xidjg319Oj1Eve
I5KrBhhPD0ASy/a7GdXFp9uf8vawoLuGDsIagdMt2dLm9DwSKcx/CvqLElLF7WNv6TpyN7AyqAAn
h0TLt2/39YCbXEMaiVjTybQC9X85O6/muJU0Tf+Vjr4e9MKbjem+AKpA7yVS5A2Ckih4IBMe+PX7
gNuzwypWsPZMxLk4CopKIJHmM68RSnc+F00d5nNSvo11np4nlwmkSq0fAtrKDiorPelxOiUhukLj
c4mdEaGt491nNpIgLvDikDDAPW1FqZ99PS+ftxuPSftvreGvbay9xzTSRQKSdBx8oHIZyJ5AUIxq
7wPAMI586AOUDsaCQUEpHd4MqoO7XxpfGg/MHB7RaazlARy/ZqPVtRbQQJ7CqBK0K5BnPlNF3W6Q
+pk3Q24qgV3J6sgZ83nj8yDo1q81drLsT4vBI2+GUeOEU4+s4RihHW7M3rE65gHIJMPwnvRkICQB
r9l937haijYCOEDrJyZ3gRV2GkdJ70tXkllbAuWVWR+DAqupCwHi/GykyH3k+x56VWJUyohQU6HB
r/viwyVRZwkpL7CLMIkdE5fApA4MtTf/8klKoE9SvSJISC3UdTN8GEUVrlavrj9h2o3OJprH+TTD
p3779Vo9tKVWE0HUe1Z1jf31o/bNBEtJX7mDDqBLV5tOtcV5GxOHUoiuwSgb8/JcJwY4Evoc2iTv
Mtaop5DT7Fff0Q7tokKaTOIinIuutaJtGxX4WWvVsaEOnVNAsQi9KV4Ch9pbM2jmG4qY+V5jP1Wb
IaOtqGlphvVvx6VumX89kXlP0ejTgVgm+t77chpKxq0yjU5o63N9pvdp4RdD4h4JHQ6+Fef76h3P
AbwfOgzajBu4MlFVqhw3oJ8lKMGk1Wlajt+NSRa3Xy+Ud+jGbvrCW63dUGIwwsf9tDunSahGiWuH
c1dXyHz3XuBY6bRJkPQP4tgQfgtD5hT9T/t0JDwIIZ+gSz42yc1SFM0moWLoKxA6SEqw8ih6cwxm
FTLJ0Jaaj5T3cNVjN3KZ9GSyc9eiuRzZ4tK1h3HTLyv2c4znM4eEJgAkpta+p0nzVDQRJrwYCxjt
OPl27fpIsLt2PeH6k1kn+mxkF/WEuMF/CK3p4rRp0FIsIVIKZWnPkYLq4dKM7tPXk3Xo26wc/NXv
HjTufuvYkL0h5oVKnNIUelgUeRRSsgALA3+D/rGhHcH/HtrFnIirfyTdLGMfzyw0mRRWSnW+9XTp
N11pPFqdpd3IKDMCiQD3CUJnVuAB4zqyjQ+chTQDkDTzyAABTeydhVNce2brpJxSgyUv+wlNaa1o
29Ov5/PAYQFejxvOoVkIqHEv3AOkO+U2rOpwKDpc7gpLnKZGfTlZU3tkV33ONqhifhhp7+4uSwOJ
5yJmV8WxFRh6NeIAAEZcWUAKOQpWp42qNP+TSYS6QUi4xmz7AvcKdJJOthmHsFVNJ5UnFLo52TE4
9TsKfG8Hc4+suqIIQpF17MUKKU2kBEQ1dydY0G0NxDiIvJ7ErZijUI+N+GwxBvXUpY4M3D+dznVw
q1DjRHFaTsgnk+p1G03tzDM1MxDYKYdi0ynpb9GN+hWACA2ShFWfap0mzrt8eF4KSGieBgpqiMr+
ZkIw4lLpIjvoNJB7cRZVMKKW5OTrtfJZwAhdLsyJmUY85Naawe7F2Q2Vl3Zl6YRGnMx6qBlCEUGs
GO7PQtAj9NNatX0X6heaF+k43+CrYDZ+ZMn2wh1N0W4kgvun9lyD2ELfSP7IO3U6Vss7tKJp39BF
Xvuk1n5DMpFJLExBETNvemSKVKUKxnrUzzvFOoakPDgUp9EKqUKgzt27/hKlSWNLKxwC4VxupKc/
wPDMTtsaGMuRqT90GqwKuf811PrzDzFLXRZ97iS2HSq25Vx5TiLCNqrzSxM+Xjh5kXipyBi+pS7h
Z181jh9TjTtZOu0ui5Vl06GgdFbA/jgSsB1IFyHfrr12AkYNMsbec1GpZ3IHpsBMbH+0klBgNrt4
zovmLTeJAgxS1UheTFiGSXZr9NPpoCdX4wox7/P0dhbKma1Vj7XVBbOhXreOEoxLc0wX5P0K3d+g
BNBw4LnTOcz38nTKHM7SFhR4XUWJ6KL243zhWfGw7dKOQjyOOWGpt+I0xpvBF0sNASpBcElPlgFU
XFZu58kYtwoy59u8nLNTpSjMa6/Plkt7tMHNm3Q2MnvRnv5DR25grImVwlHP51MUhsctYCGTNn3j
HjndDuDqVuozEeZaWeG99uKheZFz7OSMteqy/ZpFW/vo8QybTDWrM3oOXaAYg36i6OVym3gVGEcv
JYcvSwvDeULT/8EipdhG84jrCgeTvcWATeg0Z5lnh8kKnmmbEj0iPTZPrMgs/axYED51lRQCKpp2
amG/NUM1wFEvcp8AFT3FRu3DBsbrkWlaP+6nj09NAGAcfBfw4rt7x1OADRVc8mGbRJeETtWDncfy
oRsQdRWq+manjjgtYQeHxoKq4deTcmjjkmzQoUTXCxmOvcH1ccgzO4vskIxn3mgp/AuCJe9ISnMg
LKK+D556nXbkw/aChV6LxpYaLr3CGidTK+rHy2ouvptwPLZZ5/11qBSsOrQZAXPSDEVrdndGV5pH
nzaOHfZJ5GyjyUg3UkdR+OupO9CPYhhUbExqa4B935f/h0OvbBNDU0b6JFWe9z4aRUVA5fhp0aW3
mfn/l3FGmaNprHMjrtHfda9cxdok/fT49YN8nl2s1VZHNzqeDqfd3us2eqvZcTHq4TQXz+RcemAp
8KZjTNTBvFXdkfX6+VphOBDe716Nn5VhpDXgkGZXemguitL7QLx6fyjK5EK3a/Mv9zN2xnqvCnyY
YtKopnXKnHpWpE6XVZH/iUR9rKh4cP4wSKHqS5hJk2Z3uRR1lFuNDcpznqG2ur2nbo1Z1Fun6Uit
nPlYgn9oAgHsgC4B7wk4cS+oxTl0XtHGWjg5ovNr9O1uCP+qbWtp0/brpXFoKJBJqHNSpYPouf78
w/xVaon4BMJZQB8qddunYG7UzsUhyonyI0MdmkV7fS16TzAs92cRKVp45+j+k/WY5o1RC3HeRFJs
Y3CGF5Go5JFluK7q3WMTlwFye9DicDrRBt19NY7rOU/SmldbVCpbI9WpbYo5JZlhV24jVZYbBTLj
Ziq8Yzvg86HJ0Dqlbgi8tIv2cR1Tr6d6GxdaiB93c1LjReZX0CaPTOjhUThaUAtDrW+/erHgSS81
N9UwHdXMoOsplCCTcMyG6dAKoZVHCodMEUHp+lk/rBDRNwJIAZ9tVUeHITYvOAyKOZCmbI680KEV
gpcCVTwSHtBVe+u+NJH+qhuphWrWFn4WT/amSXp9E8t+8Du4x0dSugPxB1hjqPEQ5CGQU5zcfTfp
ZTT/q0gN0zF1g7JR8kvFRVzIVGPLz1Go35asosQ3kKUG0xDpp6pUlzPwGDJoKucYEP7zVPM4lIdR
nCH0B66z+ziVWmsDD4tfWutCalJlGo5cYCGIiW9fb/vPM7070vokHz5q1JLIwmVQQxI3ezvXbg8C
M8fvKlHLLRSx16+H+7xSLWBVaCEiLkNctu+x1SLAUJYVL7ZKg5x4Mhq3hVbJIyTVA9OnWdw8lA3J
8whRd1/KbStgL7W3IE7XVmepVcRhBaD2jPzzWKf0wAsBZEXHiahsPV32btQWWGqn19YSLhZqzegb
9wHInOxI1nTgKzEK7TKXDvAaF+29UKRavWPrS2i1iaQ0X1xFeXStDa3N4piPQac+vxO1N/Aj8DAg
9XPV7Y4m+ogpMyY97HVDhiipFKj2tMr3r5fC+7fePZYpSsKtfwfbWp9kyr1KlnGhNmrY921kBKM6
RS9LpVvGRo7IK/mD0kb5ZiyihXgW2+yLDNCzCOOmTvpz/grSWD2SQtUFBNpi8Xu11B40B/fHjc5h
sQGJGt9l2VyNZ1G1iEdcHmx00YSXzneq1/wBbiq+4weVaX4k+uUpW6Jm9Lumh5CaDIpOcyIbi+Im
cUdbbkotkxo4JoWllDcAsCen/q4Wo9bjD7eW8aa1y7L5eooOfAgyZfTUQIOgGrpfplBxuq4Me1DD
qS27k2ZKVbLTJHn+epQDENYVUYO+3aoMg1/JXjUkIZaHLYdKfDQpdHvTMbmuqqVBnxDtiezSErOS
rRPnpZuoZfP60D+cOcgy3TqJ68i8T21VfOuWPIKECbDqyOL/fH0D5yD8QcCJiOuTRvmo5qk+Vfkc
GpNdXazc1I0xJuV10ymgIqCDQONuqxvMMY7p036ef0amyU/djbDd3q+fY6lIL9Gjv9vgOXGqAzjd
GG41HHm/A6OQs+EjCuIIIsW+NQAhnqmMGZu767MR4dcFsXpzso/Y3xyYRXrtq8gghT0NHODupq4b
3CnZ1kuI9HZzbWAb3YNSXJmDql4FldsqW6Wc+40hhmMqCQfoqyseZ9UHBAjEQl5n4MMlI4vGGOSs
02A3e9LjZCqLp4a8oDkvFH2RfqsU8rKd1Li6UPIGBnFijHhtxOpcK35mKK697RazexUiGS7J1pPo
xIxm+d2j4poEjVBgggk4cQhXSU/xvWbpJ1/WlX7dRZAsN4PUsmMls0NfjZ42wRqAWsRP9uYzl1EX
Gw0uJHKR/aaUcx16Bhy0r/fmsVH2AiHNko4r1W4J47pLL2zgYUFql+6RFfj5vuT78IUs0AYgmvbD
rdHNRwXJL1ZgXkm/blLDN/NqCWIOoCOp8KEX4t63kFcFngHsdHcpFNWY4WiSMVRsqpsig+aeuZO6
+evTBmoGtgP1cqDce9MWAw510tmdQ9IQCnZWOW4UIzoW3H++lVfIP9nSO7zB2k+ZGrUpJ703AffP
RvK4WEN3AtitOKlR7QlKWPBH3uoAZZ/6Gh1tjiIaRp9AOuNiF01PQy8sgU5fFJ0+1IGWLk+xEaHP
zTLxJyGqYFKs6kfE1rohnAO03ArlZ1Mt7RnGJwNeRACZlUFFoi2twcSMujw1G6nSLs9+m52afGcn
V0dOn89TtW4UDlJCCtre+1eM3QqnV6U5hY2pjWEG3+Gi1wvjW2RNOg6gvX0kzjwAelhbQWR9RDF8
oH0gLOCAok3WqZql8G7LLI3P1al+6o2qDSdd/W5PRhYiKgIfBm3CU2L9EtVacUx37dBzUOleo921
08tdvrve5Rxltjp1I4DHSvwA9lPAc6JddluLuPmjKFRDaDKPZbU15DjfVZrTOBhSOa+VOZbH1CY+
73OSKjYe7GVEVNjquw8zFak1AF1btb1pwhmN019aCMNtyrnQjxwpn/c5cBNqCStBmULTfuXCyRL8
fgqGGoYxfsFep9+0wD+OBPqHppeyMSEL3Ryai/t3JxZGnj3YxRhSWf6G8k4UFAPtzXlB5WUqLpfO
Op+c0QwUfTizuuwnef4xINWB3JEcjWxmzWeY0330oT5bzlDMyRiOOZpHllab2Nfp8U1hGtKnqFaf
pqlnhFPVl0E3zu15lGG6UKdxF5TpYB45JA5MPMKtSDDRa0deYB8FmwtqDoNiDWGZ2sa9gEWzGfs6
PkJ7OrCSYL8TLXKd0xN8n5MPN7omXeD1LaMgTyNRzI/bh24Bye+ritEeeaP33uZuorACCqhX0psC
V7AvkrIgTVE0QutoQE4499giCQC8uLh5jO4ybabaVBbfUmClncihwH9bK/A1D6xBgQ/fRqPZbTzY
WRf0maJXq23SEu/foivOhB0Z5anjdVTTsk4agFnTdmu1DgL8hhTpK8jAwTuJU4sBEuwZFr81hJYj
nOE6mV8Dtq98yv6V5oM5FTIw2zo6NTr63OgL6fo1bPrlMnVa5141J9yNVdlV7SZyZjX2kf9NqgAd
936r6agBBlpkeZOf1eqABsegt5dzJoogQyMGPZ4yr15bq8KtvVUV7TmllHeV1ni0nc7lbP8q8O/R
ty7OOjUYYThwQZTh9OG3SWNOm8K1+uHS8MqW3oSRIEiYgD8DW0EX9+uL9xNwmDAP4jGIhlUol/Nu
vQg+LAxVVIqJeBk0FRBYW52r8DmJBnmCBpF3DWUYt4Euce+KyCpeXCWPz8x6dK5M+q8+AtL0o1KU
toU5NBdN6eizn+Wq99hwLJ4CTM0u6RxmfzEiWZ8YX2B0yQHiQFbbO6EbIRTI5b0MR7NygmRZHMLI
cTkSyH1q3DHMqp1AO5dXJa3YO3vHEXEC1pgMtVHVMYbMOpT0VD1JfWQfKwSgSF0x3BvTLtm48cpV
Guy6vyg0+aKXZY/bnw5qNphH0PN+nJhT4XfCwNCrkzjVnQo6aNDks9a+SXssSJFsSoZHJ6nH38VQ
4ytV2eVZNqgcfziQ2X81heTtQAwwg9QN1gbeXsBVAP1MBoL8sE7s5NqZZXppFIl3p3d2c6YpFOKt
Drs+HC2a+h7m63yfOfXaDZjBnGRmJvRgaWvjbvHMY/Lq+wfi+mhcEBTSCNShAu1NfDVn1B4Eft8T
dtNQB40kzOv4mAnFfnrFKPQyGAXcPIWn/XXvSBVrGToOYTI3xTVstPYKTtgQ9GllXYmosq+Qss23
Cdq8x7bcGjJ/PB7XobGgQceSxUuevLeAo1JHzA+zlrCwysfSrlkehjpWfpOr/cOE/dN11EI1Ntvo
WeQ2As/5NB65h/evA4t7nu65y3UDZeZTVI99r6WPjjGEw2LUQdrY7blsEuWknwguvz5hDg61drC4
DAwARevn/nDAIKmqpJ2LdtuSu29tPhtnc50+2aU4hvP/hCNdX8qmHQ1lGlYB0MDdkZAbr0vhlEMo
I6xc1QR7HyfPjQd7bvDyytF/mZD+20Rj0XzL1WrZmsZfxsrzDOSXa+TokWXATN19BjteZ3vw+nBx
ARYYadkFi+yOHYEH5nTNYjHCIQlEKmlvFKhAHpzQqIdeW+XgBNsogFPcX5TUJY5c5oeGgnNkMa8r
pOUdhvHh8yUtcD6ntnvgFYW60RAuPK/rWZ5P4zGBvf0duU4dtFP2BVV0Aw353albLGMak5hGfOKo
FeAe+i+9a+WnjYETrbEY7T3upl3oTiicfb1E37HzH3fkOjS6TpSgEZ/6LKIPudJoRtH0YZzOPeZj
huZboke+wEOiW0uWqva5++UDlvTUNNTlxO5BkvVaIy7mxBOnkZ44G7abFRpGmeOVZy7fZFRlR5Ky
Q9+CJHxFIULP4v92Z2igrRElCHGH6ghUwUbl/qSJxbAFC2sdmZJ1V+7OiMYVwHdYI1KqjXt7iVRj
7rEVl6HXCWzfzQX10TGajpwN7/C0vWEs7lYVbP0aMu6HpTKP82hIaxFqjZTWJp/b+aehsgr8eHbc
8wmjHkgfWHFeF1PbNv5s2qBjM8MaPR/zYVH7udFaaSgqW98UiWk06KybzjYFP4vjjIYb60lUq8R+
mTYbbyKtZO23ltVyf+PocE7zSLkaI1N9gy6swNYpkvjFoIfDLV/IntK9ireuP3tjC8goa9I2KOzK
/T2UufpmmX33XZhGHG+yoR2qbY8VBjKJg+Veu3geI0xuJdNzqiRW5LfCzB5hWWJwp9vDkIReZDkt
hHmtv7MGDT/X2MhXeSD0/dWkXL6VeQSmiWSMqp9RBngbL99H3UjDzJS64yto7cUBJUIX3K0t2lsz
ghfzF0MtADU019YYYWU4gs3fXXCF2xVW01oitMqEY3XGKrrNzOrIKOuFvrcI6JKszvKEW2vBZHcU
BFtmwMmlCEG1NpvS06MNwsE5qBy628JRog3Yx2P3/3tPaXfUFUKy1pxMsi/c4HZHbesCghz6KSvL
whx8gRTpvKnMVDE3c6KYt0LX8ptClO0YLKxRE5XFRv1lOYm2dZcZYkZqz9EL+kDLuJ3tdL6WfV5b
J2bdtUlo6kjqRk1k57S0SG62E8L885ntNen9DFMVQ+QEGvM2lV2k+xUGEtvIS1D4MygwTIGSGROO
RauY1IbaMAIDTtnF0IJju+tDPEbSHPkKTUXu3pCYlWJDNuEfXs2jdjIKI7L9VjqUlGZ2rLmy1GcV
ay/GMftvCtve8s0RheSAg1jrjnzNT4EzXhEwtCCnvXejPrlpVrJTS0W0OdUaPmemZHRby75fbtNF
5CW0ijr3dbUxKh7CHdxbWeaUjqsWY5ylQB3rTF2G+s3olxR8HMRivy/Zq4GZqpkMMokrNltsKUgR
l7bbZkIgL4ssVfcEDM677rl+U59M2Bs3YzXX5e2Ru2JdjTvrho4z4AJSdlzhoBTurdYk6Y0u75s0
7DBjhp4zmP2yMQ1F3kazp2AC5Ca4TQnXg7ZfwBtrNsMkPCRhmRQgQnb2OHq4x7w/1f/6Nf3v+K2+
/b/jt//6T/78qxYz6M6k2/vjv27EW/XQNW9v3dWr+M/1V//fX939xX9dpb+auq3/dPt/a+eX+Pf/
Pf7mtXvd+cO2Ap043/VvzXz/RvrRvQ/Ak65/8//3h397e/9Xvs3i7Z9//1X3KEPxr8VpXf393z86
+/3PvxMRfPhA67//7x9ev5b83vXb+LeXt9fitfr96bfeXtvun39XSG/+QYSL3rRG95LdTuAxvq0/
goPzj7WTRpODZHKF6P39bxXiuQm/pXv/oFmgk4MgwI2KMXcx/ND3H1n6P+wVegpnAptiD8Lf3//r
/Xe+1H9/ub9RKrrF/6ZrGXTvVnfZJ1Ty4ekYq+APvly7B1FavLMHh+5ZtcYJp6x55LARi62RC4Bu
8IemKCs2utk9D9IcETuIhCFX4pvV4KEl7d92lQpujswSj1k7T7+rqPbyIwHBftWMx4RpynlJTMvE
EKDtPqZiC3MpJjRkVzB6sTGt3nsCcoozSJfVj0BpOgctIIQlfFNa9TPwOfOagpPyDFBjmH3Kt8Wf
D1/63zP5cebeI8IPW5HKElpmuMzTz6HK/qlFNiR6ERvuoP+k7RQnYZzXzp/Zy0xiFfwS2hWHvThB
Y0zerVtxAPsJLrZPVenlPyvNExde52Efo4zVYvjU6ReQfvTzp9Mqdzh7+nlxrlDPwKtzgBX2zV6s
8jSBMHexlHF83+Cje99VvfK6yKG79FSZPS8o0ExbFMLGajN7Zf2DskJ1bbqDcT3TXBGbMqtU/uVF
lQtiR7abnBaWNtyU42TdTDiAf5+1OUEhsnHPFEcZrU2aWEj249mX385D4/xKGqs5i/vB/AkVR3kj
UJRXuNBQYlCMuXrQMPG4czkpbwFgVzHS//NoX7qiMZBbsqfuqTZzDTqhKhbdl6qsvTOu/+G5Go38
Qs+d7r4e2noJEDKQyhYbmqb3MyoE+l+srvDp9JVEs1YewK+Rgu+upkTroMhi//xTrQz1zs2NKgnk
PGu3K/N19gkH0YPPxmG+XFJDu0XLGEsSo3GB8ypN6bY+IsjNNSLi7t08K0bmg+tQzK3aNNEtbHb5
lugGai0k3yWyubFw9EAM9C+NsdTvHbu3rud5GM+klvRvX6/KPezo6oAFQ5F3Q4URLRuq3buv1sG0
1/V+KZ+VpIRuQK0kAayJKtZLniOi4Kco7T+M7pz/Sm3KYziME/5B6K2mFys2ozu7jh36eUrcnRx5
st2riydzwelSygA3i5gvkc/ukxWqUvcTl/DLJEvxvUYdL/M9O1V/FEMpQVXE1HgCo4xryjquca9K
RUc1I54cl1uNlhNlLBXg6ZGnWrOW/97F61MBsyXEhFnFf59Ypo7NqDA5wNQWtnZdq7mHkhKk/Ud9
zrFF6mg26X5PdCt9Cwu9l8EUznXiDvVrp1HC2WSmoj/yZ57PFZEJbmSBN1os7fCrtKripkjVuPdV
s7CP9Ub3uhnvj05tcEXCw1fnGFqP9g/Jcakrlo6ZgXxxhaK8ghC27oFC16/tEGc5Quoy5rRcrJ+9
ZSOD6mpdSQUtT2QL0c3Nj4FP93Ah74+zNq6s9T6jpLvfq009Ly6FNNsXuXjiAWuunoVXpaXj165c
vmtGLmJMsIre8hfNLpXt1K1LAP3o6XeNRRbZlDNalz2uE8gty2U4JvK8ByFanxCsJoIFqwEEYdQ+
jXI2SiNJ5mh8AbQq7jJNy5/A7q1BuD5KXFnIArBIQB4J0saA6FzXCPucU8h+REAsOh/txfm1LH0a
+SNUeWr5jdM+GGns3PS6Nz4PxlqonwcvunD6AeGjZmjqP46iDlOYjCCiKBsPzxn9AgBzXTZdxr07
hGlu5TexacM1twepPNGY5WvNrdsoW2K35I9XlcqNiZ/yIxKa8300LHF1bG+uB97uLnDxFHgHECK4
9UneZdRUjJtzdXmJpjghrvec8dHLrPqmrvXkp4vG2be4y7UXfepj16ebg5a/WkikrhdHWzdMGz1I
BEAaf5x+Htmhn56NxiCnGRoKfDHKeHshb9Gi+1iZcfQCILMpfCjEI5mryUbznU7lfqzdrPxW6P10
XWSd8uhV1WgFY28WpMCt1d14ulh+iqS133ozm5ZjocluBMWqIiSndqOyuOADE+rtbkNpRwKT9Lh6
jex2PuvLlkK1syzlrRBZfK+3S/+Tk9fqA2WU6U03aulLpMbeU6214zV1wfmKo9wp/T6DBxIY376e
PpKCvW+L9C+HhL6W/rj44BPsPp8zepPSOoX5upiVQupHYzIK4T/qSYDLevPDQ2yQCGIpYSFWLa5g
YVVlURFMk+itMzfLzHariIy6k4gEPo5DZtrpqU2oIFDTHvFsUUu1QqlPjhG2ZDNSfuyctnsAm2W+
CXftsrpEJucya8SPshTZtyIRaXQOvGz6NeTWGjG5rVqeLYO5pKHhxS42E8LpXkTeSyvAdkBMG6Wx
it9Dpmf3YJZW2mBtjxdwe/LiMoWjdS64Fltfemrbbxfc5xA2M3IjvcsmAbW3E97yE+5ufbbYY/2b
o7x2f6jKnFVbAhMtxgqv63/ZMKKWgAQ3Vk/NSa3UTVq55UVPhMsZPpYprTB9Uc44VannWmkO+a+2
7CgOeloViKDJ2X4soqrQ/TpRjBWLa/XfbXtu1a2uZq57waWCj7btiUxeuU4j5wtAldGIDSDX9Yne
2pOJqx5ueCemknd60Op9/zuOCu9OTWsXmz6J210clwUWAqDq4mCsRta5tI35LqMz+a2bMArx5SCT
yZ+gUEW4gpbiHuZcc0/9qoEObdv1vZp3zaMkIP1BeLWUpy2qMdda2cQm0U7MYbhgXWiFYMM9lfAB
UalsqZG3iifdeM280Yi345gUb32pyzJYBd2SrWWI6lwxo+iBk8Ei5Fks58dMIluCD+5tfHd1Nz2L
E3t5ZCWAwqI57monWOu5t21slT80h16l2ZRx5lulU/2s4mj61fflXNPRnJSXJpb5gxpRD/b7zqPv
OS5zCRU+mTwjcMCnUJgCJ4RHS1lr7saaYoep6ez+1HDTzrxC+ce8qbTYSrZ5MgBWmlJZ3aFWXv7W
p87Ofag92vycVZIFIUYxcoSriSWRE+XsI+StnhqObCT21T76bRKhX5pJa14alGhjP81s6oKuA+vK
XwwPQCTN2v6PU0UxDqhlWXP7OqlJHCPd6icAbQfJSIfSUous64AvTRQ/KI2r3QyFJ66mLLUc3+2S
JAr0rEPEuuu9iPqUkyfPfT+33nnv4LMd6iZsW3T/Yvepw/Qr9pfKc55SELh3CcI6pZ9qorpVKr29
tjBd0R5KLYnZyza7HDND2sc/Rnua7xMjrm4bvfGewQLVlw2+WYoPBR77WGh1quXXGmK0PiSsBK+k
xDJeRnPO36payScw71DdgmFUq9PGkV18XrfUec4rJ01edBBv7tmKJ1xuqDX2aahOaz+cLmVhPLTQ
on+gCDiYgTPOrHCMFbTJRzJCsf1yUORFgc4QZ+tSPI6VadwPiA396aq1G+7lrA803Vm5uTVkWw8t
gAdlrke+ZJ2mP+dOqTDULm3nG7bvzblFwO36IrGB++bW6rA5q+2zi5H5nWrFymtvRvJZm6GuUQCO
2huOwY7GGEnXiyJrcV/YzpKuwlXJbYYDn+lHlAwFhV6pMbcun3m2hubV0LL4Z8ORTlNa63MgVJV+
WZYpnOCqdfjHHT1yL5wxWx5z9lQDvX4qFTYR3a/WTKvfc5NgNCTmHEED1RM8aASH4Fl2rio3yaqF
tin6VNzQGzedAEXLZPCl0eke8m+xmW/yVWU9Ns3iVspxmjZcnxmm70qrNr4u1OFiKuz4R9OjQu+r
WaThulUr2nRJML7U26jua24CId1rsPKiCyo9ka+lM6Q/y2hGq9aKIqUPYjm3awPc0hocHPA53Xba
0j1FMtPS7YhOJp6YlC7vgJLJp8qIlGtY70Xqxy3FjTXtaM84W9XSd/K+swmudffJqqr6UbWleuki
x3ht1UNd+mMri9csVRW5XQyZmD5NqZgrJp+tq8xYtCFonIiHiFs3uYrRdLhH5KRFVzeDdOJnszdh
hTx56G7GkZ1A1zA7+1ZHsKzwUwyUf7OgunMsRay3UZ/S70apyW6ltzmvrtN6j3HK3/Kj3sEusnW8
57hL+0d9TOx7kc3FS5MQ+G7j2I5w4k1n1b3rRdWofM1x+FG2aV8EOk0sa2PDtNRZcelMOSLLuUib
Rjj3sZZNz4uaeDfU1SmsuLVnPA8NDf8Nhhmc1pq008BO8LsN0t4wgavYbfdoIIQ1n6RqU32Pp3gc
N1Omc2i5ahX/UdFV/ga/jf6EjPX+W6dnJdf5SHLtN7NanksPCMG2Mc17iWks7ugoselLU55rQjWx
rlURavMytSt9WrjejR0p05+xFT8QRzg3MLRVue7ycVuaVnLlAQomq3SK6hI33eVn1kblExdtM52S
9KgA1fROeTWHOH6op4F6qldZzplWI4nnY8Jsh7VrU3GaF22hKJHq3eiDJfUSvxs99c00F6ugntI0
N94Qk784xZT223isaDx5rUaalujlQz0v7fVQlYONt19U3hIEOPfp+H/YO48lyZFrTb/KPMAFB1ps
EQKptaisDaxUQwMOwOEQT38/JHnJyqicDMuezSzGaDRjN7vaA4D78SN+UXjXOV8333gy9vIdSFbz
vrMqssOOcvwO/XD3gccuF7wB655ktlnqpxrWx6WDYtvpMLejfuWDqEn31NXag6uyOtuWxJdsCwWN
Wt8hwG1cZw0zmI7x7hRl44k+pNmtZ6vBwl/DDO4XA1BRmFl5f1YUy1RtuiUG3cXBcC7magQun3jE
tFZLvAuQYf4D8Iu8DIOlmJ/ioGTkgY2a/uDWjvsFs+LlO0xrXA7aTPjYDafWkG0UOM3k2RvwoL9d
K137ZhplZqGrnQoNWsQ0obiJ7YlkjyjXSTe6GbsPVd5Y6A0hmkIsY6xHU1xL2+wWVFp5IluUsC8q
u27OEJnM6Wfok2efqsQaZDiNlRA7ZrO0lTpMQasHO1ssHm1pW6XccJo7N36Gf9yoy4wElOpq5F8Y
CtfU1SY1lv6b36jA5g9bXRxWrRTZqahsZf0lh3Z2noq86CGnQWR8DhjJ6ufdkHoGI9I+WNbJdq1C
upplfj3jtobsbp4IZ+d3sXlljb2yf0yLTzLuWOrSKcfOPBuwmZ530OuWjhbh0Nk7VxTJdU94NU/t
DDgULRnzSU1Ls09SnHY3YlhnXFmeMn10CsN7IeJhFgN7wM1PpDnNzTapU2s6Gas0uev9vLke0iAv
uFtyBM1FO6XQ92a9Ufe+ls/xWbOsSuQaCnHeqWBz2Dsm3x1q29zTF7mT8Fp9FOfq86CQojyVyioY
wDCC+sqeEJd2XbrTpgmaedzkwcALwEkadQ9Vm5aILKC81qZPZKdHQ1COp7lmlXZUoG11s9SdH2xb
UGjDSdv0vOk2mxOs1/rGqzgcNIw2XV/DmdGcYda3g1Ta/aCbzrLDFWkuT4oUabZ9p3vNvDdzx8h3
Fs6N7YmXk4GctiS49i7mrnGinI5DDz8gX4WGxRx/8ZNx/oZ4Vh5UBLwctf6apqp1leZtkUWymFR9
5nSg526LxkjEPjYoxc/pPLfXjcxn+pJGtTXnpE0okPzsZc5SxqOZidddVQfNF7SPGYm5+hzs0AQQ
gDkRVE7CLhaVH3r2MoB1cgEN53o8Mlx3Cv/Z6w33nu6Idp0nVQaFG67LX3Ygi5c4tXIrBJU8nMnc
oumZLRg+D0GLpZz0S3nOCCk9abTJT1GkLwovqmZdPqFJOH7pe9f2T+20G2by+8nAnGkcRlgTDffL
BsTaFI10G7lekTIL6ce6zz098yIsY61qQo3J7guKO5OBnlyvysvASX1zy/5pfyyp032nxmwRHdaN
5S62Ziy9/6vPMdzSwMt9pd04FQjJt1hCW405jOF/FW1j5brbqK+arJIzTWAgDh0RJW+tu/kv5Mbq
dJWx/lq4qXdbTrGFWtbYAFBZYDIeaUqaK3jiP+0FcPtMOBjF0WRbFWSt4KBTFVhKeG0ng6/6Mmsn
qO1nGD5N80knDVRfhKmdQf1FKmJAlLPzHG2rek882nHXnwDO7E/KMtW3YxubUGvEtKekBFJj2fVl
TxjjFu/7c1MTHlZYxryTXdcys627fV9AbYUs4j/PJW6XHxfWBxIg60OhKLziIKii0Dc4FCpaAkWv
kBv425JbFBALmphseW95RoC16sIE9unXRibJU6L67KkcuvYLIBPi+ogJwDdD5e4J0Wf4Dk1jvOma
Rfuh4rUhJswy59bx8ZE0ajT3fArqx49/+6ua+dsPglUjCotALgOdSuNgnJIrmTlz4dXfWo9F0Kcp
1YDFmRWftrmqHvlzDiMdHejhgsgKbVi0N/udXWCNUKhKfPP1yrsFMz6lYdw66q6pvOVS5l5chn4+
aVlYKGc4VahAPAtbJpRFndC55uKaqfEymciJLFXWhq0ZzPWGzrB5Rmtx1ENCUfYEs73G7MESgQxJ
dtUjqjrUBNJ3l6/azHUccle650w6xVNHLQ4JbeqyYRN0Y3OjmYLKDkuw/qmvUYfYxGp01Kaqsf8N
vTRI81t39LAGcnutT0IH3OSVn82xu/MRdPlCxr9gQp/XjbmZGJfcyDgwvukqTgu6I5UFI6JYJZ1J
IB44ymBz9NJsfwDlGC4dlTrXy2jC5wAegm2eb7cZ2f4sL0F8dz/xb5Nfui6LL6dhzgDrYq7Rb6WH
lk7kLb76pfUuRRctFLfbj8KXO5v4kxH4aufCc/phCGOlycd0cJwxbBKnP9GXPPiRJZidWqJQz35T
Z1euOZs8Qmtm37rFGvONKjhI3mBU1wjALIiaGQ5Qpo+31EH7l+OwCoiDpGFCB+PjjzaYNGsBSUxV
31CbbX9Wk0xfmjqp761hMH9QiANddaSfXvelTw06VB7saTGoa0L5cocEvXtbxZ5xMWaNdQxh9cpo
/327I4W74u2hK4HNA3Z6AF0id9YAQ8T2N1/WSbODgCsfY7OZkv04u8Z17/W1G8ERnV9EW1q3tCzM
k0VXpHmN4Qwno4yHczEnoGe6xTa5eM3AjzQgJdftwMgAaLfoT+kHuC9TVzSYAaaWpCPZqgctSIPI
aV3mbnmDSnJIZNPAPDIoNAgEbXPW1eV8s7ajELYyOw/2GZ6HqMZk00sF3YOueJu6V7MuOig4icq3
XZ+Qq6ZyWvJQUgK3GwAYYMp9tLaugjQzn0xbSXaXp7oHL8WadLtYNgOBbuivLL9tr7s0Katt55NR
h3NBnhHGY1ZcASaDpyl5mFOUD6Z+S/2BT6DdMTuki+DIW0F9VlCMEjpORubdT82YDUc20iu9783H
QkOHCQLDSd9Deu4Q9mM5rS4wkDV+6nqDi6EOqkRg9rozvEGclknfnvgx/mwINotNCpj/qS0CGc1u
1Z0ZaWFGufJqNHf7pSRsIcWY9sO4X+SMcSxksotF71xwG1VjQSUzmv2oalI2YhllkdEgizkMa9Ze
7lxX5JfAaTBnGTKSKsG0x+lbeUZUEDsmBPZ2hJtzBJT2x12JpBE3JYB4oICoNh3a7yzeIuuqteLv
RZ4E1i4ekuSm75kXALcU0y9RjN0X8APOF2v27DEkXcIWrDZK444KBGdVgGXqMq6orLexP+X6Pi50
vd3I2Whv9dYDHdJgzXAd2356m7N9LzQMLf/CGdX4Lktd3tRZr5+td0O/p9V1jOgDdf8gF2AoCeoB
gg1ZHgOZQ/xxbwbDktvT8A37nfwrbfr0jHu2W7YO/cLnETTWlTKAEGxycygccDZ9Zu3ITMoLQ0mX
oYsxuQ9AfZU6WSY1Ik44FROULcN/cfjTD4Z0Yh/sG/nYvp4H+3HIguLRtZvibKCPRl5v28PjarTN
dTDL+c4BDn3iwN7+1WvDjMWoAG46JOaG+XGanMigHOROd3HsliR609ZJjNZ6oMMBPlEKMd6QxPr5
Lu+G4EG6YjJQ41nwDS3QNat+DDzmL3uqrL+0USXuRg2Oh5qsN40nJt3sCefUuRdhEZhq3JBVu+eN
MrIbp4d9u1vMKb1B0826bKGnfcGlSJ4DzanvRBvMVw69IlpO+NX+anK6lLqbFASw1ZVZJ2+8zPRG
u+ngC58XngmDqwKA+ozRskVZQu/hIqst+Juzl4hf2RSrnzSQ6pdhBq0eaj0TLkjcPWm8ovI+H1E8
+2VhkLrsB6uZjN2SekC4EgCc3b6rzRl95Lki5bam1p8fqA7GJZwn0SUb2gBOfOEUznCN5cloha0z
WQ9LFTs0RTz0EK5jIAnqFnlJ27wghoOh2ScUACh9F7306mjImRgnYdBY1CJx6QS/zKobk7PcaDjL
QNX1L2Ofm2kIoqy8KN1Ai+jYuyNj+qlGpsJtq2tjmfMHJH+GeTP1RXfrGap4zNIpvxHepBth4/I6
tstkQLTQcXftN3YZd83Gn0Yz31D9GgUUylhdLZCO1ppBUSgSX6Y2qo3Gh8Zpa4YfDeAN7JA35r+M
OLbEmxhAQ76dNL/Rw2auW1xT8kpdE+Lcc9Qfm+TMzHAPO8MJ2SyfKztoy9AY0rLai9zQoAGkhnLC
rG3bOaynvL9OnUSUYdFk0KesoMm+9yY+dyEWNfO8YzaWXtHeCX6Y7phegPVDksfqcaMA4+FfiiDB
CLvI7bSIbGTxln2ZBN7JgCL+jesrGpTKlujEpXbbx6doHwd6FINH7DetH+dqN0sXpfepAZ8bDomA
Doljg5swoXFBf46UhN9pTBUPYOjcBTNOmmSFnGlPmHFmN3uTNssjW2uZTvIiAT8krKQ8lxg1TjSh
GrI2za3i/diDhg7Z/ww2uqVY+hDNjOmicxy/OBcjJaQrPfOeSccALVGbmK72bXBf1KK5WpSBP65r
Jf6D306gOHwjMe/cAqRMKPtM0R0o5G0ytd092pXemdGvldrQiDYPM4n9TNj7+C5ukqlbjXYo9K7Q
qGWwZJdmhYxGapEcG9aZro+e3CtCxJbfOZwlcoFDYdmTeUsEU/UGzKb6YhYpFCxf8mumkqHNeqKW
i1Qk+MVoaVFWzKia6mphkpREsatwBRq6sbwq1eLdp6mEtJVPcAi8qhHndMIWfQdhZNbpt0/ZuEUc
SzwHQECXHYKw7Xm7OI0Ig7iufmb6oBBLcZU/baTZFjKU5TJeY47OBAXc0lkJWiHbYG6jZyfxFI/f
knr0rnIYOLtCMCDeSnMQhFi7ycZdEi+oAhZJIBAvpZz9BfxEnqIRAPoL+flv6SSqp9iQ3Lsq7Xuf
7lLZdVtztXcImdfkD4kWMMkjs6kvSzmlP4YJ+cApKcY8pK4eLweExspNGdTM/9J8irDs1H65pFXZ
rgK26m4mw8+/6pWqnrzGRjq0Ryee8lh0RX2bCaeNGcfF1a0yyuGL7Bq5S0sruZuzwWETuTJ5mpep
uaxb+jHbqYvjMfRbGmQ7vdDm+tQYvPaXx64atqnN5Au9tdQInonpmXU1IoSoRxXcTKp+pvvVja11
E80pyegUnKkzJJeDwsB3U2ox6FcNjcFmU2jBDHOwHtEsnnINyVMLzI/Ddeua0wpuau5VISbzZTTS
STIWa4MxDets9tAvgfx6pRV1aYdJ4Ax3rZyLmoROjrf/dIAqQGXf6+AZxr1ppa3GNjdKdWZhdnjZ
JjF84MnMLpqeLm6YxSQZOwag1gJVTbrVpkWgsr2gTdWfdQZFSwhbMqdTYwfpjTUYoro1vTaOf4G5
o3/QEweH/Yx5bn3K7bFk3xn5W6BoywRrV1w9C4J7rcaTNikmc1sUo/11GLwpu0ajsXwQpl4226oF
3L5FITn/y817yH3dqNleOBhMr/YUckAaxqEWV44qTPuLyDGPb8Es5ntX5k62SQf0iDeyWuWG4ae7
gMjiJTkppQ4ki3RsdKGhO21+giqMN1+OxWiYV5WHMNNpQkKNACHnJqPBW/FKYx+W5zbDOjAaW8t/
1PV+IvHAU8/iUNDVzOE9Q03NkmE/+TFqqpXdOcyk7EYg75QN9Qpjbu+NbF7uen0eaNUmXmvsaIDF
xRmKcgAjKn8aENycxmLtJGbY+lZyLH94nmSg1ovZvAlwnXqx6sDi0CDCLM7H2WS+09DQQT8SgVsR
pih63o2+yXDM7xdxj8BAc2cRoykTam9+chEUvc+8mNlAW1tWsRV+4Xo7vc+KMz6RftHope6cV/PI
oDoxVW2hXMhFtfFR+HSfIfEkdCsaili7XMqTVI7yTGDUa+6Uk2bps4jhQkYKj7MlJJgL8YzzgfmY
r9C9jddymncQR8di2wEGuKGD3P0sHEooSKUO4zsmq+kXPF+zR4KfmwHdSHPj0hBmembhg3jrNEMS
Ex5t+6+kyKSCg6aVZ7lWZT90PS1avNQ0mNA+iW6oI/NItaKAfITDKIkbliUWOtOI74YFfubFRhdG
sA8ysx1DMXmoHdNQbL+6EoFLiWQNPWJNNXSFllqZIZq+WhsSupNHb5jyF6GXxuPqrfkka7OV5wUA
yUsL1dQyckZt7vFEFG62c5jSyI0dFK2+QvrkVYnErLVNcCG8wjSzfCqdljFPn2tyq7MdxM7C2dHZ
Z/SPtD2JhjpLFyR0QscsJhkinGNz3495/hhUjh9lTGq0XeBPdONA5F9YNGqe2BtMtvmUzaXQ5rkA
NVc5PAGUyQe/GYf7RE/nS2fyMj0csYmfdnPf2bdLPc5P01w/Y6Y4bgN/NrgCawSJQ7wFhLcdx2C8
Q1XeuetqMY0M8ajHQuzjmktZyRz3O7vjNTML4G8zcc4edMBBUda7wHsbEc+/eqeq3H01wue8z5EA
ynZlUqhtlzfFVV1id6P0Il12Jph1vjUdrf1iieRnbc3kZq/th09B0P+PwPI3YPQPger/D0LQV1fz
//0/CO8/EOibb3P1rf5fp/2KQe9/B6Gvf+5fGHQv+AfinFByKChtptkra+CfGHTNN/5hm/oKDgIX
h37qKtP3LxC6wZ9y0NMDDIiIK/w7/tS/QOj8X1jNUKTSTQFLZ/rGZzDof3I2AMmjZIT59PorwHm9
RSgx/B/rWqTYi2aFjOrErK4L8cSEOAu7xEyj1PUI/paRvdi6/dMfzeTG06c56uie6a2xbGh9xdBT
muBEl3MDLm+mjS8ynzhWLTFGufq8wSrxhJr9Rzl4/a8sxumRFuQxXs/rT/1P84J5DY/igzCkBWbz
PIdG5GlbFllnoVK2WPAjkuLRExCtCUkF8L4pHQD+zlHazkB7zFQQeHMxWZsmadQJRPvsujEXEZWU
uBetNq1pJrIPwq8nhMNp0d53fiHuANE+M/k6Qgy23jbp+ekmjXnD52uDtoOVdNCkN/0iaxM0l/c9
A+t0x838gOHq9NLYLT6sQWfoG3cSzbdmttcCdHxkUqhf0nIfrhjHVTSKrDq/UXoFD6BdwKSYfRDL
0HUH+HRBNQKKVsFpncoXxFct8IOp+gZWxgTMN1f1rfSHZqPpM4oHGGSfdkEDzywA/lKGzVqT2GUt
9nOaPVOKx8kW1aoYMNvspEFoZWh1/P94IueV0rKe8A/iyfD92+9RZP2n/yeK2P8wqP1XNt7qmAAr
5T9RxP4HWwfcKKIZQKRgKP07ipjWP0wPIwIGWiZ/n+7r71EE7WZI2RYCRRyVTxFZ3qJEIcSsAWlt
PtOHRsXn8OA1rZQ0C6SKKD9QYLOMBPaCeQzsuZ6B34/3ugoIdk6HBSMRxszbSIXI9wgdpFIR/9gP
R2JKHPuxvUkgz3+SI3+40sGERmiNR1ZbqkgT9Gentik2a/q0zTQr2P32hW/++fN/Z7K87ci9vrp1
foWFMRjyADj824fyfS7wksFL1EBkAVfpaBeVAnUTFjIVkQoCEVW93iNYZvR0NTqLHfTvHfbO+u98
OtQ9zPWtUjqbzkHgoesNyEEbB3jNpkveHWClG1vN9vOrwLNicxDpAAwcfDpjrGjL6fXASJz+Up4P
6S5Og09rJq0x/7dVDj5bD8zYiFe3VgNM/nmeNOlZHM/t1gJR8fkHcpGqWnupUB6hd7/9bLU1iMT3
YhmZehwgHyS9e2QB6iPXwjsfhxwA+8IAKq4OT+3tKgMSI1nJDC9iHGWfz80U385Bf8xQaWWlHJwr
MgDPcYgPsNGcgwEN/sX+alYho8SsO3gxwGUEGhmnyO54Zwmioxs89IItIPXkbzwfFzaTaXjgpEAH
b1HPNcittZQRGS4QbYYfuxFu7ZEjtv5b3j6f98qbR/CCH4vE1du36C06pu+VKaI6NppNM7XaBa0Y
d4OvXvdJmj7fiFCLCDDfjBN9SMOIkdvXezGJqDUq72wxB++0atzuqvWc+vSzRwrvJp3dh1Qb3+xQ
nUEpbRCi05qo4lCE9KENRIaS4shE5M8d+HaVg+zQaqfZllUpIkzprRMoZM75lFTHnuW9L/T7sxwE
QVmr1GYkzSpoRGzrvoP0rpn5XltM7ciWe3epVT5xlRBivx8cqazKQVEmCUstyXzipOYY4mSV4V6B
GO3f+EK/LXXABmNqLeMeZRK6uJ5/ikUa4hGZ+evjRY49z8HhdQfEr5olaCKRozWJFq+HRaBmoOCm
jtG71yB9eI68VSoDXix6ZYfDI7Y7rHLdb6K8d7ookRh6ZOAUGdpUP4iG5d/ZepDz18KE4fYroeg3
hlWKhUwufa+JSi/T9tqKOS407xi59c8NjnQMQ42VeEPRcEjZa5Xm1bgL1VGRyqdhUsVOBPa4/+RH
wqaG5A1RDfDMa470NgKBpTKzWOplJH2lNi6+aD+tVLb7WHRgxD9e648Hel3rVdLr1bvRertWuuCE
FDSAGlqm7i9xQqKuxw7Il4+X+UM4hRz0lddCQIXPSRr5dp2GaqZKa1lGul+kV5oLrKie+3FH96m6
WLp6uDbcdLrUrLG9oDAzrwumrs/DUC/5xmAigzxbulx6A+hEL57yc26A/p7uhDiiF//Hrl1/Jy+d
yhCyKcHy7e+MwbQ4mczKaEiG4GsnY+fKcJs2gqzgbfUcefyPX8w77x8VBDBXkFyR+T9UU7SxUq/7
xCsj09CeZig62JB70/bziyD2jSEvHiEoSh1sqGJBNb3Q2zIq4rLbe1WrdrGjhiOv7gBlRXK6ugfQ
eIInr5Mjegd7CRkUS9cGrYh6PtM3AbJi3rqaVaNbYftINPS5UBsxrohrOCJfLAu8Reu4+gNXkwlb
p6drygjoYpxb76KyeBFhqykYApXqlx39CBAAojGA8UxK3H72FYE6QfIQITcYEhAe3n53E8+DhlsR
SZ5y9uE7oO3YabN/5GT/kTvBeF8Fy2A2ItRJAfZ2FS0J9MFH/iOKOxG/gNQ1Ns04J/tZudl5p7ru
Ih7nXx4WifcfP96hdgDfhpUdne8DrYxgfHBnWsKrEVuWeeSlzGzCacqte2eZnW+N6OYMCp7nKSDk
1nQ753rRbFsxt8UGcY5kuVglKgCPyT74yvi8/QotaJ42sDL0JD0SJ/48ftQW5Hf45yLrxn/fviD0
fI1xQrQkQhDXQiE+/+qktRXWsprBnVvDkeXe+x6AHD2TG351LTm4c8u1D9WBy4qKAZ36qnYkGpEU
BRtXZnHkFoLxSFG4kZjd+vHjL/LnwQfphCQE8idohL+KV/zOCE4BBM99OuTRFLvNTqbS3Zg2++/j
VdZC/+0tvKq+w3ohk0U8FCHLty+0zqDeZV2ZRzD6ujosdQPIq6qmu76f7DOPBtgZZPr0cVnJS82S
2Kdjq2KbmYWcTiEFBp+9ptffg4oWPQj2InK4b39P1iyG0dCdj/pKL9j82rgBDnhsG73zcpHLA/VM
r4LrWj/Y7d0yT8uAi2E0pNq0o0kpdkbOEP7jl3tslYN4Z2QAkATXRTTOXrUruM9Dsy60IzHjvaPL
yYW8uiqP0RQ+2KQxTT3Enu00mlV17de6dZ9mSVeFDnQ3eDG6q8xtOteApIzKNG7N2NS+oA0Y1Hsf
heLTDLPz9X8G5k+TQ/UX85bM//QFQ3DxbfpKBFCQhQfvWzaZZiSxn0b5gFNxtfjLDYSxfPfx+/4j
eWXvcFLYyjZtAfbP271TtIuR5Iy8oqyoxjN4H1AmAnoDZO7qyKddj8Wb5JWl4KCjBgPAi5b6wQOl
Y9ljCiDTiO7KX1PuXfcZdJ5Seo9CxPvcN79//GgHAgHr3WnRuMfbZH1GUMoH5yL1DbV0U51GmmyL
qBoA/TMNTuS2pYS/NoxljDRm4+egxDDQc5IamT0rveFTOs8f/5Q/3/IaCRk84FzwKrvx9i0bZgNA
v8jSSKhyeXD93NimSOnRuXWrI8Hgz2j/dqmDt9wslgQqz1ImafUeCktx4hjDHE1ZkFy4Aw6/Hz/a
sfUOD6zdK72NWY/WdbF3G2H9zAqGvoxhQNoG5jGD9nVDvt1FK6Gb3M71nfWCOVgvJ9eRgd6kkZXG
xklbAK+CfpUlKdRrZVxqaJdtRk/U2ziW/ksJve+vjx/4vW3FK0aVlrsGSL+5hrDfqyKr0NreYB8n
rdneduhFP3mILW2GOLbO4Ualu9aryqic7eIsSNp4N/hpUIRCnX78Q97bVJaOj47/2p9aW9VvfsfU
eEFSdmk0jYw2mU/AS1MDyHuwekdi0btLYbDEkaJRSvn5dql4Up2RNEw/uw5w9zJnRVjMs78pTXHM
VPe9/WQxqSO14rxwy75dSjY5AL7SS6JWT5mTpxNEuw4eQz5n+NGkZb7/+C3+eeHglbLO/5jzwWk4
TOIK1QHNyawkKpa0Oa87Zfyle/UxRf8/Yx+r8DR0mU3UkvyDp2qnXMi+1ZNIb2L1LHAbAEBmGXvT
U+lmoi7bCsbGR77au4/GDl17ypbpHWr5JvReSDXrJEIJTdwvzTDepoY1HgkA76RDFmZx5Pc03RCo
OLTD1TQf+ruWJ9FS2tVtAWvvR2LY/RlDyPgKZRHvrJ+9dGfXpqCnlIMNq73pxkMcCIADRIePv+eB
AtBr1AefTiOB8+kwpF3fyu/Hs10IIHnFq6YIvy7I4J7qdNG4QfsWUmyBtI5fA75zZqsFOGqAgapm
+wQuUX4pzCQ5tWrY8Ud+1XufwkVijP47BTDp+NsfVenGqGVam0QdOKRful7DyHAVGudHHn49iIfR
0WWKDb3FoeERHKwzjwBLXJkm0cBU6ntjimAHEk2cB9XinIvBbU7noEtPgwQDGwGF8XaZZkgsf+dX
+OyE1T3BQ2Tq7dOyF4Ih9jRMt+d8+VKPnQ2CFKdvmZZAKQfp0wIGRCGxk7pacVVhlUFl+/hHvPPG
aTkgxINGnM8+OHgTCvS/IWxf21e6V9xqvg49Mii6I5t//bccvG8GeKscMIB9NtxBirEeu9StR22f
LPJJk1N/maXVvgbiS/wK7j9+pPcWQ0bPJTKuV+BhELEygVGtkuBo8gIZWoq9HfmEc+Mg3HhO1C/u
Pl7vvVfI1IPs2LMhpR9m/JA5wfaVAw9nBfgiGMW40TKvuPwbqzA5xXqOdwgH+e1mGVCr0d2h0/be
AARWYJq7z2NY+x+v4r/zoSyme+QN6/k4lNRNyrkb8NzS9jneSJdSjPIcVGEQIbhmf/esMT7pfV9F
sYiP2SO/E/rROv/PygdbhPFKunQtz7ey2m8SNB5W5jZRR0967Nrb8Ry5yOzzL3UdJr2KPVEXOgeL
Zrkl+5zO9x5t2ynSFVE/18Y++vilvpMWsBkZfPCAfMFXYMtvoTZb9dGdbgr2RuXCsO+WZOM0AeIv
GRDSzy/FPUY3D1IMzlgHGYiKuxXb3QX7NFX+oz+2y/mY2MuZD/bryFb5w5WBuoEkxyFhJ1xz0NbH
/u2xTNno3dKVwd7trGk/uU2KxmmcQxvIJv2HZYz1fsn17Keb++WymUBL/mgwaL0yF72IPBcI2MzF
e9MPlpasSh6dEcJi1jYIp4rLtHb8LSSb8Yij7+vs/SAUQcREKxMraMo586CS06lsYi/Ogr1TlOLK
RiUKI3jD6kCm+/DNKjbAkIKs9PT5LisXVHcDPc1+FFpT3JkwRW/S2TPBiBo6FPGS7y5CWCNWvZnH
ZEhuPv05EZym8MSb+x0WzNAUSR4w4dwPetcNW8/U5pTkoAmuYr9yd39jsRW5sCYEdIYOvqc+otyL
xoi/9/tsuua26E9Ncxov22mJj3yFd07EWhf8e6mDWwcq1uBqxuDvNVUbu0AEWTiPWrnzOiSV/++e
6iClBEwdx7C/feDDfv+AzaIOH136F20K//njpd65CHwyV14eMZoC9uDwabR9FIoG/l46ctloqb/s
gtE7lrm9vwpyNWCXYOUe5i4ly88gzv097fsBnYxeQ6sGRvfHz/JO/ciz/GeVg9dW+M6iT3Ci95Zq
26d2ahl9wxu7wKUCySwJqBaNy8zZ6IOL3obrIqX88Q949zFJAle8GTy1V27yb9Fl9EoDyfOeLdJV
WgjIe4bxiibH31iF1AsBecOGcn7wyZYlKIysEOx5IzMi/grOfV0lR9Kfd5+F5CAg7WcGrh/EHH9G
10FVtb/3zAKNgVgUe/xp1ZEhyLuHilJ7nYGspdr6K357YwNtHCpOgkXWDvZVmmrl06j5TtSL+FjT
7dhSB6GiQd20S1wOFZSR6twgz46kPS4bVNSq7cdf6J28gHTHZByGmDEzpIOlbC/uXG/gULlKlfvF
K9uNQlVkM1u9iix9EhuwhNXnb2zMC1/vbCq2VzXm31+l6ap0xRr5e6UnmCFJKBBApLNtMEpv9zee
z3Zhb1PKgWo52IFx3eOPqHK+2qggl85ZdlYCXzvB9c5CwMLvzhUaDM8fL/pOirzKIwPFcnmrpHpv
t4oaDK1WcAD2uRrFbh2JIbOZaEi4GwniyAOKeEci/vsremD40OsHx7cmnr9tTtEFnvJnjgCkDfeq
Gkdrb/qa2DkAbS+91Co/Hz4CvhtJ3Tp3Amn7dj30AhehSw42lt/1dshks3UaaKCffo9sSWQ9gSwa
oOIO8kebYDjrilWQuVe7MdH9rTU5GCN5hvbQBqh6fbzee00EFuQsAKqmkDpMWPOmEp3iJe+5XFdd
Ns3sb80kq5u9O9T+Cxp1WmgLq75JeuHuRbaO1kaUSs7rIjFPNXKXI7/onUiAFCg+PczVA4YrB+/Z
0rGqnE3L2wdNnOH5N3QbXY/bPZzlv/NJSdHpVRgWlh+HCp82aM0OKUVvL4BA30KSSpGGUv6RduE7
sZpCAClM5h4Gt9nBxQfFftR7Lve99NieA2TwbTagE/bxh3x3FYBs1I2swzZ5uz2TAYpTnLOKADq/
z73h29KpY3qt7y2C9wdMarr7fyJGCk/poqwMb5/1+bKDFeuHnQOt5/OPQsee/6yyofhFvX0UP1jM
rCxHb4+YYbcJzMYPRz8djnyW9/YZsBSmxzaJO2f67SqWoZUd8mbevu9n/2TUEuMsRrv6liu92378
QO8tBeQKlNA6xrMP63l0c0ucglMPjZn6vzk7j2Y5da5t/6GPKoJIU+iGHRy287EnlCM5iAy//rvw
O3HTXZvaz+QMfMpWS0hLS2vdAZJoDJ9H4SUSVIkqXn7PbD0eA+cSkB/qHraQw9q1V/QnA6ALzWkt
+vKuQRHwhLHQUUJ3qx7PWKR01LuwBdjbvWtaBm0DvEegteZ9CnHJ02vlTLX6P1tB7wtVsU+Vi9O8
rFRiRqd/Q4nrx8tXlrR/U30mCaI3cPkRkY+I8pymINFrqILadCjv5QKNOUiNBx/xRv66pUKQWdAa
4Wrd3XDm7PR5qS5W0KEb9BjXpn5qIIn4daRpr81URyxtquQZn4XxnQOH/H+4fug3gHak+U29ZhdF
YmSiMEnRrKBwoBLaour9kVh5EHz/homLx+xmycnVQ5HLomK+B/fWilst6SitgCehgCKb2JIb1R5e
axEXHlIU1rmts/rTMAkkpKuhexIZagEHP+MqzvAriJfAZUAwUXTbfdZVajriChAjUZ4sH5H9LR6s
UX1hyoKLGFVzcDAAgLdUeh8xsTdqHETjQkyT6tcd+bTf95X8Emt6/L6iNHZUJN6Hgb8DUh5HYotv
6O7fWY0Z5/S0oQpYrezOWV7AJulRG6/arjs/fy623fDvZ6RyRxKGsTCoUY7FvoftJrgv6dU60sMW
yx9qh79W2KondHblHQYM8d28dvP358fcT+/vmA7XMIkLA+/PYmIvVYs6xgjDv9VPCOhjs5rUcLLt
eTm4Ifa5HwUikndkIzj3W6K0y5JMJ1Nio7Ik3HUShUJjaujhiBPPVoTurMo9IEXsz/42HuVmEC5i
a23vD5+e1ks5joMM58rownrWV+QIM0lem+bzWUugK9Lmte5nrpRH2sCJOJjw/kD8/QHUAHROA6dy
fyVKNyucCG+ucOk7G510Yq9XqjMaTc9/w+t9g7QqxXPckP56Ue4OnjOgEYODcRO6DtRov6n08eds
Qfz1GhSe7h1tME4lWMfw+WGvtw7DQsbZGDvcKHtgj0CsUli0DcJ8LL5ton0IZcqPq2Yf8WhurCPV
DEhB2N0BWtun10bjTIrUljqE+mfelxJXpSVWlrsXTwcuAZBL+uQ8hfat1DWeVKtBgz8ElDl9mdCg
vadfUZ3USskP02X96qgDvSNWbh/Moma6fdJ/3kGVjAxEGZMybCr4Az4OV6l8JwZKjsgnOBGiiBM8
NoSnZyf2prHppIcws/42oV9HHTya1h8c3GL0FxWV3VMy6SJsGgNn4r5o7Ae1yzt0lpO6+WHWdvwr
T0AtUjEso/5xtTqM210clS2/pKP3izJO+nEq2/keC6rlPKp6+zbPptbwFM3oRJAUiGaGk72sCDqn
OL7eKc1qfFZ7JADDzoROrpAQnpZIM75JgycsoGejPDeWVL+nOFj+VhahLie7nyAvOq2r/kCDYNHO
fTFEd0IxV3nWm7pcsZuwqQ3rIoa/V7V2ehBer7cRa456AZsIfgWd+cs1X7W8dSM03MNEgcopEHb0
QEkeEW2uoxw65DBfeIEQTvU9nFatFzUFolqGMh5wQdN64dN1CyehxX6nREemyLcmxcOBKiAtearZ
20b7ZyMhVI04Iy+/UEEg1acTEAdFPh9hhG9MiseJabN8hDPecZejsHTZWmLvEw5W/sUqVwM1OnHX
9SVmNtifn54/iTfmxMmickW5h4x4D1rBz8s2ydTqsJ3V9Z3RoyM6uepL8bbbg8vYYLBkhmwIe/sV
/6yciDAyR4u7DmVTiFcTNNrPRq3KgzvgOkgyCm91/EIxe72KXcVS4dnbCzgIqxoFUKMocWujCNF4
OqIT31o2uo8g07Dd3N5IlxPKVFPmuaLW4dhghaQCDKSBPxyZTd8ahd0NsoVyLEyo3S2uUNw2i7mA
vzFNmo9ZRg8TQTlqA97acHQ7QOFuKDtrD4t1Z/i8VeOi85FL5z8kMLXzsLiozaCj6bfojRy8K2/N
ivKiu13VdMH3thwFcoe51NdNPYpOFrL82F0kWFy8eGOzEagmwF5kx/3FWf6z5eahmXRkH6qwBnR0
rroCQL9V2wej3NhyW9+GPIs4RJVo94WA4Matlhp1mEwjDvSiKs+b/ChI1P7F/tAcIh6SdB+oQ1Jf
27fRmqJPS+SK65DqPYLEmQN62fhC5/hHmxR/ymJ8TIYKxW33sUnbF3Zt/45N79FRGRy2yu4AYzNT
TBQb6tAd4sXPtBEJFLs6muKt1aQyBk2ZRohpb7oG/4YJnbDYRaJmlBp7zbYnwGZd8S512qOwd52v
YiqKPxOPKJtmn739/392h7tKS4ElUYcAYpIgkgNiUJ0xhFHRZW+MFY25GuDHHXjQ+L0sRHeQ/9w4
AqRzDA2kmtLanqJhcmk1ckjr0K7dxW8V3QxokPYHm/PGwWZHcgUD0sXpcg+vh4FYqiaai2HSm91T
tiqgv9MVnwu0b4zSq3IEv58/dNfZMeAPqs06T2NqRjggXiwrvlwY2RCHw6Jb5KOFrZjXxLV43WrZ
inMJNGIPuINsD5Lyq0f5tj2pzuJHxLbhNO7uTPxEUJ2KEkLYvNK0QtXnU9xW+YPT6giO1wKl1iEx
nno81h500vPPA/Cfgx9xY+4A3EmaeRxsP2f7Gv9sqVSUkzaobhlqvas8ZOgJvxYq5e/O7CGWZvr4
GqjAEfjgxkYCvLfdDniLc2x2JwYmfN9OmJuHLZCyuyVHc8HGIe7l2xXDMtJndipJwhWagmjtmKVe
hqpc4ndr0vQnhXLD+fnNs92Zl09yh3I+7Cj2Kt9xv10T266GqpjKMEL/6229NvpbyJ+4bXd9cooa
yJgZ+lheLYf49PzIN+LO5vG9YbLRp4SydvnpsF/TM6OVZVg2usR4AyuL3FhQEdTV6eChfAUCZKvC
AkGMgY1Kr2TfB+JPQRVNTRkqlvWTd8YrU+lf96l7yor2Se/HOwu1PjIK517CTs+V7CyN+K5t6i/P
z/nGzqFMTQl08yvd6siXc9YrGVc9lxb06pYIiE4Ixh35+vKdA3eXEsv2fLWuKqBGBqeoiFcIh0JL
yZYNM4it7ggEfCPQsZi8ODbwM4WdXTRX51ZqXQmyWQz1inRTodwrgNFQKEFJ1FFe2ifnE270Onbq
ZgALt+ty6Yxo1oa+sfMwbRv1VMiq/SrGaX3z/Ae6EU+2FxRMLm5cJJx3qUVpo7RpaHkemm4+f0tm
vTsv69h69Zy5D4UctQe8zTBCfH7UnVr0Bi7CvZYoji4z5xCjp8vJJaubVSj0ZSFA1XrylCEvwhIe
zx1mo32YIVl1jspFf7dqpXaCqUAbWkEpbuqE5SumU/gxD9bQjKR9kIJcNeL4ZVxl6ENstQ5Sgd1X
XpSCGzshuaqNepMMi2xe3dgqgXl55YjsTRSluKWo8Vt8kF5l1fSmlI7uZeb86/klunFyENXeLNuo
nV23x7O2EqMpYa0pVq89DJ0rg2UZxoNoeHMU5A/o820VtT2ypRn7eTArJQuFBB1XGFb7EPXmz+en
ciPwUd7dPjUY6a2SfPmxuwqxSbFYWRitY3Oak2T13Q7m1OAOByPdOKL0d9jItCw5PPuMx5gB5a7Z
koXWvOZ+nBLfOjvm65H5r1/WOD96DF41X9gukKg0YBlsaCa4C+pdNeXFmMKFQ4Q1fjCNGU2nMlbS
D1Mfm2HjzsVJmdP2hOy5iyvKkjy2S535q5WWBzv31qdES2djGePBSVHtcpW3TGnWojILNXVsz2uN
pZQCzvOF8hLbfAVQXzCxNOC5SC9HcWy0w5NazeDj1nEwlKM8ucBsTohCqQeh6XpCkBjJsrabmgew
sYsR6pKIyUbJOoSZpdyLaP7RTUK9f35v3kjqGIV3AFsTDCeIx8sJLTgnZ71uwGPOmvXL2LrWV5mZ
SCRqSvuuKRMEC0uBILGFiYxdqdFp804Nn/8R1wdk+w0UsQDuk9ntDwjvoUJfMpMQaK1xMOvj6s2N
ie6tsI9y51uLip8mDTQQSzyOd/F+mPJB7Vx0AHSJyFe9RPmJNPPlLw8AbKQ6WDFuVKU9AN5tDLOS
bluESR4Zd2Y5jW8KCGAHe/HWXEhuIH+CyoNfsjt7Is5Z0nWCatTUHzGyQ0M3KpWDVOrWt/l3kO0C
/SfhTnQcZ/KFQfIUTcQuc/KwSa3Ep7F7RMW5ORSvGnpGlBpxY78cqorXobbbsQjHWMVj2pJREAFy
9IZ56Q9mdR0oNxGvbRdQ9QFVvDvGK1CSBSE1PlCLaWPX9HrhJXWp+viUNMjcVvNR1+060WBE7hiq
C+T3oOUuJ5dFbYonIiOasjNe29T9fXOZ7FPr4LSxSYgEY2a8vHDCoBv6b6ueUXvchZA8zyisuUkR
Yt01PYy1gR0HNAIuheWoZXNjM0KDYMMTEzef2u3d8c8+QSd8XKvKzcMlLafXRalb37F9VV5eEoTT
sbXBaF+S1u81d+yurFW1NRjG1Kc3eld3X/G0KA+i4o2PxYniViPZtXhv7jY9WS4XDISHENOK2E8a
qd0j9qfNPuRf7fU0ptZpbG3nAEp2c1STywVsKMhzsdsicPcGa8FkK4zhUAVSYIenod76xsLCIKhj
kX22VtcMn4+9t74bc6QFhNMqwXcXECmH6luVJA/7RhvvUrePPGmnL5XR2urENKKo4IFZIM3eTY2l
FFpX93k4rTJ+NTcR2t+1OdYHEXE7tpeP28thtgjzzyZc+sQSM2p0odk72b1F3mWD6S1/on6SI43b
WWGBEafiL2XiPBh9dGQCfuMLcnvZiEeSiGyb9HL8DiOAKJFRFq6V6N+MSFH5s4ilP4+DjqmTaO+V
sow/P/8Fb6Ts9BHR9udVgeYVtMnLUdNuKbNGShQXzDGVZy4a903atDZPs874MzlO+3NsVRsfX3ht
+PDOd4mi6KEFF++1WubRwY66EcbpSP3FQgqypT3MqCR26jOOySEEbKwelKw4V4umnmRiJAfn9Mbm
RWhi099g8/Ja2a136USLjiNiHrKxey9LZH6usuGozXZrQrguUMgECohn7C5FEqnaqhH8wBD9e3jH
69oEFW7Grw1zOmpL3ZzQ1rLd9Gqpne4Ctl2rkSZNhkIO/VtsOdWDmiZH5KBbuxRoBM0b7sDNkOxy
vwxzAlHC0bPQcNDAz2Y5n5tqiTHzXRQ8dizrHjzi0Uvh1swoWaJgQ02Y4sFuEbMIA2CXZYMCj/g8
Nbbp/TzW8tPzZ+HGvU5vikt2w9dTrNzFGQS4IqGXPIBsM53e5nHcPuFiiwrHULm930eGeRBxbk2L
LYFQA/kelZddIpEtsunHuOUhjwtGaCqiC5RFPdLPu5Wlb8hQQXtqY3PtNSoLBel/kY9Z6Bbj9KAm
03w/lVr6ymiG/CmOIRaTyBT3dd+n37tupf6TlGvtP7+4N84BS4sSGDpOfxXBLvcNhDKguGtMnHFW
8dlVstST6JKHbTQeQf5vLCuHzeQEMOktS7scapiGaXbKJQ2rWq2+u6lgd3ZudXp+QrdGIRujk2PA
zCbnvBwl0ycAxgs+jIOifcM0WzkbEj7984PcWjXAHjyN2fswPvaDoKsX4zaYhnMeKz5lphHHZGvx
St3oD+ZzcyjyPcve0OFX0KcSDw6rbewk1BLlq4zn6JRO+pOiZNH/sBOor26Yd+TUnH0RmduvGRcb
+ZR6sz+pN393Y04TD3TeEY3g5jfioU0paEPi7auOAl0Q6P+oYC9CUo9qwVcKJXbOz3+kG4kDEkmA
Ym2awITE7Vf8kzhkrTmWeuWkIU0pxA1A9UdpYDe51Z0hG8xnfNLwBotAY6zeVMA8AM+hmAc8l6vg
xduHdtzWZgCki3XQ5Y/okD3o447zhd5j/TYdsw5GSBp5YKDtU1lW0UvLxtt4wM23Uh98CX0Xkt1e
axFmqrJwtO0ycPHr9BzcCg/2/9UHJIEkrdT5dNw3qCZdzkpYyMzy4E5DzZ1+SmUYT6qG5e3z3+/v
b73I/LZR4A9QhqLuxe11OQrFaUqaqUxDhVpC4y1pB0BBQZStSDrjvYMH1htryqKTLloltDNs2L2y
xdLGxrgS6+wuL/EPHVHox13OKyTapK0xQR4BThgUpqKc2jQx/UQOq+LbhlyelCW1DhK5q+O7zQFo
ADcX7zVeAJdzKNE/bPWelRKYXHUnKSvcPfCHxjV8JqE9CBZ/X2SXS4a53P8hwbm70LK/HE6kOKCA
x0Y/RNdRIogXmZ2diJLdg0rtJHro7KkWXtHO4N6jWf5q1yV+49ZTjb7KUuO5EmnOA9Ti6ldiGUpY
L/pcel1s1q/Tyh7fJLmIz8MQpa/rdbJBlw6VN8Jb9StjFfd9nzlhNartXTkJ415Gyncgv0es7+u9
xxQ3FDHZ8V/5vMsppppaabTpkRyqC/PNkncZtmRNenCObqjeowdG3rH5Aais6W6LW5kRawWKymGk
p643rHqgNvr7RPagst3P3aA/wvZ6Qi8Oi6dSBLyK7138p7yoav2kWp7mavwYjVTaJ3VSvXZqA4l9
hLcgKlMb80Hp43pNqEhRMTKBI5Ey7wlL0JNdRdD5CkQ14sVS1aLEBW0YlIP9dR3NGGd7AIBmgIK4
57fhaGJXkN2doIxWA5eWrPpRU4YuaRwX5fsVNODBgLcmtnEO6LQBTXL2xe+8s+d24GoIIndU7t2M
d5cxJ8VLEz6Sr6317lKfomNg7U6N6abOCGoNvkbTTvdi6NPTpgf3v8wF4AIJ+lYN2L8DLKPu16Zk
Llm/JK9jdfN0KfP04Pl0HXB41cBxospBtsU5uTweZtcXWH9HVhBr8KlOOO9i5pl0E+5GfdUeASVu
jYZEDCcEyBDFt23D/HPHJo5ej/kESaKXjTxZcvP9qX9XYDMOFu/GzttyR8p6CH9t/fTLgXoj7uuk
c/A/jOPlcZIFD37D5qUzmtMnuVhHUeb2eDSpNujdxpa7HC8VZl9KcrqghOjyDSO6OLBKhJF6xCix
btTMz89fdjc2+sZJA4tJlgCMeBdu1rzqNbSurMDRe/0xSszsTIVqDp4f5ebnIvECIukQ3vavXujl
LpJe26wMgDMJcIy7DuNtz1ysI4L+rQXk5iNMbyCvKwMUY3GQ4zNW2B7Umh/WVRpvxxmA7vrKbLPm
YNNfr94mqYcSG33lDY23+1o4P9e1EaVG0OqL5SVty4eaFOP80tXbmlAwdSi9UgrZA+MwpMRvzcCx
25Huj9XKNd8E9RG02NEeVA1vzWfTIyMX5xoHxni5+3o5FsQfHW9wVykA5pvDqYyL6MVhj/mA+yQN
5zOB47gcZTFidYpjQ6cJm2EVmA8aToba8PHFq0asQwSGSiRF3r0avYssY1JHkx7gGhMFqKSkQdaY
6odON6ODoW4sG6gCVLHoW3IN7uEFq0AguHZmnSxf3nejMB/xZD4Sx7s5CB8H8D3GOITZy1WbZaQi
28sgVlEt9BZs5yGdlKOe1nUBcMs7tnYvhUdaW/vaezUW6J6WpRasTtV+bJMeRAZXS5+8UwTPiCct
mrrOy9Umh7IVVY3qNTCM4/sW08GUuuSU1HRkzfEoMF5Pn/1I3r9dLlRD94FRjfF8S+FyBCK28t8F
eEO636o86JNeRw+K9KT81H0oY1+xYtxyKbvCrFQWmW6eg9HXqYuLV2MiG98si/bgZN8cDmYjfVnk
X2npXH5TFY/IBNSGGnBg1vuqEXqQWugVxWOZeLNaHmmVXi0iK7elG1vjmRrCPpKMWIe2ohJmIEYL
rx9bq87qKl4M7mEUlCJgvkB24wWyiyKNuiLKNjhm0C3pLzH2tt92i4BB3/9UFLM8eOnemhMlEchT
lkGRZ48amJs062SrmsHciMJHmb05x65RHET6qy/FnOgQIQQAangrx19+KQlzL20UIQI3seJwduk5
YFs73XeNDWJSJEfSlH8X6eJFtXFQSW02JjteQc7uYp6aWTFGKpCBAJS5nFc5aNKb2hJ3CHUc5sCp
tOUXXRAleeDISYiNS6Y9SKfLV68s5pjagki1+dRPNapNY6+6YziaXfWnnuzc9Fxc/UqvjZrxkWsE
k8Vp0fLxw9zq6ie7Q4TzPGrbk60ytbHyFDSnDxb0ryzu1QTJctiGm9OQutv76UAXbEAkNcjwx4y8
Zh37CNOQrmj9VQoIOkI0TUKlX0fUHQdy3fRkG0+fceAws1OiOOLTWDb2pwJIE47tydRr56LWFIPb
Udb95mwI6LqYGgwHn79ZtrR8/8t5C4JVh/ABP2l36w8ZXy7TpAiIefOXClzFeakU62Q08APRSnJe
zZB5Dga9DsxsCMSkNul7HlrALC534DA7q2rHPPniFcv2ehndRxe5jUencDA8k/hGeLlVT3hqN0rF
GlhOQG21fiPqLPoxGtZw8FK9ce6oFQE5gyhNc2GvNBAj6TCKDGK+WyXizYL0kqcWS/fSXIFZ848j
M0Kp+hrOQQWyx1emRwijF8srMTUWhUFbf3kMoXWBzDeKRCTde9q3W7iidJZCBMNqZKcFCw7fUtMj
dvmNGAI6bAuLm1kJYOvLL5hRQ1LT2cGGs+tix0dOTQE5q6jYLy/Gqyl3xPvnN+qNT8S3gUCFXicE
qD1AZc7tRSsM0lOFrqwHsoNT3bvtweLdOA6OrgMY3SgAXJzbtP95i02VGFQ5qHogNjFvV2OcM/pq
2imaSFe8lJiPgaDVf35+clsA3J1CdA7YGyrUY97qu9W0+FxIbC7kQ9oce8MyFx+zabbPWrM41Aej
4Vw7kfoucpY/zw+8/cPXA2+dJ3gdrO2utCY1G6lyYyRJ1ofu3I/l8CZHjv5+GSzt4IxdlyIpvJO6
OpTHCZW8RC/XNm3cktmvWrCRjrx2ifrGR2+tY9Zzo+SniPrlz0Rk5gkstnOm4z+crczOhI/fcH9G
QK59AAiznvq2xOSRlsRDESc4vdg94r4K3Ud3qNNHydHwkkXHqGcpWvUgdN3YhtyYoG+JFiAh9lwy
FykulU+jBa7ZWnfKnGd+RAPq9PxnuTkKWiGQCjfEz15kpSuFSjWq1wIsjd+2XWQ/9VGmHWy6bS/v
vj2MOIIvhHcugD3Coe4oDM/qoAWpshJq0/GH25Q62mLj/dJRhfgfpkS2a9Ndpc6xR3xX+CoPUddo
AQbiqaf2hn2fr9hRPT/KXzrtflIkGryUCICbldLlJqtwAmqLuVEDtTIr04dr3n7FRozyKlUl54eS
l8nnOtGz1J8NRNuoy85TFxQjBV8vzgYVvqOjdX+kMUeN1yLy+duwu/X7FLVj7s14YYozPIc29ZVW
mIXfgp9OQ9TtuLEKMawN8tqu9d0sG9c9CWNBxIz/QGOuDW1MeV5ERuWlmai+lVPk/HLpkP7WeN1/
HIUzfZp7JRXAnwzxFaOGfPbgy5tfRNzBC4Db0mueChUP1KruAAUsRKzOfomw7XsnH1XHx8CENhOk
zfpDkU7517iVc+wbotRHNLPqtfW1xpmrjQlT9B4/fDHP/8+pbTtxugqX1ajILM+KAf96au1UPw4+
zdV2AyNKbOXTg4qlD335ZVynaFZAZGqg8X4463PReLOSNthBzUcqTdc0B3YZ8hEQYjiizlWoUc2h
zbtVrkHCM0/6vGjXewoSFRduWabt/dxmo+LnWMoPJ6yerc9YjTQ/9HoqH4e0igZ/KSaqzSKv6p8v
XgUeY9yc1FlQBt2vwjzLJqvhI0GdlrrvwnQ80YjVPL2RR42M69iOrNFm+wFWifi+f0xoTRe7rZms
QRtp0xltXBEoqjOBvRyPFvz62mSorTTBJbbldLtTN6i90ju1uaCxGfGi1mTUvNNWgeeuELHyhDgX
pjvxYiBW9fxyXgdKshAE22i6knzTeb3cVGZvFkkk5iVYJnd9yOvoj2tO6kFScL2QyFnQL8GkAPoj
PriXg1g4Ao2OXjAIBWcy035AArR2Okqa5hEJ8XpCf1Pj7T7eZMz2Exqoi0xa1ixBWo+tHw/CfZtM
SfHrpctGYmij/kznEUTSPs3R0nGpjaWag3YUr1GbsDAP74gCL/46SLfw6MPxBkcDlDIvFy5bBmVs
NHUKVPCWdMeABVUqRuXPT+b6HqN5CsoXfBmJLw60l6M4a9/hyFZPgQsP/3WZJeVTW7rFgxaZRiBr
xzgA1N94vWzdcJpFG9ids7Xb7WsqjdU04ymYBFrt5pg8lu1Yepoxf1Ygq3hOJYUvkeHxzNX+EJfZ
u8zqXw3tS3XsTRsO0IZtM7aM5Op3tP248orUe5hi2XQ3NYjuVqhJHCzv9Y5kFOhN9PGYMa/by+XN
dUAnsTH1ASBGMMet3Z2KGAnQ5z/i1RkjUpOIUCDg9UXVcVciqO25wCNyRCQqmsbXWYEOKDHDDPs5
Lfznh7qaENr39D+47zcdBTovlxPq576J17EoA9nbnd8mVfrUzel0cMT+r692mYoQm1BrQQMd+iJd
+MtxmrXq21lzuyCqp9y9k26/KOdSaGt+NqJl/iZMiQiIWsdG7Vm9a30eUydTCZ6ThXqG7KLolNRz
oZ1Gs8x0D0FuRXhpb8jU07RJS86z25j6mcfCLM6JOcuPs7vWiT9F6ZwhNIIszh3uopTwZenOMoiL
DmUKE6nyc1VEi3G3TkmT+3NH98kjSyxaj3ZYFvtpRB/gTVOWeCUta2Fnfmnq8X9yGR3Fb5wxcU5u
1TivwADH4s6KJVB+u61dr8kn/aM6DDL2kOxUeLVEWTyeR6st83MUl+k7CxWQknZ37PT+X++HUzSo
seoZOm9JD/2l9nfTalFxMrTFarw80sv/pNUWH+HtFO9GJ7Z+yWhQPoAIpiUnlUb7YEtN+zIYgwM5
s6mM0sfqT1ae7GrTgpShT69FoemwNczZfVtxCiPPze3M9JeFXRd0eLMjOm4ra/2qREIMTMtaQ2wb
U2WIQTw4VG9k47jpG4o1pYoWoT1+4KrTNQ9nDPWTHJ0i9fPGGHNEh9ay9NbULCMvNRA6CqXVJCV0
Tj3KTmAxtPdialPjPBV619yVSTt8NszE+E7lrEceaRNtSVtrfGMpSlJ4ToyNwKcobbrHNFn19SyF
OyUbQ7Q2wp7JVr6j5tYpc+bS8YQZiz9uG1kmRTVzAdcrktjAR3DR3o4TaZmXp5P6WSC70ga8W2L3
zE5p3xW1Mta4bmgYrGmr3lMlthK39+wlU+46CfrDQ/RVicgM1+Vr3uWSRXMU7vZkUBb89pqOws3o
Ntz7aUorv6jNpPFx2a5p8MTrjzGWS0K9y+FlN61594oq8WoETTcaH8fRLQZea2rSkx/Ek+tb+qxb
GPANyZ/KqMUr3ZzSJ9AaCLkohZM+FbxZ3zuxLAq/cO1qPPXSoXOpZlrzs10n/M0GuyAIDkoX1T73
7ITlwGCMD3WSmz9ygFjACWiAMJ/SXcU5zuLlT9Pm5gd9Gi0bywWd4uTSW8t0mmzKAT5mynResMZK
SGdqZ1jvQDZ2pR/1sfo0WgoyFRYgKV8vE4q285REs1c6zgzYMEubP3ptRt/gG8uvlQPD2Osmx3jX
0fUzfN2l1IQMj9a+7qy39hi/kmkTfZwaqfxxirnLfTkOXeWjxmz/nsTcfsWfWtfC1i3EEuijUZaP
hSX63pvSrP0JQdGscLBMnCTQhyRPvdYZszcVpIbMt8XifG+kHH+nlJnfsToRIj9sndlX0UT+XbvJ
YPvITSiVN+Gt+x1TiuHjskxqE9aIqPOntjv2J6PUjNofUHePvLXJs4/0UAjRKpACzasQ1vjRudRD
zwsGtuZpWCL2RV6Y0X/8tRQo7TBZXh5PWeKnprTPYK0tXu+mYr/v0Tof7s0sdzxD6/qnwmgQ7MND
2GYzdsnm6pC6fIOuspPGM2AAPLqTHsn7CLeAMeAguW+tWDjYB84LcCSh1W3sdZYOjiNFDNP26A9M
H3k1IeTOJ5wynlqa8ejU1vLeKDPVnzIDYv6kLuJBrq7GptUSZ3ro9KmB2U6hpPfRW45LjwlOuEja
VveomFb6LrL6uTrlVWHitDSq4kOUROU7K5GdxSesNUz+rF67M+l8PtWuBfnPplvMSwy9MHnuBCYk
ittXYI6H9NWKTPFHiVvOGlh2Y8qHCh9K6XfpiPz20rmr66djnrzafJ3YG2Ky5qBuSnsM1rmvq3Ac
sqaiol851V2OeixIvbQEZj/X3X8FrczOTwByhE4UC+JsU2G3UHaT+coZWiQZCl1qb1SApZY/lRnC
grJD6K/EETXE45bgWWG1mT5gYx73OBAlkxaa1kiolOg7fWzzrPiZ6MoUh2bqzHHQj1mVhsW0qpRM
eAIbYWpOLs/ZJiEiZXHafGOAmd5NwksG+rmrfcAaJx89PtD4S5qy/SYmox29WShL7ieFXfxnWL2l
hO0w2uodFtB64pl8yZyPkza6P7vlbHrGEDm1B8W5/690UhW5kkxF1qqyxfof/vVYIK5lr79z9Ly4
NwZwVl46yXr2DAMVjnNmx2l3FxGH1ZMeD7biwWskl8MZAIjjbClfUUApm3vbbhQV7wBRFJ6eVcXv
Ih1aQaEgjb8CNGofa7ScIyCuWks/p7F5ti9rszxF7qqMeEVVJeG7jczZs7MM+YRMERWfGrH/+2KO
TK+meBAO0lb9NSaFHJLuaZwUUw1Wnn6Zp+MG2JEoNSNLgOoLpoDxZmALFmd4EukcZx4g2/hrZyrl
4JvtCO+I3nz2oA5m86umDE+9xxzMzMuEyoOcZ7PSnIqs4tEcLYvUvLix6vS0LLbyaiiR/KX8aiZf
DdFbr9dFTmlItDTmU6PoXGWJlrFQoygtv2+llt9HMpufzCHrvpZ1VNS+UdvpQkA1UUWnktFEpxV4
XO7V02SOJw5N4Z7jcuy/r/RhQ+TmF4eOUJrfyZb745TZvGm/52Zurec0n2LtPqmU5JutjqI5GYmp
Z6deiy2vmUttyxzroEsbpNOEkUvNr5amfMVaZpRt0rqr/XRV4sbXe0d9sxawzn+IZa4bf8h762PT
msbvxLUgultdMannonfwiqiY7OBlGje1pzotIaKvre5t3rbydy+57UIERgHKGl20UAsi9Ha/42lw
uJpUejdVpC5feCeUv8dV00kMZLuIj/moTD/79ldSBFpWrr9waXe+zsVakcs1dInmqAcUp4Pecjxl
tC154ruZ4EBwjX0nB6f/2Q/F+KVGfK7wJNT9z+lsj78oZ5DYNZbWTN6idyR2AuXQ4sOWmbxLhkVJ
wrFIkIV1scYbvf/P3pk1x40c+/6rTMzzLR7sy40zfgDQ3dw3URSlFwQpkdjXwv7p7w+ckYdsyaL5
dnzjhMcOc8hudANVmVmZ/wUiFTS41uz60UcIZ4r9ZVqgNipuMty0rWZ/qh2zu8ucRPbnyHyUXxEA
yCzfkardekUo2nN7ksmT2ZXanaYbNcdXIwyfCG7kZ6kZdGmxWC4ij/cpr3ujVD9mSmF/GJpZAX9Y
iLj3gUDlTTAR6kTAbszdIwooa9pklTodWQvLCfLCunoy2FkoDsUQx52os6+w1styb4rrGBI16oRX
SpXrUTCKrvxch5n5mCGnR/mcDu5HYWqxjpKHWTzK0BUXZTuXZ+moTptkULN5U6ptsZqaJP19UVTN
17npYMIWYVgvNyNEYPXYnsb6U0pZfVjpMv08ubpxakeZamNriuCfN4QMKvky2YxAQFllH7lz2XA8
IJN0G1ciySGUVaI+5/ymimBQmGkENsG/9mh1k53SLDHtXa2qjDoQWYlMjlydltDgkEV6oYzWXH2U
CdHDl61uLEE2KUDNCQndVTw1be2Xrj13XsGaPS/bVrmac2HhP6OMxDnqsHL2aoYnnFljnJQ9p0/d
2ctcBFA9YAlmdKi5mD9iCjm1iQfEpe43WedEt9hKu98qpu6glu0pXrwO7PGHrLHwyuosRXwp8Cla
qKbz+HrUSKlektDBnlojXDwtZvLhTVVUVZ4Iea7syzIqj81OnWKMZAb9vGB+oO2k1SdPU1f2dOS0
LAzcdCpsKLbTevxIdbXzsZGpe79FcFccj7jUJSi0OPFNaueDQSCcxXSLz/c8HLp0B+ZNQfcI01TF
aoDo4ERMznE1YTL0sPp6a4VLUh428KlOtbbr5iDTUyZMS+5m2zDRKomUp24+rV7sFKZj6ZhHVV9N
3wC62/VxYehR60lhh7R0tajwM2hed7pesaWyziajVG0/yQsNZ+/iMGr73PXb0UyyQJ2W6bbUu/4+
BAIe+Vk/xNLXxq6+T9ykjXwQ4vbXMl0wR+7LcrHQ++X5+Qlm96ZniK791CnABYCqFs59XvUIniIH
SZ+6KMzoFGuGRmyUzlLTjS7rGPtH0rTuTdByoiC3UiUKxBIN3J4lWRVSo2wpdoNWwBjT7CFNcC9C
12dn4cBArLF6BjVRWunjOSIy5Xg5SNv6KGx0pHxtLpY2qI1RuweDN+o3dk3Xj9s9icNGm7sbOv+R
4SuJnn9wxEjupfdsMWMNHZri6E+jLAqNbwbWT5vdN6OhUQ4bmeva5xzTof5cSFk7PtJm5Vk8R011
5GZzfF5QW1h4F5RG6XFi7T4j1dVdtqodmd60VGbqu4IC1icSwCpeTK0P/dLqEETKNRA4ntPMKaV+
mmcfUGnLda8fSheHXdnL0bMQay/9wnHluOtYFc4ucfHL8Z0opuGjlbo7n1BN4chi16pzlDe1Ami4
RJfZz1O7/ZCrWf9UZkTQYMzm5npUDPOq6DMOCmnESfIkDWVOrIH8hd9fXXXxqahFO4F9aOsBs9ki
Q1k/mdiYUzxWrYdil3GPgoSMg8wy68tpwqvoUFA27LIMBMumGpTwy5zxQIKWcjDzna5Rruq+odDU
R6VKN0M/iHa9NXZ/xXircoMu6zvpOYvb6F5a6ty4TteimhpUqXpqnon1RgsZ/BAYZVM9yRLi03E8
tF1FxRLVn2yhdMlRBr/ys6MgThIsS9QuQeGW4QB+YEaQloqr23U9wxXEx0OcervZnh4LJE6O5WBy
zh0WDPg8KLwIdil1U4RENacYGBFW0ZmEWn/pxLV1pQmHEK82UaFsZqcJNW+wqLiZ0qSZTUsliV2u
1We178aOW3vaMipfnaFFklGrp+5bk0KSPYTIG26raXHDwCpl+bWXeqsE/0ePh6rGi3DcZuvZuco0
is1GTMpbBjQ/jnqZmKOGhpQdrSF1n3pOU8soJP06mnY5M5yBzGOlX6dw4OQvPsPSAxP/FhD/h+Ya
4lyKszIMYVoxf93rw+Y9To6dYtLCK9PMV4tUBDaoPh8R7HfTGe31MowsENADi7v/9bRFmktodvPW
wIXGS6icdgtwnTe6hT+08J6vAj0GUgtz6+cO7YsxfZ4W5dgbDfOGWiwb0vniLWr1bmGu9Sr8d7VN
B66yjyCNCnu01a6cGZtMlmdysN4mHe6NixR/KWb/19fp/0aP1eWfbUH5j//m569VPbf47nZ7P/7j
on4sP3Tt42N3dl//9/rSf/7p6xf+4yz5ivdd9dTt/9WrF/H+f10/uO/uX/2wwXe3m6/6x3a+foQ/
1T1fgE+6/uW/+8vfHp/f5WauH//4/StM0W59tyipyt//+tXRtz9+X1Hm//Xy7f/63fl9wcuCqkjK
5Ov9/ise72X3x+/CUg8Axa8IP9UCHYEayu+/jY/ffwU5B627VXhrld6iC19WVNd//K6aB0y7KEUM
WsmorK+oBln1f/1qRXcwHLRAI7B23N+/f7ZXD+nvh/Zb2ReXVVJ28o/fn7E0L1u8BAyc8EDSAz+E
LLmPBWe0kcZdojaB1tEaXFIHXntuaMILBfRrv+h1Rsx2jaqpZyBM6Hqo5MjAVEMraLLCrr2xU5zH
rEyPjWEWDR2t+lItJ21nT5VjeHNROUeAb9wA5wYF76+Mo4GXqTohkj6suivTTrlIE2CLXpxGxmnr
jP1p6gzzp7qidtrExlDcWr2qfSybot9hL7ccu00ynYRTXTW0V6m8MVy1601VFpe12jX99vlxvmth
/8vl+mqJ/3L5/w9c2Cth9V8v7F37WN5/e7Wu1xf8va5h1mJHCPoZOCywl5frmjKYOchqJLFSUEgg
39e1doAABppHhFVkgZ6FJr+va/WAZQDNGtkS5ILgFb1nXe/nC2ZbECkYqK1jLjAueyOfmdF6WdtN
GuipSH1pNNZGqIM8NKfODl7clb+21Mst9APbbr0WPEjtWaOBztbetdQKKaUJ3dOgMV1xllOheGFo
WIEr5y9athbEWR5vVqw4fov1ZTuN3W6EVO6VkwptzIxSP+ua3dgvVGWUgiv+QTKpFf1uLKptMVRp
gH+QyxGY1kbpZNJbFgOp7pxjsRXXBZuuWs7KvNOvfv3V9jM934zcxEQS5ixYx30gnl1GlpuFXH4R
ar7tiG6+Oslqo5lt4+ngb728dy1v6Qvzz033Kpm8vKn76fHPK9NGWZfYOnp9PXlC5AxoHATWQFXL
aAOFl7JMMd5yJH+eEr+KfsghPJsAgR4lpO7zMpPBAsvQuhC9oiH9VreaYBrqiFCl0brkyErWSY1Q
eRR+Bb0UfZ7R0WrGdLZ9NRPWByYux/acaTsGTbQGzLzSn+LRSa6YYnWlhwmgbgSqiFzfbbN+U2t9
p2MjwSQJ+Dn1MOMY/UR0M01Ow+UY8b9xq5vXhIwk9Yt1vCb8Vxn5+L6430vIz6/4K3LZ1sEq3QXw
Hg0tw2JM8c/IZTsHayRbjX5MG1XjdVL8PXI5RC6g5gA4bapCILB/Z2T74Hm0zEIlTTlY/r0ncoHB
Y22/XJQr8x7VQoLnWrsxe3299rUOeIZbq+l2URWI8TCAknsnMXQJhtxAihejjJohDLPo6woTN/or
EmfGACHrYfZyhV6PD/gO/4KikDXnEaEa+IhwBCJExPYpZbRecLxZ2xyTzhSzt3JxaCc5LN6xH2Ys
ldwl9EJAqhrN+iH7VHcoDW6Q1j6Ow7i4nvNUr31Gz0gdWJGTM6lFZd3wCoISIy1GF6WnoTQUbRYq
G0royNRvC7wU9KBkPHuah1p11+QMJCiwLT6gpocXTl6VnD4z6DroQvZuumtMqV7KUaFFFevFdGs5
gv4rc72lYZyn9IVfNKNB0xsP+oFmgnNe0c2bgkFTp8dIdakzmB1PH1VqmsNJzfLCVzAHOOLHot9q
CNd8QjVRe6BPDj6dNJbc95rVjl6D4yWkrsjUkk3Xa1O6UZdeuQUKYnzKZFIkh8wA3Qc7aZoTg7av
vYEPK2of5zKA/yEiLOPWrqzwQXSuTbumsrI717aM8ahkksnMqY95OFJ30rvaloJ++jo48DiwSo15
TRhi5dtxFvABEYsvtLEG1QuT0Fyx5oOzafXWvq+E5mCuLpLujnZH/HVNOI5XWXV4ocFLTDAe1Vo9
QI20+0J7W9e9BWEv1g5ciuV0GLP0ToC88qU1OEOQ4JnQ+3HVmVOQDCL50hqizjxRmNJgyIWv/dD0
VINwZ6aKuXKb4mlmJneDFur5xoqE5guDPr83hRoWygZDaM1rhTuG/hDGqzxuPxhXlqRtjJZ2PB4b
s4GKJBcAP/kGNmI/84PigsfGGZGdCjd534Q1rSRdPPpBW85U5YbCMvHY2Nq2c+mmvAgrP8n8a2J/
tVEBaXJ+A6i5OnUARnq9UfM+ySN6NemWEdelsJc0yO0RfUWzFRumfTOD3WQ4rfm/l2qqjH+CeN5V
l/6nVZzorr24xT9E7rP7FglxvF4fX56mnl/0vexUDgiOBEWSNXAs8LH/DN7rSQvYLA+E8xFUiJWF
/D14GweE5dWUh2QPuZsH9b3qNA5ABfErTlKr+A2Z5R2nqfWBv1wQnMlIHXwytB5WlbC9SpBemWqU
EWI2piXdgAa4cqTM4i1U5DPZ6IfLgEBFaJsFjo7u3rqTPa2wKi6DuGxoWyNsHh6mYOEwNZ7n5aYY
YoOBYGZvp1Ffgjjqx0/WIo3HworD+1rYh1h2oQuu1akLb2rSGgY6YleikQ3OcRIfjA7SzJK27g1u
82BPxzTf9droBlNWl1+aXio3Fey/R1mbV1FkN5Y368oQoHXQnKSDFl/IwgyP6bbFvlW1tu5pszTO
nRW3YhcMiWngOuo3TJhN5qB2ezkPekxNO8kPUa1JZiBdgVHmkujdh1SUeL+Zdf401wgFM1yoOVUq
2iBuVa3Rvy0pU2NvZG9ftROQrkivO+aYk2HQ06W5yVDIBOGWd4NZbfVB0uas1HkT6tFyZ1khMG4S
z1nVKMOXsGhsz21HJq8IK+JvONsRIwWgeUeVm2nf8mqIdtiAb2kDXtbhqH6k+1Z/05Olu9WxWi/W
MQNO3Rq2DtNCLRngboQwxpQ2R1Zr6blnu3NxB/gI4Mc89aMXA3D4+v6i7z8vKBDD//U59Kyic/HY
tvfd66DAi74HBe0A2N16sESiD0bPur+/91g02i/Q2dCqI2RAtXxR0VkHgLlxGFGA2SM4yeHne1Cw
DiB4QNrmX5rIp6Bz946goBJ3XkUFykziAmam/GfFM++dZQZnlNakUZn0li4/pkO9fI6zadcbuQL8
qVWzy2p05VmVS/HAQMW6TCvDaD0DesjX3i6nU9k387kbGsW10JZmxzJjJ7x/3fz/2eRAlOJXq+uS
DmJX/XadfK1eLq/nV31fXiaJBU091dJYX69zjn2wyjSsyN2Vpv18KvieczgwrHJTGGRDYab6erG+
7AN6H3T3EBMhIRHj3rO+1sPPq/WFm43BQQYujwPKFfLy63RQJkMETVwWYBUtsamXfgwMWdgJMzD0
hZCGzIOGFuTxrNkfHKVnep6Vm1pP4+M8XxRkc6yE8p8Tfdw5jjekwjm18vhhZup3HKNW6HO8OFF7
yByJGNyLCC7mcZPP3ebFfb/8M3+9PPLvI/Dp6kN3YIeiIIim2r7C5ljjcBCqSQFtFOcx7GtlUITJ
pVko0kfuibluqo5/Lvt/2WYgZry6dVSJpHzIQygFI4TxvHVfdOEBbTFdn+kwhLWSBbqbP2Hl9MVV
iveqvuxfaA9w3bvTkjjYKWw4In1pU4asTuHe/PoG7q+D9Rp8G2VtmlD5/oAK7vWkpJcbbZjCYZs8
yjFgwlq/8Zh+0IXnMlT8+IworF2q3r2vQsMJIk5doJvl9G6AzsBJVbifwsTE26i9G9r+Y4sDlp3B
/UoX9apwpstff88f4un6AaA2/uk+ijjC6/VuVYPq1inwCjerTnMgImdLp9EKHgB+DiMAzF9fTl3f
72W59fyFgeeTD4BdY5f3+nqM23W5lCuWmTjsV03yEGPtAO/KWbwwty9KF0FzXKqvgAk9DVbz4dfX
Z0rw4wd49hVb6XoUv/tCeXo5CWMxIIEnbn3MWeM8F4u2Maz0Kerr5YpZ6hVYonJXDDWsRDt/AAP9
hPvhaa11qRcXtQyyGfmqSlniLTA447I3nPMmYZprF6eOsM6XNHtSqNHKxGFOOjNInkfB3L8HbqBm
FHMF5IrLTFVrD42Xb0MuEr9V+J851K8WPdO9ckk+mGrzJQutG+kYV1VrXjkKVzbs6GOqj7kPT/zB
5sDrNUsrg/VqYwcmc/0YjmuhCl7aNyMCLmCf1Cujjx6wPdY9t1c+w6V3vWH9lZlp5gclnLoNZoit
l8dOe2jJSfPjlEvlsqx9AzRWgFDncmW0lROgDCy9eihOk1S7SiWH5udvpqXG2Qxs58Ro1piXCORl
xYg+mt1kZ0km7+BN8a1AtNBYXQp/nEYnENDwNjB4zhsdr2tAQZ+FLctPHefcABik61fweznUAuAx
s0HnG0l3p9E/9ZhdPFi5fU7he26mXXWYSTq2eda729l0bqy1DUIMX86c2hh8OwZ9bOpRsi0T4MFk
nnPVLNcy2qV2FkgcLLZ+VWfFQzbrt1qiaYFry7uwiPNNYfMR1KScP67PNbTL07SzHQ8XvPiid8MN
k33V72tH+iai6MFQG2JjxK3uGRJU5rTe5OfbOBkoqqUOlK64i+aPNgIxAP25CTND922plu5ujhXX
dxL7HBlyd2e287xDgsmBfpk8GCWAXT3r6q2CDJYXAXPdSAGTa5T6clhV5lWVW+ZJ5bAUqHnMk5Hb
ENP43rZAzTfp4s5nYRQCXBd6Fpj0afyw4MewJMU1Tf7kjPWdFttHz589jzDpUkr7qCyWwWc0fj8O
2pMVihuUIuotg6WKhi5fcmjiJ2uOli34XQ1xwBm0tmoPj30ydBsHyddD/GGvCgtnMQcT3k2i87kz
N1m2bijvQEIogZlaGQ0Td/JwkJeBynTfc+Mk2uppOe84EbBqyu5uMVkAwkyeRGTgoTe3d91kZ5vJ
Acowirz2OQmVSOdNpFeXJnPuqleuCvYzGfhkIm14dVierptGGXjjseeP6MlBMWC7A41uvfXY5A3o
0npGHPLWveswb8uesCxD6HApHgDin4NuPdPC8aJR3Juix5okA5R91ugseIw03F0SatLrR+NqCfHk
bOTkoLNinZclhLsyT2zkwtxzddavYFZKT7OiB93lxsyVyjXC9g7ry1OaRXdCcKdmO/lER6sPlJEH
pi58TQ2n6JsU39iz2I5nz8jQJTaHdYvay9dBVy1/cpwbuu2wpwtxQxk/gT11bvSI4bHMH8qILQsn
90bGKtbvBN+us7Ogke1dWmhXbVKvooZsjnJd+EoIuhoNSgbEAvSaNppg8ICD6wYhY7Hb6bhOuul4
KvD1KCxBVyxSOo/5UXwOimkJfZiqKVBtHo0p+ZAKCqtnysJnGnOHLVrnD2Zn8Q0KYHtegqWFaBpg
XENVfC2W+CgzHIwsa3a8TNu71o6Reujv2qK9A9y0KhTiCGBbLUHZZp04MZ+7cuKnPIHo+bxPRW3f
FLmy7PqUbl0090CtqrY6ZFbKrgA3GMBH03xnEDfTnLG4hHvsZnm9dVC7vUYBIr8d7BDghxKm8y53
w0eFZmWgTbrYCINXhYp2lWeF7pEyw3uJu49nrmVf6K6hsZnUU90G3geY0VR3OjwUhj32eKFi1QuA
t58uHZ0gCNQw27R0xY7WfgdCKCxtXMfk7PFQxGGUAHXNW3E/T1F8qTuFhkJbVR32GgE/M6s7KykN
tg2tjVMDSvVWjRbtWl2ScF3Qc3sy2DORVs8Yx3QxNqEYFZm8Uu3FYWHwkSFXzLsIIt6mnQcifaFf
tTGNgmXqB7/LUHelY5rKT20exxeZKPON2Zr3MNCywFALGXDecgIglModnQLzBP5ujYmhUn9WhTPt
nDKcz0SOWhakjPhBRiK7ThRxrzZAk3x4Cjy/VEFzBjil2Gijqm2GsTG+1XUGX0nVBz+L2CxDzvEf
obp8MwFeDaCwOlu7GZQ7+ikP00R6XoNTXbGCdRK2A6WXTNXePadF6tareWw1nDfT2pfKmhezsD0B
CAiazzExWWQdljbboCZg6HSGA60w2xND7YQv5XhhDl3ypSqJ4M8xIkusc0XW5QdRpg9RXofHdQTf
oau0ZEuIX3NKfoNhcu6llg3slHg8LUwAsip56mvtstb7s7ayvxpx/rm0s5MM9C1zSKoEOQH7ZvpO
Z2RQNJDJbDiNELftExoolZKDPAHX7ulZMZ9MjZKdzpPNQSV02qBSGBCw6Y60bPiQyqHYolTYB91k
TpdoODO6HeV0XCJH41NR3jnl+jVplHNR9mOeNcuXPnEBeMQPCUx0L2uTp5Ub56vNumnXAuO5XAAQ
ezdb2QOWODU5S+pATYe3VLT3x6WUpc/tRThznAqB3bwuFPWCo145LfEmx2JnY9niZuRKBM30aUxa
zV8SpAphfyZvVKjPDb9XFSrtBQi+q+q7Qmm+XyAycAHwp0ZgouzhIk7soOviY90YrsIMzkitwtmJ
ykTxlDYPqEfOrI72md3cpeg821nJIMEgny+GTsmGHITSNqD6mm3aLh8iRgUeLC7Vj6U8Cjvlq+l0
ArCi+EQ35YNZtyeN6tTbZjLp+EUfVdl/S7X8UI3siBYGBXEePtVt2vlxkRzDtKNMy4fp3BRddlzM
7OUyJHAzdDsa19p9ZJbirWvOTI1zvSTqpPpKOsyJkLLLLmantnKvBVXoI+pP1Zi7bMlRLv7ozIVX
1Nnkr5bfm15ob8ir/nBAhfMOVIZ6BYIzsmd7fZyqtmtLJo4ILI0iBPolRZpqHS129JTWRE8S69Ov
S/9nBeW9B4ueKxJzNCBYUvte1lqvl10T5iIo1zvFwzGQl6W01WM32ki5fO4d+6hJySpFbuyG0Dlf
y0ncJh2vcAfNB/ZJAb+Qc9eaSRkpgdan3FIMzHr2gAZyFhTEEJg2R3MyBBLc51Gl5U9N3d7pNZVO
v3CuSfUrvN1dGNZAE5ME07417WtxkqNgY1xpBqXjWm6KhcqhoAiXCrsTGlq2kTkxIB6UjqqNQ8tz
TTe0tesvmnPjSLaIID9lWSsO1ZGnLUvzvF74Sw5Sd1OqypsK2FIC5wwYqhuRk5eQNP5nZuTMFY0k
hnFWxGaaYojZrmxdEMg1gRXSDDBZsoLrzmIt7GTAUeWht8YsWMstPWnu4GF0G4rn8DhC1/HL8+N7
14Tmpir4Zx/l9go29O/13XaP1Qo4k/tv9T8QV6St6j//uqF70zLj+Xb/7bf78ttvN9XDffS69ba+
+nvrTTnACHbVEUB/HYWX1+MexjlEWYDBzC8Z+v097lEPVmsB8D+oRrigOmj6fm/tKgcrZG41CEa6
k795T+dtv+HiPotHIcbDFAZEk712l150j5hERVMTIaAQj2O/GwayyjhNb4kfO3vHf1T7VgkQgg8I
Tmy/nbUf8uIy1qAtSy8z5NgALJzZyzDNmxzcces5Yxt/zmJDCGTRRWMFypxO6mYZ4Ph5ajdNF7NZ
JvMWPCvR36qVQW6sBbrPdk76NPZgoSW+jBVtOq11o7/A827ON0SP6cGAH3SMeKrAs2gqulvmR8xE
KLQVMxhAxLNTc1V+XkgAlzCAouhEWgs61yHaL1dQyGjI9DhudT6ztxlsjIo9DmGBXXYUQkTqj1JK
octUl9DO2qGezgenwTPdZcAidhNmSa3fhEZ5WpQM6QF2l33uVUsYW55r8PV8BbWMJ/QYmsjXON5R
5MXJbcIjT30N9sVto+UGFticQ+mki3I+RYI/1ZEFao0jLQVEOJNpFg/a67DQMzWb0SuaHObByrQz
/QqjzIlTfDUb/sC38QYmezfF4iwiqOj2nsew82hljGZ8xRF6zKBS5+FWL7GFhbxphI5vdDkNogSU
JPQtkWnnYsi0hyxy9MwHNQRX+cUm+kn/dG81riUA8BOSBbAATflh8A3vu9PsuRXUgtI9lBPEOBfF
ou2vr6LudcP+vAzdbDIgHEsS0+vVOJeh07m9RHgZh8gjpMCv5aBqQdUZ8sTRawn3PgxP1LTqfbZt
ejqF8DB+/RnWBf8iKz5/BPw2kKDDloVG8V5DLkrrEIZkjVy/GcuzfGr1w0QmGqktrjd9YmnBr6+3
7uP96xFkuL/sxTV2vP7KnaFPmYHunV8XwBVgg3VB3kFtLktb3f36Umus278WyCNgwqs6OLPq9Sm/
2OxNHYeJdLD1qIdM/Qa8LoZ/qyXyTsyDpQEVEXClIW2YC+2o1Mw8y5SXFYPHR5Qlk2yrA845RWog
dnwMO4eLZuDDY0/qdi7l2JD43diZnc8AtEmCZkYF1GuduPmEtmJ93aqmehrDvALRX7V/irm+Kxv+
e6nuP22ACezgxVP+AdVws0o1PSc7H1xaJX87kjmpT76aN61v8VfSs9UDVOgR2F+b7MwM1/T11zjT
1g6A1aJ8CsyUczcb8J9JTwM/a/HXKy3D0olRfyc9foUkH/ax9NrQqjQ1/T1Zb/+UYyK5trpeo7XJ
fBQ559crdBYzTvEdrQ9tzLrbuTBQJKZvG1i5kXmyS54GlL1vdbW6f3HTfhLf9nYGYoZcF/tbJqlU
BADmX19X7RuVUy7XJc+21ylndo65ogLe04p3mwdzLQQukUpiNgT+dG/Hcyv7YRhQe8+dCBZSQXsP
Fv7yRlzhibzc68/fCHAGFTvJHXLG3p2U0rALS1015R272HSyADcWqtkhXZkS0vBUnIoq3GjGrpXj
u30QQZyhRmggjUQZQ2R7fTdNFHEWJ+faE4pEGzsGeS+WM5hqWEC3ibppaxAU736AnIyBNXJMZka4
75OpY34GFS6PtmPYJH5YKjq3N118szHjN3RKf3JnCaKIC4H+Jpw6e0nKdeO6HYWg5yXr5FILJyVw
lzI5Ck06FwJctpkpJw4SOod5Bwru19/z2VzhRb5Ynys7cMUBUZuiBLm3eiwhM65tig2KcXkA6UTZ
gMrUPYA5DqYoahvo2mIjsjT32yRd6BB0g0DoZfTMQS0OU4e5Rawkbxma/WQD4dGIdqvCwgatvt60
F6llUcmW9Pfp9xu5u7WaJceziolOhBbEGxn6Z7eAAnsdmFOIE8X2UrTapGOCA0W8HSK3OqmG0HyI
Kyf/AkTIRHAGtJBrjX6tpOVRn52KBn9WCqp0kyAUsgX7zVRLDdXljRLpB7w3T2YlF7Ay6Olyst6L
IRJlgwh7iWiLSUkbQ7+1C4S9Z6cK0PYEkd8g33vDiVU914dFh+c9zrEPbRr4BbTR41EbxafemngV
Uq5xgGf74kdlWTenWg+8v9TtMOiKKID9Z5wmkXgoMqCecRzT1FDGWDsCMVl+srBmfEvj6tnT5/Wi
g0lks/Bcjb4rWJPXTzezq5iDCk+35VC/NWEknthuWtApq5RJ8cMqVp6msIKCC7d4CtA/CCfU+wbN
Q7sCM82W4/NZMQmKg3qo3U+Ah605aKIohtmsz9Xm15vkWbtv7/OCrQEFgT8byLt9ZfvQ6Xs9NK1w
M2aleVJOyEr6VVlC/TVbqKVxpV7LPFYrqh8j+hjraR7ERe4c4yVsz5TVSn+bpx2Y03QOUQBAsA8S
qqF3cGAnDWzpmElw0COkCFrdLsykSUPXBBus6AOCwuMl7xBftfQjEk9Uk40+UWZe0lbKr5Pc9KO8
3EacBDrUnTpj18RSO2YsbV4nVuhMviqnt7gI6/N5fT8AnSvkZihhtPL2Wz36YA5mpBsh2LRk+JjX
s7IrncZ8I+X8/CoOhSXgE0hpe6GpXuI0FK4SbtzIoQ2uzY9VbTlvBMAfK4QVP893eTaQQ5b69VIU
TGmWxhzDjTpaHQOzxb5rNb3woqjMwRfTGOzrsfXnttSOfr2q9stnQq+7lj4qvLkVRrJ/F9vYSkSc
6u4maytI7aXJ1Ak0XmVtkI/AIwE5SREUqiK2SEkVHCMZFB9WzINMxP0G+zLuuuImzpT5WyrD02Zk
VqCFzJs9lHHam1BLxckQ2/rNqrtRIIxQxtciK4uvQOiNC71208upf9N29Sf3k1H3KuAIBAHFvr3A
ncrOnRNNupvB1FNsfFYRmRFh+bmVpRfZH8eojW+FU77lMf1jFsUUBKYW3ESVVssPbeVab+a6VtxN
XLvD1hgd9wPog2uZdYR0PAW2LLBzBhXxzkVG+I1F9LNHqa7OgNgjrJ5p+y5TGWwC3Kxad1Nldb/r
WiP2Q4GtFlB7e5dmzXCRo1Xo1TPTdwGLB8E1M9suuaJfFlo4b5rSuc3ssIJ8Hi6BoS0o1Ch2eVhX
Bn0GJlt+0Y5aUCv1Y6SbKMcU7X2OeNV5p+lviXz+AJphXbIbiM6cIqG+7fOXo2lSh3iw7U0Tafb1
kul0Sgw3OYmLTkWsYLTrw5mOc5DgXBzkZuMegS2vLnPIuh9/vUV++lEgc2mYowC1Apj2endOJbDY
JKtYTS38/Frp2/uhR1fI0nt55CyquLBjYGGNgUoUY9ZV48c+VfW2u37jg6xF2F7E4xgDVAnIBNqJ
+8vL5WkyQY/5IE17Wvba0bKYyhFcw+SUogyzAMg7PhIop7MUxiGtBXdHWyEP6kR7i9L+k5VOb81k
sUHFpkTauycx6naFoGDYoLmnf4zizDmzCBAnUi2bAJVie2dHKmal3XwC5KN5Q531J0F5tRIgWhK7
kKhcC7cXhVnVIOmWNlx9csPwLJSus9ULEKDP9/t/z9+/U8u+WHo/nL+ZBnVoSvx2i+JIUv709L2+
wfeWs3EAVBh1Z0p4HdGBF/QwCxoBaQXOK2RphAtXvfG/0Z7A/YmVOhg8OAgOv/recoZUptClxvzd
5tBDBH/P6Xuv90WNwakbyKmCNoGzFgyv18q8tG09Scul9kQkxxgn6ZfSQoBi1+fvldb/f+ydSZIc
SXOlr0LhqnvhJT4Py44xh4gCEkAmho1LAkj4PM9+I56jL9afJQqFCE+vcAFq1RQKf3JB/ICGmaup
qak+fU/YotcFia/I09DGO7clVzDItBXSmnVqNEAlvHBr0iTfOn71cPJBZt72L5j1n01R8aK4plPA
mD6F+5GhMzdgWWPnIyPp3Lb2Q5r03UYZ9GiXlJD49G17bUauhJBB/mGwehpB8muAN9mnRPvWem8Y
cwu3sITJGwaoIK9CUUeL1HWra8nWDxfyKJHCnMYu8XtpTFAPoxhhU6U535rQRvoF+i8HekCaU2NV
8H7psnxldTzscuhtNhJ/aSFnftaCPrPKgwoPE3TEPNlpiJxbRdLJiJshcTZ5SI3aLrI7r2i/xaoT
35l9eexcX8yEddnRD4C/9Jqy1QfTObY6s8aMk2xg7t4EgX3nM6EF8aa21iqIM73imLcPvRR1u0BR
BoB6EHAOIwBiI4HKjcbfp8Ewabbn2duuNO/6tuq3tQ56ZgBLyPig7W8NCw55Q/YB8dDQhxZtWJel
A4LXy7dVlsfvK1GY7ttgQSLtmSdjsiWiNCtcVIz8GBMfZVzD64Kodja+3fSb0kqMtTZEX9M4CVYB
N/KmqbwPSQ1hj0JCJ7vOTQwDwyrPPXOhdPuCsh1kP89qQJrUpJkkEoHjNIwPWWTpQDCdDXxjTMmJ
3HHIeScgXQ5asAi50WKSqUDdRL6iryCIrNeDXjI9WbyHuHNJCORFpJj8nEmkcHTo/qIWhhxHzPJ5
WuFtWo3mqNY8lB3SuJdP8PQOE4vHL+lUMWoBxdUkR4WoDxqp1rHRtnXjldPV7RbivaW63HOeNP3c
QoND5IVoZk0xzomeDzHc384mlmLILSsH8m+14mk27gf4d29yn9zNVYybwcqHDf0dC3mNCm4kphut
am/2yZtcEwRGcXtF+f4r7EcAdZxjEyvuEbYdby1pzc5N1XaLPste0iWEBMk/Vk4L4iZo14Xv3JeG
8oruj34LFKHYjDTFV4Xng2cK0FrJIaIazKQGNLexlaC5hu0ngRiQBDWRrL0qRz6sRFB86n1Vwuvv
Pkpy+DVKu4+IvRcHG1iR5Hjjxu5l2mYO4SQK7ttAkHKbhQJrO1AHjPnbKAXE6bTp0st81o/BTlAl
If+mZjBxHL+Pi86MYqiIYuidhn6dhehX0XLIrmpDegd5VHaryL65M+lGrMAKDXCx866LbpA4/nzZ
raZPH+FWxDrqk3RD4CEQTn6SGllO3tS269obiy7FCjyaCZVZBpLli9OtcsBBoE1recGXZ42Sj0H4
TsOV3u65UXnsEuIDRlPvdVvXzs4zEZTQy+I4BiV1O4ZlUdr4eHmls5GM3I9Gr5BIRBnu3GrayZbe
wvC0qYzmugLms7UHWjctjFFZKzlrqWo+WdkogYS2Pg1yFNwmrXEFhMJfWP6z7tz0kHG6SII0cnPG
o85/iVsbY5Y3HuD+stPXQwKnqiuDNfUtYM9yATh5pD6/Roa+vHHLsAeNWdtwGkh/QqDW39gmramG
dxeAtqvLm/RCHEX4A27J5ffc+hNsOqf+EPEqYi6bMOMkHzWriF/FA+LPjG935g4SHoWzI9h+0Z3W
tPVoguODTitctUbQbMOExl3kcT0pcrtiPrqEbtv5WCWasY4rPwFp9CZQS8hlq9BBVA4dM0nlCWKl
5lqzm5XbhsfC7uwtww8f+2DYIE6BjEL0aCJ1s5IGvANQX9SFVwDCXfgxvHSNnE+4qqUCnhzTf6R7
K6/8cdhVmTJCt/iqYLxrTWccDmoPIl65aDawjofrmI32vD7c0Ai3NuBM4bwqYlD++kKhfO6SsOik
kupqvPGnbzDDL/K0cS1704VOu9EaaQ2v+Vatg3tQ5X/pK/7PC+Q/qfKfOPLLF0iWPgbl01nDT/yN
H08O+w9mwZ65HsRQ2PMU2Y/5RfsPtIAdOt1UtCaMFOof/DcV5l/+7ur9/eRQ/yBu0Vmig0jNgb/8
K0+Oaa5LO1GjRsuVQLsfKpZJOa+MPVoHrgqrelu4W3jjnV3tddpt5nnFtRUibJVAib+QTb0gpsIq
IciC50pkuuZzh+Ek8kOqG1KYTxQ45WvlvW/C/WBF+lDBpelIByfRslfuGCXMY4zQq8TFAz9cflvq
untdBaZ9azgcOrByH9xOB6FdRHazlskBadDKkN7Ch9ElsNjDk98Zmr+rYLAF6TE22zGV6y+6Gpn3
TeNBtNGB0f8Yxal9JMUxnyyns/1NU9egVGtFOfaRbR47uLB3A6xVyK0n/k7wjyAPmXXuR6tSxrfP
vvM/x+g/ableOkZvHyEx+4/VIwn6//2v+CkZTg/U89/9caDUPwRDIXkDPiRgWT9OkwoPAHGO7f/7
j3484JnkBDgMNIxnvBjYxMt/POAZ14RHio63IEISr+5fOU3PCI7z25XRYgYORVdMiOhOHnFw7peo
cFF5VEeD52kIy61Qzdq04b1WMMbiqXu4VZ6c0H1nBkkMBW5AUwfMY2ZAaBk0xht30wH4eN2FqrVJ
He06RWt0FTb1Qy3n3jrOvFdGvcpCRb3xMngI1MKzoMkd3A2j57eFSQrhlDXU0AHzInJh7EuGQ00k
Or7nEb/kp/+/QTk0mBv48v8MXnwrXPD4iA8+nZEE/vUXfzig9gdgRTJXOm6aKBQR7H/4oPaHApqZ
WQP6j845TYX9BwJNNswOhPTnv/bTB/kjmb65rD+jICkR/quJdBQHIFoDMw5J2kuxV7StQj3KDI3B
KiddU2clw0x3ZC5M+NbtOnQV6KrbTzWDDys3S981KVISOfR86yhGKWFo4mo/Sla7riJ6KifbOVMK
em7RnJ8PUVsD9cI4MOP80/p0Fxc9ynetBudZ163qqk2vjFK+pbz1mWwFPuDY/QQICoXEeHydAz+M
UquBnDB7GGAov7bivRXT5Clz+15RUE/s8m4FCvnIoyom54qRamngpU8T+/U4utXG6izGQ1AUo2Kh
hbuNF8FiBOsyxRzmddZMN+xVBltMG4YHkOUD7XP5lkZa/L2k9N/7uJB+kFJeOC7PIfs7r8t//K9d
+Zh+efrfp2GbgoH4F36cG/UPXp1UOFFUF/9HDGSfnBsOE8UV+nsUZ0WN/kfsJn8i3SE1AVXCsdPO
jg3VREjkwNlQLQVg/wvnRiQ6E8+E8hDSFaI3rHiGeDeepCTws1d1j5bbJpBMf5fnFHGktL9N85LX
eqLutTToF06DKm6DqU0Hi5AMkeaRCJ7b1AxUPPrQ0TZhNXZXVoVgRcU8F6BfpAj6tdfRDE9bKARL
E96ZvKZa0cc7mwEJul2avq+/BbJnXNXR6GxsvU5WcuBv9DI9WBEi3SefduboPjMNTH4sLIE8Xrli
ebJPu6+qjRxVyzfcVJn1ABk3epNoCx1s2z9mvNf7nAZ8wbk0xQG1iitZHtJ92DP1lVS2vDLQ2F7n
TaSsCs3+HAXFO6sMrHXOQFNiFfKqN+BiVu2w2ITAcCMGdHfw7Nd7z7dumO5Ho1rKOcrwm2+o/mlq
nq35Rl8Ts2zvitS4ht75tjThhAyCr4mbeyt+FNNAhXtjuJmxfd6M/9bHWVxT/3yW/09T1aIF+nh6
fsVf+X54KcH+QbuEVF1cb6evGLIdkisqgz+4MCio/HV0Jf4OCEcxzc9lCCZJTNf/lXdJuvYHU02Q
7sHpRVdOHPlfOL3nVR1ME1Io1VPWADJMm2ZSnvWSzKodv1MPTOwzl+evgn7dfchg1Iy+f/p/ZJVg
OSdn9qUlEtDTODF66OlaDLkeIltZBfLWY/ApXo2Mh/9ZFrcSXG8nn2Hm3BEUL9oTf34Sl3qFKdZY
w15tvQLCdN3GGxft8183Ip6AJA4qX2QK+8x1ZI2lYlAOsqJvwviTmnwplXCPkNeCIbE7P4PI990T
yTHdWD46zYbz1TCOFPRD66mHFLYm1KTWhA/Uyb7ftv/4jWasWKJ+DGKK/6Hxf24lbql9ZQnqXF7f
du9qRJ7WsczkXBRX2kLR6rw0/rwgTDG/AqOzjCtPTFmUwVIvLnXgJKq9tqx43PRMbC9oOs44AdQv
1A8VTREQ4Il7t5maA+ZAxSNFTmIDnOhd43X+dsztHKaDailNm8Azvq/KEDViui+U/qdVAYTspIJu
qX4AyMyYqASVxH0G9SAyDDQDmLyikRWjVVFCbGp3rXwTRV752JRJH3E9OJWxZXTL7VZQWyAs1MIM
8diEiMXsFKMWk6V+GL7L+npcB5ocfvOLsoOllbr8Ry+w1OZ1i1zqVZhHkbGN0AtZIoaZoCS+L4/8
QzQkRe92ygyDfoKse2OjH7RA9re1UvypR4G38SVbv2IgfI2swKtEbz7lbj3ewNzELEhpa0vdrfPb
//lXkAYTTyGpApkwRQZA51iYdcsmA0lRmOKWV7pTH0N7YCBuCGF1L7YGd37qyNd+OS4d+blNYPSK
I8Kz1xRv3/NDomeW7NYohR50en9rzcuHu1R5U5XVuNXrOoZTQ9+A3ikAc4bXkVRqrwyrNxfGLmd+
BVQzoLm4CYA2Auk9/xW1rYa8gRvjwDxh8cFsUveKRO9j24bRFVXKbjvEcnRshrHZS0Wdo8MSKMy/
xNL15Qj44hxzpwnguYAFCMg0N99pmM3RHdM6O5NuzWgw94Nj9W9HUG4LgWkyYMM3xwyZKqEJ5BPZ
FNnsqRl6nZVWqY10i8aJ5Y43vZV/dSJoQiklwHPiU0pW7BB3C47e98rSPwbFuRVSR+GSJIwInOy5
6R6Zt670RunWVm5KuKk78/tE5D8aeBGkxNp+GtAntY8BZQ05AkR7q6p3yXCDPnDjXMvGQig8z9Of
d5CXAi1CiqbUTAVr+ekOZrGlNE7lOLd1qylrJTDe6lK5YwI73IShG13BWesvXPkzCzszOfGNyi7L
pIos59Z6FRcfYau3o/tKu7/sgC/uLN4cp+uaeEYX+V7bZqZz68mfupRuwnUX3102MbMO8Y5iVMQA
Qwkn9vnWyZoJdh3c9kGSRlReUKxRm3Xv3bVau7tsacbXzixNPlJXhamijr5/aBTUTAx73wT9+8sm
ZvxAZKJM3QuIBmxV54sp4MzokyL0D13eoBQ2Ftd25FVbWM1vIzcfjpXPVORlk3Or4rIHNyMA5rSq
zk228dDURY4SDphM2HC6j6Vpvf53Jiau1pbeUGQFJsqhpCVqoRCZG0sppTjpZ0kYAGRYVZh9oflA
/j0xwsh4U+Zu4x84qK7X3tjSfuA6r3GD1Lm1i7e1rS0EvjnXg02M7r6Mnjdv3fOtaxiRgLETk556
pAgqvE7q7oLK+51P9NPO1MUVQLpWa3T+wYzKvd4pLU/mZOnd/uKxIfaPvJLqmlCeNsVRPknJqVEh
/ddiRHllpttMXzVD/Ipa7x4yUgmW6MsuMfu1TqxNHD2JImsMssE/JF6yV5vkhrrX1wS6nYzCgUtx
uKzgKuishaD3fPO+8JITu5PMFoHjVkKBA1f038hFva+cZuMVNzn8KKr6gWFi2q0G7daSsnWzTqJb
P37y/KukcteB9Kkrj0nwpUPvDGXIo9fB45ptYVfaJU60rzRj32c1cgeMl8EoUw6/EelOv9CkmFPD
9GXDtOMf8o6GDTkFW7jpATUZyePlrzMXhk4tTRy7gzGoMQZ8wW/uSjn/sxj9r1753kNfeCU11fqy
tQmU7vn2o/HBvB9VMurIU7q61mmkzho1/0DTezXaV6jwONUnBU2+cWg+aq39zuNB2hcfpHCTGDDY
3QmxVb8cNtkIXCq9Cds7MxzWzLKsbGvnGfGCt85cY2c/cLLzbtj4cmk7RP6MOSSZBPPPppfR0huH
pWt5LhzTr6G3ytOLN+XkYARybyp5o/jQBMblpgF8u2p0fWmWbi5ynVqZHAMGc30wEz3HIHhkxOjY
SZ9qBHgT5DEvf9vZ5cBACOuiyoNgmo+HcWVEPI79QyS/8/MMqvulCam5b8Mwzl8WqJmcx61ADkcE
7FhKLcXIKUIxUN79Th5DP40pVk1n9pEW2LmRJquBsQYj+r/KnYeKeyYXwK7yhWf37FLowNCbBzUL
KvfcShYgpZ7XLiEY15fah3z81OULb5NZG4xcURNh2I3e/bkNFBFlMwhN/xCmR3fU1lG1D41i4WJ8
+QDiMqHi/beVyX5pGlqpduEHh15NZfqBurqpTM+/Hl3QlfAaHk0t/5AH3bryjI9GVSdbTyv7hV8x
F8VOf8TEyXuGk5B2Y6nwdEurItadzdAH2ioYIMy2JU+wAy4VaWZtApoG8UOp4SUQKaA9GTV8wutk
QE4ZJUobwKmuvhreXD5Ysyf4xJB6/h2N3mzK1hIhqW1WkvZoUBfikhppe/07Q5MUPhSvlra3/UPm
vK2hkOtBJRjajZ0v0bTOeib9PZDnotc97TJztzlaRyHlkEr3XmjBk3YvBUsJwOy2AZQD82nxgZ5n
Ek+yHEg+tK6UwuAQqt8sMIJR+Ccjrxu9XoSkzUY+myIxzVGeJ8/guRNLfZNKVlkFwaFl4q8Y6o2d
7IvumH6OfMof6RUS8AhFA71Nd9AprqSFzzazm1DQiGFFjayYWsi5f0RdHAZWLxbq3Nfavc/7aymU
zL37z2xMXEMt5TrtDWyYurQnC6YnPwTbfFcP8dVQVHsp/gqmfHvZH2f2lY4ZsVihxELVYRJaGkvt
SFS94GC73V3IuCFD8UvEJLObJ9p2gIcgzpreKa7V1FKVJsHBbYwdT2MYPbel+2uyjc9pDzWLn1Ym
L6/GlMK6pwN3QIJ71VjFCujsQmo1t1miA88UO//L3XXuBVnR+r3s1Ojb28cmLXdeay5YmDlQPFSp
rtOzZDjLnPiAA0DDq9MqOJTyQ6Aeuz5746tHTY4XCotzn4TQIMavmAjnBJ+vJNDcCtlkA382nwSt
fHdfw8Nz2bVmHiU0W37amJyZrKL7ETIDftD9sbnxIpQkmkzP95T0b5Lceh/CJnYn28VdF0Itftn2
0vom+1iPciEhORMcKvu10z6Exsfa+XbZxAQm/d3hTtc38YbRDpSeSZzgIDEmZu6NK+SQxnbleuFK
A7tUrCCH0VF54OllAeO5bH3OUU6Niw04iYeMKHaN32nBIYIXaUi3hfE+SGTkFb/8hh0BTUSJkiU/
E9Sd2NHzxo5k3yCJ+mD2sOpu9eKdLL/5DSNiqoS2MfgXa7KTWQ+VtS4uRc260qN9sFas23jJJWZ3
7MTIZMfMFPFTbbS4EAen2xpV8MYsVQaF4BteB72+NAM9b45hZHH30vucmAM6IiWFSmC1kAeuvHxj
1jdxkW4CdckVZpIkOgQoJxpMaFF0muS5EJgWTWlxb5TAGsmo1bBbm0Gz0XsU5pqFUcUJscNfXn9i
bRI5lMF1iybEGnLZ1vsEMeYyvoOogQaTX902oaDvvu9Q5nSsrYfK/QCB1mVvmY0rdNFkgZCCXGMS
V9IeHlTFIkYy+YMUIc2TdTN0EN7Lrb4pFcddxQWyN+UQdfvMzasFZ50NLSfmJ6HFKVSlRvOJY4+u
dQNBsivdL5Zhn/OZSWWFOhg0W+KQC7KO8/M9Jr6NXGopAnS9kiRonGC57I9h8iEQ4zXle+teya7J
ijb00xYeNTO1KxuYGdhh+ojM8kxct5FNimJ+Exwehqxa+cwyxa0PI9qt1Ws7aKJ+/Z12Zk6cpJMQ
k4WoIcQl5uQ+XhnWXVw+jeHDZZ+Z+2inS5o8Xjxd6i21x0be3mTZY9DcDcbCrs0dw1MTk6qGLSGV
UbTCBLPmx1TdFtKVPTxVyoL7z+aJ8C8JURsOPbiW8/1yXaXV7AH/r/xmTUq8yrw3HpScYSN9bfz8
IKfwWKftdR1F3xm8/rF7M29axS8ZbhMZ0MR03sXQOokrPck97docQdk4HWN3gZLbe0uO25XnFuWe
+h400pAW7c0k8Rb2efbe5V0jiN9oCgLIOl9/KMGWjS4b61fvMnPIdlHDEFarfU2C8qjxATRpvBZl
Qy2Xt7G0b7vrIJUXWkyzDnXyIyY1PbkumTXW++BQKEeHQRK5ultsls2eQ0Z9AR6Ll8+0UG0bFZyl
dUYCVSqQzbmOeW2YCDE28Whcw4mgIy8/3MpGri9c+rOuzNgv45G00Bi0O99hs9OTrI0xXOexfKO0
+j5UlHFtp2a7sTwDUYWiH64vn9D5zyoUc6CbYMp1yivY5EMbxk1BWDekY1PcR+2Vqm2zut4pKH1Q
j2zsBzfSt4ESb6kqbduPl3+AWNSLiAv4G24Ukd5PKQA6xswasxWvlNA9WrW+oT21cHRnnebExMRp
bGjwzbLjiSJnD2NerEf5qJl/KTn94yGd9ZqfRqZlr9KHztPyMSIlOTzrhzB624OPTargrg2+xPGC
r4gj/2LbICVhbg0aH4gnz31lRHiyHJycNSU344D+aHxDtRmV0MtfZ9YlGUYHDwy+iJ7euZlWGYHp
mbhkbw8rYFxQP36KjXSjBMvnbnZJFlJEoKRF3XCSYChxWA5xj62wt2E7hkU5+5arA8DCpVA26xAA
JaF2BWICzuR8VQ6Ex3VeEcrR/kI786s/7FRYVYxbuETX146dr2m2BQjm6eaaeVP4ZtpdN3y9vLVL
P0L8+cn9m9YWl4nCwQvDR7+EIDK4GYPPl23MOiVVIvE8B4D3PHF4YiOxc18GwhEcmPJfGfYVxM5r
v3jt+TsL4v1xwdr8in5amziL50bwuaI0eUBFsCiZu60UxkTvLi9pNl6cLGmaUqR6zDQi365Wi7Xp
fvLy3zrJJxYmF52lAW/KKjYtbda1+cZL3K2Pggrs6WvnoRy9heg0Gfv8ntpT3Pr7I03CU9NbYdm7
LTU26EfV/lUkiHerV1lwLVpBTXCT91m0MuQ3IdNehtZsEIxdeXhktAT5WdjbaVCJTKULg4SV+4gL
h9ad60ary19v1kVgYABmA8CKutS506NbgMRjPBAlg+Zb1Vjj9WgaH9JeyxZyptlgcmJocrqKrjD6
2GRT++hRgXAqTkmpE6Qj2mphSUuWJl6vuKUORg5L6WhcFWp2Q+sGmMMmXSLinP06J0uaeL4NF3Ou
1R0BY/S6VWA+RUI87t99n4nvD3oCQV+DjdG6T3wNFYzPCsN+/87IxOHBCFuaD+PlweajRO43EAeL
Sdz8VxFcHTp5BQwn544mh0jx6T2OlijxvktH5KG+DXJ/qIMFR5v36J+GJp9f81JUpOHCOFiFeZto
T/Zgb6XSXvgus/ewTe4NdFaH4E07X05edxaTmSTfvWdYoLjgsQL5na1CxdiWcaDc2p6yRC0xv7Kf
NidnNYOOoGW2I6A58ygj3orH5fAwX/aF2RtKqKyBeiLFmAaEXPZ8XvYjr4rsW4Qghdle6cFTKzNX
setT+fqytbklGcx/Ceg7FPVTr0jrsAmd3qHW76fyHokifZO7YbevoixeMPXchJlmaDQQddRB6LoC
0D//ZFUTlY0OJhJI0nhVMSJvc2lFMQrV2T7L9069E49I6BK3UTtsrPHOsJq3daPfVHK9jiQ5Wo31
sL+8/rlTATMo85SkPpAFTo63arejkyEFdQiCfkMqp6TfUGxa9c32sp25UMUoJ7AimqfgGSeHoguH
vO7tODzE3pvB+0YT7PK/P+c1p//+JBSGvkvlSUrCQ5aC7DFXmgIRvPc+H5g45oJMo81le7MvcLDd
wDMhKaBTMDEIR6VejLVYkNMVO6aa9d0Ymdoq7DPrCvVkGJhjx1sXZuSscoj7PwwOGN3LP2LOeQW+
DWgYhUBzyhmgIcSTGSaLVrwH1ZPXtMIk8+GyjbkPB+UHQ4BMkhBmxJ+fJIxROjb1qGbhASKf+4rX
/gp4WP4bwYyQzCyZmA0HW3xupAiKYciGNDwUVQqPkey3axk00KbN8y8V/OuIspn9b8QZWrIQZ9Oc
pYw48UjqwuUgZ0N4GOSjV923RozC0kfFTdZJchycJVpYcYVND78lkNuCG0lHBvl8iUHs0KPwm/Bg
h9YDkmNq8zFUr/r0Kujd10r+mvfngnfMWoRfGPJNIKQ81c4tZpocwM1jhge0Jsh5Mjvl3TLU60z3
KJlasE31HwrD3l32F+XlSYSthMkHJg7oZdLUOjdbGXmS+6iNHZQv1k5H8Ta5VeJ189l9okLTK2un
PxTDHkkIJhFgqhlNaD6At3iL5fiXnssP4U2H1jQYLLDU5z+kA0wY517hHxw0J+SNki440ExpGAOM
x5g2ixUQ53MDqC4WqBGDk4w6nhx1sBmvpNJ9DVMISOr7rn8aEODpymKtSe6fQ2MuHJrZjaYzKehx
GMacjiQUuQXtz1j5B+6alYcMYUdHvlXKdQ0n2Ef6igv2XmYcjICRRxC/xQykMVlubOVpmUKqcCgs
tCXaT1Xer9vuS2zu/CRcuJbmbMHBAmiIbjhX8+S0xDnanZkHDERr862avB3foVIIFBp9rF+uH+q0
XUGGAksDADWFQDkNvLRwcPL+0L9FIUlUfKNES7pgL48i3NtETwAT0BYSq889JUEJLhgTSkE1k/5l
cl/04dp5HMxHKX1S3zvdwot4xjMwZ1A641YXfeVzc2Wi9kY10LPIupiuiLTR3Pe6u1OjaztzSKi+
Lhx5lX/vPLaJ5f20J/785I6QQKQEKYIDB8WMd7mrrNvcuI59a28r7YMGbtjrv431J+k6DurVUkVj
pl55bn2yuaVvIwk7UDaRfOnKQu4KdZqda+U3VXATRu7RaYxtldtXblfvVDnb5K2x5g2wcDpmEgJ+
hmgQMaskKHonCQEDOnYGuRGZpNNfq7W61uVPQ/gwxMG+iqu1pn0cGm/Vakt358skgEMJhQCVadEW
no5/uYmswOweE+ZMNHOcdkULhz73kgvPFCWA0QN2FAMJ1BenPky5NjCGGLT7OHyV9768yf1hHcEF
7OsKaqere+Pa3I+QuUmrrFpods6EA8IsxXcLDLdgqD13MBEgisELqFpZX5QevdPwXVlCzPE6DL8s
+LKILBNfPjMljvKJL9sWisxSh6miewwh5Tb+DOA2Nr031rjXzRvX3mXZ+wWbM+fn1Oa0yqKPlpLT
TOG8RrDE/wlRXpDdhu6+/1yXb3xDX/Ef3aGCtl8wPLdYWkhUXSh68sie7Kvnlmx3z9Hx44PePsnF
Y/RUwUbpRc3art/ptrdLpKXHvkispjsMqRlJl5iQ5DFwvsNuppTN0PM+7sutKOy6ttBrHtdquhAG
Z1rkQqHkp6VJ7mpH1ah6oo6WjM2aKUapep8i5MmTS3OYmV1nEhQa8q2f+69VNdn7zht36H8Z4MNv
EDglJlE4p89h48Sf+sodQ1mstpUkZV1KXb5yLQAiphYuyXrMHlHeJHDmAK/AoyY7O7jV6CfKEDBK
m61h4L+K81dwRxvWVaEjCaPbD4rOdC3SCPBjQt/RrtQ4OvjhuC1Vd+FBNnPlse6fv2Wy96bahlqT
0ZdLKRnmqYOu7WNklSuE7Fdjk6xCP0CG8/Nlh56LhadGJymvw1iWeM4Tg5Xo3kFauEutnd09XbYy
uzTocZnLAkbHq+XcgavcNBgicTiuo3JV2nutcTbwmsLqUD6F9gZdx3XYyFeXjc5kszyNaO8w+UWq
Oe34ZmnbmLKvUHuJGZMQauHrRNOahVts7myeWplcYmomeXbRUXxBNnZf++pVU9xpaKot4gBmDSkE
bsHjjHyg+POTY5H0Rtu4jYR7UEjbAueDK9CwvukcwJ1SefZClje7e1QdoGtmBoh6z7m5ejTsrsh0
pqgGEDLj3ZA1m8vfZ3ZBYiiQ9BiO+WkhKWoqkJQSMTwpYHY1joqcbSXvZrG6OJdnINzz09Bk55pB
SsdeGFJ842Al/rbwEXXu22u6BBulak3UsPud7IRfKDt8/HeLnLhHrxleWYt72ByvwnFXxK+Fwrbi
/ZoEh2iAMMbOu4qSFH1g2JvOP5edMyvoQgZ3IJ9aM6yjJeP28kpmUmRmK5hEFI8n+FEm17wWl13M
qAiTD2qKnMkbl0zZVD7EdbDLaTdb/cJVOxeZmOWAkxgMPeYmkUmLi4j/N5MDYb0dkE4cIYJZOLtL
JiaOMcDZEjLGGRyG+k3Y9pvKi1fqsDSKPuvnJwuZfBrNSGUVMSzmKr9lLMGy7hjnGPPHy59H/CvT
HOF0uyaJSU6yC+MAa+nVchXFxbbob6P+zz5s1nm44ApLK5q4QuKkNISBlR+avDra4XCT+U998V4N
yzeXFzVrCB4VqqxghuQpdL6JpFapZU5PIQ8bvXhQBu1YyZveK9eXDc16womhyQUFjKs0PPHcrJSc
3FwRL0DH+OSmhbFwK81+J+ZTgUHB0fuie1cmueKkEd8JXoD1oN2gWR2+q0Paanrmf7u8qtkje2Jr
coQUgKP9GIILsfRqfNWlrrxPBvtVbSlPZQXreZoMn015zBZO7uxXg/UG2mMSVkYOzmORUqmJ7sMe
e7DkOttaHrMiWeq+TXWD0X8/7BdO8exNJagNoQsVmJ/JKiuY0/TCwFxsUWs1kD/dtcwYLvj8nIdQ
ubZ5qwrq0umDaizd3Mrz+DvUjzNca3fLUXzJyORgBZGdtLZA2UTKTY1IbuYczWyJH2Ruv8TgBJU+
SjgkRuefx80LsPkOtY7K0oq3SlsUsFeF2cIDdKZ3g0DfiZnJZwm9Rq+HtOfWdZzsKg0LuMeU+FNc
hskujh34gWtoxr0S2tLeacytq0bypnUlf5NCr7ZtIUhddbGpXSl+4JD8jt4N1DGLoysij5nGzdOf
OXHW3lPN7yAgRO4zswM1UG97D6IKDYJq/aZxbzUHzaL4UC/WuOa/thC0QliHEbHJDiH7FTsO6q8H
lI1TGLN36f3l8z8Xa6jU/W1gsjbNgMgmGKkykfDcAjG0t4gKb6F3Sijv+K/0MVg4+bOp1rPOiELQ
FpXec9/qBlp23kA2bOS5s80bKdsknZzBNddF20gto1XRQC2d2jzq8jrLP5ZGtlRlnt1WIgEZH6o0
RIXz3xCHndn4rsrtpHxidtIJy5Uffb68s3ORVTCxqhB2I0ZmTM4Qws5qp7oRTUBrI6s3hVZtJF7+
6ScQC1610B6fGaLkKJ1Ym+yq4mSmnGrEnkCVkdlE+WsgUx7uaAJt2zrfSSU6IgNJWbO11er68lJn
wwVklpCBCm6DqfSlowS5n6JFfUjbfYky7++Eb77V3//+ZHFuO3A2JP793k02ipqtxmApORZh88UZ
PzEx8QipH6XB6rgh9KLbRSoyocptNTRXofwu0x4M6AaXktfZk3diUfz5yWOtNrpQ0lDtPIT6l7iX
7JXjR5CCQh81+E+hsrv8iWY9/sTaJPdLZEm1uxFvhP30MBblK3FpNF75G4UZ7nQ06BWqMhyt80W5
it3K4fP0QvRYhJ/D8OZ3JkJwdYrCyOQyIcEcwbkNLoaoKQdC1uhvaMG9gw+xqN71S6wTs0eKlxKA
cFEGJnE4t9MAo4h9mUJXHDa3dZatw+TdaALYrVGLsfSVrXXQKfiUKIJmPyT2UnF47pNRyKN7i0Ad
3c3JJ1PMQg+yjte8oX6LQTrRRGkwfdkvZqIU/zqfiqyFvto0GmtaEshphpEShlhNQ3Ci2aOxvaFo
scn8bNWlC7Fi5qBhkLcaaBRugGmSBGxkQAWYrjQQOKh4w1e6zI2qQiM4OA+GEdw08k1tLbVtxfGd
HG+QrkzlC4ZTqOomwbiUzLJozCI8lA61O9OU3lVBdES5wN2kshX/+lOBYAWkHUAo/CFTVtNMj/pY
76NnXEZMizJXjp29UIedCR9nNtRz7zTClCEANwwPNQ3KQXdvIqhS/f7YoX8T2Jvf8BLRp4AtjWbI
tEvpdqSKmteGB3187uMn9aowdH+nunK8y+TuUSo8COx78+my3ZkjAJ72p93JZ6t1Ox5tKQ8PEmKn
3lG2H6slQpE5EyzLJJRQuHjxEsl4Y8lO3IUHiO+PnlvfUjFv+wUo9MwFyYsAzjMmACg1ypN1VGbb
yI6HEUsFpfOUodp5eaPm/JvhAgZeEQdF1ESs8uQy6ZXKYEDSCg8iS4SiIdiZIDBT981lM3NOd2pm
cktWWurycAP9EMTQ18Q71b5Wr4Iy2ejhh8uW5uLSqaXJ7UjZrdDKgQVZw05qy3QVy/KH3iho9imr
1N7G2q+PNOqwt/3cwkm4TXW6CHD/hgfNeTSsoxls28JfMWjz7xYm4uPJl3Ksoa7IFsP/R9qZLcdt
BNv2ixCBeXgFeiBbTYm0RMn2C0KyJczzjK+/CzzHUncRtxHicfhNEcyuQlZVDjv3PgfKvT7AnCQV
56XYk3xOqtpNy3rjvl3171/LElslca8ZreVr+PdMl9byG69ZOB677Mftda09l+wfjUQGlyjHiUC8
OTGcJJd8kDE5CC0r+wsRsXt5qN8jofFP1R96+Xv93QgpCc6FvEXssuouIBvAoEKHBujgeldrv6/9
RpNAqtmA/Joy35lKzhh+nLqlxbDaDIfTP7cXvGVSqAdBtOWjsYHJQVE+pB2xSA45YwyTR9Pc62m5
D4PiDXf+gt/4b5XCNQJfZ172apKcEzP2ytAMDjVCIW4xKJJbhyni632yYXLVfYjmlkQdLhuxr1jO
EMbWC4hYTfcdbfaY8mRjbjQSVo0satkMRzHjK3KjjcjYM6hCG0bvvoLZDLvnzbbl6tci7VzmnyBM
Emn30zJEE00m44sG1Usmhsvkb35J1gmsUb1T/Y37eP00XNgTjnkiFWGeV9gro/gpqAZ3Lk/2/KBE
h15t9rKvupl2n6R/lVv59epe/jIsjtUhBS5D5KBRsFbuc50ZRdPe0/x/vO3861aAFi5PJudNuCzt
NvObaDTB3lAPt4pTndZQTx1vG1l7NaFqRE8YPruFO+/6UEPfZ0VthpHYUM5Jnb7rdf/rbRNr61gA
dRRboT2BQfvahKmGA1UXTCRg5Kf8q+48w8r3BhsQKDFTwC9+1azOjazojCgi4m1PEpN+2VS7MdX3
21bWIgDwxj+tKNcrsYMerhoz4J6vn3Jt3o+IxCvZyZCMjQflZVRQjKUvLQl3rTmmPmzjLQ9lGNT3
Umpk7giQ7K7twnFfR8gFBFprPckSjIqVnpmPsZo+NcPwF1IUoSsF83gslCByS90uduEUVa48dzM6
1jK0yrX9xTYDxuwLJusbLXDuqzhivi9Kw6M1th3ayboOdSeJUB80Wywrq+5AfLvA5On3i5gRv9Sg
oqH+fJ7jGPHCdk/kHllbj9ULeujVDjJeS/7KiDPYv+tvpfkz+VgAzNlID8CdT442ebaeLXMg5h5l
qGc1/ajqC+oZlFf9FJrxZyWuvN581PJvXRwiI1vcN8N7eJEz+wlQ/UFWnwNJ9Yx836bvJXjOXJz6
cNvD1sq12hLEQlJMq5yY4vpnZzEME3JING6W7+Ihe4p60L1zcW+gPytP83mKw4c2AyOeIyPp9iE0
ykV3rJrGLaxop1raCZ33vV9NW4qGq5/t4ocJpzjRzLhsDCDbZocubFy60anR/bvby98ysvz7ZeC2
yFSkGpjtJo086XM1fs/tjerJ6oXHZDJo7YWuSByYrKqpwl9qYsPxj9iJPVneuO5WL4kLA8IawqZq
JinCwJDuoD7FvVT1YxJ8vr1Ta1mCemFl+RUXO1XEfZE3Mcn2aN/n/QnNRDgd0vdxu+GQa2/6pR0h
R6jRXMeZuIhU470l7UbQ1xCC1pJD3+BfPPD2qtYK1+CBIQYAdsQBEL9ON9vIHlR4GaGQps7eYDE/
O2YAnv5oml1cK+9I8ntpK2FYLoNXl8WFWeGbFb6kFPNAwaQO9zY0ljoBrVvOo6eElttojmeOitsp
1Ra2fvUrXtgVvmI0RHaKJgzXvP9BBvnEwhQG4gxnXxNR397bVVuL5gxDPAs5o/B4TQ2TJpPBl+yt
U9omvpsoTOUjYtv4EQXfLfrfZctebemFOeEFiy0j6vUaB3WCr/SVIBp4LrKNV381AmQQAmpDsJ1o
PQiXvFNnulGMzCao/og8cxmeZttT5q8+E9cZLC5Be0Rp8zOkuXkdP79lP3/aFt+xfK6yfhywPaSP
/tTctXrjgQRyS/u7g8LVbWPru/nLmPDxwl6qi9Ji5kMiCyItSYtjB2z2KU/m7A24XDQ64FJaJp7o
tApPkK4gNFwMFKLelUblqSWMw/K40UtZdcYLG8JrMnewC2aDwkUvd27b2kjEfjXreDdAS0+77w2b
d2Fs2dyLu5LjMBUQacfnzCq/KFK09w3rX1TcdrfNrF9eTD/DqQLLgGwLp9nsqqANa0bSSq12JyP9
UPrGuzI79UVxLyXz+zI/lY6Xfdswu3z7VycNRStzEXcjVRBO2tjJuZXNmK2QIitiy8vKZzi22v7T
iPakhjy7RgvwOFdbmLvVp5QuAQVm8krGya73VSKAiWdUNlBVyCzPisbxfvDl5nh7fVtWhOX5CnPO
tbpYga/WkyxEuf2E6+u2ldUDBhJkoUlFu0DsJIL67NKx5uFBLNvp9s5CNj1v9OKX7//qQ13YEPxQ
r5huyEaSFC0O1aU2b3hzKvPITaE3MpP0f1yS4I4tdTbTbFiS5p/s4auyS5Ktkdf1FUGkhcYH1d1F
9/DyZCXdaITahAkZORPthwFRWfspzreUXNdcYCnEg6eD09CyBUebTN2KhoG3JG1noAr3U6jvf//z
X1oQnEwNYi1R1YZswULdFcSD/6GqNqOb9XVAzEgtHNlEMSeRolFKpYHnvm5OTCKPwc6Okx2t3Z1O
NjZ5Y/qgZHeSXB/y4I8sf5/79YZPrN27jLjRHIKGFKKc5RdeXIVTMveovPDBdBwcBnv4xzp935nG
Lo/M3Wwkz2/Y1wt7osunTuu0GfakzL5ndt3TuvJBKqaNvGFtlIbRPU1nShnOIXpe1+uqAkQls5HE
oevLXW09OMPkltWJohpMgD1EiqHtZuRvWr6TRujJPyED95aV/voFgo9GsVz2+cQvsPPPXW0c5szx
7HiLk3fVgy7WKfhpkUTJaLVYMY0DxHG2vPEuL99DvKIu91F4+7VyroEZLPtYv2f6nzdykPINH1xf
A5g0aDMMihyCD/ZqLxlJS4pr+9q3MDBtLyyV+U2f45cRwfFiWBlyfxnMpSAUVerJNv5p/XzD7dZ3
65cR4YZNjCbXhnmJcaPyzg/sXTkqd5uI81UrLygx6BnhQ1hStIsza/dVXNgysV9hVrB+dFDoNT3k
lrMkZYfbTrx6PTBUvwh3AF+3hWNUKkU5BTGmQsXcW39KE/KLxZ0xBHv9TXsH4ApnXuT5RErfNCwM
ylrz0qOWvTz4e4GdN9lG0XvtfVpQXf8ZEQ6lprcGjxeRn6NGpqvMA2pzw2QdND3L4QbTthC5q/uH
tifEvirQJ5EBLLLsGjkwGdc2JfSU0zb2mKAJD5KS1Ogs67RMouF/RZL/v3Rda4PLGpPSP60KWZAe
ZuXcIjx7npv6pDazZyrycVKgtiry/dw799bU79Sveu8gdun8y3TIe8sIzmb8OCfxSZOeFrTSwihz
25lW/ZYZWPoN4E8VsX4NFKBSZ8cm7Kb6lljHWg88m47p/82KsHgjbZrJqBxeNJlcj06p82xOW1Xy
VT8CZ/CiTckYrGBkCHI5I9JNzoVq72B/9GWo15zJm/sNh13fs/8MIVp2fdb9giGhSZLil1p50usn
2UKHOyvecjv+XA+wlGszJJFy3PSsp3TGnRo4d6ae7NJNiuG14tECz/ifbWPY/NqM3sTSAnyBHcFX
DzRkHxmbd+LI69qHZWCQmY83PF/QSsL3AFsBo6zC85X5SSxLiFCfQ/n9+IeSsaY3uNulBeHxKoch
rGaZayscPobz96l/6KKt2vWaEzA9sgjmMY5Du/d629SiTGzIrglG8/guLPQ75qxjI9zwgbWPAzaT
6WcC94Xc4dqKJFlN0CVxco6QpoaHep+AAKCboUi5J1WzG8cbH2ftcjQWFctlFtdC2vzaoMa0rzb7
bcL8Txe5eTf5/wYz4rx21dte6SAtoPrKW25kcF3okSzjOHCVXxv1x9Sx+yFLzrr+Z5kfeEyP0mcj
9KK6PN6+iFb388KS4BloBtdjHtTJ2e+HwzKDGvqH2u6hr+DOc6ohuJO1LW9ct0n6xSQaA/oiCU5f
DWqhzUNy7iow0zRmi2PZaun97CRoUiWjvCd530dJbG5U0VdrHdDW/LQs3IhT4Y9lDr3oeaonRnyV
AETx9NB1CtKCHuiw0FVRcqrjbyC7vdsbvXY8CE6WGibEUAyuX3/SPGU0Vi2MBJWD5MuYT9O9PiV/
RpMZbFzGq4tk7m5RuUeSGCzktaWpCu0ijYhUtaHcFz4hd+j1SXEwvjWa+a4vP2eDs2vsf2+vb+2c
XFgVKSTUybf7TCd0LZSHsEUbXAJp/HEMTgA1N7Zy7V27NCW8A9mgQoa5dBEyICMNkLaqfmiigKbg
8+01vYidionFpSXhKZBYk5ws6Ky6cPMo3VcRAKMx+w7ALfGpUFn9IZFTV5/oQ/rDn12GqPepGL7O
Rf9+2Dqqy1F89WPA0UB7AL8KsIfr79pZQWaFBaVbsy536FuNWXm4vd41H0Vp5KcFYWMjWmOQyWAB
ztFdl1h7NnYzMVj3T+YAaRMSa74aYpJ9i5gyGomhQ+OYMpFeyAwTEXP6/m6Ye7fQRtVtu+6dlG6N
bK866YVp4RDatRIV/kymUKcHhfs7GF0nqyGPb73B3KTmWT7I6w/2a6HCW2VbmUEoT1wdOs/gVz0z
iA5tk6BdqMrHRj8OI4SWjvyhjaWN937VVRi2pHOqIav6CiDsx5YaGAu0K/hq+z+CYONgrJ7Ai78v
XDFlhCpNUoOIQ/+mrOsPVn40wmIPO/TGQtYNLVKWoD3pvAsPYTwlzphOVNx1tdiP6YxgnXKc84ME
Hv+276+6BhEYjFELW5yI9zD0mMhyQd+1mewtjVzUt/dRY+8rzdjVWyMgqyftwprgiKHWJDQo2UDJ
efBtkB9w6Zt/316RaAP1eRzAXrzAcaCkWlZ8kYFboz7lqJTzDqTw20WS+dRFee/a3Y/bdpaPfenm
L3bYMh21DOY8xOlhRQPuhuweaUbmO+/iybE9jYHzXZXAilJ0Q32sHRTNC7XaSUrdbniI6Or/Y90A
iE/2r8AScL3KZMoSP6gsGoRn55u2NeQrhirLXwceTv4CNfaCgr/+61S8E59paGq46UR3s72PDK6K
pj9k5Se1ORZv+WaX9gR/d0b4ACwJe5YWuLqUeAVINLP8cvuLib4urmrZ0wvPKMpGySWFU6VC81Z0
zsPcOB/Mtj31TnkXJ4+3ra19IYhHbIgzyQsMMfIhrHKmmP/PtT7LXpEFo6eNm6WzV8/Ky6JAjtrI
VfFCiowAZQFgGygwaZtRHHT5jukxpvJqezjOZr6b0nRHSWxHcne4vTzxihLtLv9+sZllGWqSZvLJ
zOy90x/brDk45WNXbtUGV7fxYn3CcTbShPmmivUNozt9HO5ur2LtsoB+/ufuLQfhYhWSM+Rtv+ye
2qRuLH2VA3lvJ7/b3HnZq4X+z8TJEY0QjtNQGnE1Mi96xtGOg9q4Zqa7w9ZY5qp7X1gRD5FjhJY8
B8nZUD6bfum1sEMOqbwvUKXYChFXbTkLrBl8MwgF4SWU5IZrFm3vM3UEw9UMWnxaEsk7tQ7io5IV
hjuViCP+/sda2K+4cMERMNx+/bGCnIAFXntyUv072Dov7UFh/C6+d/lWOomWTK5NBioWvH2Wm5V2
npxHXXnfG/L7oDXej5Pzx+21rG0gWg8UUxGZW2C+12vps6yf1KRKFjh/Un+19HMe7GDD2yW/O8/x
Pwv6ZUm49YZednRJLRNc3L0PYUiPN26CtTNEs492LEw1i39fLyUYtLGD1z6BcCDb2+NRnqydsyUD
snbdXBoRjpCZIo8jdwVFsGbvJ/siOBF8/XZF72WveFJh7FThHxTRFFqva3Mik6JDGiVX7+Ms98JN
jrO1pYBlIzahE/uaDBeAoE+Fh5QY/JI+Pji+5+hPyRaC6AXSIsYnl2aEIypPjc6wepSe5Rq937Sf
B6+elb+UqZAbd/ZNfydlGcSZZhPuR7+zKfRZJbSdUufKrX/KiqlEE3jKj7E+SPu2Nh03iOiC9trc
e8bY6/tp0uZPt4/Fmi9d/GhRxrJWypIhOfZm6M9KdQS2q5gb7/JabEP9feEhJniTRU6WtkeAqK+B
ViEL33XPzBR+UJvedXqLMtf3Qav3b1gStM9MTtJoeDW1WMlBUXQQ3J8zp413PZnRO63OE0SdYmPj
glx7K4FW/TQlfPKa1GSMYxLZZm/ttwaCVz8NUyzAdKEifSXJMadDp9TLvqVy4DZgSMJy9jZJJVcP
x4WV5d68eJBrbQrmVMdKA2OOnZQn2AA9p/s6m93HN3wX3AA+bh4V3rFrSw18FeUkgZxqI8abnmbI
4NOn2yZWFwO+SOe1YqRUlBE10beBy5AQ0IifJ0abrDl3TQcVo42UZy0VYU7rpx3hMdFRVpTUmVgs
67S9UUZgEyuvkiavocwQgi6mxOeN4cYGroaegMJBf6IbxJssvCxTFMD/ORA8TUYJ28OHoVaOQemN
/XBn5jAq+f+oARXjpttyxVU/Jy+BDZIk79WQQlmo8agNBAIpqPTK/+EUoXv7y606+4WF5d8v3JB6
uF6HDcnd6EOxe/KV0WWO9LaN1YuI0SXmb8C7wa17bSNEHWgwY1I4Oz+C9Pcl6MT3TnNgImL8Xabb
5WFbxqT+syV8qoY5qCmSsJWU9mFm0n3UP/jB0dLrg7op+L76eRyFIhektwu7vrAwEzaCYCKEsgNZ
duUsfyyKLUXTF7So+Lzxp8l5NKI1wxSMMFpbD21NRyQwnhy7cUHfwMR6GO2vkrpvi8/6x1j35PSL
D/3j5BqNhj4YRAy7Ep65RM0Pt7/lWjhHxZTDoAJ5orx/veROaudpTOlc9HK+z7MntS92kwNTavY0
jI5329iac1KvhOSLvjWxo7D0wqf6HaGUfU7vCzlzK+chU+KNA7B2pSwHexGYRIpBzF4nxSn9sZho
VrTSKY4zV8vSfVnLbgL3M8tKdxozz8ACfpfaYvFUEwJjBaDiC5fx9U62ZtIqlUz5Rh7yjyi6e8OY
3N/ev9WPdWFCOHhJp5ud5DO0K9ueaekfFeMh1oBxVZ03WtrGx9oyJpy8zLZMRTIosGnpAQbvc41Q
XR0dAn089/pWi2DtSrncPOHakjrmnmMfY0k5fTDSGQSD7qZDtrf8902a71N1M8xcdUbNcOjb0RQG
1nD9vTJYkUK1pLeUNdQ53HxiuMtrJNC7nhyq0pfcBM3tpnaW567cKQ4aQ0rT7oqpUL/pGcQGbhRW
wKIJQ7t/stpqHrMpiWLUtyZI8uZ09gq/Hr4HwMcj12p8+VM4WpHvml3iP3apYiMw1fR19CAl6bgR
Kq6vDYQwZGrw94kqZIo9JklXLndMSn1IcYP2blC2KnmrRhitYriK/xChud5AP5gDuGm4OiQoTNX5
WICAk/Wvt11+7UqmjAwxIP2xBXV3bSST0pyMg0FZdfCjd0xwTftiNMyNW3At3uG+X6jnkHF4BZmM
7bmrbYUkjcHtbtj52X42Tq2ycXxX18KUJswL6ELyAFyvJRybvLEsrr8ZOUqv+3R7p1Y/B0QVC/s0
WhdiQy+2nYTyN3/dcJ7Rt7fC2m3DjZd/dQUXNoQLXNalAnIgMuZmyIx7v4DMuorsZnd7Ja+IiV+u
Ur62DZ8TFG9iaXBuJX825iVnng9T6v5pP0zMCHrqfFdHbpr8YdzJ9J/k7mg837a8duchqAdDEQkP
Y2jCFxqnKZzM1OSBirJpD3KhgQ44n++lfi7eSYPMfFLu7G/bXPtulzaXf7+I2BSA9dCQ6fhePhxm
uXzIKF039bixqetLsyGxoiy+PFWCmahp6mGw4DPWtZ1vx7sKvRVVzh+dTnazegOE/mpmZvmEFuO+
PIc4uyrqv+Ty0Otl0OPrjqv070NtV53qfG9Kp848tn/eOZ9+fxepJGvKQvyx8HRdL88CFBHATpqe
q+IxNVVKosYenruNb7W2iXCsoe3IID3xkmCljDRmgHuJb2VMu0U0GhA3yoe9nJ3LYgvBuvwxMVCE
CIydNFDnpllyvaRijkglZw2oR9zvqCkgaeVCnXd731ZXdGFEiP8k0/SptqiES8XoxT28FdFh1kbP
9+2d1j3dNra+IsD1SHItB1vwwUXCBiYOfLCXoTscnsaodjcZWraMLCu+OE9x4SQDsypQK6A4H8/+
MeqNHapcG+dpy4yQhTNBWrSVxLFtOwaej4n08LvUdssRsoGX/bdbQoDSZ/PUBPVSUjLgiOgNgtfm
GFkb8JPlSnvtZT+tiIWrKTDGQKvYLmR8vb5r3HreSPJXd4oAi6IVXQRun+sPYgy+UfjWcmhi07Uc
qMQSBKe24v5VK4uYDfpIzAmJ+GUlr1pHo8t9NuQfef0QRJ1HAreRXGwZET5JGaWdb6f2/6LZjIds
qrbbIWvBCDCL/1YiThkkZTRU4XJT28qp+pr66APtgw3vXbXB+JhGHYK2togAjX2dZxsg4zkLv2jd
j1w7DgjX6BtffsuKcIMpkx2F4QCdJtJGOTAthXD6se83bpV1KwAvgK1T4hNHTuueDFaN4/TcGMCt
w1PSOgctPTpbcpLLx311UmjN/2dH8OPAjjKrKpP0PBdoCTqeXKK0wQSIbcVupH2DlMTbDLi21ibE
2EVHp7tNMmrhf8fOc/feCtxE35pLfqXU9HLTUFVWKFET94je0GY6zyV7gSLn42wju6WprtTcp62n
teQrstvo38v5UzXXbqX97lDUYtyhLwaRHAVyOprX14M+52TpzggcoTzShAHCZEWfb787qwU/am4L
2wGtC2pJ1zbMRFYaJ6brV+p+6KlyetSj6b2F8leW/qFNHzojcPM0JiHLNw7aSmILGxkPLGWlhQpA
eI2GQtbSLuDym4u/JEj4oN9NT63s0d7+cXuRK66iMp9MrQxTFsQD12ucQyWcxrFKz/Fg3FH607vq
kCZw8R7fYoeVAPREK9QU9rKaYXGrlDo927r0POrN136w7vMpOBWko79/37KmX7aWNV+85YFcVFmS
t+nZak9GtGdVYb9xR60EQFcmhA+kVokxFRbL6SsewCxqUf3Q4sc6TZ7g/rtzqq1BipUHF7gS6GR9
6TuCVbleE6oUVVPo+KIcfpmtzrW32por99SVAWFFqQ3R09gSN84SAeO+UqdjkN3bj0ERHsy6Oeq/
C3TkBGOQ0jI0ofQLxPnMsm4NJVWXQCUwv0uq8Shr+qc3OB14D0if6J/zNl5v2ujMljROrKntvPzf
sn3HNEFQbpzV1S+DNoWCvgLPiChcMjYyEhUyF3w+Zne9bRwgYby9jC0Ly79f+PMsB/BcRClnJzTR
nXlq/d8dq3/5FhdrEE4ntXktm2YsmOoTIwTQ8PxLM/UNx5Ku0MJQRAsKN75ehhFbShGkvBeZ9a78
1jn3/v739+nSgLAKcygnPckxACear6H5ulHbXDsi9LUgdqfDBV2qcAblWu512sQsQIavXjcCb56c
u1S1XGuKXH14Uib5o6GGd7eXtXZFX5oVTuY4temQl3l6Dv0Hufku6dS/a3cOttpMa+8deeOv9Qlv
6kgJKjZV1hendnT2c1Xy2hammN6IHlPjAwjND1Pk/J0Pukkz3c82sv+1R+/SvBAmB0rf6Sr8+efa
/zCnn/oB0jS3m8r9ZBRe429YW9/VZZoenQUaa0KMFPVNmJYa1vTERfDRVfWdlJ5yY0vqe9UOg5FY
AN5KQnPt9WTKSqg7fD0wFnN3MopTvoycbbj+4tpClLnAQJnJ0V4KNcKnkyw9roOZZxwT/vDESjZb
1VsmhM+D8mBjBUukoDOf7cKF8wW6gw92vvUurG/Yz6WIAPjEcqRAtnlak3yBvmSDN1cH502XESQ+
RDxky5Sjrz+LXAIirOoezn772WY6lutoKLfoxNYubtBVDHny0vH5heBKmVAulVq2TJOkfJdVNEOk
2Niau16LRXjdlvlyTiiluuulTG2uFkqJlUYxd3x8X36slFOdMVepbLjZ2oLIlujhMF0DMlzwgUxC
+itrlfTslEW9c6xU9qh/Txv37JqnAcglvofughtBOJrSrBp95E/cQxGjxJr/16xGu9SRt7rea55G
9sKxpNdBo0CwU/atXRiphkeD9zkmDClpXmRt5Jmri6E0/NKNWMLs66+TKgXiTqrKySQM6T8jTWP/
rpDj8nozYPWfCZHycdJSM2xVvkqmnMo6vmPwzwyOzLl5TrJVy1zzANgSCarwN5I+cTlalFQz6hDn
pgoOJF5L2fn2c7dqgTop3x52SUOc805V1NKikFhEkxJXKic3fwO4bhEN/GlBKDBkZT8a2kt63Hxt
kuyUdz/k9Dmw0o2He/VBvTQknP8wsCJVz1kKYEc/OE3xTnsynqkzT/1Bn3b1lmzLmq9d2hMcOu40
Z6iXMG7ZugXHUT9l1kbms3ZoECBk3oBSPSdUiKntpJu6xCS5Un3tKNWmmzQhJIZ/+8XvToUsbq0z
OQ7an/MJAe31yamyorY6hStakz8X1aNDVSHS6IFl1hsCUx1oBdkV/UIqNdeGQqf1oe0YX/LFJtLu
cYZk81lbc+tLI8LB4RZIyrjlUgtMg6rBqdmk8l/7+voiEs5/ZDzW8u8XaUKsd37f9VgYssZt6Uk2
xnfZ2MhFtowI76YWKJKpZuyVHmU7p/uxHFBnGHa374AtK0LIO+h9kMAvm57LPCh2aW9D4WNXjQff
/Ra6ZNl3MXJ6mTliAJeWiRifMZ6Th53N/dz/af5IP+Zz4t5JsdvUX7aaTWvvNNOmkFEBfyInFb5P
KvsOKoNxBkPrDJ9NXg//NkFpu2EoS09Tnn/tzU7dcO3V04pPQ5kBbp1592ufgLAP/Yw0yXhK0YSB
HbNmtl3L+525pd+5ZolxbRX/0ylUiOl8hE50VeRpdlaM88K/XYZPjmG4Uv3h910DaBelekbQYdNf
ztmFl49DXfZOkGfnDiZR71u9JXWw5nqXf1/YsTLvJbvOWIdsveuKM7DroN/AWay53KUJ4QwxpwVV
uJFhIvwyDu+Sr8XwDoyu12nfaQ14m5MSa1ePYS2ASfTEoX8T3juFllCu2VXGmZ3c2YRz/g3YPqLB
pVQKMoZIRHgU1KZuENxjRUnlu11S7XPzz+ivuj7YVuFlibIRIK4+rAB/FggOSH9uvGsnyGYizzIr
sOc3j00WPhW0CAK5fRfHpuSO6bcg/zFEB8WfNz7dmpdfGha2su59+OQaDDdhfZTmyZ2i/uBnT+nw
hrARteGluK2TpIqSSm1kGPnk4OZSd4Rf2++Ob2l5gsL5ZULw9EyGRLRhnur8slkoDXanPvjx+6f1
0obg6malxcEo4xhK8zTE+zR62NRRWjuwlyaEt8JMQ9+pYWxcdoo5CXZKL05vWcWCjqFSrvFBrt1N
M+LQZqYxO6taMB9Iw9Cc1qwfxqQE+9uW1q4G8kTKBbwUtD6FKCEO8lLJeyzZYzswk6H0JHIIIwOf
H2XPkoL2ofPN6m6uWuXvuVe3Gvurm/nLvggHQrzQjA2Lq8KU/+Z7+cnz276XbdFDlOnfvDq7bSCl
Sx+TI2SXnl14dTF7+tZowOo5vTAinFPJHniCLTs7R8FwDIJxN/RPka0+lsMb4iGwWT9XI4T4qe/I
5pQZ3ERQbzOBRuXFajZC7rXAwXQY3QCqAsZYxNWniaErleFnEK7Lbg0Lgl27uSy5+42oa4lzxVCI
N2Jph8J5/7okls+O1Ujay1ok1dUrN/xof+rDh80XaW1Fl5aER9xozSa3e50XUA12Yf7sVz/0tGds
3nfLfisLW771q2UZcO4YAM8h8xJO7wDiG8FxjCU/CsRHGLV4p+0e7c6bYOH929ziPXklGL/kLdaF
PWFxfRb1kRLjEtrcna3eHN2qLjw7N12zDfcT4wMgisfj4HxPmuQQDuqp7Yw/HXX0qsTcuLlWN5oK
x8ITIsMdKqxdhu+lU+MwP3fyaQi1Q9f4npW/a42P/qDf3767VmyRfSzzSpTUXoMuI2OcbCZXo7NU
OuaHapJNVwtg7kJXJwfKClGUPhfpxoX5ipSe3UbEkfkywgAw/4ZwAI3MaiMtqNG7kHrP/1wYBxQ9
Rset1A9TWe0dLXpU4odU6l05/XscqCgrX5Si27fhDy3vDre3YOXa4ccshd6FROiVIro5OFJn9CVq
KU57yA9GE7qmdIw2ubnX7SzVJJ4InnAh/skNAwpBFVWW0Y+rA1M3jatDtrFnHmu4Y8xtSz5tJYKk
do0ULAkSFTkxvpOkZuBuQHJv6phUnxM/33WjoW7cPyuPz5UV4dJWLT2ytBgrGpPPeX0Io0Nuphte
umrEpLIIRoqpR7GJM5RWE+r1gHJJnR8t9TErpXs/+v20i6LiLyPLUblIUsosJ723kQ70mQ2NP/na
9xDCk41nYdUJOGcABBhKYqr72kgiZXOpWKykV9GIlvffZ1Qk6mSjT/KSHQjXJz2FX2aEKySajEmd
fUR6gyT0EB1OzA+RLh1LY/KGVv+IXJyrBk9K/jzJ905jek4z7vyq2enq+5Zkut4749mKv06Ta9l3
tXbHWT5LSXNfDDHY+A8GjLnTviulvY9Q+FbktnYnASRlhA8tbrCXQjzVq0NVhApqOGnh1tK76j75
q/9evgFFxqn/aUUsWWaFGvStjhVCUGI7L0nIsVrdu325rK6FKi/oTkZhZLHMO2YKXebFSq55Pg2e
efaCR7/9oluf3mDIkkFRUyMGfrE43oX3KqMldW1HC9AATv2Y2sG/dRupu9nPpKMRTFSwS56R2zbX
jiVP1E+bwomZQ2lIm47F8WR4ZvZ1VE5Rt/FWrB0YpukZoaJuiZyQcGCMdhwoxEfxmeaP22YPjfWt
sI7B4fZK9LXLknklXgDqcBRKhaUocVqqQYaZaq8f+7N0B9dCvvPvy8fCG4557Aau5Spu4aVudoBi
av/X85fa007P/d64Cx5rr1Hd4d465h6nx0vuk93n3M29+Jje9983fuvr0Ei7/KlC5bOfUEGOLPjL
o5xYqPkWasfbBtZAYlcWhAMojX2Tqj6boZnJkX7cwRxbt5c/pWoFxZYGjuVUG096v7MsyLe2KCtf
UXst0cHFAkUhBH9IglzvFoL2J+tPK3LRGWr+Bn6ZPNsf+q/+n+3X8T0qf+ETJb/bK1/3Avtl6p3f
IFavA71GCTeFrdiqAubR07zchZZibBybV/yqLwsEnY+qKbT+UM9dn1XTzysebBRdYDwx4r/9Idpb
ZnxXdm7i6k3kQrbt0hDMp107pn/owx09SDPpD0x4BmG4mzabHmu3FOn4zx8kHDInG/0mCJhotsLc
rZl7GBVvVC1P96k9jRuP+fryF+oKThoauaZwVRlhmMlhBx+d1kxe6Se7WQ3dxP8TSu2ke9Ae8m8j
ctFaf1D7+DA+KH/I0yFQHlH7SPstiNbqyi9+i3Duq3iSgsJc+K/NnTX/g3KvOxV3BfKvyVb3em3W
halHNHTp+GpLGHj92VON/qwxMGXvy095bDOz06KZ8iBVJx8KYR91Lb/dWc6nMtqP5d2kQ3k49BuV
2NXQ+/JHiL5XRnQDFEbKyeCHdz23ljc3D4EbFW7wqf0Bfavyd+xODDx8aj5tzf6tPRiXxgU/C8G/
oJjF8P8UZLvR/JuWldfUG9fXcjuJsQ+VGGZuaXnCxie4lxPVUzXOrLC+Twl8VfXU5Kch+yZr577/
CrTjDS8UcyhgTa2lOiJW/Yy5zJ0cYfAFuVhFdCZBfUYI6zLffvt2WqugauSFCsxhOm02MSkO4tKX
gODF5zzpvTz8o1Isb+nm+VHpOT1DHNzSJIl/bJhdycU1sFMEMbRBKGwKfptpSWxlIeOuY+kcqjlF
ZOLg1/8OtYvCX+w8OPOzks+neCNUfsXB/3JNEskAfCZOoxtyfV4UZMu0dFAXsu1/YnX8f6R9Z4/j
ONPtLxKgHL5SwZZTO3SY7i9CT8+0cs769feo773P2rReE/u82MUMsAu4RLJYJKtOnYNCYm6DrI/0
+TYLfKsKZGC5RtL4kPaeJqKG9RpvLEYmYun+AS/6z0dQ3jR4WRjVM1Mgr70BcWf2oClAy6cbaQw3
WnJbuBBgakCKCljj29FKQ6rorejHGK2lN8702STE78zwC2q2I+N9sHTOzSzaAEDiD5Wu+wiDmnLT
BAVFL1T+5kXVmwEHnZfHfjN/ML0PNZyhaG1BEgPQ79sB1XE/pThT4DaKLQ6noLSlzzzYtTppWcXg
pSh+bYqKKwDAoU5bwFRv5q/CLrkUQI2Sx8NZ6nOTro1It+OR82CKQQWNfS5aH21PipR0ZjQRMTLR
FRucHptbnD3wdUNZA/LqKHLfWtNA0R/pPqx5Gu+O8lx+JsPJh2yYNnXEqxluvhSZNQMgERTtsdXp
15Cmh9GMEULQ7KXQzEpvbyTJt1d5rMN/aamg1GCgcW8+++m7D0h1fSOexQcaqVorQmel6XZqVm0J
abRtMu78MiOhehCN10ghVe8kvLquOzOYnn2BhVla2gbg9EZdF1+EE5kKMEPe8xXYr8B5JhWxq2tN
ZId+LTA229LGnqUpAIpA7JZp1FqWT9JYDDLY9DtvFSScnYWA6we1ZQwhabJNXXanSCsYB/3SgqLZ
RwTjA+4V+OPWf0CFg+YPFEF2AchUwfagFbHFPGqXJvDayPz/rx+dQi4LPTD0u6k6FdOrHEyMTXen
ujmfAdcWqCXyJiRslByTFxhPudpaHhr1oc264UEqkUHkM/XnZ3XacpsgfYriPYcba6yQqIxB3t/0
aHGTCV75dp+EgHFqh6i3fXCVytKqhiS5UK0bEMmHrH75JSe//mrq0IjHikPz9Lzk4LPObX/QiZd8
QMStiVmhb3mdNQGNtzg6sKtulwAkEUqcGzgkwQQAvFJIIApkJ4LzOBotLjTA8qia4BZwJ3I5gT+h
iz1YCSodQHNoacaMIu3iOK4sUAvN1cI0DA2mLBcAVO1VUw92ecaCJy1bgXAwMjGofdOqXK0vJ2lb
Y1dog2ZBlZvMOaxhZNxAl2I3+MT/Y4UaSxp60FKdOX7TaS96imX0f1H066oEl1Er430GD/7SFcUQ
0RAN5J2ELD7lbXk/DnJqgCskzA7I56VDvG/Bsgmkns/YjovTB1gV0tciOgoVamBh5cVZ7YEfeqai
HHFjMPoXEdqxj51tcTxXVqjxYKhTDgE6OFtb2Ek7nvRurqJuppr13l8KzXOKkecB+AWofN7HV/FL
U+Oq0TwsVKJCQACwh1IxleQXWjUKObaFzkaG9PHYFiPDlcXZda4shpnmc0GIjVTnneWJojMapU/0
zl/nTfBWeaxSy6IrKkCWIYwCe3G3YnmclvGEEcZZZaB7uVLWg1q7WRYXpEz80OrhT6D6hlLx44Eu
usqVYWoRAzBhDmGGc16dW8zbvSj/RaMVw1MWjUDUGApD0sxTKFKzCdCcN0HjYecZ0gqI0BhZlFpl
3MQWlwzMYajhIvqpdAuM7wU1esUQM1AAJa0UucOb0U04VfKVEbeMaVsqRMq8jHLNTIgx9zffDknO
oE7YcIiDehGSQJjW4Ks08NLqUBFPSJCbwZ7fpMRuk2SlQVOpPD9et4XNB6QoINwzsbeMF+2t/cCX
OEFJkhi5KaTfJb/4VQalWeS9Znp+zrikLBpDsnVWrEVKRKcOL62thiTmQPnS82NmDVXSmXmTSpYO
4jQbF1IWcdOiPahaoCttXk/6wheCRbxXeiiGQPMKDa6dsEnH2uSnzBbD4OvxRC74JpDWKkj1oOEG
cj0qtqSlLhY8Nh/K5ege8BPoXuVojocUsBcxnIZligoqNVTiAkiggXTWQwYAyuvCEJFKYPWrLCVm
4ZmIJTOlLphnqT3d+2ExoryA3lr1HBIwiFvxc+zyxHvKd4XZOcqGM6FM6j6eyIX9d2OVmkhcCyIu
5eeblBmYGvmrrWLrsYWF24080w7hUjALQv5cQq+CMpeMXdpq6NOs+g70M7zuoCv//bGNhaMGRxq6
gyFOBrYm+jUcQPJJKxR0TsplMBCwgGx5P7an3JZqwc7D9B3UUQ33/djokmMAGQLtHxkd86g7327m
sU+iPJd03EPRlxVXHwny+BxrfRaOGBS30IGGLA0aJmgwbqpWWtTgAbVr/NqMDdHh/bOyCTST516Y
7LdLzgDEL4IFmI8gNkQlFdKxVTl+grE8e00NCKh8SJFH+ig1Aej7LyYPXUBAzM88rLQMblMUFQ96
EYwryiXiexy/AggrNYtqHBkOuDiqK1PS7TpxU4I3ToENHAIUwDcffX8e9acKeZKyYB3MS86OxhME
W2S1ULygAjz0LNsk7TEswz93KpCeucw4lZfylDi6ZrZPqIig5YAK61HcB1ov4QxBFzHk3UvceUfg
aUYzTjgS1tMqTP8oSH4b/H/REztzLc4typCIw7XudiIlTo37WXoVismkfu9KE0/6x16xdIRIIAWC
BOAMqrhLSmp9ECGjBl6sMXlO2oHkeb4JI8MOWWXwpc17bYmKtl0Qjm0ESaKd31SFKYRqQSJvEE1d
SXiG/7FMUSFWmvRoyHPwkJTBd5F+d9UHUzN7ed4QyLF1kZxXqY1bqamR5BpGAxVhM+dSEwDZLPed
sGUcF8tjAWhsfhGj45f277JIpqrAWPrB7vJ1gssLIzG9PJR/LFBD0aXCr2V42g7qIL+BGfK2/013
CxBJ/5igLrYe9Mxbf6ZP8sT3oCBV9zmxDj3WPFExB1QqWQAuQ3AHFK7sKIZtrB/vlKWgBoK6maRc
w/FKBxq1GANjDMH2AVWJqi2IV+5jz+3105/HdpYC2rUdajkqKW6jOIOdDkIC4Fflon8rF40kFN7y
gJ7KBrKjCGu3UUX3FCPXBjBnVYIFPMwovT4ewU/fMpUqvzFAXeCMoudEL55pFaCaJdW2aOe5iQKd
v9amSx9+T5kbofyeTnbfFWbx1oCjeTLL5GNMDRJtIt8tLPALcywCkCUfAfE02kZx3wPMixr4OHJN
Vev4Lk0HIy33d/BPTDDu0vKhmoUCGkhGcNZSYa4vpUHrNANnXwaJZbQdyApjvy4VnHHz+scENQzP
F1Mj53z0DafR2hf3Y9Sb6mABqf/kRUCfSx4PocKUDBC5r3RSXuLcUkZtlQuxJQVnJdxWBQvXsnRr
mjEtcCugAPDYuvWpUSq6uGvxTb6W70X1Eox/hKjcipl0qCTZhWALC6a+tB9B3DGjhHH6I296axHC
8GIHQkfwReRHQSidQvvTzhnpdKumL48degl/BhXeuQ8QkDp4D3UDKLwpzwsR7Fn6Xt1kO36t7yWr
cZRttxYt5RSbqa1ewn3zNP0GTaElk8IcLQ6wnsaUrdTRVjxRWT3qS/X364+i6+8DlwqqH+OjPBGb
SI7WuHabnSGvQ15fxWNtNSChlNv9MMqmHoanrB6OeqO/AenrPJ4f5qdQMQuVkcarZRwh3BP02dfx
Id14jvDmrcE7uYtWrRteHlucF5eOMFh1NGSiqx1syZRB2YsLcZjPrBbdrEFPxOGtK0AbzsgeLHn1
tRnq3Erh6SIXYIqH7iKWZghlMLuL14hPDcPSUjlORnED1NLI2+GeNMeuq0ebUMmdFGmoYbalfDGU
6o/hN1s5URoyhc+6bMWxnQHW4FWaJVQq42xbCox42uMhghedgFPh1njdcqlYguN3F0srb9LMsgmc
IWeh0pd2LKDZgDIACIkUJTWbvjRKShkB04dQQdSo5IDGzNBMixaJopO/gppjlKoWDaJeC+JueAo6
z26HBchB0wwq5jRwdVcJndSsThkrjbA4d1dGqLkTxN4HUbMM1CBqNR1oCEvjQ2Qp/C2dKmg1/M9I
KO+Ygg4AbFUJdw5hLP0PNQO9la5/moqjbVFrcTH/9GgnVkrirbSKCiDUZKvZ8X/rU3actsIvyYlc
2cRr8Qg2hJUwvDThRmdBT6R5QR59C3WyGXyFx46BbzECy98GfwJT+aU4QE2hEp7Y3kbaCQ4Otszp
d1D+HFbAFMVHeZu+D3b+5H2lT80hdqDJ/mIAbGA9DjmLt5rriZqDxdUO7YKJ9wIf3oTwZoMVFvHA
9sFqZ4+hmSLpvSnejYbocGhzdEN34A79n8YOG5Nfa4xHAcuxqfNIE0cxnGbHTpGiSl5DK3IDRlPR
UoT9Z7Q4Z29Hy/FFE0CFCm5ttXvVqfaM6Xzs0ajB3f5+qCQ5r3BYat62ffPxUj2eHvQL3P52Jnt9
rswrhVvlV25NJm+xlL8e73qFxi4ZXOzhgofPV9Utn256dS3ox8ejYM3Q/P+v/I1Tp7ZPZjgy122w
R0ktJOSxBdY83UUVL0AFZ56nhHQSVK6hnvAnBnsP8huPLS0VvkG4/v8DGGLV7WAEHHt+p8OU5eUH
0fwG0PY9suKDaD/72/4lLMlfcDSKTnwUtyNe06v4V/eSrFldu6w5pQJMxHuyHAMSspv0fT7glhaw
Luez3/7PIQyXh9uBTgLvV2WL40AG3loisSW8NitUMJ+4nmhP2erxvLLckAoEPdTUpCrBwZ3tnOGt
ZdQzFqs3V6tGJx8kNagrfx5M82c8cOZwiVcJMlEjEc3igsdduK6KQ5/vR9ZVYTE3f22ZCg9iUOWj
UGJgOSksA3/soo74a/G9dku3XxkHtLL1EIxj+Ok8Xw9W7wdKfrXn5C5Aa6gHN53AjayTPHRqhXRW
Nn5L+iVoGc7CskbdT0pt4DgQPoe7ykLX5q9uHbu+KZiB/b9ykp/b+9WghoCTh1CcAwlnlUHhxBL0
pVXGebE4FqiHoAcIhT60Udz6faK1RoHEG8aCozvYAE0m2cFgpm/jlkWbtuyWV7Yo56iCLFD9CPPG
c0CiQMPZmEQyDNqqMwCXgeB6rvwSchIk6SlsNQChk5WqKytdTTvSxCwA+GJMufoa6rTRBzFoRh1H
gRZ2kTkN2lkuJCbaev6VO8+8skL5iiaPvcfPnuntE2tytDXvSDt9h+tG6HTOwIgriyfDlTXq7NFH
aYDiO2YYZDcpej5crbcKzXnsl6yJo46fvI8FY+DnPZ4J9li+jCnH8HyWBerUaWWlKVMDFozsI+23
Oc9CXCw/264mijpQ0IUUKH0LC5z0GrWy7UXuGLVOGtvAkoT9Rgg6K4fkg46M4ePZY2046qDJEzXi
69kh0u9wk64KW9hyLzIyP+5jO//DbvvBOM7wWjomVuFQDYbfAo0qxuD/zVpFFc2wjdvQLIY0Eyyd
z0cFD7p47AnEn/tTJOgQFI6LUkFzEy8cW1HIwpWXpSqaYZsQp6GRSSwmtXm89xvkn8+kNkjQociL
fAkCkOfIA67jVUFsXzwOPWNCFm/GeEzOgiXoFrpLBAuTqEpzO1EVeyYabIg3Ol5fWh33lzHzi3v+
yhIV5/gulHR/9AHWrhMzUtE1Y+wj7nk4N2hkfJGhT6EioEFrSxIuj00vjhEa24qMlzq4Uim3Vmoj
4TIphWKjmJIwkgTS6YatetIGy8y6ri+u3JUxypOlic+7dkDTShBOH2PvS66WDXN1LeDNskOn1Ah5
M0cfK1Y+eHELQS4X0raoYqMB//bMgvhppQQpUMKN99tAcjTsn0Zx5/dO5T9FABMBk/J4WhdHemVw
/qCrkzhRBM4LOhgc634FsmPAlQ4DyHACAUUkRbGCafPY4BxC7zaFji4LYH3QZkWv41RC+APIHuzd
70jKNqNQv6oC2oEeW1k8LSCrKsmgOJ45+W6HlYfQ1dOHOto5GiT1hhUkryKZ+Cwaw8VCLLAa84Kh
0R4a37d2esAFRy3HaDIQGkxoXBS/8nA1cgkRqiP6UkleAknLgqT+tMnRkwjlGfgH+l5RgaOGF7ZB
3kEvZW7gG3bjWt0Eq37vf/RnrSftKT2pLg7h3yJHpm2xzk6jkyP7217KllQvyLyvWI+pxYh8/UHU
PDR9pMf+/EGjqTmGHduama+qbeTEL7ITP0nv0WlinnRz/Hw0C9RZGiSj1HsejPIYf3T87VmVza0m
U9h9pUfWu2bJo65HSMUfDUQ3WsX9THnm/EVvGcnsxz77ow/4aDzU5p9qWQnDHiZQazoYEGk+GLW5
Q6J1Kx6rc7kuzHaNIOQIG+/dd6tN6/Jvjz9h2Z+vHIsOBymEY9UWn5C4iiWv4k1DKuLh0ct6ASyF
86vppN9xXiV6aWzAEFh8quZUFBvQYEMv7PXxgJaizbUZ6rwCrnCC2BnCG/LkPJFMFtpUYrgFfRXp
/KnS1QzjkJ7KdWsPqMF4ZvEub4h2yA+y69vTZlhJF8XsndEKV0lGZDv7HTnTYbSGQ7Dr3/D3RiTx
72CdmQrjZrDU4gWM4X8iBd3lEk1RgBQmvm/MXivg/vayWQQkTKC4ZIaHzOK1356xVfFKeTzxi9fQ
a8NUiBpqX01Bo4UQZfYmTyJT28pEt1JXJDpj4yydYdemqOAzZV2ZpsXsS7biVkdkBew54ckYEMuV
qGjjy40EqSVY2Q9/jrE7kJp0dgef+guVDdd4ShmpDtaoqIDTCc1YhgHsNZZqG05rzeNiiUKwtiEV
cmS+0EOjg5FJINxh2sSw8XjefvCsD6IajVVSQPuDYaAZGd2bSEoXYEs3841oq5byWjzxbtuZ3T47
DK85wnf75xMKMI+/YHGM6Omcq7JALUmUexhTyEfahDPaqE5oiTWGj1p60VpGtmExEIA9Bd2F6IoF
kcrtTWBEn5PvpQ1w5wops9aEOltkWJNvMgWllw9b9AdA+RU3DiAqb03lIJLMUglNAtJFA/m97vRo
fNHD10EQnE4XTVRgSYvWC62VQTOE3rm9kn6mICB5PK+LNVb066F5E/1zUGqdHwtXd8eIT9Uh8jBk
oTH74o+vOmVhdxCV+BXyHxWYlNRpIEaU2qmym6QNCxa5xKIAHUtAuHHHE2ZqqVv7CO6JrgwzOL2Q
zTb+kseByKCKzPp1/51GTg8l0t4Vhs1g/GEMfXG1QT029w0CakoTPvN6oMhFABC5qHcEcXXI30Mw
JqAViZPXecs7TbpCDXru7ce10WzkE9+UZBoLMoujsKS05lP5bosBcABZMNA3g2HjdiIyCKgpRTK3
osWZTpKKu7S5cQkbyOkZ6Ki0oyQKSA/wNxi24nfGVMxH6CPj1BEbN0VVcQUaLqBDZgWV8CxL752/
Q4uLO0XyoW5BmJb6dv4d/BciAjKgvijgAm6ugGPzdthIcvh506ItB8ovjb4P9V1fPA0sssalyZ37
V/SZChc7jvLyLA8rtVENnC5Vt/XDbCMWLUZWPpeBiNdS8zlVwi/ww309ntclD7s2SyUPvHpCe9EE
s+KqQV+CX6Q252XE08p9M7aMrbx0tgGzD082wFYLMP3tTI6qxBXNhJmMi29oCeZot2UKRy2dZ6A9
AtPqvGdF+mlby0kQcMh3wTN8M5feceuT88yKI3tsQQ6UC4ywv5iwBx87Su1I/6JRgAqTvFjm/7cz
p1BQGK0//RLc/2VNsupkrNuEc4oARSY0TfMGCgjhuhSRt20mWy/0zyLgGbWzxSlGIw14VyB6AKDI
7RS3HJ/IXID1lOSKcMJLLKEhV2O13y1eu0DmoyARBF5EvK9vzfRjVIixzmFPgNZFctsmJnysoS2y
s7rIBueKXJhhZqL089hdF4cHupWZTBcw9Z9S9dVZ4E2TkgZNBBG8Tp/lFpRBtXqP4aaLowPhhAJF
IfgRAPe3oxOFRkykogU4PQzzrZ7xkhlLdWAbHh+5zSQ2DtKf0nYs8J9y/V3qS3XbItnOyEUtcXwA
fAWg7YzcA0yeugs2VRcZHBKOu248+rFVhT2BaCKRlLWm2flkK5y0h05UOdWWnwXvorz25D2HJEQ+
S1k3/vrfT/7151CeDmlspUK/DZCmWrRuwfkyDS8Zx/KtpUAIGkx0sIOsAS3zVKCHknDW9yVOmbTW
bM34GIdqm2voDVbB4Vj7B00sSZmzSJTnfXF1vABkjt4AENkYyJRCY0OilnwY/EzwIL995pvfXvYy
VS+P547x+7RCJAB7qjqNeXw2tPi3Af5QQ2UV1eiLEj0GmZo5kMLlQPGl8RnV7H2FXnv8I2yhIIaX
kTtAvcosZTz+Hg+MfsvfWaUOLq9UEk7iMDL1Y3DGv95RdoFO23lv0/tjS9TevzNEHVW+ynUqwnt8
HvTa4RMdrXth6wwGz+ouozzw/xkCWGtmfAX2nJpHpOCA6uuq+BwlJmD6Eeh7SJUSeZet2Nml5VH9
Y4yavi5QMryeYazQn9LP/sD5pC4huGJlBHrm5rDPkEaz2n+3le+GSM9lKI9iz5XxuZWL3Tgh6QMc
HFibWDQR1Gn8Y0dQDZz4YGaYwaq3kdQrCzUoPE0/JZ54nPBY8AoFB4a6GZtTk76HzJ7jpX0GcXsc
yOihRkciNbAwApka1BuNk9RfBH0zQr3xsRcuGpgvwTI055F3pS7BIt/VKhgHjVNt7GT9afJZ78il
KcMJh8Q1VArQ2U5FohZMeUmled4pb0TTE55movOwTh0AYoDvkkue8aKkT5mfNcL7DtD4GcQMtODt
GgkFFKvFMuBOEF9OR6ImstWGr1X/WnSjmwIOUFptezFyFCJe+ZDkcko8w1HKwoxyRpS83wyAjqP6
gO53hGMwIN5+Sp53cV4WA3dCr7ApVYOdQtvNiBh99nS2CiOGDCbaA5FSRzMwLty3ZhKu1Eovi/zz
9vd4jn4p6mZaKUDSueGX7Jl1wUxc30cUFepgGBCeTRgVnR5DDTuTAyUJz2qDPCtiSTmtsmPyHYSC
42dOyMq3LARlMDzj/JxRwlBFpEFmGscPAx5K4TmXFLMO0pVsvBlfSmApgtkKyWbSgv2EJq7He2PJ
LIizAEvGYxltijQ0PdKkHOQeXXiu8eawVB2litToNNuTqv4cpWXmakaPx3rRB24clsKLgZek8/gj
7n0IF38I2Gt4qamzQMHt4nJdCnmregrPRTjqJvSlsX2anHMLxWMx81KPJ/gRZB1mujARuA/jjk1d
68a+E/goO2sXvybOsInO9e7xaO4959YENRqpVbwk62YTAtE5u2mJhsxPpp+mKdkm/hoN4Pa/t4jQ
CT5DvPBn0qfb+ev8MNVDPsnOFfirfDIZJJN2vmHlrdnJMlFZVaalEV7bo8KPpGSCFCuwJyNty08k
KGxRsad4M4Pykmfx/Hh4dFrrZ9Gu7NGN8V5STGEcwh4nmHrzqVZEabcBWsebYp3mZofSdug2ZY74
I5vBqQHGlSUa99MkfHvbhCCqIuKMAg0BuipmH756xqR1wnex5mVntWyIsqvGQ8d9ev5eaJ/TfNsW
X3Xx20iJ/j0IpybX7aJBzeI9LnlTGsJtnOck8dPNVPGMvbNwFswfhsVHhETLFw3Gb0HtEOKEwIel
FufvVH2XvgufkhlohP/tX+qUVCtl37u1I0KrlhE+FjwBxoGSBzcNMgQ0a2fUJAC+qVF+FloDL2Sr
RfhfDQUuDWhoTPYaY2tRCdvZEQwVVFnzEw+Qhp9X4NUiZC1qUJXEZedAzp7js6jjIpS++EW8Ynjc
QpiYe8XRGQZCWgxtvlJcGarrqhkjMcnPffMpyz0xvG1vYWel9vs3cCHfIZBN+nOt4DGdA9WwLRnd
APfuhiZecO5CzQ+rivcs9QFjK/GhWvPyubSLXX5IXPmknsRN5Pob3Z1Oxkdw7p+VFeAjVmUaLkvX
gn5P6zgLbuxT7q7oELlOkV87Z2De6OpLWIagxLNAoI2/jtBpA4bmyRjRDNexZGl/WLluthplm3pD
V4WfDYjh8lk0MxcQQCCGmm22btYA12+HdbjyXdVBNxm4sMWTdIyd3BHX4ipZsaSK7w/H+UuQ9gK7
EzjEeJoxrS95EC37mAVV2MvFpyxu8GwiEu8q3ErKz43i9CASY/ieCN+ih48GcbRSz0xJ6Me49b1S
LYqhDEvlrBDxGyyaUMLc+zvIzhw9kj+xYB73K42rBm6SuOLgniNDqfDWHD/qat2KnHr+lTz5H3Jm
thFRn4o9HmtTZPGMi9zdxgIUCTdFUIMCFzG31txai1GSjP0kNs6iYbedm4BjXDZHwkkKaxoXLaEJ
ftbFxOjoHVR3ZV21eWKcu3W37d6yS7kX3z10Y+jr+Cla1Xawy/7KNcMsyyq1b+IxQVXEg9Ux+PZO
XP8NnSfSrLSgYsX9+Zdu3GSeyavxUbskbSu/HmrMZFEBp/7mc2DDLlXSniseWGPTGF/F4APFCLjr
ukWvTMZKo969evDYhnzFTwUZDVL0m9srUDwD9tI7twrA1dI2Nn1/dVBfHm+HhWHeWJl3y1UkFhKv
SPup984pcd7+dSKEGgL19NTbnON5gFXP7QGoQO3puT96LSkIsr2rx8O4f8DMpjSEcgV8UDiuqXGU
CWhUuV7yzvyJR5r3y3Cyi/fOu3D8KDS9N+PI0t6i09yg/sRLAvSxYPcBuxsYO26nzht5X24Vwb9w
a38bdtawNUAvvUmdS7vmf1d7/ZC/KZZiMUY6b2HKMVX4A2SZwHzCIw16a1ZBJnAK5CC4pLKD90pt
QrhAAku7BG2D0mGJuS54IWiNkV5GwJwVXakNV1a6UfZZGFyg2bLSUtID8//kpYRn4N/vrh5YOVyz
8PIENg2Bi7rzqnmchRP4kvBsQNPWn7y7oEObjA0LGnrvKGDb1WFCm5PlM1fS7fRVOfSq/DpILqjt
6Cv1b8WT4C1443Aa7EIn+Kv8Gf4dngBQ01uL1IINoucDS+snF+ErK0j3Bl2MGjU70rFKAXfBkTJE
OaTcD6XP+xha6JOBKGcNMuLS+rH73cULygZ9cRI7LRFwxFy6o2HjIvr415mrQ7kbaBL1MpLw88Fz
fqjNyNIOsbpuf1mppXC4CRJUvBkm5y++2U/UiKhA36FH3q8nmOzt3/1LIprAR5xsvdl45p8TRGUf
m7u70VPW5jW8ircG301aNQ+whPslxDsCIY7b3rQ3jjILVL9ky0CkAPOTiLoNjZEUxNYohVrEWuUE
GC8OSZavsTX19dx/xCqF308jUBEwAi4CQEwNWv4lGKR46v24v+hcED21UV+j5qex6FzurSA0gEwe
1S68VfB6uJ0+rofo+wgNBdTYE5PXn7z6+fH63Ps3DOCdh2ME17U7PU9ZGZMk4lr5AvoQoUEpjzND
/f2xjfs7IaDU10YoL0/TSS7LfpAvv+JP+EF4DpzkLXtVv7rP+O2xrfuXzo8t0BGjMwFLQwfwDBAS
ULlN8qVxhvhD/sg6gje1IX2l3jGOXaUYSBJve6icIN0tnGZmzeq1rlwDMP6W1LuExdt4H6Xmwf/z
QdQS9sokRGMiyJfyNR3tHOo3kQx2EJBrSS5j7HNkvd3aMAWECqqWc7aRzmpKxdTWPOTqLtve/GWg
Z+xDticonQRWaA7me/38+fk9kktLWC06d6fmPOlXhuedebXL/VLN4iaQIEf0EqsA30Wfvsuib6dR
ODhXro2AlPfWCC9nk6ZNIozsi0vh/vbceGUA7GOsQPbsPJ7K+xwRZYw6NpH8R2YW191LV6155ISe
tLPkkxVpNmgZJf6xO6iexbHmcXmn/Gci72gwk3wyJj7CRMav0rNoyuizFk7antsjl2o/HuLsd/+z
s6DYfTudRlEmQoSocLHKk9u9cozcyv11kZrBObRd+YQmDG3cePB78ZSWZiRawXFMrRZUOESza+zK
1EJLxdc02jLzzTuvDjU2nAIGGA7R3oAkFuWPhcT1KOcGyqXagWlh6+0a23uCn6zqLYsheGnJrm3R
FYvIyNNSVTz5wq+GXWSRr6NiVna+G46P14vmvpn9/8YQ5ZI1WkRkLtQQqi/VsyM1pNny7/Ix29ZW
a+nAh1YvQCMUhDvW/r+/p9zapu50XTlI0Psw5EsV2P7WOx7JtOI+lNX0LZl+QJgGFwLKzVgp5wTp
sh/HFSZVIZPD293aWFVoKGbM6MLpemOFctG0yMe0HDj50puRmx3LvV8SYPsxoZLZvQSb9q1mXCcX
DoMbi9RJCOholYFSWrnoq5zsBpuxp+8GBDIBvAWheiQjLSJI87Re7Tk5bgbANWVwEKFpXijeQErE
mLK7I2a2oAlAxMxISPx7ayE0knR+GmqX4hf/rTlRhM3M1WR0EtzB7dgKWFfkO0+Acjq0NPAgQ4IC
0o7UkKowV9JQEvxnkOwIz2iNhqwRNjdEU7TI0SuAHBTQTJ87I2AF47sAOVvGJQ/IU2SINbq1J5BC
v5vSwX/WclfHE7fEnbVv/zAm9O55+2MFOWGwWuF9S98jPc8PIHeB8Sll4EihXaGttamBOVjJ9eSq
WmwlK6HxV4/NLs0qWolQjEQSAVR+1DJKTVY0ENr2n6Gda07qHgUzs4A2Wh6shOhLSiby2N7CXM4F
eTD8Y6ASWBVv3aaSpKCSRjF4Fle87W+AV2XVsBfmEZcsXpyJx8CPTRf9Um4IjbCTg+fAlTfDbtiq
br2THYD+1o+Hcn+wzdTsV5aoufOkctRiWQmeK4cD4xP4nTflvlrHZmGjgeUUusIGqmosUMD99Ycy
S4XEGNKubT/BbL8JjuFaNrOjcHqPDqWrO0zEM2s2qciYBe3EcbkaPMeHZx9SZheIRDvRvlznrNmc
Z+vmqKaGRUXEUuR9L/YwLG6trzQHHG5/FFvZCDa/Dvac83jt7sIvZYxywz7VpSDJMKzw8CS8ZZ+5
878ez/wJVyFY7QYDG1cKntFdtWt26sZfD2tQSz1xp9KNGD2O93cCDAhlMqBr5mfvndcj45+rsVqF
z7k9OaI5WYkFZratasXuZEomNrQVOmjVW78+nsj7UgYaHIDjhVL4zEQG+bfbYQL2rWoewNg/mwAs
wSijJN/aSt6yGLGZlqg1kweh8pMOlhqrcyfiOYX9Jtn1NmecnffgOWpI1MoFfR560zwkCU+nw0d3
/HJ0S9mPTnD231EVYx2l93vsdgqpk60YowlgaNgbEa84U7Nb9N4gncrsYl80BBojwHRVdI3QgOgw
SeUSPPHRM3KaqK5bwkF/Emy0/V3k82O3oBm1dKCVdKgU/8cUdfHOw0lLgLiJnku72iVOaSbWR+ek
JF1DCW/dF2Q8ik/6U+kqP9RQ43n4+oMuBZacKes71HlKrnZhlOJkLxt8R79JXAE7o9npJxS/eHO0
M8e3/VXo9k77K3aT1+hgrCSzQb+j5jKdavbO2/B2MyE0WW6glzpumfiQwmqsmky1yZ2bt693sLrv
q1XoeLZnR6yz8D7MzWyNSIFBkRJa6PRpG6di3imQW3vuHIAbpF1gTtvJM3WLfyp3zefGjE7FvnwT
WLwMLLvUDkqTDL0zULB59j/ljbAVBRSTeYaLzR5ET+j12KhdMxRBCJjVz65B1zH5rVreJf0/pF1X
c+M4s/1FrGIOrwBJZTlJHs+8sOyxzZwzf/09dN3akWCuUN/O45Zn2UKj0Wh0OMflXRSz+/omBTwi
SCKC5wkR7bX9CHLYjDU4bE6Ztq+j+1F790ZeZMuiqn0dFsyT/COEuWQLTyqqdoQQcaVuvRUo4r8K
8rUboruiXXmrelWtpe3kGCvdze3c7de8lNH3BwOorGZE3xl5UZNVxrmOVuMrQCpPTjogWwelI3FM
b7uEeT9YTV5KYGwiaaOojOQqOXUYFhuLY2pmtBsdIQYt6KPS5OS2uIUbERzDAEOfLR/o4Wy5KJKN
CLRAanyqlYehpY2ATjvH7x8FBbBUkqOh/8BLxU3eyqsK+HoAdAJDrZ1jYq/Y6wHQlnL39i9aMiW8
IkTLxO9CpY4xpUpOWxxFGSr2itZGjnWyU7ByOHFXvd6W9D0VAe87g1bgcQb+UfiAa6vtJ9PM9b5I
T+1nfZR2Kd37m/K3dI4O0j1H1JLhoPkV/fmoCwLfeg7rLhxsEUdN0YRlepqSaZTpmPvFh9q3oUBb
DN98GE2TG2DcbaY9pnTql1EeRp0mvtcfdKnJMZorWBEeO7WQ/K41vS1XnN83L5U1u8vfx6gi1KPR
98smPcX5bsjGvQV0hmDCmLQY2nLynuNOULUM7KilrZyDAV0Y/cPtn7CoIR24wOgQBrYp2yasiaHQ
p1OSngpT21pAURVqYDb+zzIAyTtzwoE0Bw9I5por0rT1kQtOT6ZYoGc1kn1q5Z3FseClyAiYL8bc
PwSnpbFVCExLaKo2pdmpsjt7siVEtOZGt1V0qFtbVLvXOqet43tdDF4RDHtgA0LFGbwNTHiZSakq
ADknOwFTdMaaxJz1vfNarNbGPS/AXNgniDIwy4TuKFyY898vLFkzurJovBwNYPSel2Nd1tzFx5l1
WN5gZGNVZCevbvs7S6jkF22MqgehaFsazDtLJLHTTaD4GgVssqglcAWjL1ahg468wKoxUylBQ3Iy
t4IHVh1w9vZ7vUQDsgcahBUUzeCi2EbExjNGvzCN7iQW1ERzSYAZI1pOD6X/0WCyFb1Q1mPfbSI5
fMJUGSlbsFbXJ78N6AgiI89WBMdS0ORQ7iseEteX+V4fYvw2ZLJQKkcjIopg11sjTmKZ6ELVn4Ry
XfqSW3hvrQgXHT36AcaNp/WY1U6slSQ13FAIN16Hpi2QAaYlEUCH8TJYL42wR89Knri65gTpOgk+
W9DOmncmAKvwr9vqALiWsEOP+VQQgLbpY0PywhGQ1RJR0SteBBU4eIeyqG3R+52JuRMcw4+0W1Xx
mx69WD2p0Q1/+1R/vzI14BB/tYuDbVJmfSucaBN1ktafUrQikEzvdEdsE9FVo/CzVkvgMMvme9cK
PDjfr9ue0TfSvArmDpASQm6PuaulEJhajWiiE3D44WnDZhDd3N/k2eOYP4rhvWIAhPnZGp5DAfFy
QApLcoo75U3fyMI23YtPkWFHpkmjIyCMCp9q0l1Qo41zo+5U09V0WzqMITCchwdjdAonvJctF4Qz
pKjIcMj1VRfSUjlbH7Jl31YoCw0wOy0LLeE445jKRwqKCRozre4NrxL6kxgH6O8FOo16B7TwWqeG
ugqmQ1sWIB22jQeN6jvNf9KNQ1kNxIhW5jEFP33Ma3RV5sCKVfXlL2JMe6jUIR4Drz91YUYkty/d
uLyPLVr7DS2sdDXqYNa2URnJ9/pGD167Zy8glXCviTRtXoTOBsWdZ65hjIcxcCbDltNDBtwLwZbQ
t+yt46SE5dCx2fl2E/Bu/2/1FXTXgwYYjBAgc0bTFnPvxH1cDJM8xCeN2N7ojANers7TSLR7Hhbv
t+iJkcQUPWLZCNUi6+NT5AnaZgCtNa2mwbR7CdhRt63k28tiFoWmKkyfWAAZYAdnS8/sknKaQIRF
bGN0O4oeGQAq8t7I3+6bWYwGf6bgOtWBd37t1GqzjRK0X0OMhYZ6REgtlc2Gd6t9vVCuDAxi4Dqw
TTPpESDGrsXISZQquVTnp5ko8zemveKIFGLoxSup1HON5qOBUZ6kUavVlLRtRRM1CU3ax2Ncka4U
0fgkTKFZ0AwURCPNvBFMZB7YgMDz2whGsAr1TChdNVAaRHOeEARkwNyORBTFk5/KQrFgoOC36Wiq
j+CYLFrQlFAxiHv42sqzkJYK9P41sYTIc9spCxQ6ZUL3K8yBjk4Dywx4iIjfL2OoREFjKrJVaGHD
/PC1SkS1yvrUkpLT4Dab8qjY9SpwQxTrouOruk4G0nIs6nsYw0hk9lrv2m7qfMT+jVvsD6GyTXsa
buDmJtAjCLb3yG0x/hb3zhcmeJNm0DPgPrB9ge1YxYWCnii8No6N29cuGozBGNa6dec02bO6q98D
zDMgGr59eL6n6SDYQHJJBoUjcPRVRrlSYXqjFKbpqXYMom4PAdU3jTOeOK58voIYs74Sw2g0MYIx
bUB7dWppev759MnrKeOug7kDawvD+n4BAd7K2DVkf1SciND/vauRURdzI4lGNxVFPa/DKUkEZ2OS
Y4DWDMrZliV7uNwW5p7RwsmrrRTbgnYYF0tyXZ+oG5P41NhG5H8FYwL7NqwALx6UANGBAgby6yPW
VaJZhcoszu6dZiN/1Dbpniui/3i/vbBvMRIjiDG3YJiisS/C9PQCtJOdTyIndTmm9r3iMsvA0w2u
Gul1WPX1YhApodAz5pDh3kFtm328f3rgZmcXd+hCinwtJTLLEoNlkILkg0RcaY0hTzSZnM8F/eQ8
SZeUhi6CGaMYgDLAC70WNUhmnEihn52EgLzkA6DGI5+s17d3ZuEaRY4PUy4iSqcWgvdrIXllKaWq
tHhPEe+XcpdtOiI2K1rzSh9zjMF6gks5s14v3m0tAmBByCDnZfKIdSD+qUnI9snkzYIvKe1SDmPS
eaIMihVCjvcg05rqdyirOBxT+xYNwtIuZTDWDCLJti30JjvtPI1gtOt94KEKfs8NMSIYvybUBhID
bQ11JRsUYangCL8U+sQZNFq6Y69WMmvzYlfEqVG0UMJKoo2+dav9PKm4MapHNSNPwZmXQl26DS71
xhi0JHWSNdZYFAYSXuOQ0E/OxsyKv2FkLNFQgpShXul4vzcb1Y62nK8vxQeX2mIHgooM3IcgoctO
+hZM1Zqjk2NF1+8jVUj54/ax5BkAmxg1Kt3vqqDMTiNF2Elm+ozSTvcSxmW42UHO2WTZZwBt3XV5
V837gkDAlSMSu6Er2Bxr4xxNNnUT9fogVBOMrbGHJzCLryoa2jzyk++tgNcnh82Q5Mkw9mMMxZWf
katuPqzdBpOZmhM/jWt5J+OB9Xx7q3jLYmKcPhI0vxgh0A4fP9L9ds1bEufYsNC4uZeIniJCwItK
pbX6O6G8ugJPAuMG+qIU2knEwTQPu8kdCJ7cvLPPuWfYyyxQ/SmJNWx+D4iOclU5WzzUCefGXIwB
/ngYDNFd+7MR8E2yUXezJY+02wOQ+b13t2uTCpv327vOcQZA270WVfmTmlYKDo0d0Mh62DtnUSQ9
UX/UAckob9BlMdC9XBlzT7dK7UuiMLs219bA90CL19ROtgXlqXApwLkUxFzUvuxLnl98OYOZUMKk
lTvZ2rraAcW7oTShHD3Oevp3n41Bnms9+rWp5pUyH5+Y/FJ2ka3b+3N8xztEt+9sTPZei2m8Muqb
EfpD8lDd1CDPXnMWctuLqixxDCiLBzmsYHt4qDZP5n2wow41edP3XEOYz/LFlZ0VddMLwAA5iZ+E
1O5EKfAFCe+qu+0RDJXxCF2mSNmoI4zqKYqdJkUv8F1AQ6qS7jXD+9T4bPfCKnN4D7pluXPXIvJV
GAdgnGnsV4MvCAG8t1PZh5qAnJvjrpcd0R8JjP5SLexFMU+yk/SUPwq02Soo1/Lw2nnLYNQnlVpf
iQCCQFT9Cwl5d63c37Y2ngAmlBL1IUTWBALSiSQkI+bv6Hxbwr8Y2j+KYpsyrBYTM+MIEYfetHU6
HR0lc7Z05HUrz7r47gD+yGEcKWDmEVdlcYYcgfgc2ebdOXE4Z5Oz5zrjPGf6HhVMgbM1W0TAkNvg
bIsDR8i/hGx/FsJ4zqjotBGU7HAxrrlK0QktkHhV29ExWfOO5/yDb+mMcZpJX6VK2uBpGO13QDd2
TYV09Od0yOialxVbdpx/VsU4Tqlsuj7SQtT2ti8h0Z84S/ne+/MVr/35PnPiM6sOparF3kj11iCS
bEsakY7CERUckroVcRL0QD0+xh8hNQYiI7riOIRlQ1eQQp4x5dDTy3gEWeu0ImjnkiLYooaNRIw1
Wo4AIUZ5d91sAd+27UIS4xYw8NkmhYbKrPxR+rRCSicglr0bDgVdc4Lt5afdhSzGQxhplqRhh1WN
GIAB3PD+lTrJevv5rCBKkTm2v/jw+iOMRS1AbqxHOhjCgk3wREv3titadHYXX2c8hFlauQcHkZ2e
f00BeUx/P93+/qJ7QCp0Rl2YU/DMtpToEAYIBMJfe7DtdD2eo5QgsrotZP7It72/EMLsR1GUVSEN
iHPMFS7S1RnTH38nQWGC30rAMFLgI8QOXiYCqg6MsYtrTni4uNF/VsHS2QJk8/+j3sfVA8diF3f5
4tOMk5bHEN2cNRQkP/crDdD36pqzzzwJCrboInQqmsKKMd8KV4YOu8Z58h7/cgmMW/bQ64ZOGQhI
7jva2w73Cb3sqy6UxHhjwKT1Y2DAVIG18/iW0/veFvcV5ayDY6ts0SuxKuBNqZAyPry8Wa+IMN//
6jCwLjewhEZqZQgITtM6Xu1zt1rdlrB4bV0oijnT49ikuYYS0inZ+GcR1GOce2v5tr8QwJxnMy+E
MpnfSerqubKVnRnMPgMEp5xTzVkI61oNtZ+iuMSxKI+gcD1llPcyX9hsNB1pIMNB65OIvsLrU5GW
Hh4UjZIjbMHLHIwwLsl8nkUtqetKyrzMy7OHqXKrqCCldhT3TSIbUCWgVDPywvuFM34lZ/77hRwp
L7NBnFeD9/9mVtjIs92FDdHQ4oRGemDn6BLbSx+rCkj9dC3HS9yVEzS1DiVny5dyWFciGGUBDx6A
KwJEeL9ap3++K9z6XDiiLT3T+D0gnNO+cP1dSWNUZhW5NDWFnp9evIMrllQFiAbQ62n1cftI8uQw
R7KSzb5J6lkOOs1Bznyk3pH38OLJYE4l7hBB0ztobqT6yntAptFGB31FytPttSzcg5c6YzPNcWP0
RjzLsauO5B03mbCQFdEk9PrO7aFoqmPJWa2mlyRhgq7C596piQmaZqIgXuQf/6VE1pUoRmWe0APC
TYYoDfOwBh4tbgD6bFhA4IxE/MFL+Czu0J+Vfd1wFwe0jpQ2juaVacRyBdpREGF/cq6XZW9zIYSJ
GGXVH9p2gJCYRJvd6ExH5EnOnFiIK4WJWEatsYxAhJTSUVeHeFdS/yx9nscfHEE8lTFxy1BMMdok
vlTWvkpr/cnJfn3etufvPVfAgUH/tYiRTXNGolev/WbeS33VG+r8RPYO8bHYjNv06K1Onh0ewgNa
IfY/h+dxn9vog3Buy/76NhMaX8lmbiAfTcsiyOWQzAho8l7ZoV2DMMSuglXq+Oq6BZ54iZn+qt92
NhrCwVjSKVR0RgrYkOFnns5wIeEOwxrqZ7o1nHKruElOzIqkB/Mgb2MwvH2UMakikr5VCrhASPTS
7zPf9r1166dUOSQpKArX4qtnrsDRpv4wYxoMr+g9DKtTM626DFwZm0Ynnc+piy5cvsC30DD0jrkC
dP4wMXuXZUABryS8fiW72E0aOYc2J1LhiWDOQmfgaatY/ZwTl6mr71+feOMXS1Hp1SqYg6AIsj7K
jZid8oq8lI5MFZ9kGvT4wJvyXfJWV6KYs9CCI9DUK6ymdqJNkdAXACJWtEzoXHcxNinnblzw81fi
mGNhBbLU+SnE7cQPtEJJP2+b/pILufo+Y/qqqSbNhL7R03SHKr+Bvq6AZmT9nK/lx9uiFgKjK0lM
TFGic0HxJUgaVzI91Cvz9/rvBDBhhBprVaTo01xEEumbfl9xFrDgBa8WwIQPA7rjsizCUUFqeKM6
VUJe15+c7eadlfk3XFxOZR/KfRvDkENM3rlj64zKmpdvur0R6B28lgEu1koH2SyecJ+HfKXaxbPH
6ce/rSkgdF9LiJWpMT0RO+Gdc9KdeovQ3KacO5a3DObMe6UOHtsSy9h1SNSf+/8VlmzGz/jHMX6b
w0mkelBKEdWUnBxCEtmPYI/kzWPwlsAcbkDpZ/5Qj8j7iChKJjaYcTmzfQtvhatVMMfbEzK9l5LZ
fYRbdAu7Mq/5nONAdLbqNMRhLXseJAg7cXuYqyZA0xrcs2/zJmBvnw1dZM63iBz9VBvYkbIkJqE+
OhHKNde/z9bPxAJXGmNOeZEbmhI32JMXvK1k3PIGLffG85YTUt326zoLOYNBtFzJVCzmtGkI7xHC
0RQb4sKqVStK8HGxs92JpB/hoSm5yWSOpr4s48JX5Wmq1n0Af9hTxf01T1fqJLyPeM9djjP5Krlf
iPFUI9C8HAamEdcVn+h77nCc7qIEUEwB+EMFT8O3t45uAiuhU3BIDHRT5RPRHkj/zomCvpA5vhnW
hRTGtdeZMoW+JeOgrA1i18m6RPbBBV2rDczsnHgobncrEU3FOQKL+Kiv1g0G8tsfn86reLfl5VEX
Xc+fX8OaCGLxUBFErDkm+a/S/on+ao5WF43wQgJzCeRynvulBwlNQywq3O96HNfbN/6id7sQwVwB
GIksMjmDiGdsmw4puUduS+Atgon2IhSHBLWBjSeV7YbE3Ac6KSjHNDj291VJubDwpA1Kue8hRCNB
R2q8PKw7F8Mx+en2YnhymMtAbc06LBuoa6S/qsm1MBpBHe18WwhPY0yYVw1mWOvYldOu2rvoTbSr
54qTnuLZLnMRhF0/xHkPEcad2+2iNc+z8cxqXuLFftS6kVtljf3AuDGIc4Ev/HRbRzwBjCuwsgl1
bfj/0/T0oj22LrevetE1/zkYX4/tixWo0RDE6YxSD/j9jUVe4uNAUNZMtr57eyWcrfgaF7wQ1A4K
xnoFCMp+5+QOJz1855zxLx7WG37zi536QkQttK3eStjt0mlsyRWphroSmOJQaA4xWdpV1HhwKvL0
zmuG51gySx2nqUE7T0LOSpTsOiI/tj3R3m/rj3MkWZhwECkVY1FCRrTpHfP5t7QyVtPH3/mXrwr4
hQYHs7WKzICQnmo5ALhsif6sjn8phDn3ileOCcBXcO7LZziwY7rB6BXltecsVZUx4/jPXc3OHOJP
zdjNBmcP1gpDsR3dNKfyJXbVt5265on7jrkwvwIuxDGuIKq9ru9qGN9Lt5d0J9wfTphFvI8HzBgP
W+WZ0mGwsU4pdj4xQ/ofMxsXP4BxFVHrJxrgAGYjPPhrQGE9meTJsM3/8mL7I4Yt3ard0GfBfFm/
iKvd+NWkgnnC/O22tS/naS7EMDHBFBhZUXrYvQFXA/rg3l89mq04Z2qpenG5aSxGmghnMRoBdIZe
0t4Bh5EH6kdgmgKaRz5grA3eg4cgw10ZEyiEXmhgRA4KtJuM5BF5RR4tdNfgP/lLFarXl1PQR+Wo
hlAhXqXpOVz9eM2occ/LqHF8H1uTS0TBM1JJ+2r5HYi/6RweMAtXY4zDwFDlkGoDRBzStetG71nt
0uTltrYWl4FxxrmzBvzD7CAvOMTLocpNRArAdf6ZbyRHX4f/xfFdyGBOaBGHuiAlkAH6I9CUU2mr
vow7XhJ18aL4I+XbjV5qGgrW+hy7RT+VB/Thz82+Bmcty6/5CzHMAdVNYFAYiN9O9kiDe4uAIppI
2+a4vr0vXx0t3y71CzlM5A7yBtNvcsiJixVIO395ZMYeI9QBmuZme6xPu2gjuOa2JgZeRAUgezFX
zXmCL6dyL34Ec2ZzoIbqBeZST7ac7/wHcAjpT7hDfgREWKU27y5ZNvgLcczJnQIPA68jDGV3kDEz
a0vd3CQjr3jLWgz+LuQwYX6Y5n2a18b8tENlgrx0tr+dPj9v7yDnZH2x6FzEFFXaJaEvQgjG0Mrn
ndwTvIwwjHJbyuwDbpkJG+kPVuABxhktOYAbIj3YaP5TrH+hrHmdF+sYszQYy242RJ2oNkac3/9u
BYx3COUG4009vj9gFuSYcdsa5oNyQ0PsxY1R8HGMNWjoq0zrvvlOuKGvkcPDRFiabADYwz+ulG28
CnoZWTEBC5n7GmR6NxF0/YLzjdv/z7Es9vbuBt3LPR8rSgkgoGlLgofnFkPCwl1wX2wqcdWhKoyx
HeN0e6c4HpadgBfMPpvL0PMr3HoS7roTUANcPbA5Jr24PECOzb1+aDJn9Yj5swr+1YLTaZ+bXbw5
xzbXiy96gAsZjHcd+zAW+h4ydvoq24tbyR7IqNDX//bONDG/a82YPt8wEACeFYc+KK+xV8/JCdDL
zz4JgZyCq+n25iy+My8EMT5N79K2LsVoFmSA0gXTgbw242UDvxDBxCOgc56kZIrnNiQJ0eno1PRj
oLjL7YDwssyLtnYhi/FrQzOMoNmC3rqYHoHthxdEaFu8mGH5xrkQwzg3azKnwogg5mWyp/29ftfu
H3JOmm9Zb6DuxBQ/rBnEBdcetO6mEZQQ2dzq0Ln5a/+KuJTW9pgT1ZVtrsnNEcg3h/dHnDHb/oXD
riMwhglikeMxO7njM7AKyf1EvRfJ4dxwy9q7kMTEQqWVWV2kQZIIWuy7wFZJQVIsiGcMi7Z9IYc5
reBdbQUF/JEnGyQMAu45gVPjX1yJgQ4N8I/MI+pskb/t1S7u0wrmBkxJnc5xx5xu5neyL93Xl4IY
lWWeN+ip18zHND6GIM3qKrvZvw2ktOXfsIh6X54a+l826lIqo0BRaDx1GqFAhUwvKd6VDeDmO+SE
eILmD7G2dymICRgHqROGMW3zk4G8YPJTpTV5zMjkVMdiy0kRLh6rS1lMtJhEop81JfascRHBjY40
nyq3tgt4Cx59xZI7upTFeFdtbGGEOratmzFz15jkyG0A99u3fbjEs4757xdH16gVC+zeEFOg3jlj
DwPd9A6cFTD5jjYOiMh8uEEuOBxPLONs0SMrGY1Vzw5qcqsNoA5t9VV10LvcOMlx+CU963yS+6VD
falSxvXGCdqXY6Aa4iRMOWmfR8dwDdd66V8D6qNQZphU1Jz0njtqxDUcxh+HnTKYWoXlVtAyBtho
sQOEDBBkixUXjGI2wn8/EN84VpQ00eVEnQ3HlWcU9b0r7XWaag4Zn3jWsxTU/NEoIJeurQfP7Eho
MCYDI03eZccnv3u73Xi7B46Vzt+5tSbGm/R90Td6AjlAIXpLncD9aJzsKINOghtT85bE+BNrigu/
zyFqclWU/0E1hMJ2hq7H/xTcXCqP8SaaoMpiUGKjDDMiWt+5ivIxqg8Wio+ZaFeIqyvbl5+s9rUs
uv8ZuRpJVBCmql9QasA3ZiwyMcKwCupx7rg0UBBScJM6BZ77Gb29dctn7h85X9fghX9BuK0Jfvsl
p/7Vu5KTrf5D8yiQMwGSBQx1EziQzFIEUxWaxBhmI8Tg47xhwkF75bMYLhkhOF8NFOpFGTNhjPvw
e0uofcDdAqpApG4G07jXVufYfb+tsUVncSmHWY8m1WPQGZADQP3foNol4WZ0rZWEyrNv8xr9vzaA
PVoX0tgNGkJVTT0Z0kAqTN6G3e/pecuDSvoqmdwSwviJyeurMph9Ug+KupQov/GWs/WRAMjIvnuc
bBdP13t/o6rO8Bmtt9aGR9qyWKO4XCbjQZJQlNNOxC+Yuq2W7867B//YEpEc+w1iLpNj9UvX26U0
xol4UxsbwgRpGiAHkMVoX5rX21aydK4uJTDOY1DHAUaKG8V/RWNdF1Bjc1vAd85leIhLCUwAYsij
2Gg11lDZ8oxoM9kZmsANom1S8nLwH0KakN69V317ODv26zajnzwXufQuv/wJTHDSCoY1+docbwFs
IEYWVyafPHh3ngwmEjHCFJQuc5zVPm8Kp3FefZu3jMWk5uU6GM9R1lkzmtqXORhgPz2hhdjx7A6t
JmdxZ93f3jjeghj3ESSilKez+1Du3FnMQEdUPW7LmL9x4zyzme/Gz716bHBJIgskv6okBYMb6BU4
4QXHxtlCtjxOcjiEkNLD7IDvPAX0+Pl3C2HcQqYOtSkIUJYdItIlMZ1ojHYpXlPhoj8AZKSpA7cQ
JDrMnlhRIeV5J+anX4o7beJ7dX17GdKiqv4IYF/ghQAy57CcsI4scFx9q9MBCBARkXNS4VY/ZhXl
sqbNLuabEVzIZJx6pCR+ZJS4dwEKT3OiY1J7Dm11u6OiS8u7v10js1dymRdVnEKJCN5VKoAbUT4n
bkz1U0dfA0fYiPN0a7fiWOHyDQl8fVnGGVYU1ti7vlCAtykh57Dq7OhnTQOR5KdtNHCLH0uxJ9Bt
/5HEaFRQ4YxGBZI0GRbfuBo5DLk9rVqZO0vEE8Uoszf0fJACeb6h3MiOD/stUPT5Jdj5M99t5M+K
mIsQiL6hmSrYszpeI1cM7meVqL8lh/aTy7MPnizmSkRAmxVRgiVNbgfQ8SgAnpxC67uHEPMpvATR
YkH7cq+Y67HutSwFjCbmfAC/pDjp3qqQBWhW85ME/YK7fI1aGQ1Wtw/6ouO9sBDmRgQk65CLHaQq
5qqun4v23mxW2llMzmLrpiK5LW2x9IhcpYpCLchf9a+47iJ6jwtDFMRYwRPlbuOi164/7Ae0jv2X
cu2lGEaXYMIrgGuozg9zi7QqkXbFL/2Nd47n0/PdFv8shtFd3AA9XvKxGDT0lSR4mSdB9x4xngFt
eFtvy7v0RxITU7RiI0y1hUeP6KTOR0L28/uRF2NyN2cOBC42p7KK1i/nzbGT/SGzAbKPm15xeMdq
+e76sxjm7go8QxX0AGKye9sd7Napz+VGfBpeexLRym45uev5V9/YJbZ4JiRgncg9nOKXKSPFsUBr
Z8YFmPry2d+kqOAwB9TpTDM9u8cL3UkCkEeDEhY34+hJ7kto0+c2pPFaWQeufEJb/qZ7TByPZ4SL
lnEhl/Hw6H1Q9SKB3ArljF/l+b68f7hte4v6u5DAOPYCLYyRVkPCzjtg8pDCr3N2iLcGxqePIL1H
rQwSQLySrv3j4AEb7q6v137/X0Z3kR//s0+MT9eyyh9LEbIwvWdLjyLJVg+8UcPZu1zbAnC8VQyI
S6C9Mr6N26mq3yS5pbYne8O7Zuefd+vT19t9e2O/h3jXP5PZWG1qx8CflBZwKrWbHnqX8qqtPEUw
G9sD/7n3VSji7fGe15TK+zazkfrQpHpr4Nsp5VKFLbyvrlXD3h++JbRA0m5Piv1Y28DqcfY+Lt+n
96fn23uwMDBwLYm5Qwp4QqGbVRSTDSCLe7KDw3jSbeLSp8dstftl47w5toO5Q4fTDvhVhb5lTMyt
4mGcMq46GMDB/dWfw7PppPQDyNMHu7t7DGywvm/oOnxyaGs/rY+p7VHftTbvtzXA20fm0gF5bCR2
FX6E+4jEKOfe/H7VXGuXuWrazhzF0cTHB/LBO+ULabXLj38bsTNbTat9X2tPz7EjHNNV8ZYQALhH
Z1vgkajdPvbsrN3fKBycpdc3lSx5U6XJs8LvOVvJ+5XMcS+F2vPCErb811+eJV/crt3UKpY3uyoA
R/O6Om8boM5iNo6CmIb9iF+tEUI4WfGFPOW1jTDHO4vTJrRmGwH0/WNtOXJ+fkgeGxcpZXv/vm8B
Gjru9spzo1HjELwFA4n2EQ+H/6t7/t8P+rehul7yRsOczxg4ralCYhAvuvs5r12TbF26L+eRrNbO
51+aA3OyR8PIOkGEYgdCOZ9WeKbGHOyhQNdnrOPbeJTFJYkf8tXWuduP5JHaDy3Zr1/p+1O7oyt7
BnbbKpFd8uJYzk9g8ty3z+R3xiXzyk6+QvMLAw8DCbMcE9az+9USlLcj2z14m4rIxPkABcBtaaDa
uxlG6F+u7UJcL1uT0Scwy5JsbItsBlt4i8l7jHppvRbIpnIxU5iSvCSqasfHA7pjtI3gbAJ3txmR
3pZ9orzdaceXJqOtvDsNQPQHbW7qHDQi+qR0/MJZT+t29VKv7kzRUX7rDxIoQVYquHxX1l4BpR4J
TBKCf3LYloC1IOZBegQkCPED9KQmmzYhzb3+KaGFcgPsBfyDyQ53A8g6wf61SvY/PpUI9XnzWNnS
U53Z0X3ngb/jMdsXjZM/G25OG/xc4bf5qkVf7RBRRvqV4oJetKb53kNyKV1JIPs43OczWNrHQdw0
7qpwPyyiYbx1g3IZFbelc+ghNIzXgx21KGgjpaG9ic60G+5K0j3dmU5AkcgGGZlOA7twI5O8bEoC
pmncZjkd7tDA6woN2bjaCpZqpRTPUQrMYIW87ldrAEE8GqvQcQwHGemD9eDvigxljAdzmzrA9ezd
AnXz5E0Did5ERnuQqPVh7OSN2hAtRbn3eB/Y+UA2ejg3Tek7JOgeGjBs9p79rmE0wyRlT/ev4lu6
2v4od8fS1p7v5M7pyBMY1DI7BdiTshHsB29bnI2TVhDArQLPGLxBjoDQeAW0YQl1Df3Y9fa4Fp1N
uz3nb2lNtVVgU7MFaEzoGkfcfU5DjQIwXhhqQ38GbARMAvGE7J23cYr1U08UAOJmn++9Ld+t38/9
D00hJNja+nbcmI+YtgAHeLAm1Yfek9VWh/FPAmkOlGSIPKgK1/UbLE0nQyFuBd6K6MOg1iY6os/l
jjhPFUmc0o5twHx1oDn+0dEOVE7b2P5sJWBArSuy2SoHOj0cQ1ck0mN1DuABTwh8sR/d8bjB/+z2
pBigNGSuOvwW26fQ/lp/P2poC6ImPgpNCPQlsLO3aeUCmj3Df0rOLiUu6JZ+CKj0v3tO/tYD3zpB
Z65KejssHCtxjusfNPlQV3f57thSrBRoEgbqwasQ5CinYmXdS9IuIa0dnz9wy42w/L23B3JscXjH
lChRC/IurmVSryfD3a6SbU4erXc/I8FnaI8vnns27sFdXZxb1Fy3OeaNbRw0kQwO8vVroqy2GyGz
PR9WGTgtzQ6odq+o9v4aU0DHKo8z5s+2teuaknVCoNrfyIQKm2PSkPGu3iVOFROy3jglEOItGwPT
viPfC4h34ruCrEfqQTef8FUAIyXN7vz+kt49p+7wEByiVzsb3Gkt4jC0yWGrY/23HRrPFV8HHn/3
rVnWhWsclFyOugKe2H5c3/7y92futY9nHhWBX0vV/5H2ZbuV67q2P3QMyJ1sv7qb/UzfvhipSsV9
3/vr73DWPSuO4j2FXacC1FpAAaElUSRFDg5ictUcaBhm7KhnFezkvcmbNi7x5DAxB3iWcqFOIOfZ
BWuUaZ6uBOv1dO87uNLmFhNlHg8OMe8etzwSOU4k9VlTWGydH9elmM5RGpL2vCiN5/HZLg9NH4pe
mMO0x0PnuoF9H6FenplP9zC07q25dXbqZv8YmBb4sN9Ha+/bPFjA57CvC2EUiwvwFCkpmwHre7bt
0+371dW2NF/gQt1DbqYOkGKuC5r23MKwdc/GPB2QXPmmPaEIZH1sbgbLuXP2yuEOV8C8Du3bDxil
3f7P9s+Z4CY+yebpFMDVbHXnst59tstd+G623iAYXY2udHh70b3y7NPuZPf41FdX3dYIj9CRk7qy
ecSwtvyKV6nk3MzPuGehEtEkYu7u/LxNLYenbsrPksO3C8U2jdI+yIZyDprse9887ead3ljOr3uU
/gMT7iizW9t+DxHzjni7zl5JtS24EGoiROTksD65yi9t8ncb9D9yQRMhlvAxIJe3d8+3T/6Nsnve
nOxdaenXjelsN5Z5h/+iPQDlU+o4+EBrs73DPEFwAWx52sq5jGymXQg0nXbzoYM27vGyQq2GjwbS
nDLmQgIXrjBrlYLRT5sU80ERmFUizH3/rG/RCyfY9YF3ymvWbCmLscdqAPwMeLs6WM3Q6ba/PfNu
PkvOin6m8lVM5f1aEWObRy9M44GqoLGxTvHtr9RK3gDZ5tJcr/Q5f5fD2GYj0evcUCFHQ2DbO6/y
rwpzD0DpmYGdWQDuGAMdTefho3IvL5C3i0yqp60jVLKSz10kjv+qwffcab3JA//wxDBPviAyxiks
sDw78Uw5Nb3fKZQiwQ28vJzVFy26ETAuUTI+R5l999JqoMW5N+jd/fNJRIcK/EG1FRBZBwBBVIiW
UtvHZHRtl/yZ28hLzmVfy5wupTP6LxZyMYblLL29va13mfN+eXmrqaWlAEbpx6SuxFqGADF109HO
NUfyrBd/R2rHeBw9G0fHm87yH2SCBE+TMCpdYx0smbxYGA1c6pMBDha6j5AAbJzJsbKHv1rdl6RZ
ixZOQcBgylaOsDrbe4wmu7YRpMd2uyU4MIGTgfkPtupfYazzA09yVnUhllXYqtljsJ5oejuCdgzw
lGugXuFVONec0txA9f+3kfV4sTJMfipiccnLtFXPG0tCwSnY+3eXN3E1s7SUw6TxRC+oPSU0uns8
GPOtYsudKzjFASVj6ZBiClFy8hBX4P2yj1ArpOdSM3lGZQXIMFuzr7Uy9yDAiIs6mA9yxMM4dpqt
fhSdu/LX/3lTmfvgRYKAFlwc4ohBIQDJY16I+6Cf/6Jd+fuCGDcQSVJpdOPngmaqrhTd5L2LEUIb
7opmS8iGC8utYxxBSHVlTAasaB6KaIAfqEMPLlqEznOLkIdYKcJ7LETXGFcyT0EZV5ARoTIMcb7n
Lvj5rqktbHxIFK8vK+i6K/jSDcYVREqQCYHvY2A1gPHxJgGx7FvIRU1Is4pd2kfGlrSybmCuDE5M
uemROcJgUwssqSikFAhsDctzQ/ApbjpYz31yEnb+Vb3l4ZY4R8kWmBOhTiVPgW8drfqhbUGMQf3C
poHTeR//9Z6CxBNjwCUEXmDyZI4u7ceiygUstnOfazAhVUBY3/F860oHB9rMF1KYk6OtMU0+Bh/f
PxpmYMWDOYCW0jcx+RxggMQJXf9u/MWVunKQ36QyB6mkiaykCtSycz9jSrxVRQc5F3fPHS+wcmAL
UT8aGmpPCv1yvnupSdAAqDqSfceDGso8Id8rtf8jUlr6PpjsACI3DtlL5ob7Zqs45Y1xO90k+tyn
CVyPVSBQybcf1Y20PcJ6Z+b+Abkg20afnQ2KDptsDS6YeC0K/bYBrO/I0zHL5hPGXhPdKi0DmIVf
3vH6T3F4KoB0Mul2NIXd6KFacFmF13yGKgL0ZihoEsCka0Z2phI/jiLYhdFCw5N3PL4V3PBwZdA1
VHghhHFMaR/1wL1BSOmkZ+OsXLUP/p7uyo3qhDcxGhdnn3jOnO1hQMrvowXw5CO7EZAqNEcAynnJ
ixVkzffvYfyXEatDWWv4nso9SQ5RzM3gdOcGQBReDy13fxkXlgpa0dIaomxvzjfHIHp9uDNeeC+m
FfP+bYcZ/0WAK0zUAGJOv/z9tQ6V6U3qXNaV1Su0OEXG3EltSUplhIzi2jtWjuLe4A3PCeV562CM
XUzFyCeNB28YXYfOb2FT4Qn2Nz73224xxg3tClJUEaykdGond1oHYFO495Q/NXYtjF+KYoG7iS8O
Khxvf49GTFM7yAcfpYVz7jYPxYm3rrWkxzdhjJEzJmA+FQG7J16JzwSG5LTTUOURbRcdVa/Kfjz5
+8SmsCf2S7uzsjd1m1uCdXRkxYRp80yr3O2Dk4x8O5L9juee99vu5bIWraW/vn0ka3GCTiqSeUf0
AaDsp1BGkh8NnVrv5t02oJtWNnPZDjHzXjUj8SoczUm1gsmqiJWkjhchSQ6A8Fg4UWBH074qbupy
Q4o7zmfOn8FEMt8+k7FZEXaSNo3QoRPZ26tP/mH4rPBsHHIAC+oWA8exQb/eS7A+hO4jR/j6VaOa
DDA5hsXrzEEOlI5qHuAgR6t/e0ZNpjcbFAYzO9z3p0RHHWOyisl0wnvlCp6rxb/GZn8wbN6w+s/3
0Y9twKBLijBHl37MBCSSIPsCxuchMI46JMpFlPtQpfpT7q6HbYiWjRfUGO4iUzmg28fmNW+sW2pA
6jVFVsAVShhLncmVZwQdnlVya8V/MF0x3eGS3tmX93vV6iykMEbajwsqZj62m1jVu2DFL8jK88g/
1z3BQghjohPw3kh6BCGIJB4pmhFCvAb7e2LeXF7MSjZExQiJf7eMMdMtKUmlFJADYtVb6U7GC3B7
WcK6UVuIYKz0VKV62szqCafWXf15Sba5zYmtudvF2GhZRQtjlUHGiPEA4rY4dPv63Yo2PLL31av2
tZbP71hkP/ygQ6zwqWHQ7mEn3FK3Q47q8o6tpQeWh/Kp5wspNIg0QQixmsGVXRTDB/M1PI/oT07s
JjX1K+rOU5GNHYqX+xC3/f3/KJ8xuuJUy1Wi4B49voqpJR7C+3tEwChiu7Dz1/muAJZMvjYALMhO
HGPGu8OfKaHl2tMgIpkO2eVovt4bIPUOLc8Ebp+nlvMN+mGrFkfJGAtCfA3syDDZz3bonDAEQj6X
zwjpVBt8lfyX+2yEL4ljrYbeJBOtcKZFYT69iI+ReRBdlIR5y5p/z085siESpPfpz/R+0QVS58Fh
Gib6XzPiAjMAZun8GtRPEcbDlNfcgUr/4fZ9yWS2Mi6jNvV1yEQFLQtgqh4w5sr96DlrWw8GVE1W
KBLHCmoXWPtCN0KFhFlbxD3KCSAW8R6N2JIPwIrguam7ydZ6mfMUEtBZCrJn6mO1ebcv34z1x9fi
C5hTVILEbyY56O+fh8wEj6C/7w4GkAtzW11kkkN20s8gocTY5WzDfWWvBhkL4YxPGA1ZEYYYwocW
Tdq7zPSOjtk5DieYWYO1Av+sUVXB1FPDUJhFhlHQyoFa9fA9CpAKXQhbByYNa8gwiO0UbpV9aaqT
3Ty1kVnfY4TgoSjhzkkEpkj6FN/h723BQ42tet3FRzGLRwlUm2jS4T2BgU1JbCn3D2D7r584B7yS
YAMJoSijwUVUZPFzEM1CxTBoJgsTTA+5H/cTKqwv1gO3ALd6Q3WER4RQdBuwc849TEQYAm+YV5I9
09eDcpNc0d1wO6RmhkG9rzc8IO1ank1FS7yM40TCV9GYA83Rv64KXtLfhx/x4zx0dq64hNbRffp9
RnXTN7WTeDMBd3MXbIrI5GzpHPuyFgmMoqjP6RJVZZkJMcac5ENE0h4hxoj+iuo+dkBYeSSY3Dps
7nidyuJsBC6Jm1344gTDXCxCPS57cM1gMER5dgfw93tAX1nCRuVxoa1GvJKEoQqqpuG6sMQ9flb1
ZaZDXyp7cKP7JrV8zaKQlmwd6/jyMuGRlL8QdES/c7Z1TY2Wkpmov/EmLw+7uv+HEx+IquOc8cP8
23fJlcwSmW9OqLh2A5cCmajAH2UvF1osNfDMk3xMTDUxidvwgp81KwdVNWRNm7WGMurSxdOUVGAP
B5pNN2XMAiwzq1Zu0gIDjMnboLtUMCy02lkicLjjlZe8pMJ21N6iQDK7Yp+LgDdmXWfSfCsGaOYn
nA9c6fVTAbH++kBGwWopD+Vivk24Spob733TP/3xQJnx4ltkm5R8zs95yT9UeiGRiW5plHWy7mPn
ZdDelfukhlWu5RmFKHjPlO7O08lAoTSwOrx9wUfBpbRdC14k2ERiUGqoVGM+IAgFWRsjfIAKssrj
rYGmgsE6C9woad1SfQnSZ/O8uLx6X41TM+vYI2jd0RT1HJuKY7jZnQji8r0CTbDPb9KhsNrMjPbG
dXPi5X7XqtM43n/Xyr6m5U7qYlLiEw4zmXm36/+Up+IpO0ybdPeGLlLMtt86kbONNt6Zl2CdVefH
QSuUortS1KQfbLhT4klJUoxINZVzNhlYPy7Oa6U5HOq7kMGcpaInhiTmkHFqrrPYmnOMewQumwfk
601AywSblwpcvzFfItkyrieWRT/2Uw+AhnpIkZ2YwbLONdjag5Ngi7vyF7cgvup0FiIZ6+h5cTF6
EZysPc80q28wrhuEY2g1htbwyWBWpakyJqSqVDEUndlTMiUdRpQocOk7NyRWZoP7iF71x+Y12o+c
pOfqCwk1pP8Vxrocr03Bn1JD2KOGHCQwEyJmN0lgJUp4keBqNWkpitlFGiYxiGql/t7bNO9gjwrO
krarcxc/pROgTD08qJsJ6fi+5VQgP995P67CYpWMtzHaZKR9CtGNq5lXkeQ0jQn8UHLTAKsEVDgv
SFp9xCzXOp/xwvSkWZnGGFYy514jEal3GDhwrJkCHmp/47lVOk/zk3VNokwoGyNXMaaGOgeAoDIB
zHB+QwzWb8neBg4fb7OagEGIokhzaVBVVUY75ZgKAhhoYFUGGUBgvRW6ySRVPF3RFAOQza7NjcYu
Ug0MpJ1XhqXZJJVYYQqi3lLHa6XmQxY08fflbZBnsT9OGC23+jwi2ZA+obCLDSdTLORiHw/3CZ5s
iiW2z6O0T2RzaHvTCHJXB6dM8krAviqis0a/jabfbWyW8k2C0mnyrL4ZCTDtavkrEW+kzJTGJ6S0
nbo65fJHKpVWgkeo9CsuzJgAGG7GmUWrzVjvQNWgUQ5SZdVwgyAHUTY4oQx2LbkaEa2Xo+Ee8wYj
+qe7y3Jwkr7Fd/LD5V1bP8wvSWzButREv5IkSIp2Bri/0Ynh/xqHfYxBWDi91zDYRMj29juO2LV3
EarW/7vAz3bExWHN0ZoPZrIBrY4isKeoX8vWvuFWwNYinXlmMiBMBoazakxsFQ3yRARgK+5DTDGd
zvU1L0f8+dpgtW4pgbkMuizkMdpnhnstB45b8Ew6OqNTZWgHCffTcTDMbpddFYqlPkvBLgk2XoG+
FkxmCc122IKbrbYk2SYy5or2J4I8cwRtnayx2On+RthjAmRHz4lut8XW4D6l1mJj2ESZyIoIpKHK
GkW5J3FawJFWdvpx6gSL7goMW3Gs4k934od9a1q9FMeYxClT+kpQ+tkGzy+3030GSjDNeZrrhbrz
cYdiAjfJsaYBS5lMjmf01KFGXq7H0HTk16/ABpZjuAvdpSDvOMZ2biP226o8Sp7VwHMplnkiZ0Wb
htMEsTmIrMEHcQUKBZgiU+kR3Sv2HBmRbQ+gb3nID5UdnXIH1X9OemnNIs5JF2AjqYbZ4Yxu5mrr
pXpNZtjNr8TWnMl6Sza8fovVHNZCCpvDziI84vxS7nGVS/PXlWCitGhhTl9jNnfxMTpoJS+hvBoA
LkUycUTeSAkoorCw0VH+TPe2+2p3R8X2r7uNso1/Bw7HWq3FY0t5zD0ZhIwA4Qx5pwLDlcLC+jOd
Y0z5RqFyfp+988oCa29xFUxOooiLSTCV+3vs0AhxkY4dQjKl8xI70PBCHcImsYQJ3I2X17auI1+i
mOdxP3pEElsdpaCN/FyrZqnZGpq0BDD5Su6kcKStuhsVFIeKBuZoHdCy7yvzGxp6gYKV2Qht69t8
79lwL7f0EHFxs+ub+CWKsf1tNwpiHyEsGjFqc9iNpenZQN2g5JA5dn0n7ACm4SnK2sN2uTzmxpFy
GkIA/+eHLbHas+/8bu0JkKKMC2tRZh1gHc9CFPsIqsq+lgUZopIUetFYohLYCbVE4BOnfdzaRZY4
yfuQnvI8tNrWbpx+eo70yezBQZbtZeVk9HbvIUO4D+ud6vtQZatqXa+1jNfWuE/yg0edLvndBM91
cTKC9wkEJtl2jN0AHGO+k+PlVXnqsVeuSH2Ohq2XcGaZrgbt8+tSlyVd16Ay37VFrVs9NyIPb2fg
CXyzPQfoYpJcH11r1c2w+bh8FdbaimYn+K845po3ZCIZLSGunxnHBvNE0bYHHKYjW+IjOTrSy7nC
XMPKtI6a5TzMJQkzdWMbKKHLX/KJr/5xuIsvYTxlnueZ2o8IsU+6Zr/qf+IbwwUTyq1WHKyHj+Zt
PKK1kofg4EplfKWRtE2XFpBq+7fo+K23M8Gk5AQIZj5MObKkDgwpwUnjBLvrznKx2vkmL4LBLlGr
koAe5H58kMGyJuzoXgjNWLcGpN3Ic349gH7opXlsPsrRt9DcGrrG/aQ8RWeaADZVRb8ub/+qTVx8
D2N+US4N4rrGPoBMNDM3xNVRfyh4kzyUeTsvHTJjC2uD0LqrIKaz48nKdmSvtaZ/RinvrXPmeQfq
VQ9cw+1svSZTs7TXcJOepOczcTcvxhsYwTYAzVjdB3F7+/xCXNm64ZGrrj5j5zceuP6ppFLKaKKX
pHGcEX8O1DuU48Bl7XTIQftcSlCuJEb7Qg9DbIoRkibXxnME3WjxdWPFLu+5vGqjFytitE1TMLDS
i8Lhvq3M125XHBSzDk20HWx5HTDcJTGKJI91W6gJlkRP8bk9t6fpbGyAqUQUZl5W2U9z/1OZvs6J
UaaK0tSIKqyqsAXV8TRidn5nDtJO1NBmfTcE26w0i32aWkNllmgEpzvQr1d7P3K13OV8zPoWoyUM
mU8KABHzMUaGyEaaMwTF8aRPYFOsb0UgdU7X2mjm7oe+BXwJD+dDdeq3vAhjNVZTv2Qzbp9OLdGU
EhsxVLb+NrSH6rpSrBLseQ69z29UtwlcRer+SiyVNEOURCIRtio1xFTu6hhxVBxva/9Ga+6i99SX
N3LqZB2wxUc1+C0nlqIWu/7m8navPqsWopkV60UWVso4uy3jLGDsGbgQRttQD2NhixFnneuyqIS2
IF0hyGp/N9Wqj3zF0OFkG7fdg9G/Mctdar//zYK+hDBuXzE8jEupsCBpJohAIzzwDSlnIet3k34J
YZx93OY5nWbrixQdfNsQW82VMm6adD+ORy1/0H3OFZ0v+48buhDIWNLJqMBz12JVpVO8y3vRknnR
51pSBSb638NRvh9OMxlSlTSQoJp2eQvoNmwoWv43Med+MyvRiKrIqLxSjBWfE1RsxXmSjKzuBi06
KtFdQ2xZfo3CffRwWQkYJ8wIkQmjacCL06AQdJQh/TehOsnjaErUiYY/ot9vBRB+JAOPWYmt9f4j
k8oYa4Ps5tz49n0DIy8Lql72omM73PfqtSBXtlFVGN2gu/IEvluVDGZQaYWj5rKG0piFLK9T6Fm9
R7aTc5qrm6wRzQD0kOAVyLgpT4jEuKnxLWGK+SZTeMpTaKkHj6jznMesFwvN/GfZC1HzpyziLxSI
2riNDbANkWBTk8qsRXFz+TTnnfshAhgI0IZjbBDSs99FjEYR9BQzio9yfZIC3aZpChc0WUkYmQJ9
/AthhohN02UZ+Q/mHhh62wlNAWFVHTwOdN8olYs5ARsh3ukFssGXpc0H8WNpKNIodO7zU9kmBgAU
uiY2IE1Ibzwttqpsn0yydVnI6hEhXwqYh45lGYxJrPqixtC3MD6mjfCqRtp4TbQ0uLosZE3loAwg
s9MkDM9k0w5BEJZqLBfxkYAdM0pPmkoahBFopMpajqi1TUO/LkG1QqMAGTM3rTYmr4iiKj6ihQ8T
YV/zp8tLWdO35e9nfGKv4h0T9WV81ESbTPImSwJbT8Z9QXKnTyL3srT11eg6csySglUxp2OUSadm
LWzVQKiZ5hMeS4bVZdy6OWPgPy8qHO+/cphblJHRF2JRiY5Jcozz2gwIWHbqp9JHX5uXuqIOCEzx
p0aN4vL6VhVjnkoBDJdKUV35fnu7JEkLQG6jYwYcbA+O6vIpSN+TiRddrGm59iXn02cvDFHVCXmj
+jBEWXpVhVc1L5G3ek6yoYqKQmHeP+uTi9+vx77m1WEUH0vxVMQVqHj2gSHYlzdrVfUWQhjV7oI8
DqUSVzUGxU78HhjJnRjT2myRzW8IJ0XyOcqbtT7aQhqj6F6a9T24O2HrRjcTwACk1mbsW+JLUW9o
Lh3HSb9KyB1NJsvvb4IGwLu63BWGMwWSHfqvaXWTtjsMJzJEq05uCUYXEa0xh1K9vbwta/4ciWhJ
1dHnpRKd2ZYwEz1aK9j7LLEM4VWigqM270KPOY/CrpYf/JgTFq8e9kIgszN6XyshbWNYswqJP6Ow
oyY2s5Ezam31tBdSmKuhBbo2hARSmvZP5meOEG+Jca8i9Cp6jmKt3g7EdwZ44inQuEwAKQdjiGlk
MM+d5v024m1XD78vn9H6ln1JmL9gcT8ibxAbvazjY1+gHlGlkS176Mhr1NC5LGjVoFCgG6iEZ4TE
TpsO0loPa6mJj0b0ire4Fff7HonHiHM7WHDKPwZzIWf+jsWCSB72virAzaTJfuh6K+sOQ3jQ+3JT
VJ0zJpaX/AokNOpm1jgcjL44aZF/0xT1NhvR65rXnA1e1ZbF9zCXoCqBq2woNniwtSDa9qp2B34m
syzbjd+EvBfH6nFS4ELRI6xhZCfjLuKu8qjQ5bhyRmIW5b5Cnb4vOBeAeRH+s8WAh6sK3tUUvun7
FmdyYfTTMMVHVeufMYfnRg5rN4+ONLfbkrqRFvIgfWwR4VMkhp1qBn4ImpSYmz3FAKXSDiJ9XbZ6
Ydule698FjDyWy0PNM9tkAxZOvgsW4tqL/+95iIMmwdc6RSFeWa5eW+MqZBkkC1cC1O3M/LGGRJw
qJGWk6hauyNfkn48gKgi1EJFcHriVO7RQO/q1U1vqNd4ufyFe19KYsIXfYwajVJIMpLmIBvjFVDp
JyFtLRLGAyeQXdPJpSxGJ404TsNASOJjOGHCj/Ba6ddD9vYXZyRjooaqgd9UZlltUXUK8jTFLWv6
jaIEB78+xTkAHFPNschsB8E/mriQxJhktRIEnwDgdxxG3VJCVPtBz2J4tlCltljTd78fT8lQbYw0
vR4jyUq17EZL8usgmhxxItv6rW6ThzjqXN8XR1PUNnH/EvTTdiS1YSbKsAuEZjJFXcITkPDCuvWL
hD4LgI0JiNBVxjz2mZ+kbYjPz/rpIQIDYxtuqvG3qAeWrlq1EB9aVTmrqX4I/MYkosyxz6sqrsmq
qM0BGWZNf7cdbd4WPfAvuEypF2/ESKe7Lk/lR3kSy3MlFAXH7awqnwbIKV6FRDWM+d8X7gB9hkMk
qQqUL6lrWyEtdZssbWAUS2l7WQfZ/NI/qoG5E8CAUbzaNEbROzrKciRAVu5dd0KxmTQ9t/KkuNOo
tif6iART5VAPg/nS+vqy7LVAQV+IZrSyCZqhGEsxPiaikVua2mmopEjF5rKU1c2c8WYoUksikGff
N1OaggixngrDj3YN3OS2ORHQPF0WsqYhyBjI+FFn9g5GQyePIB7JPYS3WbPDXPhdEFfbuG1BqCry
6lBr22agWUNXRUJR6WCinzyW61LLBDzkpfhOG3RLymse5GZt05YyGA2UGiGjQT+vx6+tcDg1U2Zz
Y9LVTZtDK11TCKDHjBC9TKVUTQxYpWZwE/+1KAQrCFs3inieY3XLFpKY4xkNHIXq6ZAkf+hZZpLu
4/L5r+7XQgCjZEWpeHHgY79CskE6zowBh+WGMLz9YuKJNtAiT9OwikY4yQmSRNVpxHxTkrl/sRhU
sdHeAS4cIBW/3xi1z5uGFFiMUd3kaWJW48MUPV6WsXoiCxlMfOL5ejwmAZQ4Ex66OrRgDP7mSqKb
C9h9igagTxzmwoh2NdCcehonxzLOnapuNo18U8aN41PeK4HF+cw2FG8dGWhAA8UG4Pi+bxj69vwy
M1qYmDrsTSlAQAfoaW+LameIZiv58aHzPUzrTio06XnNszx6pzaJqoPaxaGdEyF1NBUwBV2gH5f3
eUUxv30ao5iaMAzRWOOVj4EFVj/sm4Savc55wq5vgIrJQXPWj8D+fd8Awe/SdmiF6EhE3/ZzZRv5
D70A0Kpv5t5jBS6vYS9oGO/tA5xKkV84RD0xA2ninPnaasEMPrcQSCLoqJgIMdTEjmg5sgxaJbiN
4BjAh8r5w3+/pUshjMccM19Xog5CRqS2Qnl00HdlNhrheOZZaZiMiYLqBVAeKoFbVpiTS4Ih1DWa
wsxH6MvN0L0GxnOosoz+1ssLWpOEqbEolCjga8BA3O+n56VqXVEBkvAdTikEdtAWrqgdVBBSXZY0
fzO7JgynxXtI1jFviLUsaGaUG6HBexoZ8dCWGmUPvn3MNBTqFyTDcqsLC9+5LHJNJZYiGUODwd5p
o4rIRow5Jk17422iRLYfifZlMat7iOKmJIozTpUNo+JK9LNJHHFavdSbXRe02xJMHe2VqibKf/82
wbMO5RaUKSQkJeZvWVg2b+z10o9gn5Xxodkm6j2vprVinFUiIgAFuYaCdxojQMy6pFUbPzkmAQVT
JYDs1mBUvPfxysl8k8IoOEmKkohoO0XM5A7tjFRvrWbgkeWsSsGpyGg8RSMmWyxQy6oUxSlKjp6I
tOJ0W1YnvSk5kezsERm9xni/LyHMUqQkwNBCP4WvybXemfr4jvSVagdRg3kBSp44jdDqIGKJOC/I
9cUh142Zmqjns6S26Fhup85Alp2IQ2iTEkQ9Td/bWvvfP4Cwvi85jIVIBMMPaYdNxHDBrZE9BiDz
NPLB0jqO0VsxEBCkI1tCAX2RKHNb0eGjTGFVJUcqi1sPg0hsSTlLibTtBFE0xzjYXb62qxsIiKdC
5t56ZEu+XyXZaKtAq7Lk2KSSi4exLbQfdaJx1GMtv6cCvA57TcnMTsBEVEkRTBL4UZNjP/gw4ujV
bJLE0WJyCkQMDm29c6//6iPt2W88q5n2Ae3cOAKy6N4QHaEuHvSMt/IVg/Xtk5iVq0agesifJMeh
cjo8ieJsO/uxrg05sLnVI/1auzoXixbWSswx0Gjs6uTYeQ+Dp2zFuke6K7fAr5+2PCL5tVSBSlQA
TiU81fG0YExXINUNtrZIjvkoNI9tmkS7shfRIioqkiWkaXajF3p7m8l+50xRHNm6iNm9vRLdlF1m
PP+FdlFgixTZUFAvYq4NTcUkjyZol6RK9wIp4YA0YmcxD0DPNqzNASgegxq4L/B/8AnMYeqTBFAF
CPSP3pSAIXmwWhgezI0zleKmkjyXRPXGU9pNp8iWRzZK/JGiCBzfxcnNEHCUfe1KLb6F7dSRpy5O
BgmKFdV41QGWEAw5QLickHNNq5ZSmEhPRQU6HzOcM4mfBIzCVcxO2cjqC69qvoa1WG7tJ2vEQn3z
IQ2Qmy9RyDRbgLOqzZ+itkbJlBNzvNMKs/XsD49j1tfu5nJxTGJEkesUTMowF6TAUFVUAdKotsr0
AQVOTkC2el8Ad5hBATC7mNX6/XY2ETV8geC0uvJGq23UTGGQJnUvRjuptgPhTtCcWLSi7u7y1VjL
O+HB8CWYiaILuYc/DXvs6+C5QrfvW2cCdcHg0uazIEiQ5uvKhBOmrSrnQiqzs0VbJX6gtzAPETWF
rjbRMct/D61KUZHWRaZOBDM0s6l+nY51N0Fnkim3/Vo3jf5B4MHpVm8ACt3AOBE8O9nm9K6uhIrG
uPOt+BrI1QakMHiPTIVgDglvGhfbfPtpYADaBG8QEFUiqnrf1QTMqylG/mXpUVdap5HEHVAyW39y
G3pnkJ3Xd45fOmr5GjV/cWCUILxRJJD6AIXxXXCI+N3Xwjo9esW591F663Uz4QlZ28pZggbQwAwo
YYSolZjSWjPSY6XR97Yn93XRuUMq3RfzwKaQF5L+EAdDDfQWuOJmuiKQC3xfUxZHAaWRj0JecSUQ
0e3r1jTiky8rm2ZsORv4w5ZAGNYFDwO4J/JsjA/ShSYGjrjvD56kde8lqcBHF4Agoi6CEFhXvc95
JmV26N+C4VmijoVhzAKS5WwuNPSrrM91SBypUcIj5WjSicK+3jWC/kjH4R1DUYz9RKru3HYeaGZl
7emycVnbYBgz4Hrn+4FH9PcN7rN6bBshGA4peBJ18TXL0MholBujOBBU9i8LW9lgBUgnFW9nHT7e
YDa46tS48GMNHYLDWe4iJ1bUExAw2zCjnErbTzePezh3yQGXhlfmj8RckvlBjBF1w6F5VsBxKGAY
U/jgP8Qn5To6C/sKM67qX+Ptf70+CEWKFkkVpIR/+HNhGtIKo2wOIwB+Y59bhh47khCbacCDpKxs
JaJ+RQFed77t7MN2nGq9zdNmPAwxaBTB+NEEZiGesvjx8pLmI2E0VMVASpkamJ8x4/y+64eW5lQc
o3Y8SNGTXz5HPLDFT+eGgwJQETkOJFHJD3NpoJaWyrE+HvIqdBMvMJUstIyBXulJZgeZ6NDpSTCI
01N9c3lpP1wPI5lR/SDIVW2kkOzdSHfhUX6//OvXds7AH0SzSBchQ8DsnBT1citCGbzaE00jLCe7
FxReVLKiB+jbRzYRmVMkONi4uRnEsIobIB0EI0EiqngJxmpTBvn/I+1Le+PGmW5/kQCJ2r9KavUi
u9ttx46TL4LjONp3auOvv0cevM9000ITmTvADBAE0yWSxSJZdeqcxGmRB7s9oi9Pd1OGfiaSbHA7
8F/xrASEsJI1XTQH6PmVPbMxNC/RpcTvYzq8SGqfBvhjeEcgRenetryyVEuGHa8UYPFARcU9CmMG
PoS50KegzgcnBtMLXL0xBC/3VSMmSlIyIKbgB11C5cX1VUbft5JD/CaQM9AJNroLI4QI7qurRmzg
rJeOAqwcN5KSVXo3qckMVYfKU/DMsUe3prVgvlaiOhJsqOBpn4gGPitVkUhrQa88B7nxbkq+jgpb
nh80G4KMgwiSsvgxFyGwa5cnm2YagKQsI76YtrjGeUrThAUqkfx41r8PDIB79U8qE5cQV2mfe1uE
PV7zelUHpBVlSuBreDGTFvV51hJ7CuLuoIf3rfU4hEizZIItvGYGoRy8Xai46Rq/hW0AmLCTTCwW
0DaKUQChPtfHvjaDMS83t118JVwsFUrZ0i0LiWWe2LmStbbNWsYCQ8vLPQrs9KlqUvPvTyjDBDx3
gVCALuqTrOxisbopN6pU0+cgiTvNqw1bPrdgEzgNGY6RSqHk5+1RrTkiiOxs/ItaA4oN184RpVOr
FrHGAhQwvEk6pfXwe0Cbm5n5fdIIzqq1swQp+SW5JwONqMrLel6OLu1tM9NiORgz0Au3m1hBZ3AG
MJb6YnTbPN7NqYs6l2CzrXgJrKJNSAPxFeITZ5X2aScVKaySvth00IKUoFzXfKjN38+lqeCdhLKR
ghuGwW20mZlIhxm9jANFqZ1wTrWfVWXGfm3E1lbKtfwEkZ9GcEiuxPyloAIANGijkeTmzv/Z0JOu
NAkLkulsdeglzoNMgcJhqOMBGjtFubvtMGuTeWmPc5gar3lNL1UW6AlE91i4oVuhYPKKU16NiVy7
yTznVhtWcMpB35v5eaSQaCFbI7+vaS6YvpVwDzzFUikCxttEku3aVKnrZlnNxRwAkbWVOuCTi2HT
jqFA631l1vAYQyxcAHQLEPraDJ0aWs5aPQfzpKROEqKVWt6k/RDQWlQlXTNlKZqMzCFiFRBG16bQ
O9omZVHOQV+7Gc2eJa0Ak2pHPEuPBM+Ftcm7NMVtrMqcCW5QMJXrj0qmODhXQiYIiCu+AOQfCnpo
Dl6gjpwNtDvKMk2nOTB6sIhoJ+29H4CsMJ1alHlcCfCI7Cg9IFCgpU7jvK7ACGI9Q+gNwVMoAatK
2MftvbMW//DuQA4VT5BPJOX12kg0JsqkKRhMVJ+r5CGMdhb9Vsv7doS4XgPeXQjmyt9uW11bJbRX
IfbB7xBzuXsufJIVRUxwpOgSVEUStlPVLHGiqD//B0NQFQGuzQL9Hb+XUjWF5IeJ0cEdorBBgM9d
3U43t62sT6IOE8urGHa4LWsZYBg0JKxTXaXeLP3JwrfRT05Qwt4P0nEW4W1WAiyKN7jcwjOWU5kz
RyOk9kwpZwGwEl4kA/ZaOODi2qbk0M7zIVYlwQBXNjAM4slgyejeAqLo2klCuWJx3tUs0CYdsN6q
ek5iQC9CoDX8mpF3wXSq+DnuemgDKweqJij5YfU4czaJYrOfOhY0jTYeVHPM0MJsyq6ZjeMOd0cw
oWpp4yRtbAVZMqk7FRTOJ8MExa6TzDYNIJwuok9f2Yoo4uMSBAC1hsQjtxWJwqSZUMqCso9l3FDt
1B2aunVuD31lY8AKPGiRckIJmjs6kYguo6jpWTAe5PP8OxT8/No64goHLQUdgHvQAV2vI5WtSJOr
kQVKat/lZrYH84eMRhGa7dWpEmzylTCJ/mtcPEBhi1cgX/xbSF0Tw5wxYyDRCCHIPsyPRYkToGNe
z37dnrivKVRTvrTG18HGtidaUQ5w0YP52rxMCSQgLahgW71b7YnI2soDBtZwrVBxquEI4A7PcGrg
uh0msjVpUBN5hxbEXRMa3+b+Pc9PeviMtqh7tfNM5jV10MgbMqZ3TeFTO3IL/bGQY3mXqCKqgdX1
NVQTYEwcFwh61+sbM4OhJRfuo6qPGrlPR4hisGNaiIa/DO96g4KPCB0bOJZkwGh5xrDIalUgaBGA
jPFZs59MFP2b/L5q/+AJ8pImmmvZpxD0HdAWv73MX+cdhlHv0zA+UArInANHBeszU2+wyt0v6PI5
EW611uAa+kf7M9aduBMhT9cMouqn43BUCJLky4a9eB7MsjHlWdPibimXR4RGVHB7rGB914MNuRn3
aa2MXq7PgvfB1ziw0AcsEJTl/EdZ+9rsaLOxNCkioJF/l9QttZ9YIoiyXw+RBd+CECubeKd+6b1s
+xwNajFMVOVmniEYP6qOZr9ArhX4zcoP/xooDFHepVaL7kgktiDRez2k3sw7SdcQDuSckF2loXSM
h0v8E8TagqTMVzzApykbzPXoUkSyk7ug0ZlpE04QFtTvZVNuC6n3eq27a+nk0Cb2xiHzu6hEh1Yc
TN1xpM25YHd4Q7tVD7aMuYdgYK4IVnTNkeCwFvYLUHz453r4GRJISgyWvUApfqBpxZn9HkVVApaI
O+qm1V9fg/GixRYFjH3BzfApWBY1lpEaMgvC6jhKf9Dh2ItQiV8PxGsT3IBQv2nDTFMwySPSN7/U
v38GoZsIbT2oYaJVEKLS1xNGC8Mom+WJDAi7DwJ4bL24f5HM5G87l+AsKJUiaCJNiR57wtnp0dOd
RYkcxIBHQ/oJQJV93R6nbWScbwevrwfitaXl2nMRS5hlIpY2sERAKp4qvW/bUFyx1GCOYi+0BQ63
tr8vx8WdBVrWJ8o8wFoqHT4IdSPV1edNLW1vD2otUgGhhnbnhaEUNcTrQbWzXujUWtygTL0wr70a
9cMJMoG3zXytpC/LhF4epEuWCo3GRcSp1ltcXZBUkBAyQP6ERLmTxnPpTHHjjfHv0m6flKk+jVm0
VUE1k9iCo4enIUN+7foLOIfH3i1DXGdwFNDUl+LubomadmQfwIWGx0su05c8qf0k9Ei+yag7ySLM
6upcqwpEqDRgtxT+4Rn2nTYOFHMg10cLYIVKv5Po37bkL6PUgBRdErQ4Y5c4duGkujTkNR2Q6DDG
t5I9omlKmDRfixxYR8Ah4C+o4nD7YJRLSnFO4JbiDbv2+bajfL0C4fsvfpxz+0IjXcQs/DiVDln1
WMf3zEDD5+a2ldWtDEwbMmu4AyEPcD1LJEL5s05C3G3bXVi5uhSg0Ju2bj/6tw2tHRt4tmLNl4Zf
YHqvDcmzGSq0hiHUcu6lmJ3yMPsAOcCLSnYhdH8IHvWOWQnShmuOhuwGtjUiyFIjuraaSvmQgRQW
EixZ56btvUROJQD2/2FoF0a4OdTlFEAcUBwH02C/1FG/qabBB7eBW1vEtTKyaU3TL6pMELDW4iKe
b0slFKBVjO56bAnYuOJqbBDv22+G+WA0vaNqJ8xsmuK90H6/Pci1mUTfF2oqKOehjM0FDQLefTgr
rNl0eu2kKJCm7q6Q0v1tM2tef2mGG1Rpx7Rp4loOknKjD26RBmmJNPbLbStrzgjQwWcbBs5KPgZH
dqaigt1CfXCXK0fSgOXYHzah5JXbSMSduzpxyysV1VAA53lIzNxoRjMSHF86Qco4jjZK+t3G8XJ7
RKvzZhu44X8yGfHQFLsvmw69FXJgJbsZbV6DejJRYBsyQbJ1bTTguwGLD7JENvosr52uDdUobbsB
lxkECehgOwomTBExFq6N5tIK52xtqRZNH4+oZZz77kMxX6V5S/668QcHBG7WeNcjAQrqbm7bgoA2
H/JKlgPwqs9gyoI2Zb9NesGErQVYOBgqMmj6Q+FzmdCLY0jC6tfzrMpoPT2WGIPWQykqciHFvhGX
I5dP5p6zoOwBPmlRx0BdhrtqlhPYzPRJGgLGcGWmU5Y6adlOT7d97StJB0oxBA1TODbgCVB0uB4T
vl1u0zkcgqYIGvN1LP2wCsr6ziI/JOWlbbwQug4f2sMIhcEySMAVks931lMiHeJdhc6mzAld7Zfa
e13u3/60lQTm9adx0y3PXQf8BD6tehv2uffItrP/A2x1PwR2loPj60z/OwWLB18sa5rZEJmGamNA
QXXA7scoddTKM+1Nqe5j6Jf/GLOzpu7iZ2E84YUBluvb1exzJ2mGpVfHAabbap/IezXc6lBaixyi
HPRuV6TfNUC3XqUYelKhHxZu8q2SHmofXDetlDuQ6DaQZI3ush3TNsT+oGTbGnctu4/wP1ego42f
08c6ckra7DrpUFro/mZOWAoC1mfC4dYMcr5qmePQqtCKDDo0zieHNn22ABUh4zNVDCdDgcU0nRT5
pj722ejG80d13xWVH0mPSbrNAEFPq701vep1vNcCPXpVmoey9HQNwnO1hpY6L2eZq/dOaT2n0p9u
hEYoaClEhOyfhcdbw1iOmgtHMOLJtJspGgOtfEBNcKo9phqOEe0W9hrmDG71HL8XTrs3QQ2NeAll
nuykVy4ILp0myMG5Fu8S8wih1Oj7bHmDvadD7GXpSwWOYCOgp+Q87aMD2WgowNv9BpPmYFnag1I8
QWfkQZpcMp+0s2Wfi/Q5k46TvIUU6tP00ihOkp2Go5E5FXEm9A2SOzk82YUHuhw7FlyCVvKWcEsg
pdSFp2pp176eiHq2pG5CyiEA5VbkxXPRbYy2YfuiqSLXmkoSpFUOrQDVOOVzATLargcB3DSLOtU/
eWOuVwTCWDraUlEMXPpDuP2h5EPTD2MyBgzuAhCnq+jDtwFpbmRWXdbSwPpoTM1pjdSpGmWT28ZG
lff2/DPTbQe4pc0EnmDkWKgj5dDYGLMNSMp2S7I3j8EJLztNL7l02xvtzloS+mi0tYqAdsZONgTX
V+FYuEklfUWa2o7H5REwx675qu8kbIvqBO1r6MRFFkC8m2na2b2XFODqipEtRkWy2mfKKT2ppqNJ
u2STDNsqc0PiDdXvyo8PSDCa6rnqHRwXjv7XNzhMP9BsuOygxoLD6NoP4roaRtUoxuCntn9QH/46
7l7/OjchiRrjUZnj10PKsBatX5AttQB8r9yliCEpR3tgGzoXP3r1rqsjPJpiUe6WJ9ZGBF4+AiAp
tCfC1fjzz0pbCPb16QggyQxkrvQAQjGnGuOHKtMPZcKcmrRAPyOMVSgYzMSTGzcM8y2UBh97iz3F
w/yO/N193Fqlkw/d/dCEOxRrHsOowKK6iaJ6EZofJd+elF3Jxg1VfdUKzP5xLIGnNqF4LAn279cr
F8YE9Jdmo64CKA53oNWyOhS5VY5BmxbAVKZeVQwodmxC1DxuryEvIfbP9F2Y4jykbhWtaaN2xN3B
eGyhGGZMgKpUxhm0Is+qDnnQUgJw3ISMyHw/jPnrkEEL8pHGH3lHHdDV7AZLdnr1bWwPaqG5RJ+2
pNgJvvLrXQoTsgALcMlBPVTnLjlhNFhVF7MxiPLE9Gdp8MtS6bwiMgyvlGh6V0nhEaBzxPxM2/SS
3nhUG1JP6mbbafJScVknadh4fe83wJH4Gngs7uKoBHvFVJabBKzFiJIF8izMwJORGn5HNPp4exg8
Cfo/k427NOD4CM8gnbjejuicAKWH3Y1BBdZIk4A1sgfRqFTpe40N207fW9Z2mt80ybXj+8ZOfQvS
6MroW8q8r3GTGbM3AvTm7a9ajHIhGqAa1O5QBEFTosl5AFrslGVqx2C0wsfS3tLqrESa33fFDkjX
ZghiRgU3w5XlhEk0ki4VSVxZuYfl1KBh2c5kmMxal6UH8E/+l0FBRNQ2AGPD22K5Ml7cBGpqjhLN
pzEocQGI4y0lR5Pkbjdsc5Sa+0MlkjpbZunLLF4Y5DwUPZalXlUwOE4bNXEWomR9O+ubQbRjV852
AsQmCNyxEVCV47HdrS1N0ATC5CnmLq3SHe5Y9/oxko/de/sy5KEfKYIgscTxr2P71yL3AgxzKyxY
BItJuuvc6h349X2f/BcjuLIAVIuiK1rBrlesj7TMMiCyFVh16BTzTzuU/KR4VONh3xc/B1EhYNXr
L8xxDlJqBaurGGPK99BGMlzr1O2hn1YeOkEDwEosB7flv+PiHGMm2txk0JMJhvSZVAVuo79N6Q4s
X4I9tfLagl9cGOJeW32XG4VpIUaqr8W2/wh/FK76R0ODqNMJihvrLnhhijufcsIomtBhKn1oH1TZ
kTa9X3iGD8r3UigpKppALj4x5F1rc4Kx2S0ewQMwnkBDcTsErmThr+eOu8mkKmoLZrvM3Sl+GKAu
9Gv43nvxQfb7PXBs/XeBvWXHfNlRFxPIHQQZJKu7CneJgPpoNmiei626le+g4LeHXGAo4or4mie6
Gh1ftyubya40cx5RY9gN/bGb4IsikMDa2Xbpfjx4IRl6aicy9m+fO03iFjuoq5fMYwGBisYBL+84
kLaWLzueOWzin4JdtjpE+BxqOUB/o4v4OnpIU1KWEoSqA3QgQHQWkX5SIFEtOFXW/eTCDOeLdloU
iSRhM0cBU73qg1behEzD4A+jb8eRCyEgK403IMhyBVcg0QA5DzUloqTpcmRq2cZKt7G+tdgs2gar
Ww0ZZVTDwFSFLurrWayLPkrpQPBcKPcaVJqhWJ87hpueWuoYvVPt8408ONJZawUX3vWIsvSfyUsX
OBhNri1T0LNkICCBiyIbMhC2619tHfpmZWBlI2hj0cVU/wDpmjtqoWBRP6Hm/GZcGHDQIrl0lPBv
1JzRrqahjuOtic9avu2M72YOta/yjsknXQVrbfSr1RwtBZ0WuVeSxNOioO+2Y/ttXj7O/iHbfqTt
/p5l1lzwNgAzAmq4QEK5KBEm1QCO2RzNJsljPf6R2M95fBFEojW/+tfGF2xYSpKYAnczBemdbuxA
zufnQXw0nGkHvqqz8eSMe3V72+aqyeWyuSgXIz3KnYiyVJpRrWBY8/TWkeNUbTXzfNvE2o1lUTf7
PxPLJ1xc/0x1IE2Pjq4gfNZctqOOfZwOsegqtnaHuLTCOa0OVio8PrIJIe/JtDPHSKUtgyqoZmxb
ed/RnZBNjBfEW14Q2B6Ag8LXkVHh2yZIPRYlaCmmAGwbm2oXbVBeMI/NvX6w3XY3HKaD+ZD8Yr6x
jU4ioeK16HBpm4sOZlFaOmPlFBjbAdUTdPsdjOfb6/a1c38ZH6r+C4IIWhN8Ha1AAkjROthoPcCs
d9Y+2UKBeWu69VZ7lPzCtwQlgcXZ+M1/aZC7BxZypk20hsERevQi6qTVGbsYDefpnVqMZkoLzFgx
oke+OSnTr1gajlhBwZ76RB/dGgfn8VMbzuE0YBzSk9881t+6TfQGkqb94Fh7tksOjZcdjH2zn7b5
jrymR/NHeJyD7kFwNVzd24DVgJcF/Kjo0LveeCQNNUoyjFgHPfgxl3RHqUvRMbWsyZexqhDpgGgB
0E98+doCHrFWlzWz/eSZPmkHawPG6l1y1x67fT/4Ap9cDvVb5rijV02NDJpp9RR0f7qd/USx81Q/
2ShBvRsfxtf4mL89If8rOPBXfedikFzwz0qWJ4a9OCb4/scN4JJu0XzLROLVAjOfr4qLSFnIU9lX
BswM1k5qnwZ2YtoR3Um353AtzQRYxv+W7PP8vzADpni09ZgVzDS7ovCsbb03GscpPch1eMqhe4J2
IhgYH/RN46rn4aAcrP+/+eTvNnNUgZutbzCfxqs8beMYwtntBB5cwXVidQd8csCiBQaAk2XCL0aK
DlHZrjo6BQ3bAkSKOvYsb27P5mrMujDB3UIhfi13IRL8wQTZ3rg7KpjK2xZWgFGIwxcmOJ+vknpI
ZwujKM5j45Q/dKiRlvfl8AjU3Icho1kUQHmBUV5n7J/D7cIo5/KGGRlKTjEuZM8jR/3F7uY3a9vu
QKPnm/fyOy68xnu6O6g/8JyQakfE8SAYNVDm12un0X7K7K7FB8ynzjEOnWv81mqnG5HMcdBJ/9aL
GM5vewsyYtcW564d5KTGPIMG35K2SbLpqOCEWw9fcEXFNLHJbG4pi0gytFZH+LLQyGG8FNFT8wCy
YkdYw1+9xGMX/88St35yCN3QsMMWy17GA+h0fbKvdyH0DUF08p+CMi5fJnpiFxZk7qAJOxbLRt8j
oBDvpA4Oqxz1dTyy73bkGHfmYfxt9G74Xnl46ZaRIJytvgPBu/M/69wmj8K41CQTnpoWLlRgqj82
Un776CMjDrKM1lPzuyuFxZzVh8qlVW7fJ21NmgGQH+DUUdm0oztZ9VRo3Z0mVXatvHWs+Vza+yj/
Hhu/7DhGH7IfjvuEvmdR+T0qn9NpONJZ3c2i3qHVm/DFfHA+1oC9q9LqZTXa7xqRQLS0YaZD3svk
HOVu9t9eqpdTwblalYDUmykDXC3cqI2n4FRu3D3K8DguUelxyt1dXXjJN3v/XwLjvyPlcylKqKWM
hRhp2uzzh3aO0EH33Wj9aPjWKr+b/Oeg4MplnakQa7B+N74wzcWKXrLRH5Vi+eVzeG+cOxd08G69
GT0oLnrToXWIIHKsnjMXBrkLP7V1GSw08hREVqV4jTShGTGUVEHqZvUGcmGFu4EnRMlnUFRgWOmu
JY6Ct4WdHTThS3ct53bhMnyhUJ+rLIv6JdQ23rAnw49CPvWK5qSho9bGUpavpJM6D4JTbXH9L7fH
i+FxgQp3Hk2ecwwPxEuZax9DKL7OkDb8ftsx1w4StGJDXwVFFQONJdcHSRG2cZpTNgXVnLjGtB1q
3BpFtDKrRtCugp49UGTB0rWRSVKqMu1UvNzJwa4Vt6FnoouaY0RGuCgXV6Bn0UOCJ676EvVQszf2
tHy8PVtrng390P8NhItXaa0NUUdgwwqfwvSXBKW42wbWAuKlAW45xnZEn4QCA8BXWbPbQ7yn3hjN
Ho0iU4VmNcGBtDoe5K7Q14giOHoVrxcmrTulVyqYq/eSKyKEWF2Qix/nFmSK9TSrevx4tkNJ8FUS
wQhEv88txpKNnKYGv0/uC+c8nSboGznNOX1TztE36v7BH/zbq7MaSpf+pP+bL355LMsaqangBZk8
g1cIwLzwQM3G7QvdszowTnUf4Esr56e6aQERlEHP2vbOHP0QfMcydVxwQBvK8hVI8tlo8b5etzaM
NJqaGjZUnhSmO+hq/WZZSXxIyZxHGy3XjdlJRhmgMiWXi6cwrjWQVqSKMu2z1rR3A9qTc0/SGjkD
r1thHXS9nO6obvcRYGK1CMe/9r1LKymmDrHmSw+UlVq5RMfFrTt0B5d9Ib1XTZNvSWTPbhnqcWAy
VdQMsmp0iTaQpUKTE1/wnMgkJ6CMx4tqeCbjm93tm1rDu+d3rT3dXo8VT1zax/EEAe0aYBfL31+8
3QaIu+RjDkvZpGqe1sTGLiVt5eJhYAu8fmVQ4AID7ToYc/H25Vc+Umup12SgaiEeIzcZ+jnZHVS9
Qul+Nopvt4e1cgQB7AowCVIlSxsD5+2z3Wphp4UA3g/yd2ReAbWyj0tLnlod5ZR54M8Q5F9XznS0
WEFLcCGbUG2eWXtApQhd7YqMTgY78guW2Z4Fdbx9z+xdB4GU7e0BrppbJhIJZbTN8m/7uLTKaiyB
HrbBuamiSCJRbZvJ1kdktqLjaWXh0Je09LKo6Fz/QtuaWAVE2cZcCbQqBPtw68YTczM0sBsa+9ZS
Uclpbe0UkPIBMAKsKdrzr12yqWPToAC0g0CJ+cm8o11re0kqbazIPHRm+doYysffz+bC64KZBK4c
DKPXJgczkuWwsOQg+6MW6p+CNtCreFeI/uc/2MGSAXSioAWez/XSpDUhidsrQQF9g2x+Q386VZyu
awSH48quRujAyxfMwsqChrwej0IavczooARRFb+adu2PTPfAnypwwrUCPLqH0V4LqgYVr1Juqaou
6wwAkpSASDU763pBvQKvMF+ZlGlj2YO5mSfafVh2KoFnd4j2g25N3u05XfHORWN4YcCCQNUXToWe
ZFOUoFYYWICn0mzwc6v2rSi6pzbZxCJaqrUX/5U5LrIoWlxp0L9QAjOV3RpFydpsPG36hRBq59nW
wAFkaJE7lYYfQ8n07y9ZsA6hAEAcgW3UuAfRNCthU4LQNaiUyjFDHHks3I62Bbj0fV1vc1n7nUu1
oAl2ZUPivAbFzdJ3A0UfzqilqV2H2YfXlvE3SPKW38tB3Uvyt0rPfdWoBajTtQXVgWsEbwUM6vz+
t5QyDu0BgF0KrHCZAlwe1ndJk/lFF0GRVQ8FCfy14eHiii7fRaVI5mlwScaIXBkFCaLYZTIqoYAD
Rs39EIF6ur1LAWD5e4dFny12P9pyUH7kPIjOc29UqDkHFeudhTnZvtPzZFcAlV2QRBAJVs4JdOT8
zxif7DbYOFmN2ZGgH9D7MygNGprwqC2SJH6gw18KMlrg8UFR2QZuEfyfCD+cp6h5k0BeZdTO8bdk
+Glg6iL1d0GHTVr7tyeRu/4vltCTvbDFohqCWxJ3byFaNGvWlBrnKGTtHugwwJJzaNDetsK54qcV
5PZwbKMmjScmuY6jbWspbQ/W1HNU9gQECfp5UFoXxQOQ7eARpSfR622D3HJ9GsTcLSxj0Af+gmLX
mZYZWVqY5xp9L54E4SnXbPQAzYpoJphFfbCr1lCiQDoRrEXks///4vJHs7Grqg7WZqrHhYsHIgRH
Jj2fencizPoFwrNYJL3N7bZ/RghJbNyQ0CNu6Zz3932izhpT1LPU3KvopWboBin3aWkdqxCoi6gV
OAp3FP5jD+hT9KZjv0GI+3oJmwKw+qLT1XMIggmjeiviyWWT6DW6OpMXVpZRX8xkqVLWNJWtnoHj
UAfgcBCZxwo5WhFnq2g43PSl8pTpKXqOz4rGgEBTqjdjxNvRDBthR8Wa85vYxnh+4K6CzO/1mBp1
jKs+jbRzSaetxs7SnDw00QB8aQ5u66OtovOjchooMrTWEMz6SR09KXLjeMcKsEM1jSoInMvYLp6O
/ywl6MpB6AFsCIhCrz+oJEUrh3WonpmNwz38M+fETY7gGmDhue4KKAqM0e7v9yNOIhxHePsBvsyt
69RUJDOKWj/n4E0wIWE2ZE/F/BEj133b0Mq6oudz4au1wYyEp8v12LpyNmUKpvTzLB0twI3AGWYI
jvEVH70ysXzChY+mbK6RyaLGOWYs2Vqlsc/kbECzXK47iDYigu2VCA2dBwvcPhC2Rxs8N3XRMMYp
sULtTKokCuy5Lhy1DKvN38/bJw/pUhpfqMqvB2XNUJShQ6afI5o6EZJaQ5uAc1J071rZC5CIBrHF
kkBDuOTMdEbGknko9XOsbVITXTuA+jEIOvTaswxB0ttjWvFzGFtkZdA3TtDYfz0msC/1YJRs9TOu
Qdsqou44eLT9Vc7PXR77MkQdspf/YBE9tagsgcwKRbNri9AcjgatgsU5Is9qHGeHvlCfu5aaQBVC
u9TMk3g/zJLkMTADereNL8PhtjV0zHH/UnHOGprM+WU5Z1GYpJV+NjRfD99UT3Llfjf2h1QEwl/b
Aeg2QDIHSwmxYW6YjaWooSxR7GZJdQryc+pjJw87N7PPt4e06i6ohaPBAOkHEIRdz6dhjxPexqF+
BiJ/Q+UPqr6Z7SMFq8EoSvKvmULMQPpOVU2wXXOBw+7AyIIQZZxR3L9nkTO5hi1YIP6ZtwTeRTbw
fza4FaKWmeZKVhpna5j9dGyeIwM9pu1HVRYgUI4hbTttuyh8SBNRyF9bMaTekTtZcgHgg7yeyL6c
xqiymXEuDJDjM9X0yBi6OrVPlpL8ub1ofIr0c5iXxjj3oFHSsjKdjbNBwirZIgUnyxtIf9Z35qDY
7wobDXCNJcaDnQ2HAWj6e6nrs5/zIFl+rFi4zYfw8cjtMmJ/v/1tq/Og6SCAs/FfXK+v5yGNRwUX
+dw4h031PtOfJEJnaVT8LEKhSuTyU/x2xOUaUs/IUYA8lfPdNGyaf44JSBM5oF2TFC8szR2lkssU
Jy4bp6+6DzoVPlHebo9y7ciAgB5SI0hHguOKG6WWlLMBNhDjjKbHbT4Kjoq1Obz8de4yr4e6pBg5
fh3Nymi4z6Bgvc2fb49g2Qn85OGhLCvYiaAdNLjEC7VYN1tgXTxb1TFC599EDpYpeB+vzRKI6Uz8
/BItv4B39ZzmpVyZ57AIKowFSsG3B7E2UaDZAGvNQoGHQ/Xa2ZJ5ikylacxzGy8kGHO0Axu7kJlg
bapw0ljwZ2hHIyt8bWU2wirr5sk4t8Y2RkfAk1jvc4kO/GpcmuBceVbKwpoGmJClaGtaKF/bySa0
0OycbkgTue0k75N2dEE+J8gprE0hiDfxlIPkDTYRd18Y85BRMPMY5yrctKkN9XLTgYwk6QdBbF47
PC8M8e97Ox+kbOgJYhaa5coBzcZ3kmI5qtQ6cgHpA1VQIF9dNfClIqeA8AAdketV69V2tpTaNs51
rTuAffmRFQJVJmIJFZjhCyAKZeqYMpiJoelxKjpl3E3j9A6FWMFda20zgS4M6E3oR4KLhQs5ElSz
GpXm5pmakVPQ1B1bESnEmi+gbw3cKOjkhO4AF3dmhlablkWICVLtkrFzGTkXJHWoUCRixRLcDVsW
ZMBYHB73NNdTjCSvZJxN+WXEfZu1ATgNoOwmeKys3Dmu7HBOENKJ9UWKEeXgFbAe0f/h9GbhmeQ8
m38pP7Ecyv/aAj6NuwHYYx+O5eJwMlUdAoy+BR55bffXEW/pFsdrBXkCpJC5AbE5Hmw5xdGAQKF5
lVrW4ERjrau0c+e0xBSBDVe8DoQ84BMElSOuNjxRik0VK7QIEi8NfUfx3y2Vp9sDWtk/Vwa4AaUR
GFhCDQYS5UeWHzsVnUnR/raNVW+zUS5Bugr3dh6PlhU06uq5NM863Sv6H1Tzkvrcoe5128zyqVwQ
x1D+NbN8xsWzVRtURWp7DCU3knCjtyCyQqP24JSVkrhdN7/1Va/vG6Oyn+K8FoQ7Pt3/6X54NYPx
H6VEgPQ594PyZhyiAcA666izkWHelZCHZs94cTpgcNrF8RMp3nr9cdB6wSbjoZlfTHOhiTRSwxIT
plXYVFR6aFu2VeLMMxGl3kvQbEbhtIlUbVfa+akLc8E1YH3sEKiWFQKmAcBsrmd+zCAj0gwZkF1g
suin6AAp9AOSIOA3uENTUkCMOEjrGiQ/VvVYZa+3131tj+CQWUg+AaMGi9q19SbXsqHCaXMmEF53
8pxkbiLLouvuyvkJ0K+NGipcGJmKJdRdeBdjVV4VTWudcTN0pvYHSEL8UXtMQegwJv7Y/7k9qLU3
BujnQF6EO+KCN+Y2pg5kvTSFsvX/SLuyXUlxZftFSMzDK0OOe0qqatfwgmoEMxhjBgNffxf73HN7
pxMlqr5HfbpbaqkibcLhcMSKtTBwHo7jh8IN6xrMXwemJgdIHIadzcPZ/agM4yfW+NzLQMmyJZqx
Fr4XFXjLhjzCsrfXa2ZtD2/tKu/ymHa7RD1Act1VwnKrj7tmBjwo6OSgpIDGqpQLF0AdOOmEEr0i
7Eh4wwFN1qhPI2bbx1TfiBJrwQgKDHjUw6INQNj1mpy+gcigMO1LOTKwB1Ctx9i7YR0rndk73a22
rsC1AIsagoMhBEBDLEPym2lSUqUgBh6mHlDhqsUMHzV90O3kWzIuqytbaO9QvwaeQSbkdkESZnkD
VjYNHXrhDmZLRa35TfqQEXvjHpTx6G8xx3pnTDryVge5yBYZ7QXaVpjLFVNpH5hVg+5IgWxHCFqv
wR8asw2NlNSRNlaRpefAIXf6xzqpVYy/1tNOGJkeiMTRXgAsaqKxbIwTXkX0oEw5JizJ1nD2WqRY
tgY8hJgGt2VK+YzUlspBc3tp6ukTxGeP2K2Ne2DdBBIrSMshUZAbQUXW0MnFW/lCSvs305pvkzpt
DQOsnRfoLhsLVeQisyCdFz0t2rHrLOy9JYIy0fZu359HNwlSjYPNIfs7EOrbp0ZNe3mkoIGG5971
iZnKoiJghLEvcyW0R8tYyJEmT+xNyHD9KMdxuNwPfWt+jGcrYEvwYXQ9peV5/dTag4fkNAM/hTUB
2tHWfgtWLY/u7lta+1g4L2CIxsKQ0klOXClAPIl6SYMHh+wmD8fStputEfPV9SCpN0BHiKeDfHOw
FvBamy0pFhX7Qq9BnAV+J4ZXWLkFwV5d0DtTyyX27pJyLUK00UYbEki0ISQJ6Xy3srdgu2shDcko
mGQt3UbLQ0p19JwMEIwgzsVLmO4rdtf6mTMPYGRJtp5EW6akLyREOaCruiT1tb0Xle36PcE4QznO
G3nwWukS2jLAh6KHBQSfrJCWYNCksM0cjy/6kg9/FKcL7XJfjjviFCCqKiKPvKRb89WrroH6PXCc
yFsN+fU6aSAw8nIYtVh9qnrzhbv1i5mBJ85u43/h68gmlhnSBWImuUbWJGIaStRqVLN8MjK0BNW/
HMt7CxR4HS8TqosKoNyx7crU5l41Opeh6Y7C47s8SV9Zpj6Ac/zH/dWshcB3puRsuxRu0cwuTBUm
xOXs38T4rPfNbgHubYovrH2khUUefy18OTIJK/KEAUUa17mIOkrBj1mBFDMqt5CcW1YkT581FcOM
SDwvmu6zOWZjiPo1q3f3923NChBBNmBQGC+/4RLAGjWmVYh4kEF7IOSkp4Y/jU2gqK5/39JKKEJT
ChEPj+SFuUBaz+AALzAZKNWNnMZWT0DhMU1042W54gZIHFEWRPEOjicXmRIvNSaDZ95lbMmezh4S
D3zEYFLqYCz635WRlBuJz9qyMLgIJzdQ+YYm1XWEpUD/Nv1YexfLLn83pAKbx6hsMcmvvGQBZ0Ia
iBWBBcqV9q6tuFUJ0XkX3gd6CU5GOAQozubGZ99qFt3/UCsh1sL/FpYrsFogZbleUaUhmXBJ7120
fGa+muup39rkIzOt/X1Dax8L9TMTz4mlSy5fG4mXNXNmcO+Sa79bevK4srNhrKz1wDE+37e1uqg3
6ju8KUCAt5yDq4sQOmsen7xL2sc9jan2WGwR5q4cpeV5hj/8PyaW5b4zAdFrAg7xAfvmmQH6I7sU
rJlqSkMiso2ztLZzeAMtzxaUU5FZX5vSR1I1osFqBufHkBun+hPHRNu84OG3+mhrrgd4CtrKkH8G
PFm6Jkpe296AJtZlIBAiC7ImespPbgeiTjSS7n+jtbIBWKD/sSU9xabC5enEVexgGVSn+QckY72Y
HMngRwqYXLYoKdY+2D/mwKd8vYsinepaAdXyxcE0fHvWm4fxs63+ur+o9f1b2BaBPUGbWr82Avir
0rqT6V2E+NaSV838VHmhaCGInj7rZhGOW0TXq74BPpr/GpQC0mAJy0312QMQLPVdGyw02pdifqnV
h6FpN4Lf2qmyofCyhD/cH2+jn+9cvh5UbUJ3zEMD/tKKj0P9IpouuL+Ba18JGflyaMHkhsbB9QbO
9ji1FajaLuDaCTR6seoxTMw/f6vxuyQrAAjBCpBlqAbIXSUKpH2ntXD0JOuKsPZ6FntcrR6pTvf/
YkUAqeKFgS4Z2mTXK4LWF6ezmcDvjFcA//2axCipZP+i4bIECLQO8OxGX1G6NJjZ1cJTeXLhSVhY
Qe/5lfPx/kpkipX/bBralSjkout6e1dUnYlZGxVa3JaV77C77dHVujbgJs0DMIXSB63MP+u6yyOU
0OZAgGrwRGuH7vtKg7DspA2hOWfzvsoMNTKGApAsQ50e9Qx0Ax1m+KL7P3iJVlJJ+A2/gRoWxG0B
Xrze+gbMXmPneMmlm9XHhKcvVHmgyYdyGPYWOlKT9/W+vbXDuOBF/mtPimhJnqX1AL7NC5gOPXCS
ojvdpt/TLRL9tcfK+3XJKamqYL80K0kumaX/8hINihR5FXIUTIBoAZuyhhdLssvbwufmVjlgLQgA
d7b09FB0vTk47lwWUwGs/4WI7+Dj8ZXuh8u2ShxrUQBkoDCDpwSKKVJS4oAN1CBdnlyqyQGNqiKK
vVYYX7vGBAGdYm+R0ax8N8DkF/QzCPBBF7/8nHeBTRO6l3QZgo5lxTr5A17m5ZTaELqhW9KVKxcE
HmELNAPuiHlE6Rby2AwwMCuVSwGRLLMGXVk1BdrwMC2Ky3lgFkkw11u3+so3Q6kTbFne8vzD1X69
voS65VQyZzkHE0Bhfqak/pZTrtnAdOWiZYNqNZZ3baPhypgrk6lccqHvB7CGJ1TfeUV0/4TdWlkQ
gqgVL+K2kBORti/VGgxEMjiGjvOVZqZvQJRON/8aOXFt5SaWJpoHAE9ysakIErMOsy09m1sHXyyg
22thtBHiBJLHJeqCRhQ0uZSgwjK+JCILle6xGl7+zXb9Y2Zx/HeO3Qu1SgxS4xxRhZ+JZ84nLaGH
mnpOeN/S7RG6XpAUasnYmqSHYNPFAbtDG2ahtff241/O8OACQoMJ3VeUaQwoy8t5fUVaJCCD7l1c
8b1K3EBVdw6AVDmovgpjI9tZyU+X+TzY0haEE2pC15vHjbGrNMbgBd2u6p/VaQgs82ESVaCUO7t4
KfWPqVB2pVdvgEJW7tnFsr0wDlsLsFP6bHi5sJZZ2My6/aHln7jhUwds3RVkxPe6Ec/Zrm0ArCPu
c/JC+U5VIrCte+OzmhVfzMT9yCt14/Pehi38ImyGagAWaaAbdL0XUJCwDILS/oXn3yiIe4kdDPUJ
l8/4Se+z4C91mJfvjF4uZjIxKAm6M7klhJoi75BhJ6DIQFDkg5KFec3MjVxzJZgsafrC/o7HPKTO
rhclFDUFuXOLbZ4QrooIKaHfjK/3D8bKzmH6BHcLcjsLeZm0c7VDCqEoCPhzM+68NiiHVwy+LYkg
m8Jp+lk5v+4bXMkOFplxUAaZQCmgZyktC6obZkc7rlxQgxl51Cga5loVTMhg3n7uxh/2wHPdx5hH
9VFBP6oPGqB2O0wXdt7f4xcWB/YcXOFQwQXw+nqHrXZoFJdaykWrLPTkm+b7aA5bo0sy5cziLZhY
X9TOXVSjMYNzbQWFzdGbagMLdktf16uj6UBhA5mQMbmB1+1KCuqgR9conjGpsOsV3xv+HjOIn7AA
eKHWBJZm+WlkUcdO0c9VLkI/5fwzFHrcNgDf+/1Pu+aw761I28n4VFiJ5ygXhX1p3RcDanxs3rBx
mzNjJUslCAkKGlXyoeiVjms8LdIYpRNS7veO+JTX4fShtjei3MoViM4uAKTLsDBq75KbzhhvFbNW
pXGe7oEZDgv26M150Bdf/37T3tuRrlqntfu2s8s0znLg3abm1HAeuWzjtli5/65WI4VsMjdtatnY
tjyf0RM51cMhsWyfZqAu2PpEqw7v6B4Otwmss61KftCMDes1t03juf5aGhGI2nLNPRiK9mKZx4yV
kF1/scrGHy+t3hz7sdmC3b3RmVy/rFCOevcLpI9nQyCMpW2Xxq/E9gFAMHxbhNWlPxPHz4qAEZSO
Ap4ED2Dm2/CbtZ3GrbzUB0DEezNl2ujlImg0pPGizzRFefu/kljjtHES1k4b+JLx1EFZFPUC6eE+
Y1YYA7xGGpf8mbHI7feZ2PDNtTPw3oRUvRGKpdfJbKbxUkRUDO7bxpNTZvtNCci1WwiMAwAbOwtK
Sc5lPBCUOhn02+PuZSKnlvwe+bljTUDS7z1/TlSyhQlaYq7sIO8Myu8cOkM+lKtdFlPb9of5d6Pk
0JzCApNlePah1jJfB3Vvmbf+/eO+Fr8wNw8glokiFR6Q15fB0m6FEjEMF5ztCtdCmvRZoHs8mWjl
Pbr9Fp3N2id8b0/ykrqrcG86bRZ7PSb0p8tcJP7CbLg1v/E2ZCnvKFIiVJFwq+NfpIU1GE0eWyqy
WC8O1vSZtefM/inc2ufOA5BmSIXr9FGHiBmNtfnbSD+0yq6phj1p/sW5eP9DpBU7JFMxt6JnMR/O
Zfqt1V+zccN91o7eIg1so9aEC1VWoyu9fJwz3chiBj/pEj1QQVzWDVtNqjVfQSvMxXg1xkYwJXzt
K2OvG7lnpwSaLaFWfxtZ86pVhzzunO574X6875hrjvLemHTW3czkhejcDOk7WMlG81xoLxn39baL
/n+G5Nuh0gA4ap0sJqQI2fRbK2lgthoKJ/qGJXn/MHi2iKVjuAAFH2iVyFdrh9NsJLm4NDTycnXX
aiFrwPZhhNkcecnGFXvzIJPNSXdsr4FgjkyFABO5ifwu0GmoZT9m52dqxxBeD93p10R2FtkAwMgX
DqBChgqOAczkoGoJculrL9GZRSwrMdTLzJtdqUDgzHRFzEelCkBsceyI+uf+B1wziNcWakRLkxYT
VdcGK43zwS4qDYBZSPRQ+1Cqr06H284iwUC2ZKLWrOGxhSIb+lWY5JA+oi5qpxEG0y5jQWhgtc6P
hKq7hLtf+mG6kNTcehTId9Eiv7bMr+p4DwBhI+ME3IrVLcPkw2VWi8AZrAdqzK+qUp9Q1w7Ssn8x
miTqGnejFrJ8pvfxUzIrYwYmAg7VqYBZJBZ/PCQpntq+3v9wWyakEJ0bHI5kZaj/FvqpKrsdGp4b
R06OjAvqAfhzFNhxjCCnK30tztKM9Q5JYy+tdrPj7XFdHAj/fH8ht5/o2sriM+/qRqbtkSEpkZur
YwmltjqghhdU2oeyLCAbiU6d94hG5If7RreWtkSbd0ZB85XoQwejRo9R1hQA0DryGm3jNC8bdO0G
WBqgnyDNAlQSrYxrK1Nhzmy0YMWkrW/wJnBaEWCItMy30FhbliRvSLyJKsVE0xiieKgujGoEPv9i
q62+umuQpLANeASK19J6hEX7sWWwYkF2g3qXZmjCzfv4pqYAt0OhcgH14Nii8i9ZaRSmuuaIXFiM
DtD0KQTfHcwcly/tjhbZ26hzgaG5EFQRl/tecXumYBlOjLQV1TDQOV1/L1pSkN73Hr5XpldIbnLQ
BOams7tvZWUXUaVA1ohcA6QTcvXapmbaJrjNYk+nR1An+J2WHgt7Q+t9xSOurCz//Z2HQ8RcL8BZ
k8Wa60YZ/cTsU9axndJsTPDfPBCXz4X3Ox6IKD2h7LQs952h0WC5YVZIbIzke9FDGiBzQ4te2Pin
4U9V+61XNX+yjmLENAbU1aq/5UN5s4+CMFAs2FRMt13bB4Ye+NeUEtySWphBKo+On6YPAOZvZd9r
320B/i83M5ilLOmM6Wnltl6Gl0SezHs6gAp7UA6O+XLfO9a+G+YPF3U9YH/w9rxezohqpVtmI4k1
i4DQxQn05LlVAXve4rxeNeRC/A3JPCA5qhQCO5typ3cnElvuHqJVR8SMTIXE7JhslD7XThX451BF
B1EbeuDyitImLSj4tePEyL5BzrHwNTUtwvvbdpOwoUSvAjMHV8TuwQulrwNuAqjLUlbEVf+pmi69
A25mrTuW5s4t6h3gH8EM8W88YbZmgW7GJxbLeH6iewjBtOVEX38xvZ9UNzWMPFacybcgvTW7e9XG
LPrzqMyHxiF7hwU9OZtOu1O7JuTlF55v8d3fbjJwgwuvOEA7AHLJykucJAlTSFLE9YXGW3w1NyUY
LBHz7qhOoBf/5pbXS6SmYErupGWcVhhhOHoQU03ise8fyFAcPDUqaGCTJ6dgezfbQy3h2YOqNdMv
iDgbznR7CDHoiW4wXt34yOab/tW7aMNNAk6dYariqfxpsF+ARzZiI6KtmYAnAeYHcKmF/un1YokO
RmsP0POYf2n6Z+3xr9Fp2E3Q/vxjQIqYWVZaNfgsqzixLF9pzszXJiTcjzkK9fdPxepSwMSIQThc
pFApvF7KlCdd1YumikU/HkVysGv6VJrK8b6V20jiLluFdB64E2CapWuTzx1ve1Or4myyTyb6G3r5
Ayz0L9X0676hldQAlnDGlsoEHtFywcUhTE2nRMenKduAgMmu/9JR8KsUpxoa8hoEM2wTSWSyhYpb
OwBXhqXX+5za7qTkMGyzOBONP9SfiHlio7kvKxYUgxIy/KMIoIhs4OLppz9IXW2UC734/hbIz+DF
dyBngeY3GAkW9svrLwouKmC3IVceN0Pvp3nqp+JjLY42Qo/pLKSlGx60au8t/wcmGUheaeFgYnUd
FEVw3rTpk8k68N6WjHKUWkf7KAwtD2aNlru8NofD/ZUuYfM6eV6mOBHQ0V5CiiGjyMt6UEYQ6NA4
M/uTXeIl4ISuGhLX/Dwq44axtSCuLw9uENui5GXLEs1NaXEI8M4UJ6VCsgLYybOZMxL2LAlzRbCg
6ki3syqzCzEAp+xr1ykfoLTAj1oNufK0m4oQit7lxozP2vajOYtzhYgBBiYpVAjMO9KpYQjpHn0w
E+tTZZdHo0yOE0ueGvrMc8AX7+/7qq+D5xDQoqXBhY70tYtZ0KEde2LT2NGexi+Z2A8GwvvY7NH4
bdL90GR+PbzYzknXWn8ByRSv5Ynpu/s/Y+VCQxsPM0cLcR8wVZKj1w1wOWlCa6ghY45tNho30iCG
snGdrIUu6ACDrx1NYNwpUtbQaWal4+1Ux+4e7aDXEgLLG19wLQS/tyAdIMOauD6rsJAhBSH6r2y+
mBsm3pxTOiooHGHcB/MdQItbixe9uxRb0ekC5R0az6rnoztjKl+SSBc/zb0LjnvKQhNa2pnqCxpx
+1SW30GNtsiFB1n1Z6q/0CewMsxjJLq9wIvL0ne9ii7L/e+5sg/YYg0HDCUuAK2kfeiUHiSPGoZy
7XzaT91CG61xH3LfG3ZuRpQRIdGNxhgrmkbuIpR2vRlzZfUaNQeKp71Z+Q5zwdOrQsm5iXrrpP5g
5JWhO86soEhCZRO8sOJQV9aX//7uU3h0ngXNUBdXQVPlPs3iSdFOBfn+LzZzee14qImiJy1V7aBI
VUwAOCIsJAoeOoXfgbs6z7ZePLKcmfu2l8s7HC+EZR5ZOh4qhfyvkiEUpPOhZVD7SZ8H1P5bz58B
txL5I2f7fBZ4wdaB58aU7IBBBPtZAPExn7in/BMhz+m468ZAY70PTu89dR+0hJ8UsdGqW4kXeBmh
OgyWG2SIjnQGSCdAOaU7NC5rsD9ZLkYhe1ZsgYLWPi+wYOAh8hZ9BxlkwLxxHgfbpHEjvqejuifJ
satnP3P/3P/At0Ux9MQXdk8MN4ECTR6HVrWycIuurOPG+eAB8EraP25SBBOAaN4PUV5EYm+cm5Xr
9sqiFPXzsSvzDK2P2AWNXEPDBjqbrPijN1U4KFsq06uHFGxOQHcDeA0gpOTAWgZK69kUdTxNQV5D
vZO91s6L17Yh512QEvu16I98MFGzMC8N2aiNrD0WkVEsXEi4XwCel2NECcQdyjDI5WrmUzH6Kske
E3fYNY7yItj0jdapb/bDx2psIQTczhvXzpqz4lShCg4WM6Q4krNmE0mGDDDJmKrQ1267hn6eWkXd
KCWsWFmIaAHSxnsJl6l0ej07K/OyKVg8Nq0TCXcej1XOtcNfuyqqIkie8LJfZtekvWwVu/GcwWRx
b34p0ydoce4TVTtoRNtBMTpwBJAQw7f7NtdWhsfuMhmKVxpYEq6jLG9qm0Npo4mronMDW6uNYBjM
LbbRlSMBA/AOEOSgWKdJKyvnjKaK0jYxeFE+qmVE0uHgpCIg9u9NpMHyZ0lX+JUt6d5gZu42NaoD
sTWh/Tib56ydTpYnNjz/Nq7A6aFeuiCIUCiQQY0WrVTSNpTHqrnr+9E4mHpj7viYn/KcPemEf+s6
Vd85brY1sbm49PUCYRlct0uq5aBCIW8mDsIEORseT9WpzvFE8p5QCVLyIjS8WE22Jn5WFwoGJTQL
F4zUDWylaaoaOAsei1fQ5QCrNWMcANrJmZ8XUfb3bSY8she2YpQm0NeS5645foXmlbSLNdGcAYV7
dttvBTmDQXKHZt+3mkTGZqJzewa8xfdRuQM+H2mfFEMEFzpItPMOm8es3SRyPVB6QDXvn7TbC8/D
GL6xjCGi3nLTAxpsTkuttPuYOz89T4GmeBWUxSvVt0oVKx8MYkYgEzQXFmZc4ddH2hNFQxxm9XFu
aKFKFOStRXYaoCF+AsH+n4KlwB5tKVasFK8BU/fMhdMF9QT8/9oq5Crstii6LrYq47nuPIAXjaM3
pD56QU1mPcyE+EWRf+mLLLQTEg75U162G3F6payx/IpFQ2/p/OKxc/0rKmiM5klfdzG3q9AeI9yb
fl9G7fTVNJ40RfXreggajAjc/7ZvAUw6k1d2pVtYKdxGiLHp4v6PcEPX9AslZqDumUPrKXuFUEIW
QcY9N3yPBs7Wq2XlEr5atSxwUaWzhTsY1lWifufDLyH2aWr6o9ZGCOpTewClFphwQhN38P2F3wb2
pa2kgRMRmMNFj/F6v0dUO5184LBMf1nWURfHgqHB2ftz20b3Tb0VJOU9fm9Lv7YFStCiwIMAHrYw
M+1Z8tyZr1SAzADKPeCHnhrFZz++GuKZtikKHA+V9xM9SS6iccPNtlYtvajNCW3+Nh26WM+Go+WB
EwIqxNb3SncfJpNsGFt5Oix7jMo4YhP2U36TdgZ3QHVYdTGzS/2Xawj1hPKRN0EiUuV/+rkXPCBT
0s1RAYqH3neTXNWgpsRpvTMH0UdzklfspenQsUory/zR0pyVPhlL50NdUZ2BnqEQVjTbOrmYOdfb
EET1hbLX1JJV+6y2evU4tnZunF2FZs/EEHSLN16WgsT7CIvUl2aliacS3gXXH7ftvWLUrQkf11ej
ej8e8mfj4BySkxpBAswnui/6vX3+UP+wUwhRhs5GqXo1fr3/AZInE26M3KJzF3dfWL4z/fSiR1Vx
Hsefs3rIm953jhya09pG/rpyK6CcrAOlglEFzA7ITs1EXvQZ1t2TvgyYnSR+r9PqMDrJ8NmpkjTe
OEXLRt6concGZd8taM09kA3F+dhAKKI56IDlOPqxcOqwQxGyGl8rcw6gRnvf8Moli44HZhDwdxRc
ZQonnFMot2h6F5NKN4IiLYRvDXO6u2/lNvnDWwB0N6BJRA8JjNfXbqRYHe9Up+zjpjp35Gui/9aN
jcRvpap3bUO6Y5wkddS0gw3b+qIOcVOeBh6JqG4eBBgM2jNwMe0n2+/PevvIm+8p8Nj3F7ka79+v
UrptqC7mtBdFj6T9lKX9I2+NsOC/swIj0lF3do3uzEX/sSu26BrXPiLKQXDXZYQebEnX28uyVvcU
3vSxMrvqhzq3ah+DAsmn++tbtYIKAwrz6BmhfHptBUw1acN03seWVavHUufN0cJg8QZaceXljCIf
8lnwQQCgiW7LtZmED3nCCqOPMcq3MyHMbAd1AIXfVyPonqi54f/6crDkg/fenLR3mTF0PSN6HwuC
CVyLjAW4Y8f+mynsLJxZ3j8wrszPmCzEBL+h0bNhJygLaW4fgLaHRPOcdiFKHOoTprlzNLQr91iO
dNip2Sx2rYKxXFNPmtem8MqnWp1Bsp6SrYmi2wQLuP8Fvo5mAoACN4z8E15CZkvcIa4Ulv0ymjIL
qODaSy1S7WFuWYKxbKME0QEUG0DDw+bupIFT9ud9D7k55vgVeHW9TU6Db09+fPWGM7RTXgqgyY0j
qSqfZ+mx67Y4k24ccTEDN0TJDppM+Me1hyjZBNyW3gucdKv8krqdPYLdRWD04f5ybi6BNzuoNoP1
ealVSTHZUGiRiomLuEFTOiyN6g8dwAtolpPlJ6QO71tb3TxQ2/3X2rLqd4VVPXctmiJhim2PJoFn
l0o0l+B656ib/G04flsYuk7L0DEmaKUNpEXDx6RpRYwOhN/oyamshtAh88blvf6d/jEjXaINMEC5
AfasOHOtj5h0T0764GUbcX9128AHADphfclWpKhE1F4wkg3YtpzvKRTQ7IafhKtF97/Oqi/8Y0bG
bPWeWbgDpkzjTv/dDScBHcoh/9Do44adjeXIulhOMTNLsfBpXAwuO2hu5G3v252+EfaWqHYV9VBW
whlCdRJgH8wiSkGWeYVOimQUsZo32dfaScBrmvFk8IVqD5EJyHiYEH0KzbLYgsiurBCkWWj2gZkC
aCb5WV8yaBk4VTnGvdJCTRwPQZtHGoao73+wtRWCRhWRAhoX4Fdbfsa745RpBLum1SNqWxEzY72F
wGk5agHPsLTeBWq82hrkWfGRhUAfg51AbyBpljZVZy2YBPV5BIjEqPyG91CLU/PfJKsxqjF20+H+
CrfMSTeXyw1jyG0xxkKInefMrd+BTsBnSTWGVuJu3Msrhxnz7nAY4DowwnuDpup0To1MHWNaVgdT
Hfbodf0tmhRO+d6EdJTNXhdgjdPH2C4/m60IW+WxML8nyZZIzqoH/rOUt8v0nWtQ3gOkrRtjXJSf
IU0SaUUDNZLp7wMT4isSGaiyAckhS/F4fe46befAASEmY3S/tPZTMsf3XWBtJe9tSDvG+mwUtFbG
eGwnDIkVQc9RKE5e71tZ/FYOFmDNfgNGoacgBwuqMCC9eTbFeMyqH7IOijTIAPNDw7QqUjjRn+xk
EhsV8LXzC+oDVKXRAQQgUTq/jdf1PaZUR7SVTYzDoU9X4cxmzTTtZmLyn5ZDzM91PUJmM1OS9nh/
yWsJFcAgwA4CJ4/ZGWs5fO98pFHmWakU7KxA2didD4oBvUDUqYbjMMy+0PO4tw6eCO6bXdtpdIvQ
y3hrNch1MtsCu00u8ik2+9hUyqgHk0H/TdgnkX28b2kteKCbYWNaB2A6jNler48UaBplXjbGjodc
0U34DsoQtu/UlRoYibnVHF/7muA9howm0tSlEHltzqmKSVDFmOIpNdrYa8VIfCvn9rDzsmku/YG7
xgjh6wlKJ4ldp1v9qLWNxY0DDinMgOCrShmPWc6FRgd9jmfGH0RDQrfyDqAk+F0q41fE0a0QI0VL
1FnhtOjfGCgqY6RHBgNkKAkVjtnoZ8qcYgedeTDkZN0c3v+I61bQPAUR/IKdkZxULdqkdwqunwGQ
GPc6sf/YlFT7+0bkIup/1oLa+GIBTFXytTYW+dx3CM7nGpJzzOddPr9QlU8vZsvaKKu1YpdUVpQy
l+PyaYsHpS6Fn4/5HGUjCNyzFFTETJ1tH3K/48aJkZ/9//vrFqGkRacHWO9rz3LJiEkiXejnLJsx
vaf7eubtC9s7Co2GVXlOLFDFk/7c8ovq7mnj+On8yqu9q6Po7GxckpKbvf0Y4DYXHizIX6PSf/1j
FEXNKwUoHEjEBH373atyn9f7ZJp8u9gwtfbtbeCHUE4HK8BNST1DcbmtdUU7t4rVHwr4GtoWI9u4
xN7k/d7F/rcVgTMDmONFPR7Z1PWKSspZNfQpXKwq9UM96+ZBJNlwsEZsL3GpGs+Qlg9rN/1cJ/jO
VibUvTD6o5kUH23T7o+9ixcnn6DfpnVNs4PGJTRgxGAEJv5kP+cJyDcoV0K3K3V0eUB43SZaGblu
rYSeMduHwYLqCaWNFnZCebWMojpmg5ZgW9UvbT+aO4Dys+i+00vx6m3ZwHtqiP6AqN/wNDdOXQxi
NvVzAx6qQ++qydlkrPhpZu1XUQ3uwda4G44lN/78C8Mow0HPFXinG6XOrPCMuks9/Twr9o4n7Ilm
dMda/uyo08FIp1NdbslWrHkSqCTBqAzQP3RMpGeuQno+ZmZpnDP0UiDnd0IysdVplmtjbxuK1AFD
aoB0oosovwUtk6HVZ0ASl+6ndtfss9f2qzf7JPHFL/tHsaUNKheObwxKq0KXV+v1BAZzXCxpFWk/
lMIvv9sfCuIb39OX1Aj7xN/ihF03i0KqBrVxLFd+WpuscDQ+OPpZJC9DFpbPxaP9MJg7tfe1J9D4
vPYvvNu4BmRs53/WCiwYoo4Dtm+Z5bul5jiqmMg9t30fpPNjTsJaRJb62c3R38r92vON+jVXFb/M
/2wiaFdDMOh0cbljdAToUqlJMNYJ5JxFop8VxQUdXW6CswPsyHNguml1rGpoAwyqPUezq7U/eao0
uyZ16lOdmhik8ZoPVNFS39Y6AK4I5Q8tHz/cP1RLkJKD2DIbCcIj1PIRx66DGPEU9GMVNEo05s5x
XbV9pBudta8NsVUEXgsc/5hCtfvaFFBrFND61DjPRmSTDHDto6ejeVDWRyQFD/pW1Ugul/7n2//f
2kAFe21QFJPN9QJr6012mprhcarUnVCaJxCn7XJeB0w/a0a5U2y8EAR4JOj3+5u7umJ0qJdiHBRL
VemgoTM2AIpBjLPZYvika9ovTFVD3Zm/MbtA/WJO95QUG6/7NZ9Dwx7rBtoDoBwZ4GSryaikuaue
iXEqRnefWGlgTvqTN//qPqeQ+DFCY3xMHXYGki6c8UMaR+wnNL63j9+Ke+G84xJGDuItBbzrT5Ck
XkKzuYQ6fVXtiPUxaZVzA1InEpXD0wSoqc7Uk8qeU/vAAbCnyUvqflOTdOPqWEk+kHUCpYFvAOLE
m4qHk7alYQrtnNRP+NIIP0k0zQkwjb8Lj2zFHOkBsfgdrLmYkQTUxQN57/WioRHZCJbo2tlNuW9p
466i095lxWdhWz4azkbCQgIhzlLv/dE6O04a0ioFg3X7QmgXKdNWVXjtilkKgHjMIBlGr1L6DMNk
Z/9D2pXtRo4r2S8SoH15lVK5WPJetqvqRagq26L2nVq+fg59MdMppiaJ6tsPjQbcyBDJYDDWc4pK
spSglZvXRX0hOsAj8uLZoSDMmAH9PCHb6cTTqdfe1FLU3rG1+yz1DTOIZDE0Yb0fQ2aagzPBH6OS
tC/mG6XL/HLMXWBXKKIZCeZGcvYMieL/lYXodC1LaytiA5NKCZTuZn7tS3fUXefNDM3+JhF2kGy4
BwyuDBOj+Beb6VkLS3H0dl5naqBrYESis+cAaJq8P6bttwol/tGMb81+9mY0pbYYVooeZ5AkXTcx
W58AwFI2aiwjIcC3yjvmkGb64OCCIdm/k0oT+XErFxUp+VLQl0qj1I2aAjLjcFM4263qU4JBtwRB
G40OSox5DOOb1nae2Va+pZGbCjgvNNrRPjvJTelGU9AMy76u608yKwcHFigfE6DAvFfgBJyW4qTU
BNME8gl83oLrd2l0mRNlAaEWjVEIAzirn+s1iGOzTg36dhgRdflN/JL0fqed5GiXxNbH9QPYEAdf
FKBuKOpgopLH9tDMVFLaCUFWHVPHG2dgm7XGsTUqL6FgKu7bGQ/4KOo+2HCmYE0BcI4aj4FT5z1T
xSElTJ2iAhnF8UvzdxFhTMXZOUZ6O2BkxnpNlz95867HvsIyrlkv6ob+f76AUcBiTg5k19w+AxzJ
kUZpVoMpGVMMP1WntI7CQQYPuv27UD6JlD7Ho3GypO4DCXO886VHJ3q4vv2X953tg42ABNkawDRx
tmUieRkz9KrAfCkMyyc6SOCL/YCGuMExjk32iD6m6xI3jOlaJGdiyraKC1ogADKkYdglmdbsrWXR
ntQ+HX17BvGgnurle6djILrNtdzri8R2paGWj9e/hAla27r1h3DvTJXaZgKjrgaOlEr7KSfNw+ws
+V5vqfx4XdSGAYAsIOSgaxnXHye+NnWmlHa0wmRH0BJ9n+qYrjD15BVMoiU1PKm7T0BVoLnVNPl1
VHlmdZdL7vLam54Z3RfT3p7+WIM7K2j4Rs0mc8HgJDqWy1d3/YXcbsQxydBKoapBXEXvOklckIkB
tdWfJzeKpps6f8aM6z6R3yL7VBQh3L9YuUsQZw2ighifIYW1XH8K99wuLeBYF2xmMKAH+hkc1Yrs
Ue000mPeeEW9a1NBeYBH8vyPRAzXYAAWLg7QM9fHAyw2BwDUthrIWje643hvju4yhm1tu6mhnFT7
vUnro4I2JTRAlP2+Vb7NAGzqCWhgm/0cB0Pm2bHgq76IeXkFxeeg8sOyMIDVWX9Vo9ZNJdUIn8Hw
ln9T56Tzy5hOO3lebttIk+4XI00YILf1lNIOyB9OKftxrzwqkQWERd38YQ09S3CbttdUJN8ljk2P
xOl+4X8KHITND2Ch+a70VnbTW3n5WGVqcTeg02U3oavV05diPtGhU/6F0WF8dcyVxIwGXyVhT75J
qfSVAhmpi/zg/FgpDmjr9EryKtt80JwYALWVrDgukGfsv3/i4FcyFA7GVnzRB6LbRa9qwI0LTKrv
mhbNF6Zr1wnIsF1pNl2w44hKhnwrI1Mw9PJhZAJniWaaL/twlvQ3LcmKALyuBYU5gOqbyu3zRO1q
NyQ5+QNYyjnUdDqnbtJl5RElEGDzLVoYZ0qLdq1kxmhH7Pwa617BgEeTfzgVyGbLvCGh1EQi7JoN
S4CnH1kbRpOJCVLuZcqmOE8bhWoBcFcPja5SlzSDuhvA1eKpSSRqy7l0wdBXAu0GJTzgQ+Blr7W8
nKiSDj3VA6n/ruqJW4mA0DbeOBgMVMsw0YE5XIczJ4BiavU4H/UgApRMWjW7BjVazXwE/yjDMTrm
mdu9Xbf37Ce5mwsYbzAwWJj8wtQ/t6aqqKhV96keLKjHHAtNTm9zFNBcjdiKJw9p6teDWe+vC92y
m3jKUeeEK4WaGg8RJZESA2d5YgT6bHyPnNRxhxFXOXq2uuxN67KdI8f+oJvukoqQ4DfcOASq6KRH
kIiMB58nmpzSaQxq64HTqs6pB3uAn1YG4PVB171PMgy6uBiF+mjLuBUYE2YEua1m7yrjRIJjilh5
rT6RZQ42wFaNIKeOm1UFlPW1nQXv94aOsnk+wM/BIwZUBecmoY8RmSgUMoKsBUBiDJAq15Gavyxl
MSOBCj8Q4IFhgsZ63t5PhYTpjtkwArmnwahrnkV+TdGJxMSv5wi5WiGdGtscfvMQVCKxhuAS8wPc
uqikmENf20Ywxbv4iVVZYHhkd4ndfkYbg9f+/CxE+dONuwEXCDPZtoaJQ1ia9YHhWeiGuirMwEle
ymIvZ4cE4DZzXHhlNgmKDFuykLsEoj7GuBzt64U9M7vq1MQDqkhmYA3qITFRkG8UTFtKB60sXId8
//sL+OXggScO2WgQy6yXNihdI/Wo2ge9dAsMd6P3y+RQVWBrVrNHOtiho++KSsT/enn3AKqMHcU4
HBut/Mrhni2ybeyEGHNkBUU0+nGpUI8aCBgcE0Sm07gztSL1nHYSUe1e3okvcH/cCqgOJjq5iwc8
n6VCwGoHapvN+1pJj22WikipN0qEaylcDnCWAJ1U6aUdDA35rsWZuyiAK5LSXWRXe62LdqBVfhjf
NIy4OCToIsml5J2miV+LUJ0vdQlfAqMO10FWMBrFjuFsmy2pSSV5iO2gbmS/SG6R867nwVUdgjqk
IC1x+QSvZXHVvsjpGmrisQhKkj6AQQ9xuOlr+X2dLyKjs/FqMFnIr8Ijwtw3302ST6PeGG1rBwrb
UokmvxIwlwLKs852Q9xmHvrH1Zu4MNHdhHavW7PJxrfrF2dLlb7QTyAfpVY+PTJl1RzRsbMDiQA8
VO770dVqXT9cl7K5UnRQoU8A6op2Y06XujHW5aUc7CBOn6e6dklhuLl2XwB3eZKLQxo1sHz2Lk3+
XBe8dZqw7MimIeFgoISz1hzVotNQx9jhqima0zJO06MRy7cWmeRbzRzl09+LA46TjdcQQ2d4UNbi
MgkUrDRb7K8XUZLux/ZnQhC9KKIsytaxnQviLIAzadXcNLMdUAC5IGbGHKZ7fSkiCdyJgSh1HsYC
EmQ9UJ3XmQhUgu38+v0DdAWKC0hA4iW64EuYMEmjS71sB4CbcqP3CH7hcgDUmyHKql36oBAEN5cx
VeBl52spZZEZxTRIduBUP6LShSc9xLt89r1yckfj7+b54UfAB0OXDfxPNBpdTF4kdos9y007KDIA
VehV1HrgODYENurS8UK/DYr3AJlBdRdDjms1o705TG3bWUEpvVST7M125eWzYCkiIZwu1xnIauWk
t4JUJW5HZbdWbv9rIbwea0NpR4DrDMo89tT6Dq1bO4BQX1fljZXA00IEyEgWMHvN/n72fDgKQnd1
JnIwJ/ERsKpBgqa6Rm9318VsOAOIomBpkMAFnyfvqbbqOBoJsDkCM0l2Tlzd13GY6QBO09+WHPDv
3SRoxd4wbmh7AgcKWItgcfjh5LlcigUGWw5q62Aa3yyv0lrXEWVotnYPnEho84LTiIEf9hVnu1fK
8TTMxSIHcJ3p0U7yXSaV1p5MolrPliC0vdgslgF8zsUrH0uy3KvYP4y6/GzNxiuJ80DbUWB4NsWg
pIruF9jdi7wrCp4mIOUhRsPIOrFuSfo8GC9/rwosoPhig0FAz4zr2Z6ROpNr3enkoGh6d273JaU+
rT9o+QamSFF1esOSwrCBnRsANYzlkC34TFiJmMhGHVQO4rs+uu2bateYJpJ1N4MgK7bxJGB0DtVB
ZnaQT+E0AcSni5xavRxI5m89+gRm/PVdE/0+W+jZQjpFzXQy4veX+c6ufv2734ebxRJC8Nq/nJSz
39cmJc3NhoKh2G46GE0g0GROe7y+iC31Qn4LNJmsQRjjTutFNEZB2jpV5CCrPnKt8YA3CJZGgVuz
eeRnQjjbHBmKhHYeFSuhCWDE6T30ODbIL03+ieEggSewZWbOV8TZaLWL44z2shz0tDto6q9yGtzM
zHaGiOF5y4DCRIMfjTXKAlB8vXXajEZxiqMLwFtRuVH3Oi1PGJ7XzH0hSl1sqhqsDF4FJHcB57IW
FfUx4tbOga1mCG0LWCVEzQxbu2ZgHAK8RmxMn5/50I1RWRDhywHGiX+pvf4kg1hFS908zvbXNW5T
Eiw03h40J8EGrNdCJGOxCAqfgantC901GkSj6GkWjZ9vnQ6zzijHg+kDham1GBu9c6SA5xMYA7Jb
d73iS8gRK9QCxxhBsVrgSm/dI1TD0fuJ0Bow3pxVq5OMVBoyCIEVgRcTlWr8P34lor7Z6LT5aujF
awPXEP0FnKUuUrQRoeucVfib2zKegiQzZjct7X1v3JjO4PZJ7CqYj+yrOJzkfBctguu1ta/ApQZQ
FYgC4DNyBiNSYydplUwJ5r539eG1sh+cDKLmQ2vuqvzxurKIpHHKspi1ibnBAh2mBXFbvfa7WB5B
ZOza8X6RZr/ptUrgrW4ZK2RkQKvCEjNoZVsrjlxmeauArCyoo4MOmEl7pAfV+Ujb3KP69Pvv14dR
FsTT0Af0EHEXW27SjGKqSw6Ah4R2ZScYkIKx43mXNi56MF0jyQXnt7k8UL4CSwVzTwgz18sz01hT
pgqKqqIxWAU6DEW7u1YckXWGkynqmti6FmjZhYXEQwxvljs/20wXlAo7JajBDWPeqNGtkQqA+TbK
xHAnzmRwN71YksoxMtSpQGHiot8L10/3evvbqCi7WQcxWnlEPYwmf3oR/s3WXjLfD/6MgZly/oXG
izqoHUZcWRZvAXJIFf8ZTckDcRHcTYHZ3NpJYNGA3xguOwsM1+emEKoNcwxZJsgUosx4LZva67tC
oP3bYgzkBgGczmBQ12LwBAEbSRlQ9KsetQGjupk75iJ84a0nAMqASiW6mpEPZPt65tkgDdlIqMMo
wRg3HqhgY2l2W/thmQQx4cazqeNcwKCMXLyGSHctpzTrTtJZLDDl2eJOKNcd1aoTkaZsrIaZCZYr
QsJI55M2i67MU1VOcmAPxeTHmt752qK4NJ52sV1LAou4cUCIbZBbBDAeI7jltL0aK0MjI3wpPX1O
rdulexIyxm2LYDg5MIKoMnCXNkLANEQDXmhAEjmuHJu35dxRzHZ1gvMRCeLWMtldVjdYbGDWn8Du
rsnjbAic9E0RKMQwxGQ2zc89mBiGVNSErWVeSteeb/B+uaWIv21TzzCVxhCTcUF4PSukRErISJRA
UyKQvs6OfkLV9O36U7GpZgjTUTCAGQDk3FqZR8y3GJlSK0Guj/2ujozMk3QjOvYL6d4TB6211+Vt
2VXmbYLUFoBil/MHS+eMRjWUSiAvzXAC5+Wy040m9ZDqkZErkohvJYUBHucGik5TjFUoag0cw1HU
AbW1cpZulpEZw+Qfr/K9k8DnkVK4HFXqxupt50SvtNyZ0vAkWDJzXrgsH0IHG20dCLpssB2s91jF
5PEMKGAlWPYtIAtueu1IcveQfYPL2As0c+PxAC8F6yhj2T7Y9LUsjK461BohC51frlEfoxkOBpi+
rbre6/rL9ZVt+FGsowDdi6DdwNQ1t7AaGAKT3OEsqyIoykCy0ZJr/lyGemdrr4MtsFHb0lDbgnVX
0RvI/n5m3xWUrBvSYmktXuDCBxBs5+nvTbtTRICaW6qBR+r/JHEWvu9TGP8CkiiIy63fdfFzNEbP
LAVntWVFzsTwTm8+OgnwqeE0dfYb0No8mfwqHMGmsU/lde9cBmd14wk41B1l+uDah6o+DJZ/1y/e
8D7mgtVsaR5cTgBzArgXl4o7nsWxG5pVE1wJrVZ3Cwa4fMMs0DbFvM2yqON70O2JXsmL5aFHEt4m
emfRS4MqMqfuHfCBrRQ9EIG6LK4axacxpt/7YT85zonqtZss72NGXq+r/cW5Ic3EzDJ8DLTMoUl/
rYhym+i0paoUSEV1LzWnVC6eHKMTeaAXZoOJQS8s6xxhAScfMgALS3L0SAryotkpzjfzHRxbDeak
MHoX74ekOU2lIJm6sTI8BajjYmAJYzV8vF5mC4YadJmEGVqQGGUmJoKdUaCSIiHckzPD+NMmU0mY
yCeS+OAT0ezvf31Cq3VwWxeB/FsrDIggZgcuyc8RN1hEwnLxPLNA+WyvONWTGgdB3TiT0Lwp9+1f
vxn4dfSU4DYh5cym9dY6RpMcP2/hJMbyDjl913hzrB/5tI+nm776jIvZs+nfqzXL2zN+N9SZkYBa
i2xMvQZN5ULAXY7uZ6cF+rjlTVRgJi5sK1sY8kpsrgQfLnO2dYwJSkG9SUL42J4kZ2j56FyluJnp
53UduLBHa0F8GCWXtil1IIcMgbqE4PetSMLIPGDw0JNFHV6XGo1MEEMAQ+IJa7p4dCNJA6qtUYQJ
rk2DCl4eu8lfvxb44XMh3PHQTkeCZIEQiQCkzoEEqdsXxV9fTkjBNCxzazE9zzdkR7ORUprqRbjY
v4De6JX5TUkEJ3PZVMGWciaEW0pPSYZ0oVaEVox+qWL0aWHt2jr7Ptv01kkBaT9GrasOuk9mdCFq
LUYM6yZEn6I3tTWGkUTpi60DNFn8qzNkLoz7rVWfkL6aaJkkoUPC2rBQpjo0opF2gQyeoUxfZj0l
CknCyfnZyo7H7nAziPLUIince69nxKm6FitpzRejq12w8Q2qqNtOJISz4GPZzXXChIBvLQHxlDL3
OyOJBXHcFwTjyndhdFDolECLDy4XcoPrU+nUJKnaQi7CjuZuZpPjHMVupgPi3LOH7FYear8CEg2Q
AUKlegO0s5a3e9oV6NfOvCz/gPIc5U4/qUntLu24u25fLg0Z4nOUnfGFyJ9r/Hk6MhlrtHFVYa13
aB22pGw/KGbhJaD69WdtSA7X5V2+N2t53MmCoSlWMotUITiSd/rSAevnv5TAHWuWD2Tpx6wKpyz2
TPMjEcULl97aegncs0zlaCaGgSWgnkmH1m1TyJE+FPOxrcwd0qK+OQkeUtGuca80EIIRUtZ5FWqV
sVOMW2rJgl3buAwrPWB/PwtLnLFqqyFKq3BQDtPiBItxY2Qi2PtNIRbCR8DFIPdkcUczGwmJ86mu
APeKSASF2++0hg2Jyvbj77WMvf8I0XHhUFVfryZL5AoDrk0VFgQYv5iZT/Q7TIeJeqE2Lg/KQXBu
kAkCASE/t6x06OOWMDocFuAetDz7+9hh1lJELLElBU4GYA4YkycQd9aL6frcGRJ4NWEm+UUtPwKm
/RNQiOhZFzWjbKgZTobhIcFnA1Q6c0bOlKAcMYhMzbIKnaWsgsgk6t5JutfrZ7OhBKzcCcAlVBDQ
XMOdDQiX7Fov9CpM5bg7TUob/5amMXV7pO9EJn5r685lcVs32pmK1DBkJcuL3LQnw/gx4U3WSxEe
7WVXHIJGZGxZGgZe4QUQb09nZE6oiRtqSfscHoG3ZMOhbltP0/IdlUGf3MT3OTFPXf9wfUM37NFK
NLehSCoVDBkCtwpVcRe6r+5yuKKk8vv83UGTuiXl4ZDMomrX5uYCmR2D6nAWQQWz1hYlizola6sq
7NzJfgT4EiFHi56uL25TW/4RwkepAIgAlgjFTZYBEB7VL0MKQvHSoqLK1pbqI1WCtD5Gg5Hf5zYR
baLgNRpmaGVP9BsNwFW7OW8m9/pq2AXifAGk0AAewkZDQAnNXTDVbo1Mj+Ia3hPqglIRTNZwh0zY
nwRjra6jq4Loe3P3MAwCfQQ/JBCC1kekVYNegv6jCu2kKv1sXipfylt7X8lEhFi4tYEAN2VFGAbq
x9vCLhsMs9WyOnSa6NCpHcZeI2NAj8z1HdxaEdqKYDzQgYoRCV7pBqXAF1R12NkPswn2X0RCXUH9
61I2FoPkAWv9Qp8U7Dt3Tn2S2yD86utQlw8AcYeEf+F3ITEClxDsEIB04Z9C0qdSTlrahFlSP9hV
HlRk+dBV8mGU2uH6Yi63DMgaGKJBZADQE1Rv10ow5EVWKk5ShGn6S6reEBXo1uN/J4LzcRnH40Cr
tAhR7Jto4mLGQilfrsu4NHNYBsYdkKhFnylUYL2MhYCypjUhI6fNKTLBjvDSjLd2/KTlBxn4NLJA
09i2rO/qWh63bYAUR9lMhTwH+Qr5dvay8mW0T7KIvnXreOANgSETOXWkYtjfzx5dNcM/yOAXYQ1W
qzI2gzy51QHOcH33LqXAHQLqJfJhQIKBoLUUO61iUyqnIpwm3Z/mJ6qXO2Ey6fKIIMTWUMzW4BXB
i1gLaRoYz8ZEcD82i1dNlquPGDWgnwmZPAxbVoeuygXrunyE1iI5u93Pam8NFJF+akieMr5a6NKD
QoyitP3m/gFmGKlSpHvQjrBeGhqLEnOSVcgZdb/AgJQDpAFhD+3GatB5wOCMv2AqeM6CucYjlJlW
Eap17lmRgqisQNJAfhYe1aWFg5U+k8TZ0Xkp5Lo3IMkZ3pLp1hlFvJ2XAtCRBSoROAeox6EVc71h
qi0pSCjNUdAUxzLr9nMias+73Cw2jcSaP+F7ofmTe9xAaqEpdVc5gTS0fia9xsWC4e7yhlEzXL88
l2g2rBcLzUvAbsE8EsK/9WLmRamB5tpEaKN4L3tMAL6i4AHCjshVZ1da1COVbjDsLNnz7xqZhLoP
4/ak9YlviOZnLvUQ+Sxgu6Nti7Wm84N6deoMi0YXwJ3N9hjWFs39ZUSZoHXk4nh91Ze3GbhyDCYL
9WF0WjqcySBtitbXrI9QCukPtY1ERJZ4Jil/qSUmLor5gEHnx1Z9uy51Y4HYaFaXcNCYeoFmOAJe
rUNkIwW1RneqFibxSxmL8kuXth1BIYbC4RLhnUflb32eUwXA8LFHVrXRo71jTi4sYjw7+5n8HLRf
f70gKCeKH6xnwESYuJZlG22j1TROQuA0/s6tn6XymJXG63UhG7cNRgPPI95FTG/ywIZlX1JUmLM4
pHYPWHwAnHkSSVJB2Xtj2wDgjTcYlUvoA2/f1XxolhkJaXTY3QKJ5U7r7lL9USkoSJd/X18Q8xjW
ry8iXVS1QakIVia0Dqx3TS1A7kEiCck5m+4K0p2QkI60bg+GcC+vPxtTkNC/VDvIwyA9OyXcKh7Z
dSBwkxfiJOC4nY86WUKjlgIH4BnXl8XvIMtIIyWBSW0GyIX/XC8r0afFSrIBic2koEHTSQ3KRkW5
lysJ/jKwQr0UuyGY3+TXhmk7JFswVYBeH/ybp2wu0jjXEXmmYVfeSMoLKyP1n9fXxesfRGD8lbEX
M1TGi2JiFyVWqWZJFhILIznVFD/HRiEazb7cPIDDMnwhKLqKoiVb55mnlIx2CtrRPgsjtK3Z6KeI
LNWf6finAkphCork62va2DaAd+IuISuKdkf+BUvAOiwbwG4LrQ5pWVBHpJhn+XFdBm9j2b5pIA11
kEdi7KGcPliDnaStM2VhWdbeXKMNp/plTg/AL3Cn4VvRurT9+fcSMcyL9wOuJgI2Lnu5FGpS1HaW
gzZD+dMOyfIA6uzx3jZLedd0bXoikTkfpmbsDlnTiVC4+GvN1ounBChOSFkAJYRbrzwBmLaV0zzU
HWBWpL19rAfje2+Pu2GcDtpyI3R0tnYYfYEm22PM9lrcKza1vZ6AISkP7QUMTRjy1bxo7Pe63Fhu
LmWpZ+Ra5RetHLkF8D8E9/3Cc8CCEXujHxlmDPk7vmNWGqTBnoy8DJfBhoOaNO3BUHLq6eCH2lnd
WB/kvm78TK2Ho1ID19+Np9Q5ldM0aG5plrMPNnr6VPVRHiRFWz3lIFAUJJA2Li9G8kGKCLeW9YFx
tpbGBpiuNCUPQW2V+bmktz9zQ2oFuYgLrKavrWCEsgAtQf8kP30E6LDSVhobrOUvVf2Z3qPHsTqY
3wC+GN1mqleDJORDk47X1X3DZrBWejQ6wofBFeNeekcDdeai4Phr5bOlH+ROlW6K5/TlupQNtV5J
4VxRfQAuN2o8eZiVQdy5NKtdxfoGDKzGyF1ZBO1jcm/jfzbynzVxV9jQeiuuUy0P+8KYvFFtY+DV
GLIf5drix10f766vbsMQoj8EkB+4ugB64Z0LGmcZw/zJw7kCQiPe+5tCFzy/W8eEZQHdiWGl4NfW
pt3Is6HDDcrDaqhBniynzi0CIXJTKrn1UKn54tZtKngWtw4NjSkwhnClGdnFWiayRkmfFdDHIXqY
fTBKu8ryhzSf6cf17duwQCDUQK4HUYqOnBUnZ7ZJI1stQu+OShgkBcXgEyg8u9s6Kht/HiXjhBQr
uZsr6Tc6ZUXlsE3pDP2VxckAFeGURcowkA4onCJspmxP8hEEFM0Pq0FPdutTqX1eOvKzzAQas6Wh
cK6Rc3SQHsPYx3prR31s0LtqItsQZS6rd07kMWqfbf/6zm4pJl5o1F/gzANak/39zCEoE6O3RlBW
hnl/0wGARotva1GZf0szMS75VbzFlCHfSjBqxjDOMpORuNYRDQvgKLFadxTR036Np5x7vOxWgzYe
7V8sLkHH9HoxYO/SR6eoy3CuHxKwfpax7AF2O+0eNdmVS2DsVftiQB/BzzbqXam+r5xdJDl+a8bu
CD5bEmlorO4tDEMn9934XSFHcDzf1IsoGt7a9fMPZTt2tutDjc+naVeGGoBzUaR2F22/ZIXgbC9V
CMEMsJ4YqS1yfvz8vTw08zhn6A1T6Uv2pCHOXpT8CDhy0bN0uRwk5BlwJfpaAXDCm4G+GdDBWMtl
OBWVqwCnSVJ+N0PqykvlMRgQY0QPUU9elOzZliXE9hk6UheXDsaeSO/XFXrDXQBREppa8UgiK3wR
LJYjBsBmM0IPTrsfSj+6y51Dv7wnxQ0chD3px2OxqMDJBqfk9F4byWOjtd5sfo7J/vqXXLQt4Nqu
voSzWovZ1JIKtrTQtHb67KPL6X7w6Z7u8xN5sG/oSXuqqJtRt8v3dXW3ZC5mLq5/w0VRjf8G7lmt
NfSAAI8aaeXd99EnXua7w/f+TnT1vhpj1ldvvVbORiYtKFOK3oGN9Adf2dOwP+m+8s3ZVzd4626y
x+RmCWjQHy3/AYixe+kApOAD7tYhvv88Fs+ti1GoIz1Uu9IHwvDeEpjTy5cK34d4B3eBxW8mZ+ea
qU0bgJ+WYZNl7T7TFtx/22o9JR+Gg2ykmt8RM/LLshcdwcYthGSWI1ERM1h8yKUteWqqaVqG2SK5
fX1oBq/N3a4/XT/pLTEAbEIjPZv1QpJzbVIKCW6BPDVlKBt5jsgHTBF6dduC+SQRpWO29tJE9AEe
PASsYA9di3Jgy22nhvWaWqB6GWgQHWioRQHQ09CD0/wwMpGBYR/Paxfznhg+LuYT+AmIxc5ntE2R
MsxByCg3e2n8sLCw9GeEwfVIwRB5DmTYODSU4ygY876YU2A36Ew2n7HBAGTUoxO2DNvlj0MOnYKk
dfwjb3rQh7lN9ThMfyq6jwdBRCGUy1mPCMSMWVpBLsht9tbo7IruoSIn5caBHlWatwzAfJx/VuAD
ua5JW9YcDFgoQ7LqHVLD6+NN1Wop6dziqkht6pGsTFF8R85I6SpRXW1Lk1CSZcgncK0cm9Mkos8j
hiT1MkwMQPs6hEiHAcA4rhWNy75y+tRPTWsABGHZCK7Ll8vIq9SZaIfLKY5Fs+ToXS/D2DQ8LdNf
HPNnP+4VJ91TvT8pPXhUdX8BtuazM+8QX47TTaK+TW1+G5ntYe4fkJw/qg9mgyjz+gFcjOEylTv/
Nu7oLT3RLGCN4OidG9XadcoxJhhNYfBd+3h+cPwJMQueL0fwWnwVyi43hU2zAXoCJC6c4NHsG6cp
sSnFExIpp3vgnkevZuV9tK7iIbPi9l7uq27tvv0Aw4mX7TBa4tVeso/37L8B7LfD9KDAjWFKcPFR
yB0hhc4aoQ3OsvVtbzpSNsKAlochqbxqvl+KfZWXB+I2wBZsFxEy3OUNwHQgOwR0pyLlx1fIwd8y
qQMA28I0XwzXauMgAmKhK5HmeP2kL432uSCk7Lmr1mqdqmc9WvmoHUSZ9RYDwavVba+VBZuoX2wi
k8RakxmoLYbe1pJASzQii4LmDGcgv5FdGjyaF0TwyG4o7loKpz/dYA6kNym6uSwHTmDvqfWH0zQe
IjpvrhaXGOBBHEBoIPmgUujc2tAFubnNo0PWm+G5Y5rr6wvPPGtDHxdpYjtqOS9I1LbKray+XD+0
S6OFRWLeGPYKeUd0Cq+3MmnsrozksQrHR6u/abzacBfiRd8zIrADl3HTWhA707O12GpTphZ68MPe
wSj8TqoP1Nwb3+RWcO035Xzdd5bhxorWcuZM05t0kLFnvYHb9Kakz043eEl7YwP89vrmbWr8mSx2
fmdrIlHf2HUMWT0QgTR/VogXN74wGXJpM7B1Z2LYZ5yJSYdW0iN7QkOX5cWmi3Fp9DzF/riLe39S
99fXJNo/LpqzY7stilmpQjP5tEmKxORTjvyfZArBbUTL4p7meciKss5VtHINFSa4ytvUmlpXVSdX
RYczLffRrNzPWiyYBhItkH3W2W52IziychMLbBf9No/0o5XSnTEekaNwLU3Q7b29Rhhdy2I5dh6y
tlOmGD3TBoRNn1Hybqi9axQulFEpEs96mJRRoJLbq/tHIHd85YJWj7nBpirG7zRyO7vxulOk35tP
19Vk2zoCUfV/V8adnknhWhFg1YVpEg6vhmR/m3t/TH/OLT0s49GB3+5kwwlxOsaiBDr6NXqyfkXZ
jfhHOHeGZu7kCmLwOkS7eukmdZe5kpEhk9+i1dKNzfm7pcwoVqDv0vLTzAF+pdYkb5FppjuzSMsb
u5eA6ikBvVuwLezpufgyE2CLiJKQRdC5u1rEDpWiER12xV0SNJ5kudJL9jA8q4W7PPwbWWxOm9FI
oQmBM3WGVnROMuN5IPYh0b9rlatFk2c+d6PXyz9UGz5OffhXMh2k8ZCdYiOR69vj5HhFOgO2qN/P
suFHznfaPKsgfdeepPElXj6mRvBCsVXwOwpkNzRUI3WIkTHuGa4VpYtoASO71OUDcZzbXpn966va
uqWof6Gfg+WcL/AiRjkHZmFpQ5etYw8zMBYBGUZvlB+KKHdJ/7PRBblm7praQAZVkIPFRDOQMBDo
ci8HQpCmoA0dngjM3WwAHR81oJb+lsifUkT4xFTubAP/IwuFLngQBnIFfISraEubd5I9PJnJuC9r
FfhuaL+i8UlVBW8vn6D5EsWQQHFKmCNFy9daO6pspFantRQJ7cE3x1vQox70aNoP0Xtu1W481O5A
km+DKQnMHneCTLCqIDuI4im2FJW1tWCrALtyNtpgSK9jb0p+2+QmIegMAGf0DxoZByGdwsamYpAa
jV/QFrTIm5zflMNXX6oykZ9aNGWBPiYi9aM6pfDkqeCab0tCThsNMCg980uzSdK2WZXKT2ryVqsY
lT2kMaIWSdQDs7GF6L8HfD+4A1j0ym1hrCTTRBZHfspa665Wex+GMsQkW4Psdp+mYT2lv6tCUOfZ
Wty5UHV9bkpMjGRAGfIp7hKvIyc5fte6p1n7ff2Cb4oBQgvm79DyeDGYkeKtGJr5f0i7zh5JkWX7
i5Dw5iumbHvaTM8X1D3dAyQkJC4xv/4deu/dqcrmFtp9Wml3pNFWkC4yMuLEORhb8iFD2U8lz6Za
eaO2v2xGCKaxC+eOqZmhYO41hhLy+WhYGze9kjXKA0uSV3XU0cPgU1250RN+hYpml5grjkvMq8wW
0Zs55zbgIWeG+nOLMVdiWRt0/QGncTNB1gkNQVs7d7xCzV0CMYbBBulwx8JKzqCJ8+vyeMX0NMzj
UQLoBWZ1RrGo8546iaV4HUmlYU72Q9t00O24KcpsW9QondGglEMn/c2GVzLdF9tK25E0C0zzpwR0
88oszF7l3MGB4wvqmzPfxZzKE86iMxZaEeVm9JBLdTIXyaVjj+sEc6GsQWe++22AZgH9QXVpVtgW
KX9Se8yV3FSTkMq6q1050m3VQAaZeVH2tDK381cLo0J1Djc7aq3oihHLhD2iE2qNXRpqTW4c4rj6
0fepcpONhboxCom+OLkKyggZWj5NLk/7SjFvm6xvDlnRHjVTUv/ZY3TG/gHkNYtGamiLwKv6fK0N
pqUWU/A93L5t+GNf9EFmaZuVUX87QrACmYU5tT1Xl8VRZ4DzK8nXqGOf/rZuuf8+7Mjv1OtfS4hj
Ms9288DyHeIOd6t8bd/vry/rcOuAaACxLKJ6mapE0JnnaTjYmdtNjxYNk+6+tVMAMn6XrA5U1IPG
NWkQIcL5mlnodKAWDH5S3J3C/pVVqGsCS5eGWRUHxghCLqNYi0tn7322m+aRndgQYkWMCmnQZF69
H5DyVj3iO0Fauvw3c9mTtfLEWp7HE2vCXpHSvFC53KZhF/R9QCTP9Ds/9pTOt4i/VvVdmz7B6+qG
hG7IDsakgbiR9pEmzkp0IbZ2/2eFwJyG2iMqcV/FsRM/p0UO7eIe+wJZnn12jO+dgB9QE+SB7NfX
/U56RKvwWl31m6+Zl0xD0IbMLXRQv6SeT4ymZWuZmYpxEdzEHohi/MTKcR+39kOTZj+puvYy/nZL
CgaFVcvzBE/YGHskLmKXOvGBqO+1+cNkfGV/zD/0bTMilEGOEAcd5N3nrqRJ6zxTjSENU0VHPt6E
vkCOiNHrbXmNmWnNlLDvrSRXwWcCU2MejhJo8J3Ihbr92gZZPF6A7gGJPV9BYpBm0jgbJjXC8ZI/
41LZmkl731DtOh0Oec722luvVnspl24ya428U8RR/bU5T2wLMVQeaTWaHpw01C1vyr3U9tlGQV0u
eq+k60p1rWwfc2h6utWaqOjChgEZLng8kWebO+WEdYxrIzUVjmMhW+U+q8YHRx8cNweiWetasjLH
CysJdM7M5ImEKGBpgrG8bJE3T7GSNfR6vb6QHiTg6Lbc1lZ85cK5mwtz0BC0wOaF2+h8dxa9neND
sJbKrdGFlR6kGjI2Af2H1Anzus0JAgBkEbMAYyzEbrkBatcCbGghIvKd5Dxl+Q2xlZWH5reofjaC
tlq4EXCJAyl7Phgk/uukq3MSgnh3IldpW/uS8kCULcTu3IG1viatBMFicuavcZ2YFNxIpiVqPEJi
Iyx/A4OblO6PwrdfP9UPxfJMF5Ll5q5Z6y4R01H/MYp4FJhjtGWIfRBKMSFETCgJJ82jv8sb+lMP
+u20Nz2W7Sn37JVK6vK8/rEn7MaGGBUglLDHu4PzwvL7RAY5iqdXwGdu12Aga8aERSzqUWqJxkBi
mDiQMsTrL7Y9a/AtKaTOvh9sPC3WxFK+Py2+ds6fEQrLyI2adDnBCOOoR/XwsZLdIfOZ1nu5NgRZ
9Bn3m7oBRVS/cjusrqVwoedmrsnDiD2r/Co7sueKvZOeqngMSXvFoanEoaJn88RzyE3XrDUYz3Mp
3E04MH+GPXuHk1tXRzehTEHzHY66VAQ54xPipKoIVuJcIU/4136dQYbGLEGNQsW5mZqyseSkIGFx
BR/hqtYWiuOp6jZJUEtuPx3XEsOLe+jEoODVKKqRIMXGcpretCOJCz1MF6jy8eXj8sjEWvS3kQnX
URVBuk1VYCh9Hn+z0Dran/QNjDB9kN8q1P2Vu9rhFcLq7jR4xYPiKU+XP2B5+5yMVDyasj6QscX2
KUc3foDSpnbdb6Cx7leP7dba+yvm5nPwbcOcmBMPJyBaEx9gbvAh9PpT/bzTb1mgJd6wvXLufPJp
rFhcW0nhYLKkNShoR0lYR9dcBzo27JFqUOYyevJQPhKyhv1auuahQDfzLoJgH6nt870qKbwECBwr
2rObAaiC4nf+sy43l+dxeRr/GBEOfaXFZIzLhoRRpUIrdzLfE7VWvHQc1uRvlgKmuXpszVlD4H3F
LGWRkaKBOBMJW4MAl30YN9Feu+qaJ8M8xORXVe/GR6hugWNa9i4P8n8cjj+mhVFajYp+bmgYhvZw
G+WfjXnUWq+B/moVu6N8bFS/rn6Zj90b6Ty9eY71xI1+5eC7bqp7w3nR7Q0BluHyRy0v759vEjwe
pX0F2lBMR0ykyDeqrNtQaO34oOkLpakPLltbnQIh7EGOmKalVeIya5JN/dURnHM3d95jg9+1Lcpi
w8HMPcYOw++EKPve3g3KhmS7qQOwMPXUCRftvabtu3yt5L98sv7MxPz3J74fXGQgZJhXR6ZH9WB6
A91z13mK7+S1ZvLZKXx3Gn9bEmmWjNYaDLOcJ8GoFXcc69Rv9GKNoPp/uMI/ZgSnX+pOYrMeA3Kc
J9UKsiteu5nmUt9+IYfk8/LKinKsf3l+UFfOeXiUGUUCECnppDZuOa4YGsjODUhatyV/nJVrRnVT
OU/5ntRPfeMd2YfdHMduk0t7FOmU18vfsbzD/nyHeLeaTjZ0sg5XUpi7cvIMIGe3+nSdmyNO+y01
b1AFbFnjqoY/gJh/KJu5HBLo1lXW3EvRrpPeTOrqDyuftZDaAl787+kR3xWET0zLUTcNOU9eJXtT
NLsxgfjyLR5rTV7e613lgcT/ULNd5vxSySvlbqo8IOE/aiQoOh2Q7h0bN0Xl50a6z9XrmJb+VFtH
rXdze4R83lpZZdlVnnyzcJn3aBTMCtQ1Qv2p/JmH2X11TbdD0D/qL8l9FkpraLHFW+DEnnB357NQ
CBSOSVhF8bQZG4j06RWUtoDrXxVBXDrt8P4Q8nBwD4Dy/Py05xRs+4qFw1FoQH2W4Dij8V7mD5rj
QxW9TSYkzh+1aWO23mRzN6KPI/QiRlenXoNg32pdGq9s3aXE2Xwj/f1Ngi9maE2TWFthviGn2Uyv
uoTPIqlfStNGa39lue0y/hM1jM3lzbm40KeGBa/ca+qkVy3OTBIfyyLUQMeqpbdWBQLw2zLdoDoZ
oRfPZ9YV9H0v2156b5+aFrwu6yvNIhNMM1mC5CT6KuMryhQ3+WGra40oS373xNbX/J94eJPVDmnx
T1iXiqvLqTusHZml2/TUguBydZ0oDYpNJKTquMtHdU+rZjeVqidbyQq4ZPGJBrwpmG3RowzdK8FW
nJojU2WMpikC3IqB9GZ5bMu84ZpfjytRwvLWPDEmuIJpstq64j2MyRDN9KCBzC12ZEEEIsas20nT
j9FcU0NdzCWcjlDwB5KJ4nWjwWeqnLoj84x2V6te/ejcgp++jFMXmQy7gw77vSU9gyPx8s5c8kan
1sXQfmhyS23g/aLKLrcxckK+M+i4t3qE95dNLV7Vp7bmbznZmQkr6qIEx0IYl0dz8qh8rcg1aESv
7c6Vhivep15c35Ybey0UWXSDJ+squEFlsIYpG2E4sXaD9rtCCsPxBhdED9vU+rAeL49z6RI8Habg
4DLJMWqGl2+YFje1XAQEOAu0MEUcmaJ4QjTsX7a3PLqZHAqV+rnb7nxa+YCmlbgd4eT3xqwSCjy0
x/otbX071OrVXOx84sS4DgROf5sT9musZaCGsjE8Bx2mLIivlQfLg+oQ4gmoFCMLvfY2W3RoyCCi
RAhaQ+TSz8dX10VH68iGwURyXK1PJ3cykES4PItLBRBlJr76rxnhelDTAoCgFPcyyW8TDY2RG6u6
RT8rDqirz2KbnyDOABDWLNxyTFxN9SxzLS206FlPvkG4JwbmAMBM8A09lIK32lFRXPmzLDzWvNQf
2h3zzewmVx5tdmikAqX3tRyj2JH3Fd/+mQS0i5zPdZzwVMo7BZezjCLrIX7ihWvYT13m23RbQYkg
27XZQ9Zf2fflS8a2jnRIc3QCjcTjKtlSC0RY6l1avfb2AwFfyv9rjSCnfP55BZp/kHzB51F5mwP4
390k7bZr36dsU4Bc3d5M0b2UXbUy38vQpyATd20Id1/+isXz/fcifWOYm6JB571qIn22dRKfQqbh
Plzj5F+896DNALVh7MhZX/l8pLmqdpUcq2noHDOCioc6Bnr6Qa2rov1J6s7tmOLXdmDw18uDW3TS
p4aFYzD1Gbge+zENo+y5S37TxxvgYg9y68bjh0Tc7v3+ssGlLQ+GC9B0oBwxsyedD5S1YwId5QZ+
wyDo0riV6VMTo0mBrMXdS27k1JAwsDSfWlmzK9Qah95lae8Z9vPloSxtjFMLwumNeGVYbYOhZAbz
VEj1Tv1Vlt/25L0qNgZfUxxdNAdgJHiakLECxfj5zFEl1SVjXqlWqbyKFX6U5S5tRnCEGMQDD6Li
a6TeXB7jdzwMcuZzKywMg9gC1apzq0SRLAbpPFj1219SCNJII/LvaOryXeVnH1rgqdzb/VMg6Jdj
OjEr9kNkA5vkqYLZDrl5t76Nf2oP8mb6Kb9I/ya8PTUlOBklpUVv9iiOkTzyTH7ULL+N701nJUxY
jDYhVYZM8Qw2waPvfCaBfNH5qM3p6qyT8QKRBj9V0/IJDaBXqlnU9/WYjS6tKucKTBXtnZ4ZZH95
NectIt7lp58wH86TiMxpbE2iHSGhpfh63bpJt+fF6BYQVNdXguul4wcE4xfsBU0tYkayk1sQoVRI
B8V2ZR8oqw0XqS/JvzygxQSNhdcCtiYaHtEecT4iq+ElLnK8Tawx5PGhr55x7rTpd/VZALIJ5qYu
c9OPydiQ90j2e2cXsQBUMO+XP2NpsKdfIRySclQ6qWnw3otj2dyaJQMqVYa2wGUri74aOFRAtWbm
MDTKng926kweNQTBe54EIOGF5oMagEZMKu/QS4F726vsa/mKtx/Danbv65yLW+fUtrB12mnordpB
GGgOtyDgP0StdOhKuqfDkyofuDxXJYk3NK8q+5Xy3BuVTcavRgl15j1v3kfD52RnKPum3GD/+3H0
JjGyzxSy01MKjn1pT4YsSPn2X80ZHgNA76JBTZwz00RvRDsiWu4pKETeS/l6moyd5Opgtpuek2yf
Ih9as421cjnMa/F9vtCnqaNLTQGy7nyt2smBojJipLBJdEBscgf97FpSbUcJCrGXx7i4+8C89l9T
woPAzPsp5/2Eco3TdkHSsmkHiPnjZSPzFr40HuEZwO0ImM1WxrOVKbvskNSjZ8aZm8RRGMVvUW8H
VrwGg1qMisAm/PfI5pGf+CteRQAuUSyercT7GGTgRkE8S8NztUv9WCv9BOhIc7oaGlcmo395xEsr
CDaTGacEPDR4Rc6No6Gm4D0IuUIdTEWBWhrFRsoSyc+IWfwLvzwzPMqIiMDLJ1KXSlD5QTetM6eq
qNui/p5yH3Q1gczNIC5WIrDFcYEEbm61hyqC6DKRYa3MkSRZqEUJRHcSQGzTvkn9rpjWHo9rpgS/
qBcjAC2UZmHV5uY2w3M4yLI43cjUXkvmLDqomYHwP8MyhadMUuu5pkV6HiYZM+JNa9dt7sZOY3Wb
OuVTdR1NSk/Hg2Qgl+XJvQbVqT7tIxCJTIoRZAiD0oCZaqrtNBJlyp4yqwebHNoYFF9NSdwdY62A
RnbXWxK9t+IyrX8rclIhj2iqw3aMDFK6RlGb49HuVTDdxubQVLtaZpCd4FxuWhc98qXtRTHw6Mba
5bDgBWZ+/hm6hKwA+IPPt6sz0jytVC1DxFQF75Nb+Z+Nl7q/0LDqErQCXz4cSxcvokI8yQA+B1xb
5Livpgx9SXabh7X9oZj1wcKdFOlRAkSFHErlZ8PA1yIh9ZxPV91YXPdpoGePRR9teu1zkMLI+ADx
/sflr1oIkTWkYtBZA6QrSI8Ep1s4fd4OLKahntSuKsluIRcbMwf1Edugp9pl/etlg0seCha/+iXm
LLeoy4rAkTWjlNKw3bSKW0D/0HM/tbfpqQshWfwvjIH6chb8ArkdwvLzJSYdtUowuYCNY89Duu0q
lz/nB4/ekkO1AgZaOLnAcPwxNe+2E89bJrCl8nlcOa7nxLY+E5a8GQpdc32LG+nU0vwlJ5aMPoqg
QQRL46HPduibRCUiGp/ATw/un10pXRcBlJ51NGahy/DZll/Q2Ij2RsKeVmZ3afPAGzog45yJHsUb
m9qQ0WK0ouFQXw9qkA1eLg+BA96ZJ/VH/VBVQXEfF7M0M5VHN08fCtVNhq1RPlz+kIUgfYbP/P0d
wr1TW9VEKqmkIaWtC24DpYJo3gwtiddYYZZcxqklYT+ZrDB7NPbRsNik9+VaEf6rC0sIGc4GIuwh
K07HsYgwoenoWaVP6i3JHgnYZY7FZ/VeJi7/nABJ8OSXcVc82Tc9Fn4tZl6qnM4dB2AHBYPWLGh2
vr3aXE8gWtFie0V39d60b1jnDb7cuFBLr19r7in9r/YZam1F7TYadIruKu4qW6vGY7NYxawvHisA
+qAUN5NqOMLa0mLiuVrha7rDAF3lKXrl0pHaKESNbNdKR2ACEuNVN2+Hrt1Q3oC/MT0YyT/ka5lf
1xp2GDh7AaIEd5ngJ9spGyRF4zR8VvQ3CKG4tg0NDR7kBhgifZXvIiXUpddMf+s1a8WLLa4IRJ8R
VUFHAcwtwooMVVTVtj1gfz90D3qw1/fTe7VNt3Rv3fPgCWxQnvzu+DJIkJpjt+LXlrb8H+PfEp5y
wuuC6RMNQRAKpEJzpPIqtH5eRHHfz29REHICwwwtoPMtZ+RjAwZcGVtuOpjMy/VNg2IHJA4947l+
cqAlawX1mrDNV0bkklUhPWSgSRG8o/PIfO73QeGnINHatLe6F43u4HZ+dicdtOB1394aV8Pjtnjg
N8NNsjN+lz4qwA/p+2U39pXPuPRBwtM8QX9vY5f4IMNVD80b27wnXuORj+sKHQfc7wIjdHbQSPqs
dvfl0cE31kfp4VfjW0G8dZ5sH1iBfbuLr3P3VQvarYL/b3KtbfdI3DWhepEL7OtEnK6ZsCnbsmpj
leNjwYGHPjN6n5peHrae5KsvgfJgBN0uupFfun3r7S7P0/drB0hmBP8zMhtFTzHHrTaVRXR9rMNc
Aq8/uOacZIOScQf3hCxbhKTvZXvzSM6XBS1P2J1AFM9gMbG8wrSs4FXN2tB+wkD5/hcgmvUz9dfy
rwv5rplRcJazANcj9JsFJ2P0uk3RIQdD6T4BwKB7cNSrvtdda2C+lO2rDm3CK9jw+WiJg7PAzTNn
K8FGKws3WuPwuCrLsg11YhwVgo5dJ/moubbhKvt9eR6/exLIOMnQnYHmO8iAvuKak7glGqie2oBW
hXEjX6GzHC+pNSW575HAuQlhU9qkL5g5Vm1o9cMmbxhqfLuq8lNbAUZm5U5YGY7YD1SMmdkZKWwN
rf4Q59lGi9ZQ0GsmhA0hM5OUSjcPZ4SGWGy4JH65vCbfzxIWH091EGbi398UGZImKitu5FgTNkK4
AM1ZTWL7U1r6Rl4GpOp/O3K90u+7ZlO40oG30eUoom1II+JpZrUfbWjM0zv4E7fjwNroKw5jaRod
dFChbQQd/uDgOL9eiEasQi8wjcY0msFoEZDCmPKPyzO5kGucp/KPFeE66WO8pysF27tymycwA/nZ
1UvUudPBM1J/uLtsbXkO/xib//7kLKVtUU6GU7Th6I2jm745P9sRzFXPl618D77OhyQcJ+rUINCO
YGXYJI/J89oNvHRa/8yYKdZSlR6rELfwPUajB9IUGg5HgBeiU6PTvcsjWXJzp6aEk9RnDICzafbh
zS8GHg4QVD5J/5QZEXfiPF8WcI9QRICbE5ypoldJk6awMg2ST9k2VbRNrZH3trNXYsLl8fyxNG/5
k/V3nIQMpdq2YVk4hRupUCtViiNwR89SVa5EgIu7AE3mCH4B/Ub377kto22HjBgj9loV+0UCNJ7y
PiEou7xCy+cHkTVokYHI/kYF3gNDz5QJZpL6Om4AylbrQHKKPbNBspsEqhXfgM7WK2PtB7hWgyEe
Xi9/weI45/AazdZQGxGF2NKYgqSjkNswz15LB8PMr+JkDV68ZkQ4uGYHOWWaKBilI22SPjnmUn9H
pXTFxy48JaHRgngaPATYh6j1nC9aFDtSZ+kRNgj9jJBZkm2QAuYeSN9oDV3FjLr59Kn2oGvVoCY0
BITToCtRjyjJrZGVnoonaJU+sinZXZ7lhcDx/MuEGQBapUq72sKVg0ekL9V+9FAD6P47mgJ6Y+16
Bahg33qybgy+MT/s0I4a19DDtXfNd+eDz0BNHW9cFVTYYkND1+qFHQ0czX2Z4yXq3aAqkKM/jNQ1
zNWi23ylnUdZc6Yar2mAoueCpjBmSZKMsdFZN6ORp9Qd6b7O3konMH7G1RveuC6QnhL9lKi0cna/
X32AIUEWCJQviLsckWfUZgNIQiy0MCbWT8M81tn75dVcSOfBwMxPoKOchzbleeQnjqju9KnMdcLD
tum56dZ1bL+Mdm3VO56h3H9FO9tJt/iz865Idqf5OrUnyFBnlbVTJYC1/Msf9P18ocMdBb/5YYAW
UbEMLmdTnNlRMoTIVCupDyoOeUdGU2Y+NLzWSCe+e2EYU6FbML8MZuqZ88F3ElVicNoNoZTne52O
jccUOI6BDHhAFmvx8+LQNKiC6KixoKApHulhKju7YUMIrIt8ACO0eTOA+HKvWjJZCS8WTQHCZsN1
QOxERPFHqSlnhc4xsNHpPTSo5jvVKDVQ06Lj8PKCLc7hLP+AF8/8Apk/5XQD2SmvkkgdQlKmjRur
u7kagW6IIeiMcQouG1vAkjq4XZCqBB5kbokQ5hDl9x4hNRtDeZCcOyc2G+6WRgxSYbAKOZMXWyPL
7nCYcy+L43pj0daqD2ll5e+s43j4WWWUD27ZsvYpS6kcPV3+wO+zge9DbR4Pzll+Q8Sja0qcT8OA
7zNHo3W5pDrA+fdVkGjW5DFJWoOcLthDYlyXsY1tACNt4W63ptiSKk0awwr9XUc05Y8HE1b2bdmk
j7LeVysAvu/+aGbAA0UOIDnoqhYeTZfn6vsmPf8tIaZDvkiNzFjHXN1r79nefLn88wuu7fz3BdcG
hpcYYlP4fRUs4z+zYxLuncZFTxh7olBtX+tt/7qSzy+Jc3vCWhiUaB2YK0fAOCFecMybrfJCzJ9D
vR0AHbX1h0EKlNaV94wknsygNzDc18lHpa+19C80Apx/ieDXJmYaMRs0NNvGgdYdzTeTXavIzlVv
ZAOJerkwQATpdLdvKzM+VxwvzYDgCxxVlyaUcsawc36wyq+zXTNtaLRB6fol/pVvL5tb2vtoZJzh
rMqcjxBeNxqHUAVtiilMMxXF+DIdAbWObp20ilyulmukpIv7ScPJRjA2s/6KjBcpRLtB+l1OYaep
vpl+ZmDbfoz2r5Oy67gNHuLU3lwe4dJpM0H5AvJjICrwJjn3raMDNXKtlye8EsxmQ2TCNqPVruWt
5l8RV+3UijCPVe4k0dDzKbTr0quVaFuybXcNCgA3OtoOWYlsZw/9zRpkRGQDL3nc9MKpzNu8IBBF
mkLHjumNjGeDm7dWtVekRts2ehlyQsr9v5jHE5vCyeRK3fdw17ApcwLMEBu2tCrt3b+xgoo88mMA
tn5rWUPo3VptimKwqrfXUBv+0QO6tGJkadPPXIPOLGIG5XhhKEMGAepORsVZbYf4OlasjRppD7ll
F/6YGvrKxC25aHh7wK/woDPQbnu+AZHNlMqIUTmcIFHo9nbX/sI0FzdG0VXB5dlbyJ6C3wyJxZnd
EISKtrAxYq5PehPZUwgUpLYfhgKiAVlTemCEH70ik+Nn3qIMafVQpqhqyLRavWOuxE2Ls4tSuoY4
Bv8R46a5T0WxeqQyJqRRDySD1HWqdaOfIZHiJZP9cXnMi+cbGvJ4rkK7wHKExZwylQ5WBJY1iw/N
ZqKK7No1k7x/bgVtBeBbsYBcAH/e+SIaVFIro0/ksLT6+yLLKrdzuof/nw3RhzidZKU59n5GJcVN
eRt73FkrbS5UzgFpQ5RjwCMi4W0KI7Eyq7A1OsAKEvoHNN82R8senX00jO1DJyNPl9kN1HNikH3n
eg24aTyarhLFY1AB9x0YqeRs+gbiL0o1Tn4nmeljzPTcS/IxXWnsWjo6oIRBiQOdgFAmFe5CVNar
wqGqDDhoFPkZrqeQt+B/6kiehZcnf9kUxNCAb1KAzBBMSUQt4iZz5LCRutFT84Q/lY2tu8YIYMhl
U0s7FkVMcBXOMqsg5D/fS4NhpGneaNhLchffTIRMga628r/ZTSdWBFfQ1hRyA/DYIKXt9E3SsXJv
5p2+Ej8sThsEYyH9jBc2EkfnY7HVfOCZGSshiC5AyMkBJWSTSm6QoTJXjuBC7w127h9bIuUu04HJ
IZIthxQJBhSE7LrgVwro7/tdrE1yd8XHVIPscDPx2tecio47LXXkxoVIdYMKfm50yJjluunKqdHE
blsb6IQudYK+hcsrvDwrFphYZQtJPPGVCtb1TmqVSEa/XMYOSmsZP0a5b+6jrnRWKjDzBIuhANQJ
gevD+wWAaWHfAiFnsdbJFIAd1adhMt7rSn1IjDBW0A+C6HmGmrQrIdXS8MA9Nd8xEIaCNM35oteJ
PlVDA5t9zRIQTkP8hklJsgGWIl4xtRTp2ODWMlCxAKuleFWPCAe4UjIlTAj4rY+t6Q9RADXKul+J
CZYO5amh+e9PnuBRFGUqsct5Ixd3NEm9PKYreaiFixHXE3AcSH+BXVbkOu71+dE974q4iQ9F22wJ
yD5co6fAuTxd3oBLcTYKtrOYM86Chd1xPpyR14kzcAxH7pLBU2Pum22ib9KhHm5svZa8Ni37q7bW
Ueg37Guzs8cXKmlsZVYXGkGQOEFJALEq9ooi5pNZjlZqCHcqQE2Yblzm14OOVn31ubZBi64qXnXQ
W/D9xKrfs+RIR/Omybugy/ktLcu9VMTDytFcOC9nHyRcf6wuHalX5/OSeKaebtS8PEaYhW7s3Qwi
gNV4pa9hghf2FmyCH86CO8AbSzgv9sAgNZQ2sBlTXyd3crHWOr48qj8WtPPlHvDkctoaFvQ6iTY5
CnzOEHZ9+lTzGsmM9J4N0VXl9CvvkKVU0tnIhG02IcvL8rpVwrH4MLMX6Qa07245jY9E1rclSZEk
8tmYeo5WBWiwvclKN3VW+FgXiiaYXCjZqoBAA7KlCwF2MRWIqSX4CIC0NMBWmNR7mWV4Ra8Au1lQ
pCGjAzHbTaQMplsQ7Uob1qRH520juOGzbxC2ldXgRnFG3IN1n3VvsiTj5Vdw3r0MHJHSBO7vqz7j
qj/RYk1Kd9GtnAxfuILN3i6UdB6+heYEyf6F6NXTrfcpX0srLzuVP5bEC7iqKxIDwQwfGeYQloby
8w3S2OS5euxv9fc1GpWFWwZTCpIsVKM0BEvCqamjNE04qZXQbK90LZSajT6uZOIWbpczE8Kx4VzN
87Gv4J3MXxgRSAdV+hb3Nq6z/WWHvLxIfwYjHJSW9kZvmjgodPIAGNoZNnVLs7zNh5WAbCm+PxuT
EBAg5hwhxQJX0CFTW2X7mm7MRvc0/VNF2VJKel9RPIlod5Cm3Az2lnEsXurX+rgZufmiU+3TSOWP
y8Nf9E8nazlPz8ntquBtplADE20rr0nqyxFzdWhapz8b6bZQbrVkJcReegijDI0Uqwma5llb+9xg
0ZGUIEeBuIG7NfaqBtKEN/ODqq4N4BJ7aNZQscte6MSi4IVoOcnjMM97k0QBq6ChMjlbBonEMd7q
0luZXfWdumWlXLoNfzbaFVe8eMecmBccUEerEVKH3YzAdCDBaCvEbeKKBJfXcSkGx7wCwgRy/Bke
K+xjqxzAn1fAjGl76tNex+mfwNh1pbrI1oBrw1t7xiwe0RODwnaGPEmKmhkOjs4nd8xrt7PVQFJe
KUv8dvpxeXiLLufEmLBr4q5l6eRgDVnJfjZdXng2URSX5nm28phZPBAnloTd0luj1Y8DLE1GG1Dj
PrODWts15pUzeoxNHpJRKxYXPdCJRWGDOLSnpLdg0eLF1o52I//RUPTQ8c3lOZx/59tNeGJHuI70
WlVy42vBauomYU+2cqu7sR67WVr5Cu1WArqVNRMzhuizJ1lrYFyDuW8g0aBHhTvJK6H7mhHhyU6V
Mo3GFLtQ7Z0AwJzMmdxIfro8c//Dhfx9uMTsnSolI+nnaEq+b94Kv9o+RB/17he5qTIverhsbGE7
oPavqXPeDC938TFCe0frIog3hGVdG1cO2ikeotKQ3xNoqvpx7xj/PCs4Qx7QaIW3jwMk+7lD1olm
t9D7VkJubUfjOIB2SFKLzShZu8sDW3L9Z5aEuKF35LJG+lEBgUxg5vvKQYcNNLV8vXpt8lvg3pDH
XtmDC6cZGUjLgGjn/B4W6Ql001GGUhvhN4qp38s1yx+AGC82Dl61QdvJEzSB9FgBqWmi7uNBX9Pb
WIrMQNAMAQrM7azZPu/fk/tVhZJki3QTwotn8lE17vBo3PQ/6J181d4Ua0+ohcNwZkzwkhLPW7OE
tbBJGZDwdZC3GRB4bbCykGt2BB9JHatkWgk7AFX4RhLfdpXtx/Z0qLQDaxUvAxOcQQ3JRbfuLeud
vZ1lBznJthmek8r4T5uCAQxGD/WJOpLwPdpU6SqhESSfuh9oVPeUGtBGS2FHFXnuksrACzW+7pRu
8X+kfVdv5bjS7R86ApTDKyXtZDm33bZfhA5uBSpRWfr1d8lzvmltWncT3WcSMGhgl0gWi2TVqrWS
B7t5iKew9i5PCRdbP30BH8MjlrTgcygDZPSgUkipERNqoh5r5VeQSfdmaX/ZILcE/zUIMDbyr6Dn
5bsudLkFYjbEkPUM9bnQjfNDaIvUkrhQ9GEErHPAlYPbH40l3C18nIvCHvu0DEbjpzZehWUE+j8S
GYKx8JvkHzvLQMCigPISj0yU+ygGwRNkwpwo82z1xXEzpXQVgyiuo+7V73352MaJIDTwGZAPq7CH
rg50z6BJjDsP5UmvalR0yyB6lqRTGoDyO/0im7scfULaflJGwn6GyY6xPZvcUfcaIaXd4perE/m/
XwC8OdLNS8KfC4jyrFehJlmQtjzdMuKQ5V9t55CXkuxU4OBO1bfkhX297DlbrgpRHEgAgGcB6R8u
SGjdqA2KBWW6DC/hNrtNsFmzqnTzZK9q11Uk6uTdsofnFVSy0coLZ+KcKB8ao5cirQrssX0q6ye9
TK6L7KVAgtKSnMPYtPeXB7i1NXDfhvwealwoV3KzqlRGVTplzAK1tvubQZ26YzZYp6yelMNlSx9i
OvwCokq5qOUi1Quc+nl0VyiKfrWVsGBZt+jQHqNDdKiPAyTZo4aEe+BDj/YpumqP9IB83qGOr6Ms
kD3wUwaxiKKDP18/3Gn9NdxMK/VMCztLWaCVr6WUuqH9kobXaWjtG1PaVcw4QWaK9Ozp8ixsbqS1
Xe7p0ej2HIL+hwXjOO703Otz2wXVVzg+YY0V6tpM8pzoJcp2ykMPnoHyto5atxNtp43dhEZP4HYU
lM9Aq7H4xeqo7c00LKoBn0GdwUut67QeiTJ2RDMiVy8FBbCPuiK39ApgSUC6QUxbgx7QuTUnslpd
MisWXFnLzn0G8bsH5P6uPBj4/7fvCllQ9pEf7/75m7rvwI+76P/0QxK5hit7ijv6E3ScZaIJ7nT8
hXVxBQ21HwfFOTwGcXE9/zo69cD7jZgLvZsJ1GUheJW8zsZ411jzUU4ltF5dA/B4HOjkT0Z2aJkl
mKCN1dBQFliUDtCu+anYTPWsyO0hb4JugNgYdC5JPR1j5TZF2u+y/20EGOxzxBd0XQEHxxM7JHos
zwOaK4PBvmnBwqNl143cusV8qkeQpB4vW9s4E2HNBCs+mjVQK+A2WWoNatX3cxM0GVH3M/KGJBfp
6nzeyfBh3ORsaHRacDGLi9FGU8a0wUM6yKI3Nes9erBt18k6L1MtgsdaX1U3oYiWnrsrQxIGRoFt
B5DeQIHM4M7DRKKFY7RDHACAQf25V4tAAsGBb/U1vS5ytXQb8BG4ndZAxWtOBA+5T/4CpZFFhV1Z
0MBL9ercY+MsNOdynONgyqDqNwDC4FI9D30H6n6naICqMJ26XHBtWyLT2SYGtcAiLr3ATdA8+tHz
uAoZKfL/dlZocVCqsstC5XVswD992WE+uediQwWqCg4DJ+XP21BvulG1YCOO/cLw0RFoObtwp2dv
kaioszGHZ6aWP18NR6O2PduVGQdwlcdEY8Sc7oz+QWL6nVI8XB6WyBa3XqXa5Z1m6HFQ9CSqHtWX
6GfYQ7VWMHtbW2ERmULr7dLyjSfc+Zj6Tp5so1DgF+nXujOh9nxjsX12FVEvu8rb+TBW75dHxgMM
l41wZpI7z9A4Kmm5sXhFNT4AKXqV4bhKRsMzp9a1I0h1Jy0EQ8d7eYwIlD5m/T2ndH/5KzbndzVu
7nzpmxakIhLGXVpe2ezoIb+2JLT8Xray/MqnDbCk8MFohDZLvhrZN+lcTSo8ponBgYAUeGLdz3QW
LaIqMMMNZqJtUQD7Asds9sAu7pO5JI4m7ZXkPvGu0ddXlA/1TIQUG5+C9bKSq+FxcbRU80FyQtiN
1ffYnv151N0hQZNJK4henw/cD0uWuvD5oarLV/udGb1ixZwkAbX1yE8qHX0Uyoj62lw+KqmSuDkt
XlFl/lG2IOAAPVDlTnHxRUPHjeDs3xoz8F2oaOo4nYD/ON8wtI7HYmIYM1Wrk5H4tt2D9WImksDO
VuyEGiCaylDGxrWLm9vOYYnZlHYcGLRq9l2pfrUGnQkC9FbwXBvhIlqal0qqTQYGU9N3c3DLH5VO
3UgBy0QCOtWqS93LG2Jz9kBwtwBVoNTL3+i7hmrJqGJUjnxHp1fHqsAT67bq42Uzn5+88BdVxe0M
pE24JcncYWsbkWmnICMJyh6ieXulNd00Be8amqgBEYQcgSvdgbBFsBG3plNF04SD3gk863kvjfSk
KIx6hJfKh3jcJaVrfa9DF5WPoRSJmGz5x9oW5x9DF4foQYAtoETcIce/lSB4iSxwzhGFozqNEyyA
Uhac7DXJuj+r3XycBGicsTQdrTTgmeByozYue2rWzEmAzn1PVHncir3rH1+C5uq0zvopBbwPLiCz
2h3NNwO0o0XzJnC0ZbvzEX5thTs/bcWIC7NfhoBq99fE7w8/7F3mm+Rw2ZBoNMtirUYjq7UhyRIW
I46eoBOxZzIjtiaq5m8v+e8F4Q6SLHSyYtKnJJipQZLuPtf/xxXnvDbUzdJOS0wXulbdIr5vlEyw
B0VD4LxWq1uAxCcMoYN2wQSZ2DYRIM+2YhjKB7hyWjjTca0+XwpJUWL0DGApGPTsGKiHi9T2neaN
Vf7lNd8MJ0v2DOUD9Mzw+I7e6BuoxBfY4rZ+NNLk2dFuG+0BZxNe98p1TyeBk20es+rK4vJFKy+b
VZ0ZVQSL8Z2ErIqekeoxu5o8wyKKC2rvvhScB5tuvTLIzeUgoyHfRMoqUKyniOY+g5iqKTLCc+h8
xBnkEID+BfHEgnI9Hxati6ZmjZwE6r0JSO+VnBH9KfLNfefTq/zNuNd3GRm+pN+sUxqRI0t3psBn
+PrxP5+g6tD1WPIZ6Mo8/4SGSfmoNmYSZNNuuJ9/5J7JrpzwNFf3RqYHk/bcIIt1K/2I4opYf6ho
+ck6NwFNnEXDBFhsIDffNLSbJK3syuzaHt7z6W8OJqTN8dZEF7WDXpfzkTpxGRtFqC9b3HTIovbk
geFJhMnZ2ua4fSHHKptwf56/0AgXWjsoUgfAsh0cJz1NoEK4vP229jnA/GhxBbx0ydKfDwRAxQ74
PhuhHfywermLXszpeRwF6dTFw/kDxAAVHgDY4JkB4PvcymBridpGIayAeqMguF7uWr1zW3S2gPxl
nnpXi0X8PZuvvrVRbmhUwzbXTRjNpzfUbYZQJvXe+Goq72Y07cwuPob98+XZ3Bon5K1BxA0Ahf6p
V7gFR6QZpk4S4NYlIZkb+XNg37F891eDW/KTKEkCNI2r5vmMUiO0y7KJ08AaRzyF9kAzWFNCTOTj
pfg+HjWSJlAjFOVHeQDSxyZDGRIqDMiRItPDnTxl0zATks1JoOHUSfQGAuI5ZBAM0FxGLotupq+S
cgs6r5Ma3kPjW/0OcTG2q99T84uliQgu+U77f77mo34FumdT5zkAJNvJGrS5JsHkj4/6c3Fvf593
3UN0PzyYR1TRDpgYsJT09zV0Rb6jQHF5udXlesX7NXphUHb6xz53lCQ2YECSBvtZScJrwzN+jHfo
qSDDfQtA85uyn68cX/LzgfThTeSC5e6YHcyny1+x6XSrj+COF7UB37zM4Ofq8MRMdFBqNqlnt84P
qrWLUUPIQMp72eTWob2QtSE0gVITj4Bz76uilEImI02DbNZOpup2VnfdA9MQO7voLv9+2djiUp8n
+bcx7jrlJIMTRxTGplNySB87FVtLFAY331Im+hwAeF2mkr+GJErXSSWUYIN+QW3n4GUz219R2JNJ
Rz2asrvlWqo59DoKXxO0F1we4va2QgERkAFUofGf8wktq6gOG6gxBpOL+Ejvy9QrHtOXuSXDfrir
o11yK7vOa/kovUqvg+MJzC9vkE9TDM4xoNdBwoek9Ll5S+2UOUJ7bmDej8eEeuEzpYS9hHchYcXL
T4G1zV2DvbsUF0BzZnAvoripqDSCACWo2/EgD/fDtf0j6Yha2kQantraNbwnERnG5iaBo0IeB3VL
EKBwI0TauSrAVR5036xD90RdoDMTF91Rgqnc3BkrO9zY0NJZVH06pIFhPDszqnW2VziBrn+Tjn09
CuLP5hG3vMH/b1TLTK+usqYKp00KWGu9X0hLfQm9LphvULAUplAXD/jkIdYCrod3LF5ybimfWyek
EuavhNrJGO8Y0Bkuiw+J7ZvH/nnU9hkl5XNjXasok4aiBPjWNQUtIv+a546dAgqdYUUx0N34Xdu3
COaXfXLbPX7/PhfIqeWEs5Hg99VrfSLOImRUXFvWF7x40CpOmMDc/2fhftvjYnY62uDtACwiKBrt
PU2tfVHlx9a+C0sTLRto17uJNJAOih5bglXkS3q9MsqqmcOstqPByfQvT+L2cfh7lXh6v7JI0rBh
mMV+N/nht3ano4/w2DxLL45n76NTnJFMJtOP8NV60xUiX0870IuqbH/5O0Sj5HaF2vfV3Df4jAgN
6LL01ve3NRPlRJbb46cNgWszSk4Kspf8VEppjJC5bL3Zi06v1mFyjav2a+KGV/V98sj8VDCozcCy
sscFFlkvZRvsuWlAy32u388LK2TzoA3XxnRbgszj8hRun4crc9wcGlLdo74Gc+jnIWkP9kt9P1ce
CyzqGtVdLWw2WZ4Al+Zz+fNVKKs6B10lEeZzcHN/usdF4tQEP8FXQka/Of5hS80/F8fV8JbVXVkr
NbPHGfFhrQpUV4cUXP/LcH9dnsXNqLWysjjqyorWWRGYgsY0yA/23eTpV0JcusjC8ucrCyB9KopY
g4Xu23iFu/j1eJX7lZ8CfER30MXyQEL/AAH0y+P6wHNeWiwuHKPPBc9i4FkDfa/0oA7RQXPeeICq
AZdAT47fVCB+mLzY+yrt5YP2GrtsXx7kK6QiDoYH2gR32v0hRv7TknIhfB6YWWQ2ljTUc9gxgBZG
eVEEFNja9rizABXxcU/iC9xNFQP5FEtpkIBRJw4rZBgEG31zcoGqcoD3RNESHcvna4oUD+oTiYOn
3a6XcP/TT8OJ7fuf2T4LxsfoqggcZHIatz40QbVvf5UvzT7/Ajpcvzt2XnUT/aj2wtTOst/5FV9/
FHdgaaGaRNmIj5Ju653qV17jovPfB/+7W7n67rJ/bVZPV9Z4jqtJTaomw0saB4nuJpAsYORHQXK3
ACsLeoAFdzZtK/aszXGxdVZRvjRzDK4DR/JwGF9+KrsYDh3fDt+0W9mHutzX2s9Pxl45hLcVjq30
GtcdlaA3ed8+2WQ8SPscsJ3L0/DBrnVh0vlCEugCOi2U8V2efC3dSkc0+hy1zgU3T12S+UsC0ZXp
WTsU3/DoO5lXwMdY97EPddR3syINnqFfoh+aKwMonJLwJhY4Kt8f+LHj1tPGhexmBjy3pFglDWil
Z7b8Y7mvM1Hc07tQXELggDwTmR1VGdNTGJNPDkmItt+9QNuWpP430Vtw6/qwHhYXtQ0jAgxj2X+Z
/t5ld1r1KxelKj/D3ZC4W9vg4nYnyakOFjc4OKJmfCuRnkAbYzftIm+EMAeyN/vnX5e9afONubbJ
BW0olEuG08BmZE+7qqvcpADULMz2bTQdqnA+SV1zSIb2fqTdre3ENz2UOaoMDIbztNcU5keK/TR3
t5KomiGcDS7ijVOXOs2EL3MeKQBwk68dOohfZqR0Jbf3JW96KU6VYNdv3sHX88GFtG4YWDzMWGd5
nzzMB0Ay7nUv3zGvFdwVtx4XK0N8NR3URaEpdxje4BvBfKUTZ5/6A4nvLy/wpt+C9w319IWalS8H
N7SRJymPaECT2qsVKHGWbirqQPw4fT7FpN9WPmZ1dePQITdmlFJMA6U+JukvZYwPln1w8Goap/5u
TCoSmw4EACs3LTq314ZDrLh5OLktIG7ZnH8ZJIsUXbvXwnIHvloU+fQDZZIfpbXfWtrtQsccsuzR
oSCpakQkOsvG4j4fyDuQWSCfjooTnweolAGo3ryNAx19WFWLjiKIHKvRUzEIVmPLvSDLiJwOsoPA
1vMlgrwdIRJFLUDhWnYo7ey2qXcJ9R15r9In0EQ2fQQmElH+YcMJcHWwIANs2hCE+3Q/QRMdXnhN
EkQAv9U9eONN3J5LkRijwAyfr5oinTZd3iLx2Z7Qx+tNSuy2cibYoltWAGFc6DdBdwTI5PlNCAsJ
HVodibcG/uN38ruwVLvhDkBI/rawfMHKm5nklK3eoJCazcXVUBqn3B53dT09z528u7w9lyDGeZ6N
fQkRF5Q6gU5cPmVlKqxnNk8qqsJq5tM+8exJ0fxsBMlO6o9mk+372BYgipaI/tmkoanoywIy0eKS
XsnQp3i8Yv6G0S9UiCnQAVLUJsmc4gC8g3t5gJurBaml/7PG3aIUqxktpQQWQR+81vxGw++h6EYk
GhD3KgWW0246SU2C1prHfQgWI0/Kwalt5ON7Z8RoV9d1UZJ/0yZa1JdeB3B7GJwTKnHdSFKGUp8C
EZL4etdZezbvClFFceOQQF3stxnOE5tKr9SoRO2U1epDMYBvJQpdqZUO46z4rJKSBdsjjSJd9M0N
oC/EJegtA6MIt2iZCl1tozEAhkiHH6Mx7x019gaalS5FG8tlB9ncAchwA62E6AuhmfMdADIqdWAt
hpgoR+ZqQMtqLuQ72C6s9v+bJW5Ukm5OWlOgLoMWKiV6qiOiakHqT+1VIbC06R2rMXEeibaEtuwU
1E+XZq3Cb5KTXbghfRrCv4mFK0PcZRuMlLVu08VQKu/T8gTBHj9nAjTUFjbChkrav0vEOfvAekei
M5Yo1rt9ohq78lvc7007ULS3LN8XFsppZkyiZnKbWjCVy29/ilYm+s/B5PzBX8u5h55KpsFQhNDm
9zm6H0U9JqLf55zC0sKm7dEnHUTJL0N+E54lW78PkhZQblsQ+FHNxVVWAb63G8uZ2hynVQXK61ib
T6PqiBqwt/br2gh3VW6NPCuNKv3YQ8B7UXQApfqd3f26vIG2YjlaAhdwIRIQn8ph+tQOianQJKid
a0rfa1WksLy1b5BABOse6uWmoXPjmAy7gZQ7Jgu5K7Oe9nIkEUQHouQnCXpgl0ez9VLFbei3Ne6q
H1ML7dAUCJw0HgYKvjsw10xxhDaarHUI7dTez2XafinT5n62oACGfT3cdF1hgF87b7yhGJ5sOmeC
gLjpMb8/i6dcsee6tOJhwT4lkeQOuqzvaC2L9Lo31xIJK3BSAdCFpNK5X9YNm9reZABsaqOLUChe
zK2zC+15/1rgdlbfFWPbdrAAzPJjCaEYaQxJog7EhJi0rpNK1U/tHyrhLNkHkGBqqPprH9ysnFGl
jZWlNI+TywThVU+vmqa66zrZVdqlVyiODpedaGMaz+xxkd6y85ExBnvwIwLNMLQjXU/sL87jMytc
mI/jDA8UBVYq51ofr7PuV5Zcd6bgRbo5FkRZtFSCOxdwsXOXACuPRmXQKgdQCDhk0BRHA9kfUvP+
sz4gXDQsFfyd6E89s3F57rcSgg44CP/9MW7yOwDfTKrjXGrSLt0VUXJspDi6a9rSn9IEfJq0KHel
Vf6iPaVBajLgzrTo61Rr87EZO1GrNs9k/d/BWYuekLVwWJ4P7j9mZCR6nuE0jpzsqjDZSY6+VTT8
miR058QmMSsk4DW0bs4khaohMi7EznYlVfcWpVeZPrzKqfn98iRthFS8yxUgs8EwC45dblG1yGnz
TMMcSZKXzL5xxfovyFzFolScyA4XTNOQVaCZxeUqrsoTtAsP8twTFhtHpVSu6rTcXx7Wxom3Hhb/
YpczMzeGDogj6JkDZteHXhieWCN4vIiscAvaWND5nGIsaE7k8O6FWs+hJggg2yZ0KMOiMW7Bu55t
iP8oqdGGY415U0GdNoynwcu0F62//5vp+m1lWb3VLYTFVkz7DFYSi4xQ+w0c6guj1MbBhTXBm3Ih
/sNbljfS6HrazUCfMdvuSDoaljvRUQTvWhyWuxCeWeEcGjgZu9BVabmEnCx7cHXwX4fzXSOnxIDw
dysipN127N+j4hxbs5oU+YAERXmjvUrN6olmb1V2J5sNUNwisvSLgwO5J3cq50oNLucFQpVqKlEs
SpIsI/JLV95SsPEL01GbEd9A+/zSIInWTG4ukSyykBrC2IbKxTnZvA7p02XH05ct8mm50GOHGzB0
yIDWOPe8XrfHEiRyyOK2UeKnucXA5xGX7sSoRKa+SL90hWwQvaOZz1JGd5HNXkatGYgDEQKiVE3o
4vaSEr1lv0CfFBGIE2nunPS5i73juPM4fDOypiOtUjzH8UQ9K09DEBwrNshXtAgkRBMYAp05mZ6d
rgrdXoni23mIFK8s0XVascwmBetrH0kR0GaP5hgoMSgjdLmwfCUaJFLotQmqBk3bXZ6c7en/PTfc
9Mc2o3OVRmlQgaKtintPigRPt83ogsYxgJvQifeJExRRx+6QlkU227hXokCbDpncE0N069pKa+J8
+W1nGekqvphdZqWlDDvmKXd88OpJhhvquCufkh/SUSsFE7cZaVbmuKBZzikqERacKr4jnYAgUDRl
nMOCf79VQwW/XQIxqt/Wp/n18qqLDHCrbvZtbZYT5ipKQzCAPdWD5UYQYkqf/zc7XOAqoHJftQx2
wuzU1nsbiODmWlYFG1wwGoeLWF3ZyUquYbrCp+7Gvku+jIK+mc2Q+HutuRvjfywJCi0MSE+UYZWE
NDL6ZA/x96H1HdGEbUb6lSXuOgnsgqbOOSwp2Q5tpB342SKCdktZ1E29ve//3S08f70aaRNK5zAE
fTdrTEgfX2PzkMvLvzkalDKMD9o+qGCdb0m9GTqs/rL89YMDgJVkdtiVNrHeTRFlxeZ4luc6/kKe
g7/DNFJUlMVYAPgh73H9JdqYEybCkW2OxwK19pLzN1CtOR9PBjYDKTFYGtiDp6Hxr2gsklsxQfMf
MwXXpU2fQ/ITWWuQ5uOBcW7LYdDpLEskhZrcTxN/7HdA4JU5Gmv9SoRx2oxlK1vLBluFTqTjh1Tq
YAvK2kCmxYITQPTzXDhT5z4P9QEQ5q5DVqihuuV1kUi+adMBVmPgQhqklPLakjGGYrxpjXejPFWJ
SLJpc/1BOLKQydkq4OXn8xShxIBXKxJDyLjHM1oOM4XUWUxKORgywfpvnmcqxN1MHcBgyJxxixJV
ndTNuLYEKool/tTPN9bA5H3UFIoXTV3iojntWrcn3Zu6sSKjrVSC6L01pUvJFg3DgPsgCX8+XCiO
L6QFJaZ0/plGX8a/6BGFLt/v3+dOB9OOq4LWgFuzqPUKahKr+M60p8sxaKv3C5JKWC0NiX30JXOL
pjFwtcQaKoLVcJXJjLnIVgdtezd2kM5WGSmsBEzoQLBgQWl+n3b2boAA2GjcWYlIaGprRnFTROvV
h8ymzM0oVB7NcIzxLQo0wTzkhJhbZtlt34iewpuGFpIVQPZBDMjzUjWlE6o2lDGCflbf57BwfC2R
Oi/BvvMvz++ySPzlGgoMmgpSHkjN8HXdpGzHuLI6NJyV9KmvuqCabgv5GM+q2zQvJVoZ51zwJN4K
jZhBMJpDahARkptFY+zoWDcjXpI02uWHGjKscepOkQr1+IiEIvqDrevF2hznpnHelmqtKMivJdZR
cfIvWZUDZKAwUsvJ8S9m8/fQeEQGtK/ACNBjaHb5jHZ9Eg81KcD6OT5o6r0Wz54s6j/YAtSCfASP
I1S/QE3D+2TRsiSdE7RnFuPOUOhVCbak7MGGMKntQKo09eIrM7llySC4HGydChbaXQ1QqBsLS8B5
dCkU1exNHYmNmCXRL+TjIWA/lMpfxLC1Fe4KIqfOjNMNozP69FBpeOKku7mtdpeXbctF1la4a1ue
OZPcZbBiqdOb2hBc4k6gJXMTXQRz2drY6MYB8RXuH0jzcWdpA+eIdRnPZbCoygdQ6X5Ho7LsJvH4
FzUA8Fvh2Yb+TlxseP3Skdl5Hy5vBHO2QRY809jLGiZSMNv0gt9WeCSAOkEFUdORsJG0dx1vctDC
CPxsMyUK5AmIS4B3scEhdO5obYHmR61FZcpgvgO0f7srn2TphkUEsppO+96Nx+knuuGN6SWNCjeb
3bw8qs3dZRfZujvY6IlErylaZoHSPf8KbZa61mIVmoDpMRmiXVweWXLTm9NOi0XtuVvuuCj8QPFO
Az6FXzrJquu2qoHo6MN83zfua55FbgKN2MtD2orDKzP82sWKnVeWvOAqnjpKzIHYP+XXML2loiaf
rTNmbYjbxGOvGazvcJrRX/UrTNGRPMySb4aeqL1ga3uhzIyoZMqoDHw0kqxuwjbkMnAVQqy/rR9B
IPfnsBdn/etcDaUGxiALDfx6DozLLAcQ6KE16jXGax0eLq/N1kBA3mcg7Y7LKpp+z90tl3KwrC0d
2sVYP5jMeIjL9mBI739hBZUGtMwZhg6+zXMrU4xfbUEAFORtCupUog+P1tQL3GyzxoKaL9BW4H8H
lSl33ncDlZsxA7hmrH2GooXGOs9wvlCQwecF5MKmg5PvzXgPlhNSaCdJtnaXh7m1n0CybOIfDQgE
nnOCynWq9hMm06rTDk3izq4CNsujeVGTSIriP07/IO2KbvSPHn50tXGzOndSmFcOnjLtyNy+BdEj
Gw5L4sSoBNeNzwODJRxccEpbhUbg4kUrd587x4pYjbYrPAATMMyAZkZOah9yPUid7S9P4mePPLfF
eeTcKF1TpbCVP5sZmbGMqsDC9mhwvV7az8GRygX63JaqojHwPKMD0J6poqWHoswb0puJQ2yL2v+j
PW47z1CAMJq+Ay5EQoeL80srfmGHCRlPticOyXGQUeE5aHHu39YsKnt9wutcqr4Bu3pXNNmNFGUi
/qQNjA30u1G1/tD3RJ1uOcJW3hAWdm4XEcajZAUBubdr5TIx8TZhUYprfEtMJz1kDVpLmm9ddWwr
y7/sIlsLuP4AbqRSrg7mPONBmDpPinFNpWvNH0RQvY0LL4aJVxHqv+gphtbL+TDlotGlBo/qIEv8
tq4ISqDxAPZ5liOyoAVIj93eKIjOfEOEvd1aypVp/s4LeTo7bJZesgK9eNke4A1FlGzZeO+irK3i
1raQ9kL4idsFkALN5WpsMYmd5Bv1wX6t0AePSgeIQbx4+jFOHjN6F7zdGla0oyAbg05Rrn69vJYb
qP7z7+B2h5lVA6sbfAd9fm9c81R7RvA9fI131bNzYjvpZN7lj9aXyBPYXaLj+YP03C733mdsUiaj
gBNFz1HhF7q74DyqRbtZPcmtj56zQpTn3MjVwCbyQSC9WEhhZc6m7OTlEEL9JYiKFl34uttAin6k
/oKFM8NT1zOidUE8Cx7CG/0J53YXf1vtWLNuoeqjYI5LIpXktjf3saffsSegMXHbax+YTcyIxJQM
X6fvgnle/OjTPINKEvkwEwwtfN9LlVDQcEiItrpkELn+4XSxH8fjXnXGXReX12lb3GVQOlN6DDx7
M4pJdC1c4tGnL4BYLy73C7aXpxqpqz5kaSwjfzQNN3KN9i+n+Y471lfWSNdNr78KRrzpWUjGAoYI
9WOIOp/PdjfnbHboDHoAufSAdD8l0gAVmsp+MJ7s1G3kr/V4NMDpSqgsmO2tyAjfMhceBJwDPBtO
bTEUtTsVJcxb+HJxqxV+JihybM7mygTnSxbuMWFoKYj+sWfnlBQ1+KdMIiWdy0Rgwc+vPvjtyhZ3
F8jNWYsmS0dyu7N/tI5OoLbzcHm1lsX45BzQ8tOAOMF68bn6qah7JLvgHNA/Jlor+Sg+lT141ZT3
RLq2pY6UopNlK7prWCET2pQgR+Iztpo5T3I8m7hNGdj+5hs4nhS1E8S3zWVaGVn+fLXl07qswKxv
4cGcO6WfOmbk945M5oampLLamNQsjwU2N70PnSIfvBhIunHncp3aOD9yIw1G9bmQY2LTZ2t8KwFC
vLxmW2MDQTOeWFDQWtgczseWgDiuUmtssBEj8YCb7IMpNHpPn/vEVQf6E2wPisDmZuxeCtPgQVvu
Hp/uwGHcT7mDM3kwr9jXcbozIVhWJ5GrFY47Zieb3eeWYK9tTagODCBI9eEm8M7zgdIi7XvNxnaO
QcckuWGKFLR0B6VOwQGxOaErO5yzzNQcjcyEnX6sv8vlY0PjvfMV5JVQwAkdcnn19I0dB5JdoC2X
dDAuIOeDYnNVUqlNaGB9VUCvIOINX5yM39Drn+ecQ6tUdSyGnAZsfhuikFRgwK+kx046qW3sTuP7
5dFsbea1OW6JKtyeAH4t0E42GKQc7m1QtQlJPreC1NoItz6NA3GirF6Agb0Dnqq7cMg8Zbw3Rs+x
fRoB8iUE0i9p1UvTyO3lQmrHsYaUeBCV+6I+pNEzSHVJjxyzVH+FOqxivKSzfn95Mjf9feUa3MlZ
gdpyzNuMIvEBPi7lAR05RFFuZ+RyLhvavBEhcWNZOjSb8VTnsspdo9KwnSF7l8j72gTvWJsR6EpB
fKSLbycp2SeG6Y9D6db02MvhTslnv3w0QBU2y+WVHHaCHbjlRqCEhHLd0mCFWu75phiVrDUko6bB
JF9b+hOeiML2ga3J/UgpopQGqWJ+yFDe05MxM2iAnARR+l8L03XUmERVRLO75a4opSEBBjUbvC24
HS6rhSOx2aRBCQrH+Bj1ylVbRFfZ0vddnLSZfulrASB4K6igPoDcBBK4oLvmXhG9pU1yo+k0qLWR
pHiTCgFoGxj8hf52uSoAhIZwzAWWunbCIWEoCtrRLbrt3VS6XrpEB2/I3+YrpUJ3lYbSBF6kst8M
u8784/I47OPe8KEOsDT9nbsIi6WxypdHIe3sYhdX0lPhhH+e2Dw3wu1APYYgJPjx8CoMi51WU1Jb
oyvmf91y99VYPg7b1e0kapjT2hoeQlmzSI7dIzd5EPvhphWALBdCcnS08He7qnIGe0H8BOmMRo1C
AQCXFco3yelE9E5bhw5SSWiWBUny0mh3vjaV06HwaePmU0mZO2TOHvrWEBEF7TBBFNp3TSRDICC+
vRzFNnc0mNZB4wl3NGTOapQYKFHJy/WgPkKq7oqh+aPDcrG/Gt4i3gA6SkinfWSEVsulYbnqYhke
QPeHVLMO4NAyUjxuEm2XlxP0CETXrc2lW1nk9rOMttm4NHBHZnQ6amzfTZBsMQTXq81Vs/DAQLM5
RDd4lg6jZlrY9vAPar6gd6bZGeFRGZ5ZhcOnFtR1NgPUUlnSkKG2ERbPPaSNszpH2QcpHWto76Jc
lW7LnHX+ZY/YHJEN6DyenXBGPiVsmKUFlBbuVh2yjEv9A7rhN10DDp3LdjaXZ2VHPR+N3Fg0mWw0
0av+q0wEZ+GmW6OJZKEhxTHFw+h6I+pKFtvIa6voslRntx3/H2nftRs5smz7RQTozWvSllepqJZ5
IVrdEr33/Pq7qH3O3lVZvEXMPlBjMDMNKJguMjJixVoiZLKe8nQl3BCWLipw/Qoo28/tPzK9y3Bq
Jx6Plr1a9+p7w8SSMXqDpgM7E2y9uVk1mnykDfxpH5URr4NYIyCi2Mq7omNM5N5lg01S0SkH7iVg
OIggZXxiFVqUbLhRQK+8V0xGXUX1a9gMkgWeCpaoITKk+QQNxrTqiRK3SMUEfHHqInyHP7QcBEuK
0BmSPtRzGZA7NpdHE+if2O7yNNj5+M1EiACOguKRvDL1s8ego75ZOwrPblDkIS66XVeQPJdqLk3x
fmDiy9iIF6Qy5HMSC4lRFn7wHjCVtGJy8V4FwhkwDTyuIF1EXTmVLxdyKAyIS0ZSGRxIUXTtlXOV
1/iL/ZP+5RQjqnQg6B7v4OWR/tsqXZQMUy5mhQhWCyPX6u2gvPvVFyP4m156eWxp6eSD5F1DSyWK
KCBUuJ3TWEK/d51jTsUSgMOKjd3KK9cmcSlcR9n4hwoAxBB0/IgcV8W1zBijIYp3huY11qonFvAk
bbBLzUmznrBJSdrQfTy2hZob7rUru9TihfitTKch7gpypiA9G79MXFieCsljd+ngZ2c/8yO0vfSj
0asSs/F47i3zOcEYxrTYADIQrKzr4jv96otoXjsVKLiSQXsYNJRIsVc+fc7i/3S/WdLmhlqvWFty
Vai/QXcTNWC80anhM3XNNW0AY36Elr1qk6Ro/k3NFnP9eKKXDQHxgyQAShF0zSoMxDHW4HX3kNph
UX3gmoYov9dE7RcPBTCLoPuA/BXkIG+3aj3WYP+s4IcU8glCOX2b2I+HsXzYryzwtxbGtmq7DMAs
VPcEaNCcGwcsJo5g/g3IaDCGCv6g/6NFyscnkhJHXd+BRFn5U5lI8iVi+85kjcMFDqDTSF2O6kHq
ciJAH0BJSJetKf8sXcozEvR/Z5VyqonfSuMwzyrIKwzQqW5iO3SDtR3yk1a+891XZuY7+ypIG5ky
9aIaZgZ4USJBeRHaV3ZI/A+k+IlV79GwFRqvyAOaKAMY5cY/debL12SuQf2WxoukGwrSCGjQtkGN
txM6EJbwHm7VctIjsOZUYBMvyl+jaKa1jJdZvnI4lqIRhMBIkoEJHq9OKrZCmjAUuTRK0IYMRQyN
Df+iwfKYxmtpskU7EuIEYLvRHk/fjmMFGAEAJrBTn4diK6ob0Ks+3q4LJmZaYcyaPKcD6CyjUk9J
UuY99DFN6TXZBWuMuwsnnEMEL0HRFk3xuI1uNwlKXm0R5kMy5z1EoAacsoNGpM57/3xJbuxQS1KL
nZLJWpfs0+IbGGvQIayi0RdcIuAk6InHQNAJTAvm+mEcq4w8JvsiUayxO8xtqzX7tYqwXlwSWZvB
zRrAdHSTe+BrDJu0crLvOVuqD31kAojzX6z6lQnK7/pqokLYHCaAXKmzLUyAA/+xiaWq/YzxAiyG
n+mj6CYL5HgbJmmBwfFsaedZkYXrmjT66Px9Wcv/LEUFN7YoL480eicENWxF0YvSb4UerOAAiWpC
TtjAyGQD1NVVbvbJs5D8WUthCIsb42qklMcP/TZjynmkTEC0P2pCxp1/7Pbsy2QhRasnu0/OaYxh
15ih1RrtJdITpzTyl9aG5vFutESnMlFICGfi1guY5lY99UKwdjM9lIPM5KoQ0nl6fnEGaw5k2vCw
pugyqXTPeM2fWNC8/NJIYD7eA4s7+WpiqMMP0Z0pKhCf7ZPesyvJ7FneVifrsZFFD3NlhDr5Qwv9
armAEalwEV6nzDM7vHL6qK1s6B80FXXf3czi/CFX990QqrkozaPhjJaUx3bLWepG1gW8H3I90KMN
58THwpoMZScbpc4dP+pttQnAyGcLBqjTDdYQLVC46e0F2l+8lZw5aNMGzkhkzLxAYiO01jkx57Wl
v3ouNc6pZ9yPdBax0Lyx5GcgK3TEK2ecjMezv4RaAZQPly7SjBIogKmjF3hsqyQMxBQKNPQLZEot
L0bncfOrTky/JEVCFDk9pcrKvbV05q7NUmeOl5k6kUIMS4kUqxnQ7BIP/J6T299yF6wpli4EGBgj
1LTn7P1M6H678jK2sS9IGGPMy5uotpFl4zLfShxNsmplJWRd2s94myKphwgDYhGUbxZDz5OKuS+1
rio9YrMdcttmnZ9DdgCP9T/PSM39Cv82Rq1emkC5wesA2xaC8Sgp9cFv32WlM8KqJCwXW724Jia2
uHBQigZlxoyNUCmfoPrI+RUZmq6iGtC+sShBuiyjXymrRI5E6A1xHm/QZXtIyEoQqwCgnzq1WgQq
Mq1Du5LPbT42UYR4bSjWXsPzbqMPGVIYKKagTotEEuWD2HDw+XruSCq4X2xRWB3SNnx44cu3QNz0
7cbnA5Kg9VeJv0rRSavXx2Nc8rPX5qkxjlk4TolXQEPBkwHbzZG98qaLX1bPj+3Mr8v7YaICPqed
ke2hDl0B7iMfyFq0fgnvIivthKhxqvTCq79L7imJUrNr1mgmlof2H5PU0fOBFgYABKgp9EvUBijW
vsQGGL9ULlfGtnTsUIr499iofekLKTNxKZZwjCq7kTWjGLtzoxaBLsglYaAx8Hgul/zytT1qy0wh
46EpbN6XYDIKxedW/fvYwNrMUZuC7VuN82YDhSu1gV7kF1FaccJr+2H2m1c3YhmhRaMrse+yFvJk
CehgW9xy7BOI94Q4ga7StwCM1+NhLa4ThxYTHGUWaqHUOo3IbjK8ABBy8TQgivH1uHdigTTF78d2
FqcPCUKkg/EyumMx9Eo29qYZwhbVyufodbHucd5hGNYoOxf3gYD3xEziNvck386hVCaSmjUzXG14
kVuHkS7/xThAL8GKKjQXILt9+/vDoM2REgPeqAfVVCoBuQJcKdut0Q4sFbjRGfUfO/NeudoLHjvG
jNyjtsFwMOVZaQymSTTvfyMNZ/cKD9hMKepJpb6ju6ohWf0kxUB188M+xWL66I59PO4lv8/DGSOr
zM+oa2rcAjOUY9zPFTLkCqUN0vlTTNQ1IaBlK4g+IWAGGj5aB4iBpjAjTRg1kMF18dngSSj2T2K8
EnsubkZQy/2vGcpZpL7cN6BVQuEIjIkQOI4H9AMla7hF6jjj8Q+fjlo96Jk0GU0N1JShGxX0H73E
XWp/cn1xy+XTIYxLfeSEXZgAPJqxJhPV5j9aqDur1MaBMFYGSWNY7ZPWamTf8rzQiDPearpxxRQ1
jbQpugo8MHmkKT3HXRrQJfTi9KbUx0lU1t5b9HP0zg4VwnXQM0LVFkNi0+9UeeuqZNtyKpm43Axz
npQJ4wSNSFh5snJGJADw6nK8Jl2zspo/7/OrAynVeZf7nchdGGTEwl7a4sl/FCN5JzWdIZXtJknA
Hy2szTH97v+fwc88ROAbQuJtXoQru34Zi4wSMtyleB8a5I1JRyZ929nZuQDel3Tvj7cP/QC5s0ed
jTICVR8SEFjUQHUK6D0WoWDmaacPBToCRLyxkHVNQbg0gEC11kJrxf7ipkK/OJS/f/qaqRBa02Kp
KTuVu2QtymtjdOhHCGUL3XFC7rHTelsa8eQb5V09AQmDKlcEAcfQkZmJtMJKgX5xza++hQrQqoFr
BtBmcRchsXoW0F+wBBnKaKIiMiG9EK/UmCnv96+pBz0SZhfgUrwjbpcaFJRlgnZS7jIO76Cm7SeL
g7DJmh70T2fAVdh5Z4YaFVrf6qxXcv6SJaAEB7QCpGZFBUipyEYQ/GgLdEjpUV9rpK4jT08lQCHq
puhNQc01o1aneMvXg2cHLTOYHT++h8pQ7hRQ+2+hdyKaE48KqRLnkwGIfHf00yLaPN4k1CX/MwIw
f+HpyEKlhKPLNr2v4dITff4Se+WpqfKL36pr/aRL+xDlGvCozvlJ6GneLkaoRm0HmDRmSR5HJxR8
ZaPWHDpXPcjEPR7OooPDba/NcQuU1CXqpsj7UUQ6qeAvSix8xJFsyYnd80deANEYJAlC3kjY30EZ
6klcm9KA1EOWa+bjj6ACQUQzKDeDQQBRIP7g+N2OVxmKyQuVunbRfoaAJtHxcjY84buQfcPnnx8b
mwd0swXBRI6GNLzuENJCQ54yxoTMKHJMV7tdXFyYkj+HA6Rfi6YlBTttmKnAvmd71n5sle6ZmccI
pzI3zM6ZB7SO3Y7RB6nqlApD7dbTaKlNZxfJvorPOGhMPVnN+FYhG826fmN2XGf39WaC+o3UGI8/
g5Z7+fkMVAnQho8IhAPw5/Yz4hossKOq1e4UvkynTNCBEkg6W2mJh95Kc7R9xlQyYEDyue1gF8pW
ypntuSjMQNo2IyQLSbkPODsUCMpFXg7SWqMddlD5bplTfVl7ItCVqX99Ly+AdgtgbcQzlF8KlFKo
49Kr3WKjfKZf0F/XS4hkTY5nNDv2qTIF3Ee1U1mN1TvtHko1l37XGNOJPY5OtLJPuTunPLPYX30N
5b6YXIwZNcTs8VCWRipHb02fMHpk4B7QPfLnazQi8u0bzuNVWzgfPGgt0SgPnhYIHs5/f3UPp+1U
+lrGNi4XGgPUs1v+dVad5XJ4TPjOx8buPQK42CEGihcA2BqxaaktUtZj7zUNdmrUFY6SVW4Wv2tV
YcdBA7kUf5/HnDFx4PyW+++G+WrV1z5Zw3Ddhx7zR4gzxgKJJfxQpzTyGr5jCrl2Y1Dc53IFIFd0
9s9SbkQir4+NkTM+KbXO9Mp+bobh3lZmYWHO8WRELz9KamAoVKk598IsZNUsbFwxevWgKckM6Ust
HDS5JkpxKuJgM/yqq01fHIrEd6qg0WvBkPy3kAPZHi+uRAN08Xs+BwKHxJCIpwOaP2iueqbnpbZM
hcYVahACCfu80hnfHhCJDhHJNckY2u9wsOXoqWQHgq55Mxb4ld7yec4pz4mekzk1Bg4s/IO6luQ+
qzIPd5Pr5yUSfBrARGrPr5UZ76NADBX5Uhn1WIGFpjs1810VjCDf7FoXXZK1r6exGau/QuGolFbS
u15uoDWqbf+urPfsSG4HN+uUzHBPMHzBMdJWNWCo2CiQLurkIPM9HsdBFwewCEo7bSSIBpDaHwZn
Wn3J3J831AfRH62CRAfPTkAnbk83AwpRXil59WIwjrX5DE009RFO1+Xdihu5d/6UJepQJbzUSFwF
S6Nd7KtNZgzkKyOQJUfdQ9RBC65bHJSYGqdDLaMzQ1s1ZGgycWZoBNvUYne+NT2tdeT8dPHdzDz1
VXM0dOXdckloJQk+4NLqoz4Y0V91m20yyJ+BEZ0IO85JrMTI9S8gEVDiNACaRvlFthibtxSbJyN0
0WKrsJMVzPSdr6c+i3qMTInA1nMjyqXXwaGpK2ZGCmAf1kRr6CZWKNbcLj+18TgQKeV59GMn/wWh
Yww6M1yf/Hn9XRGP1HuPsGRlt9Pi4f8yimQY8imABKEMfjvnGsv0qZRJ6mWyesy54EjO5IQ6t42O
o5EaqFboszCXscW82o9P2jwearlnznLEHyiLg3yMMp3xZcMPYaddgtxV+UMJSa2oeg+LQ4IiwmNT
C0uIXA56oHjcmzhd899f7axe6OSgitDBE44kL3VgMn30LBSIWSBzbbBrqlrzl1MjuzZHk81PXDBh
K5fMRUGNoIw+0/ofT91c4AHVPLh5BDzSqKmTykHgKiBiXKEpiCDVRC0sNM/qCB50zl/rK7lfqBl4
CKbDWbAE0hTUARAZyFQj+QFrQNp5Arhs3vlXsd6Na7qSi4Z+tKJwyrEz5r+/WqZEHLs8a4TQ5dUS
VUczdQsVvfJOGa7covf7AXMGICW4G1gN7pa6wNohB3SVCSNXuSQyKrViYuZeQ0pGh4Z9yPImyDAe
78D7By/gwfLMfcEB5yfdLZkax3kRxX7kNpAFbg+f4nbUvxkSnVIdXUN2DIm3d9Zo7AI/gbmW06QR
jTjnMA8SM0DHwVgJR3M7tarYsM0gJJErv5T6ZEDTzqktvX1dGeXdg5UyQ11hPVdGVRSkkZsCOiYB
QDaaJQn0z4nwm8r0bZEEx9aogCFLUGR/fyl031i7R/i7FAb1EdTpSBCwKHWIjyjefIch0NTQO9LC
dU/QTBSNwXyaIKMJCmJS2CqBc0Ujwokl2cqSL+3m6ymnrjM5SjlfZjHlChm5k6DoItQNi11cXR5P
+t07FsOd5QXQU6EgGqOdQS2OspzFTeRKSAqqWQBVVJHlicKd+w0EOh8b+3kX3vq2W2vUqMq2DcE/
UEdu/Ts2E72zNILtpKsmr/O6YqFeSFqrMDkyGJPx+Qxspi0DBRra+R5abEBMNKR+l0m7YUllQwbO
bvXvikQOY0Q61JyNwWgMZqOurAWN5/nZ/8pMhcWiyQV3HfXZQRR1VcyLkdtZgtHtNhPxHYW05wk6
rjywjKPObhuj2JR2ZPnn59bqLZnkG9YSEty9v1Mj2w4DuYQG87QmIbq4frid4B2gYg9mvNujOfQN
botw/rRWQ7XcadrJaErOkRFnRAJJ2efHS7h0PGbdPxbckGhXECl7vBprKdOVMZpV5E02JXrubWRG
2TNrSb77AB4789oS5Q2qtsSDboAldiSC5ZdW2VqesktKWzQY5BXe2HzzfxsbdfSDSisEJiswthai
E8FTOxy7cCDNCsSCroxhOwGuPV++YCoF+R0tMxmmccahAzlyecWo2l2auD6C0WkDGDcRgFRtRcSj
065jnN6OLxza5b/qNZ9+v474BsgOzKQUiKNoFBA79YHEMWHsyqNTKScv3Hnlgec+H8/o4lCh0/CD
5UZBU6Nip4Ef8Opm49gdLO0kvJdm+l08RQa/iU3FBlbABGN/TsqVNPSK2bvkQ48uDx+04bHb7Ftb
POfn2mgtzZy2rcVaxVYx4HlO/Mpg7102AkScwjlHh9wuDQdNEr9PYn6I3YCxvIN4rGNn9JBe4FYK
mbSA6Lx/EHng9MkyeBXvugrZEO/ewmcTd9rX5zeFlASBPvQCLNBvkmf7ab9/tb+evr68t/4Un5iC
dGv0sAtDRV4ZPNnIXYPT5Ket6SrWSqH0DI6ZMnO9j8xifnMmRGeNla1zH2ah7oheNVTABXTw0mH3
WHCl11VD5o5b8Vf7EZz8j+CC4onDPI9/G7O/eK9wrIeYJXlhRGtndPYutzcVrM8UJuipAOcnnTyv
eqFJy0DI3MIY9qgI7HwbGEKIH+CmTw5rmKSfvO0jc5Rb5UYojsSSDHOb1EnPAwRfdXajHaudvIFg
nCMY5Yt0rC0wuduNHV6yF831TNZpX5WIqEfmPXlZXYC1KaAcMKuFEVNo8zcBI1pYMhToAwuYTYM3
css7rukALq731YxT3rcourAKcyVzGaYhk3oWkoM0nsRW16oXodfB7/p4g91Hm7crTF3qBdMpA6gC
M5f1jnyXGEK5C8V/yBo6H1U0QaIxVkJhEZlQal1D2R8FpWIDtwatBfdarKW5FgaBvmKEbVD9wyNY
oAbRZRoY13gucCXl79A8MZkdei15PFELhx1RP1j+0MKMOJFmNRykVBtEOY/ck2CI5jNP6pUH1X1V
A2+LawvULYG0ZMZ4BSxw/jNaA4gaPXHJgR3tXPqr8lbuiv4ONC5696xByQQV3McDXEieXNu/uy5Q
j0p5foR98cMv9f5X/CVZ0y757A3/QARnjExxExab4kUg8prm68JFjHnlwVmDbQL+SypPLmaZ0ApV
iUdPSno8d5zqLK/hOOajc+1dZkGeuWMEmxHKA5BOug0S66kPazn3c9cfGRJLRxU50ZUppE8vbYI6
vVnrKY2fwkS277+ZPxjOr/IX/zvdBpcQryVpCy3q6Ts5pk+9y65kJO/S/P8yjqYYzCTGSOcYuqqv
cnWMYNwVdsVroAcXeZ+YzBOOQ0DW7gb6zNHW5vNydfnF+VAWw2wNPbTG0OxTbyJJuJIlp+P62Qii
X4jcz7XiOxwRaFamshXZHM5Xla3yJU71YUIfwRrT693bnjY078+r0ZR9k6ZFOeWuQCAR7e/yl2TH
bYuj6qxdcqumqImTJ7ZQebCXuMzOOxSb5OTb/j54jsgaQ9jSCl1P3jy512PSYjheGYYUCW92728J
kHZsr+z42XXThwqFHbSSzLRuUD64NcLJjBB7HJe7/VYEnxzpPotX7QW8ky/KkxSRdGVD3L2HsFBI
d0IVCqlIpO5EaqEq3DXFHJS4wolPSP9cn9UTYs2d8B2e1pzSwu67sUWtVAMOaD9gktKNd+G2IZ5T
Wu3rGgvZ/EuoCbwxQq1SIKsDyLBhJNgkT4LDnvj92pZbHAfoWKAXh9ckyl63axQCpcnHRVm605/+
t3AMPoWK8K/e78db4adziRoJLnmUdCEahcY5uhzOS3ECLGdeuslboA+7Z9uyhh1BrHj0yKt+diLS
Oo9NLswdLKocC283V3Opex80YHHrs3Xpps9+SfhTY2PbrbD7LpyimSoebxlstrlZ5Hby/IyJy5xh
KpflDlGiERboTd9fuTiWjKBAB9ohYDdYiKjdGkFff8p1RVC7ULSOgA0D75cKGMHj2bq///BgmvP3
KAfizURDXqVEq8qizIAMUQqUHBMQ3udtkpj/NyvUUNiWQWMpSFtRcbwwfE7yYVwZx12ghGnCQDT4
ABQ/8CSiLnIpV8Oo9mCi5baT+JtlNEvmdVlGQuqpGMloNXqX65q/ZQQQzWyybGVLLE6kCKpu7D08
jOiqCxfLsST4ae0OHVR/oU+X6m01cmvDXDYDvk6QlaCaSqNcpKD1xtEHuKZCe5oE3ls9n/Ss0yFY
AIAk/8bGH930AWg5ZOC4NToIOiCb5xgYm9mxo08RsMXbHTkxKYB9HtAZxVg5EvvqyZA9539BNnVl
mPdb/9YQFTJxALCNUa/ULqip9BTNLl0BCLT9eFPe1UXp4cxfcXUXMhKXy0EOCIRE0FNv1Yfh0//K
wHO7yRxglFAVDI3CdpSeDFZlnHmyDUhLJGPOv/tItV9a/Ofjb1paXgiwgK9g5r++K1UHUy6lKeiq
3FoJg2dOYzVjmoJ6xUXeFU1+Rg6EOy4RUHJptFdWpnEKVJVpUE5Qt9wufTYsVs8sbqcg9wQEauLI
O1R9eUPXNiuX9Q/86/ZGwNpe2aZ8Z1t2LMCwsI1G99cDytF6YVQbedudags5YSvf/M6t1PjFgnAg
MS9/H0/wj+bWI/P87aInXSFwre+3LgCYlmoXJwlJItYuNl5CkGW3JHtwFL23UMZ45vfDMduu1b3v
UAL07NPHqE+HnhUwA76q582n8jrUW095awJLeY1EnQvwzKutuCQ1Z2fMZKcNpH8MNvs7CuAvzPdg
3JOVHMo5jJHXEZp1dZkxUg3/d3pufTsfviQQ+PdgjM4djbUeT+BCqIrkAJDvuJRA84nK5+0ESn0k
B2EL9Ihf6GGxr31TZnaMU79mB22/dpkvnQfcfOBMQcJr9j23xoqWY6uSYVuXbX93IsTV+9B4PJ4l
n4awBKULIG/Qv0LFjmEUisoQxa2LxqlkOzR5tgGdVqWzraYRAODLFXsLwSqAX0DgAPslQtuZBtzV
Y4we0CRt8XyRyCG6SAfnAkDb9+Nh/VQb6H1+bYbeZEqiZEwEM6ONHrStdJH+cDvLOnCG/FQ53t6W
PohNyHNHnjeaGf02mc35zJLg49wC8XEp9JF8rwxdmM/Wo2+aV/vK4bJVPUlai2+SRxKru0gBsOyZ
DSwNdQzUE5FLPKcvqGsV7iRZ7Rs4vsEBAjy2YpTOCCqm2mxehGjHfTfcpuY/NYOXSLX3RiNYy4Dd
1TrnM3o9fdTdUKV1kzV10ro8tN+7g1Do6D3+9q1M1wy9J/0O/wXOeRKZkVnZOv9snBNu5aj94Bke
zRe1N/mhYxney1u3T+0xtgFLz9lPILb8StccRjvX0lZLz2l/KouJCP0uKTYh+1nIiZ4oBBWTNNUF
5m1S9figVIYmG6P23AHtHpsiHszituettAct4nexqXq06RKOsav4lMfmoOqQdubaY1AcB+8pqsGb
WkOaC13wPUkgx/AVp3a7Vwtzki1hE/6J/HCn+kA0E39Y5au4z6DwCrg38QdltbnMfrtvaq3uwMnc
1u7bx+kTsBmGNBuIvj0x5BNSnig+zwVo5PcZ9Ov74HGZf3Id/47/yQBWdDxuzS1Ltr8T50UwQRyG
q/0CpnPArkYkrf/10zuZjjPw+Bgu5F/w6TjlIKcAFxNEC24/va2qNB2UEWGhsklY9k8otwfxNfqt
MI6sWVnVuEzrsEC1RtXa7rk/bKgN8HPnH3rN8SS6tSzkYeIhcde4vdRNpJ7KDzHS3tjIP2jhxK4c
7aVbAWR9YF9G/Qg5XboOLERVmLXyDNwVkl06urVUGwUrGgrS0/JbJJzSjtTlWnpyKZi4MUudkFIo
2Yqf8cLaCZwMxZNYkuQSb/0X2egBXhNMTucJs2ENDpk2ZlODu6F0gn9aEYGzQE1nzjLPIJs7Gv1e
CQuRAUecy7PbkGiqxUe+0byMF5BBDQJQCibeiCexWAlgZ3dJuQeU1HiIRABEBFFEaoXTMUrFikUo
w0iHnPdJza8Bh+6gkz8juzJBzS8TlEhLDV7jlpxdYCnRzd/xgd35VsxsCz0vEAH3n53t978eH5yF
xAHm9MoylZ+Qi4jX0gCDwzvGqjagbcVh/urInz8AOWA5Ob3CPeUbGn7WwBh3RVJ62FTYwYt+NrVB
AITsQdx2lyKDW/G3AdwKAPH8G5qzQN1mjWu8d3eoQdou9U7uFa/yVQbTXZsV8BqBLusccIPxXgIM
XkjxJvFIbmXn2NCAfuFXqqd3GGjKPP0s0FLP73LQbiILWeyZo3LUnodX5agcBrv91J6Cw1rm7v+z
ysjizlTEPHIpt06q8vlO9gecHG8g6a/4ubgE1uRoev4nwOADkoJb/V1wL7XJ+iQ1vKNqPt5niw4a
tel/fwG11KwAWEEqYqkLwVQS3bMhzJM6MRjyIuLxxDuxpcn2f1esLt1o6FJBAXVutwN70e24VYb1
MqFGJMT9GTayDFw7ET9YUxSs0N+gfZp94sa9ivflRUzctgYsltebeGW9Z/9w7z/+8xFUONbXUsIG
MiZfTdreDDj46j4UUEuSi9fH4130VLOKKZ4LKrhcKUuaP2h8Xkjor5i++PzAVo3+2MC8SndDuTJA
uUJNKFqQm7CNO+yZN8mR8BbaTS/yyoQt3nI/aqz/Mw7KHXJTlSlCzzVu/C38Yd7iL+1F3YuX8pTl
KwNa3pdXI6JOxjRmxRQKMDW1hP+A1FZ6SAK9BGZ4x+6HgwZ+qPfHc8jNv5KeRDByoBIGlV0kaynv
o7AgdQBPXeMWoMJ8B3jpPd1KEpjphl8Qpqh3ipu++hnUpFaSHou3zJVhWlJJrFkGYYWGVhC8w6u9
bGtv2g7CG3gVfKdW+LSmrLvkduYsFi5NxEXYlNQ6RhnaUDMej76mPOBdHciVLUUvlfhSlZPTDGaO
4hLo5hMgV0cysI4o6lUmEGhbtvm2Sj09izMnz6x8jcJjaSpuvoxa9ravBM4b8e4QI4cvdxJaULqn
gH/PYihoHD3GKt+bw7RNos/Hi3/nkDg0zgGJPMsMIlz9Sa9ePc0qNeibFuHUGQ1pGtD+so5L8Lkd
n0qvMrne06Hrsbbsd/4HwMqZmBMroILhhmYDDf1aRPW8qM8Bc/LHs6cxxiCesgawnWo7vgbgi5L3
eWsJIEjVjGi02fbr8ajvE2H4BGAD0Po2s+wA8XXrh/NCDYJQa+pzq6DvmDDgXGM/Er4xg5y1OInR
ZQXPrWM4bpJyowRGmT7xzPc0jujdKk8a1Bf++gzYKfWWWVmQO482fxnakGaqBFxCdGF6kpq2QuNo
fRbqwOjEfcl8N7Xbj2/gW3EEXJePZ2JpLSBTDg5cQCUBgKfeKU2eMqBw7Ouz7MegDN9pYE6Q6zXw
2Xyt3XiYeVBXVnhquiU1TUZ5qM99+q00HWkaMCV3pVGzSCKxz3FsRbyTealetk42vYAte8WtLi/4
1RfMX3i1z9k2kCQf/c/nttSjILMVpjGjMoN0y7ipp9zgQl2MCzKhShm/vw/lXow/mualkWrTCwwv
34pKTbToCQ1onJ85/8UiIB+LDcmCYZKOv3I+Y0M5msAUDxRC6zuDV+tJt/nnRpDvQucXEPMQSKUe
062qhlWjePW5U5nPug4rJ1amxEZZfY3b4T7RieUG8T5e7PPhAo76drJroQ1AQMQ1545tPuTQM/3h
MIWAKos279c66CTm9iPByVKjFp679lkYtlLrhE/lLvLQQpU2+ym5BLwFqpDgI9Qjs0dDbOqdunKT
d3aukJ7TQbpRlmugjcV9ModmMwoUHOQ01Uw+QJl00pTmHDPcDtwoJtN3ZAzG5xAdLiKk5lP1iam/
Z6HBoEZoqnziHU7q8KkPAS+GmEacWPxbi/dJUxiJyBrQA13Zy/chAqZXgwaXgk4fFGN+clhXe1kc
x6hMpb45l70Bkv8YN9IebeSe2VWkvCh/geMcjcebZ+GauDFJ+cuGi3xJrmAS+orpoQXkiIGs+Xju
8FDJfverTYPzZqQdxgwJRoka1VaRLneFcJBIOvntuf1uGnTHy0R7Tr3n8akfKoI41Qmlla60BUcI
lgaIDqCnZO7FpN4DgwCoaib1wxkJnclIix5NIz4fQxlOWZN5nKMManCzd0caHb3HaDWgomI216qA
G6fhDNiVUfAQftF8PS+d1l/hnloc05Wh+e+vNgrX8X5VNOxw7hpbSQrSRNt25FdukLsYHwHE9Wio
mEqta9yxNUbTx69+9Fl4vx5vvfvEOWWA2nujx8lh5MOAxBFOcbpWD0YLvRGofIJDcjp2v7qVeP9+
gUBkMHswlkdxHIO7nTeRb5NY8YLhnOdhbgdSEe+aHsk6dRpzwNP5NT7s+zsfFQ500SBhhwZgqFDe
2ps8KQIqoxrOfqg4zSkRfeJ5tZmOrTHF2PB+tNYGfr9owDAAnsHDLNJ3dBN2Jwojh3rccE5UDZnT
ED3f8f8j7cuWI0WWKL8IM4KdV5ZcpNSSqpJUpResukoi2AIIlgC+fg6qO/dmRjKJqafbrF+yTU5s
Hh7ux89h9pqVy5cFqBA+HxaQJ4bTki+CMQermpOYmMi+tvc8L5wNoAyaL9QqCzpeVLtBUbJdzvG2
aEb20TvdGCaD3XsxiOpDlWaxhz6TfgOUXhw62ZBv9Ziv5Znn6T0/j/hKyPLpcybPQXf++fQnvZm4
Ncgdj24lPNdNfBXAQyKcwBGb1F2jAVia+lNr0mI3rtuY2oi4t6/LIG7MndGwFfTo0oA0Df2n6G6f
2bel/QslPqMTRjYedeC9oufExDa6s/QXlTxdP5vaZWAH74yDYqCdH7GLrC6Y5VFiGkU3HmlVbmj+
pvINlI69tPWHB/5ox+hxcF6pIwKoceDYviXpUxFvU/cWVAcVGpD73+ZPltieM5NyDP9c/7pL9wci
js+CuolMOCoJ5+sqoKbrjrUYj3UWHxITaBC3Hr2asjV246UlBSTewcMSKVkc4XNDVtnZmlDa8Tg5
7X1s8J1W0OfrY1k0gSZKTDNKCjB0bsJWQBtoCIyFEoonCyPg6KzVVVHaORCXj8IMh8WlNHfDyuiw
sbRIzS1zPJYRKPcj+IVtbJM24GbZ+rRzxlczafodUyj3i3FsQogUFjct540PGXktuD7opQXE+wxa
z3ix42DOX3tyf+W5KCuekvFoNvaDiY2Td8UD+I22180suPtZuJJYoONCcVtGdeW5jb1hqeMxEfSJ
gRYjm1jI+a9xjW5s6VxaUB3B5TLX0eU4fzIbS6v1bDo2ffrOMzdg+I+HUlGgTe73um3WyjOXYRve
9CcGpRPQtlqsOyKGwa7dCpL6pPptsO+5Cuy2pzm/9T68PpULsSksovoEUhVA7+H0z5dsSnWnKIBV
OhbpDen0QCM3kZWD0qz1YjyrY+PP2BmbcYofbDXdNyxeeUotnRN0JLr4F5kjxMnn9kVKar3kfDoC
Rjn5XI+rLagw10i7LxP2uNhsQM7g+FwbLyrpOI6cKkWd2Ehe2NmOVEE/BjzxtDaICstLv+n2Fp3L
oOHaVoq7rbo60CftFtQ+DaqzSfYmrF1a1De81b+tzP9l4IwPQ3MOdPfAG4yTfD7+Qmtazkx82KA8
WECyaLpPlVCrH8izXm0S802s5XiXDikmApgioLPR/iS9KzUD1fLM0CecnjhUIn0DWMWe5WsvkKVD
OrflQhZKB8+0XPTSoF845Oo0HYehz9FhnoLCwqm5Z1EwKAn65/o8LkRkCL5B5oQMFTayLELV0ipz
hzZWj6Rs1W2ZZM9Orpi+GusAt7O02Bac2GFvDGvdKwsnFoYhyw1pUWRj5VgEiGfHGBsKw9+0G/5d
bDXhT+ym/SDdz+tDXFi3M0tSHFKohU6qFEN0C7avTfB+gFuSjvbjdTNLA0KxY2ZCm5sqZYdgFPnk
tqwcj85d7uOM1C9Ppenr1C9V77qlpTU7tSTdFiMD+01UwhLPNq71DiShz9VjhiZu1fnerMlgL40L
wCFsemDPL6nVYlqpInX5eLTVPLRpDCwWCXQnGB0ov6pPrEKBNPr+9RHiUTKjMcGLc9E6BXllyKEW
GkaIpgTjOKKvG9RxDAyVmz5dwestzeapLSlhlseOE+Uu7l7VV+9LQPnBVaHdlitWlhwpugUAp9ZU
8CmAKOjcXxltaRdObYzH0QUGsSsfSsECc0g3UWrts/yQKiEHCEU8monYsql9UZBxiP641r1qghLa
58fR+dNNv69P9IKzOfsq6UUwKEQoSoIwaIjR9uz0ey0FOw4IwjJwo183tTjPJxMgHcPIwSFUO6RS
Ys3IvYah6qPFEFjDSwQ7NxVY4jXlyIUwBCVXiDyjRx5ORo53RhZnaT4l8NiteozibRWpoUv3ff4P
9HWvj27JycxMiyB9x82ABtnz5Y3IlPVcL6cj8HXdTkTOuFEMPAVTfar3101dIsHxnIWIAwyh/w/u
U9qx5WjBb07VdMzyb1x7KbL33P7dPjhpkEz3LX/JlVdW3bZFAFglqOzS7XX7S0NF4AGwIppkgcuQ
7kHVURpB8xGzagzZtmDNb6gKxiHE3fOVLbPkej41dnBFOLgPpd2pgbvPHQluXDH4xZP+rRwf9NtJ
S8BysInp2gZdHNes6PMfa9IG5cNUxUppTUezRu2xB07YScK6i1ferJfIuzkbgYsdXRV4UaKJ43yr
tCMC9NhQpqPRB1BBVpFur46u+5PxyisaYL2qMDV3vcJ9kf7hTRAhO5I9RrqXZjd1s6+11ANHdl75
2nRvDt+TyvEyYd9ZbOVRsnRgkX0FKA39q2gCkdY5GmpjcMxoOgK0rXo61x+7NEOTQcaJ79KkD5pC
5X7ptP8iS4Q2A2RskBeFuoCc9q3HpmpskOcd7R9gBTe0JnBioMT3RT0ExeuXNzOiLJS8EUsCji63
D2Zodhrx+FOPFEyCIaEF8aq2TELe5dXuuqnPbIT05kSZCyq2eBQh6WbNE37yyktTVwjLFuTo2PF3
K1eLoIwQOecDgbD3yCG6paAXeeAKuvknCxSV5kQ2HVeLXQxH9sSTgUEsNuHe1FnZrYPod2P3vdjo
SRJ7PHe7u1QzWODkhIPovHRCxjtIrkxWRH7o/dCFyDbrIbAQxWM+qvRpoLEDZca+DHK0fK14qYWb
BQQX84MWKSeUxKRdXnVtndKO6ceyOxQtvyvGR6dBycBxVrbpkjs8tST7o4ImZT31uX4s7A3wC8CQ
ToiEeEhZuSPJvZ2DHgyKShn1SiPepG9jdNux0bMH5ef1BTawftL6zjS0eBNCAhxZqfn3k/XtUPvj
rosPUQkLGgMJ9jVA3CVuC8fi1MTsw05MtEoxDS7L9GNm3lrlvc3RY4BYQnTa1h4OQ3NvAwmIpGo+
Hlpr9DVQFKWhDtRP+vRvxornEG50XHpyWxXJmqxprVo/mqpy0JXehybv2hNvfkJfzuf/bEhbKOWd
Stq20o+jz/Qgt7aFX+a+veU3GQ/rKMh//H+NSd5IWo8Oq7zAmBKk3k0gs4DCvm7hEl8DbBC6UnAk
wNmDbjRpSPrAq8lhinFshv1gfTTGa+sZ43sHiYTftRYqm+v2Lq80mEPXGMovs9dRpQu0abWJU7D0
HbEzNwl7GIqdmjcrRi63PZQPVajAWHCRKLxKoQ9koBorA5XnUVB0r4+sBS03qkorx3yemfPNAP4B
OM+5loT/WFK+RWkKOy4Vyzy2G6sGj/x0UHwlOXLzxzNJ1/CRC/OGzkq0gaAJG9lOWwoF8qyPmyyJ
zaNVF4ca0DElYHr/ZVQtVJ1sJI9mwVjccvJ+44OtCt1uMKSo4huIufInM21BBQv5jAMbaBJaxuRs
6kyQnahs8L11Nr239bbc1lpc7oSZpStrOQ9MnmU03iGhhEsfV6J0RfEpBT1RX5nHJnTsH4rq1cZv
AbiZsr2+MeeNd24HLXbYGRZyaODTu6CSaicLnOQNOU40MFXdK39bw8Yc17ocLtfRAEIcb65ZgADt
NdJw6MyBNBYWwQuyzrfgVIPUGtfdEPk0vrs+ogueaRSYYGs+1zrqgIDaYMgnrtnFFaqajUmOZHqt
BHRW84DTYa8PaTj9o3SbLFMD0YS9nfhd/b2vnhyyQQ9j60wAYW1ZXwUu6Ctz8OkYXlnuE+VPQu7H
OuRGkNFAoS/1SujzSRAiLwKIJ8ATP+Mk0IB0/sW1BUb4BFWtowDHVht5Bb8VSrlR8EVO8buqfxi+
zZMt4cOub4lfI7vJADwE0boPElpPm9Cr8kDFnyF5b2KMasO7B16/aikyAskfSDJvrfG+PtSAm1R6
cptVd6hD+rR0f4HX6vrsX3oHwKsMzDucKwoHsg8ivRAc5InakSg3dlF6YiyhKuM7nG7K6WVQvGpc
uSwu++yw3ggcVWAosMFwK5/P3iBiRlL8ciyeKuXnrA1V5AEzAaGant1J/Qcpmap/YuKQ4VWmAnil
po7X35Mn9mI2kPqrhj0VoWqmftTb+3L00zSIuzUk4Gfa6XyRwaIEOuK5wwxUyPJJc+oy68VIjaPg
kRtqdlZs6ohgRce6OZZGpXpVqUTApRm9FzmltVOADUfTq+g/ri/RQsYcXwLHAhFysElCrul8wjLe
FFasJMbRJoNn0tBWfrZo926c1CMgLM7vMUW3NaRB7fC65cvNcW5YisvUNrP1xsAUZG4FCsuxRHtN
gTezX7g3SvbY0JUX3uJIkTBDUnoW0VXlpHnkKARwK24d6aGk37tRgGt8qxxTJDsVnKGWeabwGlff
qNUKuGMhzQQGajhWaEvM7dMy7jrTi0iJ+8466nbiJYXuucabiACXgfdRKXRFc7BabngV6o0X/7Yb
r+RhBe3CqNqNxl2S7uM4D11nWPmuy3tl/ixcK6BpgQSTjATRnKRlqSGso2JqO73ZVzEYuCcSsNLc
RF+H2xJTh1a5gb5/A1tNptHtKTGEbo72sUO/bX3goGWd85bpuEnTbyOQxg9c3JXGnqbjrU3WwtbL
u83UAehRkaPB+l8kgjvBUIxxe/vY6qEAq6YVfeuhCdV9y/s/ef1kvwxg52ZDup3mprNXYMTGYaVX
f77XpEN/9glSSKai6ZsPibCPVuUTZaNlL0C5Ik1757S3KSjJr5+vy1v2fMDSwdYdMjFFmewjHtqW
LyqoQ9nVCNSKU66lBi7hw1halKIQcSKeRdpWCgMFayfaFoZ9HCg6OKsXiiKfdUsmoMaNst0jD5IC
4mEHeXSXdY/Xx7m4sCe2pVmFjFAKMlzdPrr2Nqkey+gphi7zivP4PKHS2gFDouOYgKMRbeTzbJ/E
EQBLmKzJ9fTJUFTskDqPjCSI7agH6QJr0hphAkHJuq11oEeSFvTAd3VDhtekiqvaS9F2He0GtUl+
1dDGeVVcFwI2KOew+7QYQB3RlyNkkVz8z3HA1BwdIH1CWbRrs1R1/GrKJwe6HEANB30s7Hf0QSeV
D3LgsvCTgfBnxxTFD4OOyq9ymvMOOAWTvU31AtGBKSbbugE7CcIdw6iQkCQJ0Ie+woz5j0IC2hdZ
m/9qpwYySKAXATeqHkGRKeeAPFk0G16F2kUiYInVoydUJ4XPUh19QWVb28zPrKL8kdpDh7efWSqP
BdjDQEmGUqzpj0k0Oo8DxyvhHYzoOjaBGJArAdZ8/IcXomHeUEQmu5/g6167psvBWY8GkUNGIHru
VzwqAhCdCbAZdk4+gI+rVQ6TqsfQqUIurwkszE0WCHMS/1gWbQq/KXqUeTpNK92tMplG/KtwK3gc
tTPLepOUBug8x6Ls9eexMfLDGAELt1JVWDh5DoIeSAnN/JrIKZ3vFdxADdWKNHkCYfBjinRlnP1S
7OHP9X1/+cCD7LyJvw/RGwvIXenMFWZRu1nspk+Kab6ieeveEYm14kMWzhbKZgDWWGhUx9Gefz/Z
9ZFO+tgYFGS5itTv6W0hbhx3CHj//fpYFu3AEnSqwC2B1spzOwqav8DymmdPbYpUW0w3TnJrRIC+
JytLI7lgQMBwfoGuwx3wSYEqOYs8t/L/SA7aH4XW+07e+9OLPYCXF0lfwCD8Lw3sP/ZmqZP53oPV
84GNzYBErGZDGzV7BoMLbrobB6jhzjletyNtub92cLkggw0oCUgSz+3ESRPFzuhC2tH4oIoToC3J
azUl/BdW0G0K5nMUM1VTCtliIxNt37LsUDagguzeYwg7x9P7dSNSUPJ3KCdG5qGe7LmxLuq6myAJ
iePtj/WHWkIj7XECs6jgwXVT0hG6MCVtbwUgiqEZMB6UBwPn0EGA5LoBKca9MCAtC0O6olPTMjtY
Qn8lVPUKqwsHbuwBh/WpauydaAiT1F4rsUnn6cKudJ6ioXSHmGFgcRP9ae3MM5PhzwTCDLjONSp8
Ofv519gsrwJcEeiu5T3OQbVpxw6M9W1o0KM6+Kr1yIqN0z+w+JeDV6Uz3dk29SrrLlZ/xGjJLhWo
U+RfLIFdfIjkEc3K1YQh8CFVAqiR9qxZmVdN2+tLurhnZo5dyzYBVPvEnJ5sTzerShH32J4kjgO7
oB7NrZVds7h6Jyak1RuhRWMpPXZN3NB7wOECmzcbaht/CsgVXh/Not84MTVv4JPRRHVpiH4eTdJ8
QBXbq+j76kNv2QZyhMBAAokhg+nNyiBCFW124CrzHeWdOxBlWGPnXzMirX3utkXV4bwdnOmoRBnU
5u760V6ZrUXXBNDV/x2JdHsIQA4NdP1nB61ArzCkHZTvpIQOARi+yvjnv1mZT45XIC6gkHa+Mpra
jzFkCDFrBO9E/lzZhsfX8hCLs4aXH/QoAUBGcvHcCFqQRU8rCL7ZTTSnkUS/c4Yy2rTAH61s6jVT
8+8nO02UOSFRibmL2AvrikDUxzFbKxYvHk7wuAOgingFYo7nRsaZDSLSRXZouP0sJuddaaKVPSAX
tv56GfeTHpagaeqz++hkIIVNLaMAnc4Bqe8O7HhIHhnFLUOaKW67TVK0jy2Oqdand0qV+XUfWixO
wiahQabHB2FFKwnrxYk9+R5pDTWS9RG1hnnMUMMRYGd5r7KX65txwSPNgmlIWQGuj3SedI9x1mOc
HfYJ6zo8Y5x0a2lVGdDcHj2hrrXny8/JeYrPzEkOsNLAoRwPWEb0wYCsBO5C/EMm9dlRxSvjkN3I
95m9Vxod5ARFyCoWJGsUHwuBIp6xgLuh0QlayxfiXUNkWGzsEeqkkMBuICykdMBzTSHVssd0ONLh
6/fKmUFpGTOLqqPLp+zQAhrkDTUkYY2IOStWFjzYmRXpgDR4EBrMwLDG8gMPwQrNplthxV6Vhdd3
jJxt+7uGJxMo+S/EGV3alljDsXui1rFKRNDpdyCVMB8znBWj9CJ+10KqrFtLfPw/TKO8hmr+DGbU
z72AoeaOmgHqekisbxlu57jaIO2mZtuMJKFjjr5ZIucyPg2Wdo8IcOXNtHAeMcVo29GQDXF1OQON
FJI6MpCcHqa+CLIWD2+wAeVP16d3IbBEAcY2UdyzoTgg0/07VQ5SHKdLD8kHEL/8GBm3OZQb8+mA
XDKizPfr5j4zgSfpj7+r+T97hvSOqZsy5ipEsw+02KCKQg/ZjiKPF3TiQeWZl1MU7t8a7fvIcshX
hrHxzps/xHyIcp+ZQSy8agjJg7IlZOVBt/pl0sUP4T/SZiZmwgKmQvP0n9EWV1myowf3W/U9Ripg
6xwJDRXQpdY+utCQ41bVx7nbdwd+lZ/u/vpULVxBM7M8qmdzdv+ieWuw0xZZxhGi9sbHYL2VzspS
LJ5gA/9A9AmdGDIQWUk7bD6qpgdjILdUvCS9p9EgNj8cV1tJesks7H9XHQVHG+IWSBLK5KaVFpNW
S8z0QIiXKa+iCIjxorUg8QIoUi++azpBk6l9QEYR7B0bNjxQc1PzLlAQ/lvW27CS6lv+ILxuwT2E
Ag9In85PdoIPpYOLD+rUG7cHY1uQ3aNHYxNrbx17yvPb2na93glYtU2MZy2ourfJ2NE8BZpxDQa3
uNCzfiFWAipqsrCkje6waUym9DArt5rmTzdZuXQXz/iJAekWnEDJANA5dlLUvKD1ZStq1C2dG7P+
zQ3n56C/gET33/iuE5PzJ53ENiTFPqh6mGT5s5HcxClymbkeXD8hMtzi77aatcihYgYSBjmXCp9Z
krRwYKVKyzBH1TnMkOfaaCrFXeu27QYqrSDQVYcsSAwl2vYk6VcuwsXJRU0dTTeof1wAFwpL1IJS
BQ60+qW/YheFeLcyNUOLxOQ79kp6ZjGawDlC6tiCBq+MQ+1VPYoLSKweRsN8gLcKBmR7G7Eze3aT
PQ4qRKqvz/Hi5jwxKB2USC0p1wfkg/r2Lp7wgICQ83ULixMIPs4ZKGE5YFw/3ypZUhEzc5IMMKMM
BM6/is4njc/+sbIwYpWPpOS/MjiL2COZZuGknxtMKxDtAFOTHmyTwo8bh3SYQiPNw7iAUrMZGGpI
jTUybLlQ+3ev4nkEoA4GasiYk7oFXC6NaXagrcjBwwGiBsiaW0Gn5dG26AbXg9zXFCg5AFCmC/IU
e+RPoxsnK/t1KaogQDED4QtWgwthT525bZJ1+I7Cm2nBfO31+nLK+NfPgZ4amD/g5OjHuiLIgE4T
0ODoQfErDsWW/Ch29ob+blVv+7300ykcD+aWPqF/AmTWYXaf7gEiaB7WmGoXHcTpt0ixI1oamjyl
+JZZjHpLSjUk+kdvik3Bj7x7I9GB5ivOdjFoPLU537sn4x+mXmERwQTfjblX/bibeDBOIUsCgfcc
3AJ0+L7YivufKbfmpzdySQCpnJsUkdsag5ojZ5HZHq0/NOvn9UWVmdUuLEiHtOSKbmXzRKJpfTPs
u6DNfHLQk01yk+zA7rtrIi9ZZ9hZ8j7Ar/xnYAC7nQ+sHdWOO02GRFzvpQb7pYlwuFW7/icr+/3Q
zmoJ8fASs+cYnJ6TCpI9a8XhLi/n3PSjzyhiPNTPP8FA8S0tkMY4WG31nvWs8uyRbPK09JV2eMjt
fBuDCBeldyXeNbF2ozFttzL5c+Qpx8wz1wk6dDAVaO08/4QxzYcqbpD7Vwh9QdMWlGrgGyfFLyxt
p3E0tmhAXDDud6myGYx/4y9PzUu7K+9VTICDKwA1JN+IKr82oUvwh1DDV3Vf5YFufxHY9Xe7nYxY
2m4kTc16qOZLtfuFtmoAqTPc4muc+/NfuZhXOORP2ALYXSRPlbC2VEcSAW0/5V6r9sCHh1z80OM3
tTwUZr3RDb6SY1n0SEBuQEsOrCwIa+cdf+IdsszNTNqo8EgAZzT6j3YA/WP6IymiYGKTj6dsJMAi
3IuVbNPSSUJHiQHWDwf8ALJdm/ZaPdo2UsGZ5TkDotq15+rsS+XZNGbSH+hJzTUq6aD0goxNpsAJ
Ve6droB/KHnphtob4o/rx2He7dfsSO+0gmotVWIk55kxBHkbJb6eg/TP1DpcK7hh8Z7IxErIsBR2
nY5NO1+1dqq46lTIoU7Zxqlfhj9O+dYF2swl3K9RqC2tFMIDFEnRh4+0kTSPMS90dORxuNryQ4lq
zzK/xqbyebjw7sG/M4s9ir7ng3EHtCDYE9Lo07e0uVMGSAG0axgdGaj014iL/iEHThMNk5LTSFUW
x26O5EWbtNouQcNUMCZlG6AtXfEbRSe7UcTgO2aJ6+t93gW2AAaRm7WJfm5eveV9BjyXE5RxFPnU
FnO0NPJwKLnjR41S+G4e6ytnZCk0QlCEmBBfPRP2nE9M1uk0TVQFoVE7+FmzdxzP6tcq4YtG0NSM
wg/OCOr650YU1wRwIKvzA9iwqwJP3Tejfbx+QpZ20MzmO+dZ5/5x6YQkXWQ46ODJD+gU8Uj/wco1
APXSecArHp4EnenYotKNNDRNZVAVg0CuyFfw9ijA6t1Yd3DXnYZamVhxm4uTdmJP2k1QUnMHBymh
Q6wdeWFs+lL4q7nppUEh8sfWRVkGeFnp4FGzN5lmN+jV1CxvzOBSyBSa6hC6YAPpyhQEJ2s6SUsr
dWpSWimzV5oSAsT5oYp/IU8dqM5XeTg/D+KpCWlTu2putjwS+aGr0fMG7ivNT1Qqbt26jrcMLzvo
L7TTtlLt8kZJKiRfdGyXgubkWLeuuiY/tTZi6T2ZT7nS2SZGTPHayxygb9YQDEu3OrjKQLcBtDDw
iNKtbjoCjZllmx/a8ojrJwpIegcaxgPa3qMVfqWlbYmQEPoOICoA25r0vGgttBYXfZUfzP5WAzi5
Q2ux8nz9MC9dqzbUZ1E7ANHjhYp3Rk3OIzKvX+n6PROAgO074garZ2xx3nDpzNqoKFbI3q/jejX2
DEgmHBF/Gqatob6l5htl5k1EQRc12iFdbQFdDK9xTQBNibgBKk7zfjmJh8AhpSgVsfOD1gBaJcxj
yQRQrMZNqX8X/RTq42thZ76dok5KRRC5oCS/PsFL8QRg/cC74PkE/LLkkHEN9WjvjeZxU+AMcQyh
Q8JSvx2cm9FmodJ8sfNyPpIzJxcYpaAJgK4FyZtNhihLbShQkVUmwO5vbfBuGA/jlPlW/gZqiy+P
byYSmWn0sbZogjyf4Yh1NRU51pVqBy17ZcNv/qsq76e10t7CPELmC4AotL3OLQfSqDKW2SgDW4BM
MkCu0MloPoxN82x2kwfG1l/XB7WUTpkpbsDp+QmFlkWuMzdx7H621tiF5k09uEuqBkQ3GU/BRJO5
33O36G9Ebrd+if5FX6UGFLdz/sVOl8+1xPEEOQ2apBDmSKOuK8JV0hXFQeG131e/py5wEI12a0z2
C6fTAgEWajWfPZeWtEtbqIqzYaiKAzeQ5BQtcPX7eq+7PrCxhvHOsrVwfnE5/2dQfveKsmE1JbPB
OkjKEBX26VVtb8iatNpSKt7CroGLI8DrYSuc70+cdWhBR5jBJt2hu1ODinhkBC31Hc3Ln2KkGl6n
7fBhJZ7p7yAVvFYLWHCwZ/alC7JKk2JIoFp1gC6Qp6vflCoJiAtu13Ra8TQLAQYSnAi6UQJBY9jn
TJz4Oj0mwmY9MKllFCpquslSDa0CFt2I0t0xcGEiZ62tHZT5QpWeSxYuQbQvIVRDi4jkYCG/izbg
qC0ONhHp/dCoP0lkATzhRtT1RF5WvlOhaSTKHfO+i6dqqzkDex4yRoFEFlMIuSk8vq+f3oV7E6JI
6BiY+5JQX5SW3BAR05woKw4s7guwC+Wdn1A4JLvX1uA8S9sYQeqn8wOUQ0ZZ8QzEWzR184M9vVt8
vOlV8IHjMbftlTVgyhJ+DXcIGBvQAoOgQOajqIiekD5hxYFwLu57akdhhHZRYA9pHJoaSUBwirbt
BIgAfyQCmA/cEuEguirMBW9CIlgPKIQqboeJDRu1qcuViV+cjbnD0gX4fNbTPT9rrc4KdRx5gepr
WW6zstK3JqPuJiutHP3oRvJoRBHbX1/tpQMGoOcM7EO3/0XKo2kTfWqBxjxMdncf2/rjOP7gkHD1
VJDhXje1EF3OUiKQQtY/u/Wk2I/kgKyjh6A4VPzGtI55uXaEF8Zig0xz7kT7pK+bfz85wmj9cNop
xhJX5lOfPCmRJwha54zd9XEsrNNnfyrI6+aivIyEbJMYiRQyYp0o7lPnPkfPnok2t1GDcNDw+7qx
hUkDRTCiullFEw3f0mkkrHBjixKcRvaQtncFWyM0WjKgw9/NvCmotcoItKFhEFFNMZoGfOVhphM0
aDWtvb0+jKWlQZPyzBWGNy+qLOdLk1lgxe8jWHkDks4tQDbq5UZw3cbSupzakJbfYlUS18M8EqCF
ZortsGB+AxzAF2WO57Bi7rj+72CkgzpiG4NEH4Y6lAz0YfLJ8IwE5spxWRuOFLyoTT8WUQkrSrcd
qhsOEQ9nP5V+Un6tP+xiOFL0EmlWrQgDhsS4nVRf/6jexBhYa6dzcaMByoIudWIhLTH/fnI60fMI
InrmFAfXQKWe45EYooq2RhS8tNFmvn0dPE9A7clN/g36bEqU68uD2kS/3OgxojYkyZwdOFtWtvTC
PQlYDrKpeCagY+izw/dkPK3OE72eDKxPVdu33Ggaz6ZGsUuMWA+v7+yFQQGBABMz6h95KeldXnNn
oExxi4Oj5MFYP1fFh96kIK1deY0sPfhQ7NUgbAxRr1kU8XyNzIJVdlZpxWHOOz4pxktn/cOnAzNV
Tyi3jj/pvmgflXbl5C4l3tEjrsN5o5EYY5S8HB2iObrQi4NathDjg4Rc/+QycSvAp2EN8V1UEd9R
72xIUX59ZoHvBngd7g+t8Nr5gOPOjVDCwqacX7itoXtx+XMYPFV7/hd2oF9rggAYFETy+6tSuDXU
BCsY15AcHLyyuen4HVvD4y3tyc9ebDShwEfJV1PcAJpddQk75NpHLe7c4Y2s8YovmwDGAaIaSEbI
3I/dhHhVtQt2GJQ3Zr9R4MJEfrw+WwuuwoFWCC68mZ8AV9P5qtBicGhqgXAewzBRRmyKf7McJwYk
D15W6sAtKDMcuHsHhPc0ZV7N71arIUvndq5g4UwBhALmkfNxVDGp0EJXsUNN7oDZ1e0AL7RozREt
WUEOASRrOnADF+p4TB17bpGUHUh/WzmJZ2T/9PGPpPxxfVEWzSDNixw8ssrAip0PRhk1qKV2HTsA
PbwtwgbNebXW+qvCDjKf93wfgR7/v4Y+ncWJYx3tLONK2WOHdS7oN9sQBjd5lhwRNDb97fzuSQSk
+MzvaCNLNlNsHZzGvZkGMJO8q+73Lw8bcJ7P8Bg4JgRi58MGDVQ1thSVM8bejP5nZD0p1mNifv0y
ObMiXfZx1YmSoDnukLvixg3NbPSmao2od8nNztreBsHNiF0ptyyis0xLbAPVKyAuSgjMiS3mslZV
P8qhxQQJUMvT9DXt8gWHMVOEO7PnAyrqk7vjZDnToiJ1qgGMnKhbOnfJKo+kXbm4FvYmGtzRCoow
y0LRbHYoJzZQrrVt1o1o8TLGoBexP5blJkPDVQT6juv7Yd7m0pP9zNQ83BNTLgc8vXZgalTvrLS/
TfIWwcweOS+02r7Thu1iEl43OW+xaybn0Z+YjHSmNkML7L8zPNdo27+FrIDXmFNAxmol6FwbnbTb
KZ9UDU2sqBObYfQy1uVjat2y7o1bj3X2M3KrldlcShWCkBN9FrM6FIQ4pAsYhyLiIwgcD1MDjgbN
4wr1xqoOJ0MPRko9I4Eota/ZeDAUtfP1EsGZcSmuAqNMQbQKa6mxD6FB+EE/WqsqI/MI5NU7HaG0
N+2WmtRx5hEif5YG1i+F+DYEF1UPZKeu6o2Kx/Jtba7pPc5/95pdaaPikRyPgmFwBCRzfdUFsVWv
zN/sla6ZkDbm2E5RrEbASzTUF1sAEC2/CZr9WoF/bSTSpoTECXBiMckO4mazRo6x/LfRWY0XMEQM
5AIDOiibMnIxS8jRaoe1y2PpLsMO+++fl/WQysbqSTRX2vP9+Gxsi/fixvXzb0CwPPDwplT8MXT3
LUSCr3uMlVG5UuABZe6mEgYyiUrLm/smhs5HRBR7f93K4n1yOjrp8BZuk0NuA6MDTtxrg8HLvdI3
vDxc0z5YckszfnfW8UMuTm58VpjakjgzkRm9Q8FHuaUKIAAByv/IvqxM3Zop6SZGmUYHdSNMCa30
dFf4MXUCwpF21n407T7rnhj4ja5P5JrN+fcTB6+oI7QNatgsUcvmYgNQm8fTTTNCqMy97dR3V9lf
t7i4Qf43oRcPBY0qcMoGRkm2WbtFo+71v7+UbgUMGoEGHiIOueAohFJHE7Ho/5B2XbuRI8vyiwjQ
m9cqku3lNSPphdAY0XvPr79R2nPudJeILuwc7AK7gIBOlsvKyoyMQHeOpVHn+FAd0r3kWT/KTUt+
ajXpHqB76Mfudatroca5UW4e7WKU+sGC0cYNvQeRDOjaNQx6HxCNgb/ARB/05SqpMV7Oku4AbKi+
KtAZleWtmT/j8ZMlAozIWjhzbonbg4EVKUqUAOti1W4ZT+RHDd+q5/712VrddWfj4WYLD6wBV0PA
LqaJjmNFJ+OwtIcwfVYLBX1bDGchSmp93XeMgxHxPd53eIsa3MgKNYxtyQD6pQXgwVeUEdRYsmgb
rAQVzApyszIURr7qoptzVk9almUoj0HUK5P8ZKC1ZmzUQSFt+HPu0QU7xYfhW2AIztXXlYNlpNE/
k6mAsHNzivja7O0C2JtBcYgPPQGqJa5IElxg5BPedeYuzLaKEU8D2aCrpxEMq3i6ttpzoAtwPSs9
sBeD4Yt/2RTL2aIC2JPV8rYMX5K+wuMy9VLASpvuu1o/K8iaONMRgpX5Zigs4B8UcFlJlaD9a3XX
IKOHmryMXqsvfXBSo5nQccqOZn6jofhoLM/Xj4LAAN/4puVOU9VZCRyHVZOgeEtEfZ8rVyXmkpGD
MIgnK4tfOo/U1vq8sTCXaqRv09bwq/aukE9DcZfMPQEZTzbJJJxF3HxfIzSYZbhzpN0Z9Rd33mbD
YRHIBLOZhydY80sFc0+ce51su0Ls4uosQsiCQUbY8eOijgncSOkwMWORRSzpDo9pwUX51cFjOKz4
gkY1PCk/laLOdn4SGGq0RLCQRiYi6Jn06IMsS5G2pMgMG+iZGSTQAPNkZnJArBhhQlucZqP/q8Ew
5KoNORWkIC+tJA36o/tgQQ0pBxXceI92SikU5PZXmqyhxYktBxY+5OvQK8sZyVD21GVoHOQ3ek7Q
9OC0eDbeJP1GV9+MVqNhAM2lOQU/SQiouuBcrbqQc/PcTIL+UImDHAfLnine6De5+ahCdxW5XClT
SD64EkgQ8/7NTgyvU+utVYIhTkK/CRifNtfP+Nfrm6mSImOPDBao6Xj9O7st7SDXcQL1Td38DOMG
7eS/E3SWiyedgREv30WXprhTN4WZISU1Rp00xSao/Si8mePUL8eZ5rFbQrxDGWnx8/r41k7f+fg4
D1MFZjfMc56xxKylP5eD6O5mP/B1VCCJAp4O5Bhf0DSNXMryAnSgLGMFLa+OH8LwOdS35mZ6liTB
6VjzXBoErCCyhLYztD9fbtxskatCn2EtDofIVyqwbwSzNMNwm+7M3srI0KNBHwpM7vV5FBjmsTVW
oxWGHcJwzuod23B0M+XnZGyM9DECCvS6sdVF+zNK3mXajVolZgpjIG2181MwC35/LVQ4m0UeTp5k
AJK2OYtHSpsY+nNohGCJLohSCILJdUfDhIxYqo9JK1yulwX2GkuGatJxRhZx7D7ysLupolP7s5T2
KvTstY2qBZ4MQrtB25sirO7qokEiBzwOyIQja3RpnaH28r6Hx9bQyxrukExRHiAFTOvx9/UFW/Ui
Z4a4YQ6JpFepAcRnM/0edGoek8Jre5KhBf1/M8T5kCSfp37pMKLkNYJiEpndGE0ogmfa2kUHMAbS
pihkgpCZbc+zi06traTSKoxmyt/Qxh63pyL6uD6O1R2IoiWD1OMC4mka7DKaKsgJIeL3JJJThYpC
nNUVOTPAjWEAWCadVBiodooLTU8KaU1B/PnZHvPF9Z3Z4K5qSbayqdRgo9yb5Fkn6R5A7f2d41Xb
36D5pwEBl67X0F8FXreU2vRF82vvQ99Kgi9ZXbCzD+H2ubwkWaLN+BDN2CXdjTz6cv14fcE+3yjX
BsttcVBfNUlbwkZzhGxwe6gP6Xv0U/toJzJ5YKz1B2o0pHqQHu1t7fYCOgJe1xt7EZfn2RC5jc/4
L3Nlgfnes3zse7qQfA9Sghz8wQedSMSipQ/EXEiSb5XXkBgHo3GV29hXNsX78k39kf9QPGWn4i/X
Z2bVyQCCw2gAAGHguQD6PNWSXtLgrN811wDk8ahsTbAXbv83M9wEmIkcqmENM2m2z6OTNn40oIop
tlr9C6jav/EAZ2PirtllauwlYMByYwoJeMhBSEpHTVCeWd210EuCViP4wcFlculm9MDJJLuHESt6
RtseMaVvbSPSSlsBL2DjnFnh9q2So207UYFWt7A2ce/2wVbTj6PxOlhvKL3WnU1Bi5cCtgqC1etL
turkwGwJqQcArEE1cDlADUKmMVQJEawo/bQJF00ns90orpI3dUFqWxMBgFd6fjFYlODxGv68bzmv
p9thBzF4G29zfXH7Gp1EJHPT3jW001j1BNEnbRDsG/dpiOJNChSFLtg5q6fh7As4n6iAJA1cs/gC
mY7G9wYiykmxyfYAb1iJKBhcn98/o+U2kGNGI14SAVzSAo6S6PeUPkoBOECSb9fXcS3EBdGHwkh9
GB6EPw2WAWxfl+RH4yWqd6Xlttb3Ip7vjPBWhUS8WotEQlYa8sHGjluRpamg/cBLa0yqAZ6kLAIA
xWn0fTuCb7fTusSLIS4EOrE0Bz+Uufh44se7fi4jD8170tbp2v52TCuNMsWI/dgF0lPpBO+Flfco
lyNjbUDJiRboKyUFiB28Ie/RX1T09j6NGh0Ypck52UrsHABjDXfXJ3FtsaD6ALoigJqhlsa1amWQ
CmkBIc2Okt36yMZC1CmmnZx6jf3vmUwwe9Cp+uzxwStXvTx30NQeUxNsr0cDl5PaeGFRE0n2r49n
NXfDkJGsywc0/jwJBmsKDNoIjmX62b+ht77coEA5IcIEp2wrcJWrk/fHFs8rVXaJHqcqThUS80W9
N8q9oexkQ5TaW3uhglcIMRnec2ha5za6rC+mFTJc/RKqAV3GOXQre3jViyWmTjm+J2mf+UqTUV3P
QUg5zJ5gTplH5IOMsw/4Ms5q6NAXApR55SKNg/6XJ5U634cf4UCk0R3+JqMDaiNox0LZDDgBzlmp
UH8sQyiuH/NsCwTq7BuOaESrUwoMNfhY0FaLstjlXox1s2rrUYKPalwwui0QAfQz/RRp9/b3tCDD
6/UZXAt7GWT7v+a42y6Zshh4brhEFOl/NdmzEgybUK08M0/crhMEZWw7fFkt7HxU3kyIbPEkBxOU
oBoH8hWggYFQrC/9zNrpJrF3hp3cAqX6fYKUwF8Mj8mJYH8yyDDnRObAqoc2GvJjmnduWB/MHu1l
aAFB9S9KBTcZW/wvowPgCK1GoOf4wvre9Kk6Kykw8GXd+LVUeXLp7MtKdGevrtiZGW6DWAuyUnnS
MzPoECqjzQCeEyCLXDVY9jFU3QUvyNUyCEMssaZBi5WsLnekHAXg+rTQJaSW36Zum4DAsimarQ65
UUOmTVFuULyK6peu1QWm12KDc8v8ccsilFDNMj8OoQuedxdye0Y4bbpW2mNhqDPeX98taysIPjYV
1WEERFAcuhypkkmJWutonVDa+8KMaRGfIEwn2CZr63duhJtOc4LkhRVgm2TWNioVkiSlO/bUSTd9
LsL0rQ4I1yfE+9C5CmgfNyCzKfU+MoD4NXOdDspc0EUC/SUUT0TDWjUFtS3W44kR8PRv1tIqVj+M
2JbaYB4SZZndUrZ3KgD7gjPNNjh/ztDGwDoQ8RJAofZyUKU2m8tcBUD52hWk8ya3j77JoCBLK+/f
bwdseowFewFei9sOVZFFPTqb8uOc7ksQ6kKJ/m+GcmaB2wtdX3T2rAEoHbWnMvWGhubBrhBl79eO
0fk42NKdpWeSVB5ADYlxxIYvLRBAGB5kndTPdlB4dj88XZ+11eU5GxP7+5m1CIzwvcUA7XgKTt4S
a2iU7C06VVbk6xYeVNfNrQwO+wCCvQqae6G4wZkzk9GALA3ulDaayLzsR/MHSC7Vbl/UN3kqcBAr
Y0PSH/jNf3RweBImp+zLauyZQ6q3c3tEP3hkBnSw//3GQyUHtz/wlZ/e6HIKU7Q/hAVQZUcZ3dCG
Tet+b0iiA7vihy6McBOH4sJkaKwbIC28vqHzcALVdlGDckXgxdcMoc4GEWdG3wfvcDkabTaW2Ulx
XlE5jELdk6Y3U8pIb74BbSzYDWsLBJAtAN8o7gEwzW11VZ1zKQkkNKEomyD1knIPgsdFJPsnssJN
nVUZqdIusJIre6MArRBR6/tEFGyugF/QPwrmSiD9kSfCA/1y4nqpBldKkxbHXEVRV3uybWSseh23
vlUenVY/au2HBMCZjFp2qNsfqaxvok2AkkakHLRCVARYy4yASwZ4C5ALMdIF7pnUFXNX6GhgRD3K
i6aI2DZgpFJzUsqQROGdnlHNcfvhJXQKyJcqv68f9E86Gc7vwzxwucABQ7DU4JylLnXzFLYAdBdp
DB3w/TjuaunQRBJKfsM9bh0/bGfkZ1raTL1MjeJ5lGuoB5wmE6QKB0P6HVh+n27G/qYApneEkI72
u0BSQ1IPsbrJO8iXC+76FYoc0DkwsAE6I2Vgirkpa3JZ6qOlBXQfekYxaidmuM0cnaLBJ6LWr9wg
VTh7krJQSxoIvmqQSRnfpONJmRLSQpYHz9XbsRW9eNlcfZlLVUM9H23ZoIritpY8mQPevABpS2oZ
ehOC5E2l152gbLxy8m0Z+XoQHGus0YP9/ewqCCe9iZwqBiAt28sgNtbe8V5yrDtRCXylvxw4fyTO
2DuG8W9zhnolaHWjAduC8xiN+yH6aRWvBYhxSi2hmew243KY2vDWeU+a39CNg/L1Y682BHefJadb
tKYL1n3FQbBCCFqSAR5CWxf3PSO2ggUoOePjT2mX9R/9om6WxHoYK5EbXzMFhkcmRYvuMUzC5RwP
QbwENdMyyOPUtaOdaiSknBLqFCLUxLolPGzQsIMl/UJapS+xrVeA/b90zmasbyrzZRYBn9aqBmDs
/GOEC+5QwpWKsa8B81dtKIA5VMp+SHZBjdC4gSpSu0kMZBPmwbe17jEKWjeC7pU2+CHywVhOIMGk
Y/fvgXTQHmVdrShtsbYVbjkTyTYh+gtA4NK8KIEfj3uzep1E7WsrZ/LCCncmC7kyOvQIoiVgU20F
G5J9IXfeIXQJLA3a8ZBo4lvkDWVoly4AxLZr92gEzfeGc2jsw8d1F81uV94K2CvQeo47AuV2bvFm
0Cuhtg8COtQB7aUiwHKR4OEvbOA6dFDcsYG05oJyswHSH3o1yJGrT8ZyzEN0AYvaCdZ2Ousu/a8N
7qaZ5SwP6gY2kNwFYFKnSerjrIP90nGvj2ZtzbGtEL0C0QVcFbez4CiGyowABo3LGz0G/3goot5d
iY/tcwvcrgoc4PfzHBbmZStPAFQ5Plig0DaAxgjDEAxndeLQlg2lCzS1oo/m0hlBGxsTNwAmFD8Y
sTfrSKbuI0FwvLaVwTKA32fZbhD8XtoAqqdR5wA2lBfL/gExxv65DtHxKYhaV+ftzAyX2rQKPD2t
niHt3iSgPSEBCTZ4+Um2HlpRlLCSFkOMAOEjhrsB5pPbbqVahPYCWV4Qabe3lt4+OqF8k5mov9iJ
+aRI8ga9+2hgySfBeV1ZrgvDXLQsgRkkiyt4HDWc3FZXkd9vCahaiS43Age0NkaEsSrTIACUm88U
h1AYDKUB/KYLYsZF2Tnjr+qWqQs+a3JLM1P1rx+slZYJcF/8Mci/OpokRQFRQ8Od2mnHpp+WbZ8q
aJQIIPeUGih5tE6NfoMlyvdhY88krkqou0EXbRsPskHtzoKOoOQUeeLjTz+XMNa2ICifdoLvZEeC
85kX38kfGbCuajaU+Y52rh0j5zmq47sEMr9acIgd0qJok+Sh208zsY3767bXlp/5HOxkoLG+6EKk
aElM1QhRk4EnYKfMZFB+2DLqqqYkcNoq88pfRolAkzGowy843GkKiqK2KhVRitaCW7j27KQjk2G7
YEmFluxByw8hROhQDKStXWySiCiWX9Q/i3jbBY4rVxvHpOWEvDHYyeeOJE71ovWiI7/2wGHiRv/5
yi+0nN3chllQ9mhEyb2hfUWqjMzz7aD1vgR2XCDAv0fj8lI0u3a40fr07vpyrHgcgNk/JUNBPIC3
+aVjU5dKqqMU8VXGKMPuzaCgErRfh5mEgeYCz/o/2uN2XlaNqbSMWJMuPqK5iGijvgudXdXlZEDV
T/orc4DhgRodxfvP1+7ZYyCWIntKLUwuuEmJZD9LWktMayQS1D4k9akPW8Fl9Aks/7LpPhlPWF8+
LvTLCa3gxQpjhqqMMaLcO6ToRYQ8e6R1+0Yy3Qo8e1qxnYvnJmm22Sj7cWBRG9Lf+RzsAuUhX46V
poENObntSr90/FCzv11f8rUTqCGfhAgA1QmIal1+oW3WIeTZ0T+jDgOAGRI6+lWr8yt19sxFmwV9
dms+GFPPph8xNsAnl9aiyurVEjoJx7QsPT3ToOGFw45mMi28q1uDtK36eynM7fUxrgSFbM2BTGZM
jViHS6tdV4CGCdBgMCY9SVZBlmlrLS/XbazOI/p1WWMXQPF8pqSUazTi1wg8reS960zWysA4SmOR
NMOaHbwAwAXHACJACV6OJcjD5h/2WDXZV85MoC1Li943Q1Eei/0Qv3XPDXH+UlJbrQhNRKBt1Pt5
HT5N9j2kSwa920xN4GltuLk+gytRFcisgJpCkzpD3nN7A6iWcug+Yb/B8xTqp0I/yQOtbGufqyKe
u1VboF9FKRwMS2Atu5zFUh6HsFPQh2HHOsjdx94rwVNaOTddGm8h2SUiKl6rYLHsw/8b5LZgE3TZ
nJsAUsf5r0Xys0h/VuQfkGpwy55O4f2S6G6AYw4a4r+YVRO1R8ZDAfUS7rFSZM7QQuoYDeWFmxFd
o3Pk5qI3xBpm1sGzC1kcNNuBqJRbO3AwG22iA+PZWE64HSSGh2/rxbWWXkddyZY2hRlkhyKtw4Np
1pOX2MN9pITOY1yrxkkBKYLA9a6deYjmsjwssFToGLlc4dYaIqfORoDkWzRXOB92cz+FopBydVlR
p2NZLPwHnW6XVurOModeUwAd0sebEUqE5WS5xpDvIaWM/3YbNXbcVtL3Rn+fdot/fW3Xpx00Oqzx
At6U7yYtFq2wptHCCyHMIPkWqINbz3HmyVWEV+NYDxSur6N6WgRu0k82mp2mgnYmXqxDX0lHeYGm
8PVvWp13gNeQXDKR/Oafk3I+lVlsMAAZRKzTxCLL/Jb2InrrtfOLlbUVMA0ylT/u/NpO0fblyNhG
29pdgPrw5KRySBD3yabu85s2v78+rDWDyG5hHzH+VtzklwvtmGApHgY04rWJecrHV0VGz/NJX5q9
GaeCgJx9PO95z21xm2pxzGBaWIdVGzFFWDWQvHDWLcGluLp3IQiJNwge/ngus5vmLBoqdTsbQwdn
NnHqygdTTeJFkR34IIODhOs8TltD7mdPm5TCM7PFUUhRBM1xtnNzc31y164a1gsF4QCUm7Cel1+i
lc1sDmjAPupLBQLeAUjDEIzY/hCmE820qIN2gfM0xt0gcBJrlynCQDBfoQnWwivk0nAR1pGeBJjp
QftokKl39FPbJ679F2BnJL4cmEFSwvwiAVGpaTvpAQYIrBCCHFtPtygQ1G43h6KX/OqQkGIzgTGU
QQ/J+ft5wCXQVrjZDA243qY7pRo0f9MPvPsF3mftpCNLCgwS06WC17+cPL3Sg7FlnQp584DufBJD
3kvN57/wJ1Bs0kD5i52BJPOlFfSSgyF2QHG1RJR+wnPhudMia7s4YUCu78K1mUOMiCS2+onF4464
WkZOaNiorCbMndfEKm+m7KcR/XvgO9K3f8xwp3teiiHObHA7onSrxh/haBBHVG5fHQpL/6PqA4UB
vuUICP+0+wQuOs19FFQu+PYsCMpF+fv1KVvdAn/s8O9FVOmKxi5w/cVtwxSsI6h+VKnAO6y5QzzZ
Ub9l/OcGT08Hx1SluEjgDhUNHEm5G2CzXR/H+nz9McH+fuYKx1kqpK4A+rIKNkVgu7p6hw5C+S/Q
43gY/DHD7WUb8V+jNhhJBoiF8tw7uyb4fX0kosniXOnUNH0ZopXsqEQ2keqahrIlcJrri/5nFNy5
DwBJkfSacWIrFkgcm8i10WUGwvi/cTAOghtcuSZ6HXlxD8DOndAKYKjXU19T37UUjTH2x/UJW1t6
ROYgNgOVI9qt2ISeLX1pRkWYjsBC4Tg61ltrSAR9Pu6UdIJtzKaFv9UZ3Rgevw4g0ry7jM1qDhYH
zIAmIsPsPh7e0VhfQmIkkr43U+gp078OWQAABxQKiDn8+wWIUKeAd1gjDmc6obdjvlvslsghQPxq
uhub1387jehYQ7fLJ1clEAPcvkunGkwjBYACbQGFy4+5PFbjWwiSrOtmvkYK4HJGqoIRCytYLc55
Spm6LGqDBJW6iT1sbq/yFJoJztDXlYIRhPPof4B4jc7DvuXSyh2nAVRkBLGHKbu2nPvNUOGCm8F3
ZFLcIJBXnrfXh7YSjzGealA4go/VQtqYO1eGNs5jHiEHD87aJN4Y2oc2BgkBqo1K4L5J9ZRMcUnT
ZT7Kwb8+07CNxCNONaYW7dqXpyDOZGSBMpRocLnuKg380OOEnlHRGfh62C7NcH5WL+NOtyv2GEXi
O8n9Dsl+U3kwbf/6XDJHennWLu1wjtY0aqVY0H19tMfcS2vgbsfTqHV0mp9GWaQP+tUfMmNM5hAb
BrEDF3Ep9ZIk0hgh4ipus+xWaTvQHxyvD4hvP7cZ6xxj9mTVJpZe4hYoqLQW6bJgfLI3BvrBPMAo
+4K+qmSfoD/o+0hszxZEXnxnzn9sQnIE/PwAcNrcYcsB5sTDETZHavU0+EAzUvSaenfZe1Edcjfz
Hq8Pklu1L/a4iZwjOQ2GCPY64xfSss/VG6TKhmenqwWG+HfzF0uc04/QHZEWQzQ9vfwIkfCkd7r7
mm3HbbsV0f6LxsStm1PESWQnzvjkGt9jaIg/BLQVQFz4ro4vo+FOFYLZUu/kcHqSP9LnqCMFkd3+
ELrSr+vrw3uoL4a4Y5UnDcSUZ0xb/PECZmp/B+b42VXJQeCN1keEEg20ddjG49vsZllGH1pQTk9M
MDnc3lr0e/6UEIHH5bPz/4znzAw3nkEL9S6xYaY3QGFHjcyXSLkxn76nvzovf2klYh7Rz06GjbT/
AGa/Poikfbir5ssXcNfmsDRq2Bj4gqQE5dxEWrR+2uQ9FE0oe7ucOcQvdri7JUnCqrPrik1oRBM/
uEOMu3vN7setqKQjGBFf9FTsNNGCFpagqn4T0Ydgm+7AXinwTSIr3FttKbMk6RtY0R6jJ5Mmbu3K
/vLxIdjwzA9cmTbeA6LvIKmWFGaC39ptCWn2/Lfj2W7gS/eZV532In7Adcf0Z0fy0JIyr9rQzGFw
8C1yW566bbjR9jczcXYHZXd9dKI5ZIM/i3zlVB6VPoQtZ4u2aGw+wzvqLyJWfpEVzgEaMTgWLHaU
1ZPUE4eERH60TjYpBVucu4U/dzhw0WAXBy8Ru4kvRzMqXavpczo/dfKggdgpaNwhjsvNUI2OIAjl
sX7/sQUaIjT1AMHIR2qFsQyZDG7nJ4uEh+GuugWbaOLqxNooXhmQgJh+RA42FAXfRJomq64RWe3/
2ubbiSxAj3U9g20/u41ug+hu8PrvsuPaXlB61zfIagBwbos7ZYY5x61TwVZfHvTlLQtIFrtzv8s8
O3BT+c4EbCLdta6K06dv/kfjXPTRBciAgpYRjuQjOB1cE7ycITrmM7TuowLlOYLXEg915heVD+Nm
OckGPYe9xsVr7CX2JCrvjPvikAW08V5D+lEGVMT2sRrXMSwjAI0ghEKV8nLb1jZLWWfsCno4+TFE
luiDSeKBqu7j44eII35985xZ4yKFGJqlCE9hDeT7N1VK2024Cch+mUUhCQvVeMd5PizuZm3KMElN
s5ieXIiNN55KVLLdfgSeeSME3rJ9cM0Ud/ArGfRTcYsxvRRHi6Q3+ruWuzYZPNEGEY2Jebozf5ma
cQQvA0MHP6LDd+sQ77q3rRtQgKT+4no7mz6exQ2ipiBEnmEq/BbWpD1KriuctzXHfG6DO9xzG2Vx
NsLGt5G+HNKbN831Izd+Nry8IvTxsSffrp/oT0HQKyulcycayCYz6we4k8NtS1Pvx4+a7E7+mxZ5
T7qbzF5/BN/JY+hu6XSi24LeG7tfImFI0YHT2SqfrWIAsJEWKGwVT5WfhjTcAddEt9vQ/7UdRKw0
qxHz+SRzd2xTN1rTLxjyTF8skt2arkkYcYzlikqwouXkHIkRZJ1c17CUEje+0d1wZ5NfmuDm4xsg
/nGSlgmSHZYd0fnWYHussqxuFJxr/b27zVSvfx1+oNfpiAfog0ZMb+s+trePdDxEJAXnyUgwr4IE
+voSnn0E51y6qVFKEIti57qn5hjdKb7fv9dk2D18z3MaiirJq0GZeWaP8zBpOYARKoG9yv32ggor
rX/eUHovGhf7mS/HA/h5JDwdkIvwc5vPc6tVuYG5RWDhjbuIUFHqdn3qzmxwU1elSTyXaLt6cvP3
3PKGreOZ7lF53vfkcCoTKnr+fhZirw2Kmzunc5pJjmFQfnuziLpPQz8kDw8PC0H2bp9vbndPkVuj
Z39fP35s78sf99vIo8/Umz4GL6TPW/p4D98n2shsnNc+i/PlWWojgV3ruDRA+XaYd9c9HY/i++eY
/Jnmz3v4zMlkUWlYeYWfR4dHuNEf9/vt/f29IOJdPfFnRjgHng+WAj0dGHHzmuouSFIoduX1kTD/
xM8TZH1REEOHIwpj3DzJjQKMo7lg60cPWqq4VaoKrjoWcnyxAKA2MtUaVGH5XR+WaaUnUz4/FWPi
QzyCGjWYqk2AcIQ33tqiW6oFAUj0H6A3gNuLCVpp7WyQsOiHNxlgToDvPHrvuB8VUsjudt5cn7vV
++7cHjd5gayV7aAFWKCX2UNxGS+Db+Mpc3cPuweL3nnfXy1cPQbNtvtuM5O8INvwdmt7vwTfwVCb
X6YYSqmsNxXKazwXTJkGtVnY4/z08lKSl8XV3JY+LdsUssXgMSNH4r0nBCJMm8eKVpuP0A3dkRwE
O+nzYXLlK/isOghc+tY08BWnH5q5iYnVkfz3A8ofvuPpd5sN9R7l7x/NW/qTNpvE+4BmEgRXvV+C
U/PZ8XXtO7hj03fR0NcDMsEv7qkkNblN9yBZ0gk+RZIp2dCGPEK5Af98ZKeRTIMnmoqVp4aJ3hQo
6aD1DZE/H4OMkAAd9KAbnyARAezOfjiCHCch1SE+dp6Dxw1wQ1ugrQVH7avDuDTLDvuZVwrMZlhG
A2YNEmAB7N0RgGJPFIh8SpRcTjDMwC/hyoQMsMEjIRW0CmpBP49P5gZqW8E+LDyHFI/Ydxl1iPMj
gQCHq9PqWDiuCaqu9/BnEZKmJXp9Gr4lIl2EFWd8+T3cMZS6pQP7c4KHZOoYg1tatbNTemP8qORK
ByOuYk0laZS6fnLmwQYTnWbFRB57NSaBXgIuOup5IbqA+OYAXBHsq0yA5uBYmdLL5WLkVqIGaFwc
nzRSEskBEV+Dhpgb9bZ1bz4K+jycHpNT+f26K/gaYlwa5YJfWUOLamAp45O6qZ9bP7h9RCC6vW5j
bZd9qmKCMZ9dhByG3FHtUQIQlu2y2Uu9yDU2ULEhom22Elqb/6hv/scOd46zvIvbuoKdnnZ+/G3x
m+/KTb6rSEdFaTn9a3Lp0ha3WEo6Qxm8hK1xXxyfoPp4W9MSQTwowrTdC9zH/hASA/SJPaTlOtfc
q7k7e+XDbhNGbvK+eLq/UC8+Ol4SuNb9eJwJIFYufO7JFWaIvt7Zlx/LLXI/pXo2Y39jZ2W72js9
2a7lqTuT7KtNQAXudG1Hna8251MaeTEyoIPYarOb5fReUOGA2OzyDuXcBve0CZJ+cSQds8/WGVxi
KPt2W4tKJ2lf0X+fWb6cPS5FUluQ0R3Hz9kryW13CHwPzC+CJ8zXoOfSCItUzj1xbZYAJMBIfVI2
1NqJmuDWz6AF3TxkJy380uXvZ+HYjaAhGJ+wU8Pf3vtHexA85kUWuGnq20ma0wkWLJzyxK22NskR
NwjdJNusX9f+z0i4mZp702okGzVBw799ySgCGN9+Hb7lvvBpxPzFNUtcdBgGkdFM2eeIbuNN4uYU
8VhBx60wBbF+QP+MibuQWllONAdKpU+tlzzVBE+hkeiPJqEVTTahWx9EzaQreT+23/7fIp80hipy
ZSQOZvFbe1/T3wu9yW9DVxBerF6051Y4j5xEejo4JuqQEHH3f0Su/BocFfocY61SwUUmHBHnkWOz
iOSArVZOes9HPfzXjeT227+bOaZ1gHCN0TJxztSUpbA11Ji9/d/Ce9zPFQGuCslvYv37Ej8W6cwU
50rHYrLqVPk0hVyRX9LoO1DbvnQT7mixyVtaC27q9Sv0zCLnJloT9KxVgXpuspvcH+lp2i80Qsbm
XvT0WvUWZ4Y4b2EFbdHqKXLrtfeCBmCSuiDq2F2PO5gn+HJ+z2zwnkIamjhx0glohZcMpynbC6ZL
NAjOQRgloHtBhZz2Idst24GkO9TlRLw7n/0714bBOQdFW4xe6jFVxUvjz/Qtejy1dECUYLk5kfcy
VXaQVHJLUu0Wov7SXy1qEt23fe/V7PE/rTvfpbu9sRtDcn2C2fiufBmf1OgVMyrrGrvlpO8XpDUY
j7dIs+ozoXDNCOdDnKnru1yHkW9DQU5vAc0QsxigRT7Zd4HuTlQmkXezfyCOF2/kJ7f4nW2Eh16w
0p+O7ux6bqw4yFLn05E5RD6dULUEDn/7mu9unmkJCi7zQRSZr5hkhMJonmHEMjafm3CyqQVbcj8+
vSw+ygvdtnXLR0HUsZL9QzUPgQUCAtD6gEUDK3w2LgucBXHAQESQbfCRzPGHA+4CKm0yLyIfAf11
fcPwTBrsjQNqFxgDnI4pWHOLWaeFLs0F9vKhNWmOJ+fJL8ngIiAN0dbqKzR3i439kHdEfrhu+pNW
jttHF6a5oUpqERuFDmdaf6AVCcnG6YhWb/YFL9EJvrymMZFuaoL/iVyLjr56pz9O9D19nG70A6Xl
ce/s2M4L/Wxj3Qmip5UK8uXMcNeKagwNOEsxMzKtqYKnAyiAbgxvTEjvP9o33k1wY+xEBf8VvAuz
ilZrNAeg7YHveiuMFiTOMTyYBosgJUe1zM8gMAaKGouifL1/hJzUXnJBCYQXm2g3rIQ9F9a528bI
8dBuAlQo5I26OameskUU7037ilhvxab8Xoq2O1tjfg9A3RcgIkTBDKF3ud3ToBr6QMdwDdKAUb/f
4N1AjL20Z3ec6N2gsjvsizU0TTPqTVzkBue4m6yfhtRCYQlPLuvg+5qv7i2S3DaHmCY30qbyvO19
sYmIR19nAvpwcn3Lr55u1rX9nw/gh4ugsow6Vtnq8PZUEDnkG4jVQa6Z3ICJDr3VBNXXv4j5gMs3
0EWEpnUQjnJHfFrMPKo0GzlOdY9eId9HYu/mDjXl8Of14a2UnswLS9yJbgGcTWKWTU23E5A4Ga7A
xa+RwNRCEtPwqSDp3UL/j7Tv6m1cWbr9RQIYRfK1GURFW2Fs2S/EOFHMmRT56+9qffts0z0c9cU5
GAww+2GzVN1V1RVXPQa2PXsNTd+SfJKQ0HS1k/jI7YyYEq0x24z+qr3Qp0pb9idVvCTOVUl/F62q
PSlRoRC16q8LUdM2sSACv9yoPKcVknKh5Lniel00cO5A+jO/+/NkGMcR82pB6xe4A/kYGssYA34t
wUaP1mlUK1YdD2lmUydNbOZPiWVgKs8B7IEA49Yu79/RpMEfHwuj4o0ka3HTaKhfFdZso1zNTF5o
matE5twSrqtteDH7fqf5y6Bex6a0EMz+TZMtzq+Y8AR/SArjbZa1hIFD0YCjAom05lZrk42HhRqt
OV/Dk9jzilxTb/eYa8bzTJNSCXUMYkLxMnhGzy8tsvk8pia8rx9MMd5nirwtogMwJUsEc/OSmJOu
tYNlpZnYhZUkEVGGR9F4boyPsHXmwSGoT4JgFfU+UXmbLSZy6D8ljrF1EQbP1DilWj9kZJuQoTFf
g1243KbLcFl++LZm55oVLLVFY6XkBfsKLVtPTIuX55gWfdRyMIILjDf1j3kArxY8NfD709P1/Kpv
X9HBYPyOFzuLwCumnnGAUsZ/I14jmozu516otUIImsJehYERj9vAVWzA3T9erNrtcD27EmkpXtpg
yjVWtBFdRs1nXf+PWGvAV9Mqd2a42lFLXwGFpgCBtnTQv9qiVdVJIrOI13rqyDoppV+yuJqFRE6e
5+jfrhyjI8Kw1vKKFPW2jpZ5afrH+0c0qYB0KBl7+gyKhvfz4a2EOSosRdCfZEcxZ6ax2vGyNTwK
jDYMeYU6XnfpT4kbWthDvDONj/s8TD3nQJH6lwdGxEWMvhpCSXkg8pt5XfDEaNJo/Pt99H79PCMv
FDKp7sGBNeCQ8oeavJje230ebg4d45NgCJQWcDHkC2gnxh7HBWo0CAj6U7WSFoqtgtIBCIXm5xxN
iu2e64JMXMsPeozlHZRaVaQZ6BlHmpVHlrxCb+586S86x1gASdIR0JRyus/lhGUE6AYWNKDRBiHH
rdIyimoiEfCuZY+CXiPt01lFYmOnlCJpajf1kWfPOXsNJi7uBzlG9IrKz4w6BDkZajjTNaKkexSW
zVDMiJE8e0Zj5sHTfRanUms/iDLS6IvF/ILGmx5pqOypWTTbBCHie7WRfwXo/LxPjNoRVmhG53mz
uaPz7Gd1YsQRCrUXvzxF2cUq+4v7v5FgvEal6SWsfgKJpAHEefkWxsv/ggD2L80xBI28J4vLYGhZ
5TdUJvQIDqmWAaXeuk+Bqs4fpzSiwLwC+izQgsDr+5OPkYGL1XFUl/d5ekmjS4hlvZGvMhgIAP4m
RZaBhzbQeAo7pa/iiAnGPlSzJvc1eg9qjKn3JiWSB7DQ1DANDD5XnNUL8qRgjagx1iEWYy0YErE/
rdfbW+kdue9T/H7KTLIk75vW3kQb8tJZOzO1V8dym5rp9gO5Y84Dzjta5nXyZtI1CwP8DGFoSSW/
d9gvWRe8eJDHLGMmqlhN50Us9Cf0rKMy6HfOdS5xhOS2FeaeEDJmITQCbNJBLIJmxq3THQJsTvKJ
sbuS8Hg4yBXiok1KVuQYpCR5OH7ph6+1cfpY8zpdprLx6rcc/YFaps1qrMtNIK3C/vJ4XSaH9kF0
kw8fyXIeQtrkuQLRmHYgAj/qdiQjxVCCpBEkCbfnlSnR5Y9Lw3W0Jh+UEQlGtdVQD+ZJDxJwqVCc
3z4My1PqnK5r5AAXC3vTWTn6mWuE8kdj+fXBsfWT4jmizmj+BcPIaqjhTo3yrBbPaWon1eK+7Zpk
EKeHRCD6rrA16adxufaheg3aYDgBrPxdCgOrMa6mf60+mkKobTEC7LOHDa/3iU7yhZWWc+Qo6M55
Ru2UAu12QxANp7LYetGurB9FQOn9bzQYxpqsFoOsiodTqL9lTUsMaTXzeWsaeYwwSqcYsRcLRgjT
VbamLC/bXLQLuP/3WZn03YBajdFtIPsAx0P6eUmDlg+NOGTDrZq21hczIpKZ6TkpmS0yC5hGHIJT
CSy60e6GBoNIikVJQ2Ki1/RrPsDj3bZI52Ar2aY8SU9vD9neIYW10UryUh6Sx5L0y2Nquvv7HE9l
eH78AOZ9UNRrXSRxNZzW52tAfHhyj729fcsdJzEPgVlYdmPlhZn+tleSVaJSFTygOMvL7dyK438Y
1dE5MIJaKYM/lwFedXp62uab14q89Znpk8XMXGC00n/cSWiVi6wLmptDhAUc9Z/UzRF1RoT1YTYD
dHw5nNp8r/jHDusQhPyXp+a21MKp9USbc+r0VO+xy4jzVTC8XqjB7hotHL39+mA4b9X2Spafgbmw
Q+SiSzM7Hvcza897ieVJVfpmlsUPUZuoSSSD0l6f9cVr+PGq/BrgTy3Jwm7tznpZ/T6uOvdrJRDz
pbXtXyHhFUUm35MbHCR2M9HF8j/VrFY6/5L0Kc5b+sxmh1I53T9f3vfpEYzeKz/olBlWPsMkJa+R
/mvOgxaa+r6ElevUUmCAiK2xlKFUidd6Ppy0eXaWL+XZyK7/heUGYgXFkUFTHzCafrLQRe0wFBdh
OHlFQIx+2ahPWW/dP6apfjic/zcRyufonAbFqMJQHaB1qjM3hRjjsOXx9JxIlv9Y252DrswmIdqJ
Q5b+dlb6KfwlyvuKAdQFRtkFLUykrMFb34XXWWh2BrrwTd836gz4aUrhEU3IgZuhZHqkkKSL+3Ax
7w1jG4QiFnfXV/RxkibIY6eIM2x0vP/rJGrjmV8HcCqsxqQbODBuz/y6YN6VKRoqRLwBM8m8oKHL
KbbJ9jSgrjD7hQJsSFbGqiTlynUb98m9T34q6kRDNjbbAD8P/2AhS2Q9SBI/HEQ0MG8VrAkGbrK9
+tpzLN5UG8KYDLs/oNCjUlcHcFnYCUGHT/KK/Ycv/L4basn+OM1vdlhV8dT40icd6MxceHXbh7cr
QR/2sLBh4shx7/JekqknHI0jaOqgzxrQjRnFkX2/6NtCFU9oIs3I5WG5gEndCI694mjon4+GBunA
TCh69LEYRWCURwd4dRE0GH61nIr0Lxtz4Dk9Ey7+TxKMHfP0Pr12ZQwXfzWsib1Z7Y49R9wnBOEn
DcYB8ItgmAFCFTO8qBMX5pJsesvmHNWEUP8kwuiUFMDJuACN87SeEeVlh4YC00LDC+9t4x4Y85DP
BLQswhdFanorY2YoPfBQEniXzjzcXl9neVPSS6/2/fk4P3BMMuf7NwZHFtnAgpZhyPD9CgFlSsx6
ceTYFyr/PxXyx1Xc5GFEIZBb9Ae0oKASikoQmBfXdT94N8HjgxrZERU/HxIU53AR0W/jd+B88eZw
JgqvP9mgbI4IXEJAcw/oEUYUrrrZAke1glT1ZO9ybmSitf4nJUbP1TBDVloBpeFhe27M8/n1YroP
mfn2sHVyDFZdMfn6AF+N45nzdIbNIwu5X1YqVX7x/PrYErKx7ZD84mjmn+aZMoeZCIC80Q06jMKk
4bwOvDLDgAhaM2CYEWaQ4eW+yLEo8MgP/yTCKM1gFNKsEtObpfx1eDiF1tU9HPxtU1uHzT4aLCMn
dAAGuV0OZQ57CpPwv7QUk0AC5cumOaADZlMV5OIEi9rVcaTiYUOe7WyJUelf6DrVXr58bMPGCIjM
1YeJotmPM7j1zozkNZ9JmlEKOOgn/dfTFi+GsySPmrkp7Wd7Z/KE9i+G8N97Zcd+K70y/EsKckWB
GgcKcuu9xVGMaRX/JsFo4FWZY8qQpsetgkSZ+WymZsjbITdR3P55bIzyGTU2/3XYQHbaWo7jfEqP
i8eNTUfuQvMp4fSucO+IeW6v2kXT+hyHhsze4Dw4Ii5pUbqpu0HlJkc/KB/v6c9g7Cd/zOvbCnHZ
5aiknIZ145jG6b78/8VKft8R8+6qbYp9cEkFjs7RbosJ8BMKtOTi5juL25XyZ0z7kxXGlETotAul
DKdnba9A5ggdjECYxD4G6DczLN4DMFEO/0mOMSpZqFSeoEAy1uuEWFtc13L52JqLz9o9wLtcYdjb
wLgH72H7i7/075Gyoza9UGEyaQY2E99UX1cQRR1tY5XLEUaOdrE9PhkWrKkYmUc+NCPCcv5guR2v
vUGiFZ8/XYFvVphHuk/6oDQuVN6ts1OZ6G1FxmVuEds2j/kC07O8oIPHFGMy1P7SRX1R9Kf5LxWx
prNMzE/FWmAk7gXjx7wj5F4VYzzkuVhrmQoRSTMSWv62Oq+AdLDfc65qorHwhyiyiMbiRc59n9KB
GMJmoBqAPtmFbdquscRmRF62iveeqozRCLViMIQ4x1uSoF339pacPsk7suSIqUzXt6wPjh35s9vp
J4eMHTEuihLMfVCMyNbqtpWDN+XB4hDhPNbsVozQQ0K2ySEdZwsdbSeyROYf49WY417rNk+PJzKv
P1li7EcVVVIn6mBpDXKvoHdxDuTTcxZ2im5B6PXX/uND4KzimDT3kqRjKYkAnPxb8DryAjBSVcG/
h6RoDcnOHuF4c9MaPfo+84LlXZ96WMZGGyieMM/w+vqwRFpPIWgJ0nGUrsvTaKqxf5iQEUFGFK9A
cBCR/oeKoQgGxDga2JuObvP21VNVvUeHEcBYBRR/2+DgVFexumeO5NH/+97Xmacrn5eJhq1Y9Ngs
/TcGozfiSjZXrvHYEa4rOGkER0fGCF6j9dUcyxpQxI6RNkCpkJeYmLZH3xTYZgK/8WeZFoKdHDmk
B5j1T2qOkDwAvAvP9k1ahhEtpquglXu0Qnq4GMMJH3IXNc8L2X/wnAuO3txydiO9qeP/XL98BEjr
4v71T9RAYApGPDDPkl8JbRNTZ/lp/X/9ra+R65yKxXKBdPxmMDvL3u0SK3FcRHk81ibyjT+pM6+U
pvd1LRk4wTVamIdlLGImvcQovFObZvUG6Er3wz3+EtbcASGO1LMDi0lcYkUpDY7Cxoy9l5qUWHol
OReZY/Q4An+zxKPLM9JZGvkZLK32oC9VZE05Mjjtt4/ujzI6IlCKwyyqM3qCFioa8HIfEFvVKGd0
lrnqXV71YiJt/vPGGHNRtqngRxHo1QAM3DrO/xlZy1bNlfVfZQFGvDHWQjVSRUt1CtWBmQHNFBcv
5mq/r1/uq8B0vPhNhh1WLIGOnEf0CAPslYYodECPxES8pHEi8glcnx9nd8PvGN1VZxT/CN3aEmzV
9VYPxflX+4qhJu4LP+nejnhi3NtrIGZiUlCxSMhTQeqNo27gVWhIBwNsy47OK27YTT955yFhk899
XHvAVcdtIStFrIpc1+XRwEYlukmSc2P04u+RYsxGVUhNoobQKkQ/NPj5BLIcnBfbdL/Wex6+wHQS
bHSWjGMh6OEgqR4Ys1Ar2DqJjQai5aGyFi8re9WTo4vwZP1xn8VpPxdZKQCoKDoW2DJvi9Re53Uu
InqVgWH5kB9PS8Qn0pLYuD4XQ8JfX90t48chO/3YfJNl5Ca/yLNcl25kz+cHYNaYEmCRiGGqO+rU
m1/o5s3RbS64KMvwSosT9QuqIN/UmccoQCt/LJU1imNmvQlPr9sluZqgf9rteEhpf3EXv2kxMhRi
Y4WvDqC1flrXFu0PC4hzWNQoNcB22nC87x/tdDpnxBwjRoWvFEJJg2caccJsAhJ3bi2Q/9rPdxxa
XOlhXFM5MSqAxtNXXVicMeG3pc6w5zwv7N1vG96wbbkc7ugX/1TJ7+Nk3qFWb8PwSr1vvOQkgcig
gWPxu1y4XNM2bWe+KTEvUJEIWDczg2l7qt81IkM7lovUHeDpP29QXTMVBxBeHPb+8sx+E2WeIu1S
/ZNMrezaWl/Qp6JvyAKTr41pfqjLvW99PPH6wjjqgGr7z7e9ri9Ka1BftrSss2BuNfcB3dSVdV00
HP7+8qz/hz+N3acmXbQkSWgs82o8eNaSKMi5m7eImtduJk8b729SjImpgw7ABxcafFqO9UBd9EOy
cIL1K5KcyMCAv83GdkXTPLoWMO/cwNrHv3gptOns4L/aqLFz9jDpWlJq9IGE7jungCAfQ4YV8gfc
s51+i78ZZixNO9NmslZSgQVOAcYuUxcBtr7jvBhzHhnGvuiyL3dlBzJ6RIwLZtHOvSm/J6S24gD/
RQdhMb5WkWWq42cs3xeLzctqhbjoaNtkeXE86/39GWMsZ3TFGvtsY354CJpXKxvhM/bOcsL16QTV
6AIYEzWbe1Xo0ey2BYjDfImZ5xnchj3HLE2HaN9nz5ilADOZV48mHTIM4JqzV8Ex9y4P4otanL/b
Po1dJ6aJaab7NIQeloXlEYo7e5+N6YTN6LAY89P6Ui1VV7ARESQP92d0rFAcwwNmzUgNVd3ZZvAI
mM/jfs1FDJ5Oc/x7hGxZNsxVLFSnEeIWVCvTsIV3c+XXHJ/uL6HgNxnG4Yn0KgqxeQlagkwifCx4
q4uWYsXZpXkERASvhMMx6VgH99O6Zv0VkW+IlNv6taCD2XCwDo9z4DlJ5GuFPRfHcHH/Fnkif4sP
Rv5/k1/R1HSrBc5XXkfEPeyA2iHesP5HQozFqS9C3tc0rM4W3guee2yacI9cwbjvK2pskTbEWl1d
vkIwntY5EFGMnfASHGNzf/MN73N0i8fvqNgN4W50dO1M8gN1RqXjabsV8eQnwI9fRGbqojZ8NF35
ReMJCOedYnuhIlXvRCPFIa4vaOw1K8s/7Xnm6b7XhFUrP2XQx1aBOkrA1tYKXKQ+HpLzV/GMRScI
KbhQxDI1dvcOkbEil1ruUjGFxF8d63WN6cntw2l5CLafp/jhgN6kXiafn4SYFRrNgStmbNbH6Ni7
Lu9kOa6wxibpwgrRaUpVr7TW59cH5/TYJrhHpJi0ZWxynGGe2t0igZHs9HIwxAVle+Y6+YV4LlA4
KU4w5zI5rwCbp1ODEDskaZUbsMStpWz1nAyxJfB0m0eGiZHCxvun4OI4qotCumEeiPl7hRo+dI/n
gnJ04BYaj45u8P9jSNZbVLq9R8DH3VdsnuPJJuLaGlmeag4t6xcWEkoPy9Cp1++w+nTcgdfxzbFY
bDbuGufqoF8hCcHqEwPjHxxeeFfDOBtqjq3iBa2hW2jips8JmsgXNr0ZVN6eOMQ4ynxL7I6u5nKN
O7yW4AW4BK8n5E29zeZW5lgnb7yY6y+Zq38fZxaWt8+NQM6pbDeJJagEC9ND1Y2vm9g4ygVkvVAW
aX3oMfbGWy/KOVM2OZe2kSi0Ithcd1/SS7n74mjtxJTzOOegsUm5pgniMKVuc/J7ix70yFwsna2y
cCCKB3+B8jPZ2Rhn6sgXGqw40s8lzvgg+Qwd0GUF7jL7jHLF6dWx1spWLKzOHHLba/b6g9k/W3v3
6xhvwwxma/0/Wkc2bVc34XzQ0SlB6z8AyIaXjHaPGH84vP4lzfqvDN2m9UYCW6ayeK0UepPBb7SR
aaZ0RtcahwpPXJggCFFdmGFpHXp/MjN35yQ79bzOcY5NlJnApb9oeiBEaFtBVB6stIXLs1K8uP/2
jo9OSkyNUPUrUDhvk51gvpIcOSmAsy9mS44R4RhEtgWukZW6mVNYkc7EFpKNT6LFYfG4Kw+o3HNI
Uf/9jvNxSwuMmPKjJuo6PCcny+rmZEAPOfmNTOaF42RzBEBhcibxrGjqYABHCCYzgNwiWFE4NR1O
dg2Qyj+9NnmGFv24R5K0MwFzYz1cMKVDPhFPE8yS7sJbG0KFFXk8wP7pkEXGdjxDxSidfhOc0RlK
vuhpPjXDhvvkRPZpbn0iUWOjak+zJfye4kn3dESP0SbvOrtUYYo7U8n66hq/orf7QjEd9I0IMLpU
Y0Aixpw5JB2zQM7rG4I+VB1jQl52qJXt1/+dFI4IMk90KmuR3nj0BMlyufAcdE0Rz+4P9/maVKsR
FSqko3vS8yS9ZgF16wcLqHE8kz2Z1Bh9nvXj/Ti+YIU6VGm+DxYxuZUEOIaUJ2usj47tHv8EC+c1
MLtoc/wnwvGNWZruEZkhHk+TWYZvnlgnvRtk/dLR7Phl84ar0UqzXM+B6GJY4kvFq8RNmvARMebZ
VQUjlaT/I2ZtY0d4dy0eP5PmbkSCcdPjeWQYwS3LqZji4RlZfgSoPPf8Fvb+YVRHVJSfgtbEbZUE
Mk4ttl6xWunzCjAsApAetPD4uX1fqLnEGGtQ+F3fyzqIWedzuUnIujMVdIY6yougPxRLt2ocDkX6
8++xx5qHIpUAqgeKEXDzswVBdpigYOKqS560866LsQvYfwZXmjb0ooiOQR20RC1UlJw3KJYgLDWW
HcZfn+5zxxNCxkjM0DySZjXVYqUkswizJ9ySE+/8GEMhB0beGlQI02Wwva4N84r+4S/q3IX4yxH5
6RzNtzCyrnozXOeFYYDa0xZ5fRwhEGWtA2Cw8AeVJ4qzgCUDDRFQkr5/lNMl2hFp5kWOpGgW9gYE
pQRoKYUtxcJk0pnGMX/wSf/43jntaljJWz+CC+2696lPTyuMqLPmJCqyNqH9quvX5LNyVEjoXref
eOAZ04mMER3GpihD70vZgAOWiQeA+13SYRHSyj0GvGTsdIJmRImxK4FUG12oUNnc0vZA4MpH0IUV
6mpYF8I5vUmPbUSLMStKIieqcIEPUFrnxkaZCw9zTbCYAmNyKAFxqHG07g/vPfOxjJeafgutj28+
HLflAYUQtA7k5pprnzkvNevJq3PVm9U9qDXmtiC+LS6wbIijd9OlrNEBMoZEA0NNQTPnzQo7oUn/
Ja/VhPhYnrjDPqMvrg/FY4qxKtfGE4RAA73bDHVsGa+zx/u3xPMLWS9+iGTKFEg4D4mNJFdL3tHi
q5MdUr17Vz7dJ8eRCdafB6psqsseZQjLcsRdSuYHbgaFSvGdp4wdSmmCrpdqemjosiOHTzqKYKNb
2d6XnEeTR4gxEtncqDQtB6EttgkvAw6mDu/rjGHIQ1mSdZqwXs+Bblot718Ez5Le9mKMHOdYMvK0
kvD5xuxW1tWKa/I+rIqluea56NNWZ45ISjHosnHGZgcqOqSKEDGc/tlYZmZhswNv++Vkhk7+JsHc
hDebS5megoQjrqXHmEhc88JjgrmNasC8b+LBa0HL83bbvIaWDNiG556kC2zFQzcU8kWcG5p2lL6Z
Yqy1rkddKfcgKb3GWOm8ebRfVqZ7n8h07KFgQRewZQGjy86ZiIN+Edu8oX5fQnpzC38M/TI1wfwT
5gDxDHH8h0kDMKLHuA9iJyc1HXU8De8xBnfkFezmfZamX9QRCUbe5LINitZo6VUBVQBtZA+YlVgi
24h8Gx7WiFeNmPbGsO1HNmQD0MssIhlAYZVsoCChjZmQoCKDS0FFqFf2erH0YO29r46Y0QicdCuH
6z2vgW1SNEfkGeHv517aNheQf/D3cFGw5Ov+gU4nYUYEGNmfXeZ6K3oUn5RcNtuL+eCEVvNrSQ7C
BzoBr4sjhq/iX7wUzHQWc0SWkX8ctub3w/x6uloDSX4FC/TZVjW8Wg5/kyI5ojP/GdmlxnUmJDr2
GD49abg13eofiuf7R8jlhQl6aIthrRXgZW15wC1C+wvK3urLB4cMvYk/nr4RK1RURkYdu3LLi0J3
QBaHAKtbDrceRpSsjj2PIapE9yjRQx1RQrmqi7UEDIUtkMnqyiRO9OkvfHXJC61upaK/k5LY3ixJ
1S/FfID4rdEUOv+MJKBfK8Gi9JE9zy4Ee1wo5vfFEXYf1l4LMZu9VjkiMu34/XuwEtu0lQZ1VfUi
Dtay4pwQNPilJD0cj9zlOxxJkQTGeuVAZIkMD6sf13m7RuUsge1wteWeIymT3sWIIcZodGHczSJg
g53C2PFTn1RtTEKA+bZLRSCiuAoseb726vOv2fBYy06n8/yP+6L6J66FXF+GNKS3uhXM/KUKdjHw
R3oNOULP1nJe3Dpd/RwxzFiTAQXDUjRwrkqw1IWUiJHZLKT38qmRTUEhATYmLlbSx3U92OrlPOfF
eZMeyog8Y2SMTvPmnQJY5eQriEjwuPJ5T/n0uzciwdgYH8vBtSqEjGKuGGBP0RpPOcFKG231W7aP
Fncoi8cSY2wiNfUFLaY3aHW/se+Zpsc762qXxDU5hk3i0WLMTetjhY4egNaTRbc+ZDY2wVjZbvva
DKZ+JNlys8ntxpk/qCXACyKLl3jg0L9p7cjcBeUcUNsVpCe16redjWfovj7yGLwlJEYEmqTIOyOi
j9D57K2WgQ377UhLFO5oisPK3LW7mjuuaXFTHVTy7phXtjnrCsjrIKOKYW3zj+WVnJpPnzi56ykm
ALZd9XSf0+nA41tM2dYsPQrRYXS90ctIZ1+wJSPazJ0UaTIOpfsPu8TWcPJAxQ5dauOoX9abWAe8
yd33mNCO293vDMvILY53O503GjHHWJksm2e5EkDNM/tJ+apXeUxW3Fmu+w6fdMsej2QlNoKqUQY4
fJiAn70r5nWVtNjRff/0OA/EzZ6OiFxbfchDqt3O4ev+l6dbHEaHxBiOvOniIqdLDUqr0aw+MKOD
pixKz24Lkj8ZWzRFNW7GQ8PjCh5jQ/RilqVtjWO7XODkkQXMFXq/kNjjDc1wNIqt5zRyeb1G9H6i
3+Fx+O3ePz6OKWLLN3I6D2Shx8VsvYWjOQnH1HKEi+2t0rWoCBR6Suj7i1DYfwE0230GOJJ1CzdG
kqX2M9HPMzDgLTH9Ua3uf50TjQEG9adnKrZN22sd1Y7ztlvRbux6kwZOFZuAlUSr6f5omvbL7rDI
VZ7BmYzYvwWb7bDCUiLJUGtqcFZnfY9IKe+sD94s7HTIPqJCxW90fkreYvwrAYPAWhadVwpwsAC0
Mson2H5jcjsI6XndeR9uL9eIHKBDgi6I6HnGVlkTUyI4R2SLUZjkutm8A2QsgzjzMYc1g2VoSoKN
1skxd8OnwTteeDEfz1CzbVbRbF6XDTVvpVNtPSQ7ygUfiGIyfft9U2yZRhIzz5fpzpQea5eei23R
EnPPJ8NRWbavKr1Wkt5IiMW61XZu6o+R2aJ+h3mu3sLJreVHbn8rLx5iEWyFSBbiRAFJzUXG2CaY
ZnBN3/ngtW3x3gq2Z8pQhVCsqEp1qpVhqe7u+KF+oKBG64T/Y0zEtk2pnSwMRQ3pi1DQCp5a7Ohr
rRaLxXpgvJVEr1e24Ny3Vjcf5I523WBUR9oVBVHmezFoytgnZB1i8l4DqgnQQ5xXg2N02WJM1siS
MguxYsmoSeCRimfU/xJfoYsE+1p0Q2GnfIqgbVPJwOoUoIVYqTM7RNsXE1vgVsfAsbj4i9NlC0B7
/occY+UbLdMb7HunhQQ6UbiP1id9qbwHWFxoWO4qJO7R3XOexr9c1jdRxrtrckE0ErqaZHhYO0tn
Zg4HrLb/4lp4Gnz/KRTfdBgLX/VJK7czepZrgHM+LD0LLeMUkarE7jbg6HEJ0qTCPYLU5xhJYQ0o
y/zigWCJdkg6/4YBTQqgST1lvCt4VjBOb3FEf9qR+eaSMfYCZpIaWYdIPq1B0tl2HTZvPnpHyRIA
qm/uizVvj+hfrP43ScYFLISivnQCLhAAMxXRHzcU6g4gXxzOpp/Mf8mw0eIFiHpDSQOPp3iz7c3B
Qb4o2/YBXTrMHQflCMuN59HdGdVMVqVwRleEOc5relJ+RxHxnN9ZY3P44ikdGyr6kVCnCl1Uhbkh
f606DkbP3SVZodfg+GvXLGV4Brz2nmln+vssKfsj9ma56Cl6BilJNMvDMupLwOGKZ7nYMFHzsIha
a6kpweZViZyVBSq7T52+mDtIp1ucV4YnG4wNyYzI71B8gyFeY9QveL4vere3/o4ms7Fh68l+Gqk3
E2WdpRV2amPl6BuF3Lpi4iQwa4yXb5IlentiwG9Z8QJzn/d/Avc8GWOS10oeRFdwmG+S3VtqwYZU
m83zBs+By2urnQzxNU3Hzksda09ZZ7/A0lUpz0P0h1bAL8M+BQeQJsgA32dp0sEaUWHuLL52StJJ
wMic1Was2kVmq1gFFi7DfJ3UHHGcbFRX57JGdx5h1xqL1Q8kguIy7+m0vAUb1b5lJuDLYP+N3efc
ekR7su80a9+Z7z58AJ7qNuf6pvRtTJ55e1K10FHnAnlsVM3QmXX5vH+Wk9WkMQFGPEQv6AE5jgrg
euu8OZ/zZe3Shl6UNlMI48fTzLlPcDKjPibIvDOilqTzLkE9EDhFa8XO3eDRXT/dJzIlIWMazMNy
vdaKIQSgcT471hX4VGHBiZon0xcjEiygflSXXSjTi1lv82P4XLyjP8OvzA/uiuSpd3lMiAZpI4vb
NmKrBxSuAWMK3sqzHtEgFJMN9Unduc05OCpOrL0aE6OeyYiYfm2ucnAFscrGuLbNez0mAxVNVlXA
/4uob7PZEtFvRMBOC7TNQcNEtlgTHcBrJXjZz3KC0QsOP1OCMKbH8NNKaOPuAtCTAxI+x+SyT4GL
el/YJlVoTIR5E32x7K6tBCKlc17DW2vs1/QlsKWXyiDBslaR9O/A25frCWa4KLjAELdXhL218Q+g
j9zo1jq/DubqbICRiJBf2b4VC4IwUFyQwXZdkdOixL1DxvxW3UxFYQPsgpi9tYDtPj/R5F0PLjnW
b9LF1xQJtWVxrsmSTkP6EWeyJM6GoqP3B8bO4j9GMNyR/plnM27h/x+nOKLFKFqPAYPEq0Draa0R
5zV/1Nzw4YpanFUCrs06ejaaAI/m3AFOIB41bh55+mBHP4AR1ijCBF0n4gdY51cPOIiIMFx4wxrP
55lS8vGhMvI695NMTnLQWQP7JX/2j/f1YVLnRmww0phFs6t3LfH5GHGSsGws2y25GM9TuZwxD4wQ
NpcsA5iGiLNCt9frkgSL1lSszXOKaVqzIeKy4ziKk6mPMUV6qiNRHPwsK7wMFGk64uw4M7tyyPHI
nYHiccY8yNdA6STsiaEQT5j3NkDFXCmH+1c0+XqNmWEeYUXrr2KMvDX1ajCyifX0CpGeOYZx0vUc
U2Ge4S4XBx8NBKCSozt5gDgkZrpe2L9Wru/wTAXVjj/UFz4amqZ0HWNCDLF5lmLOSpVBrKZLNGwR
hU8XBpFzclSw7pBhk4iGZ4SKICogQ/uZzldL2ykE3eWozf1Xx/fNEZtIrK6x6umDRjlytqmFWnhp
PprkApf64/r/0Zc/bW1HBBkD5F+kSFJ9iY53YYTs/CZbihWj8/SLx9pk27o2osSYoCQWQiOKcIpQ
JWQbLo8VUA0GtJCsHwVUrmFfg6OwBt2Puc1TZI6gsHnFTM8r3SvmgNi3vMdhsTmu3C91qZu866Pv
xT1JYUwUEOiNaGhBZ92tDAcjAc/DXjT3KloW78vktAMyOk3GNAWBFFWFgdN8ipCnR4Odc8U8o2Eu
FosddO1r7+rmfZJcUWGsVD6vs2sRQVSs0lJvjX1XR7akZfokWSveSU6axBF/jLWSL5KvX2oogtVS
HAN5l51nKqw8t8Gbp9yMDVGGeZGGOmy8gKRDu5zt4nX1vvvqkLssuFtyeNemMM5NOxPzMLniDItX
+RlzX4pMapv8shc5HPwaUBiuriz2SLTD1BTcDPHkM/19qGzvd34NlUAsQf2psrFY3N8522YhJwSb
p4b9i/C8f+J1Hk+/OiOSjH3xAAmaClgiTFvHYDQPL7CaX1gD8cS9SI6OK4x9iRPMihaViqO1Kbxr
XpOZrTy7H/e1YCo0G1kxRfnpEqAlcpZ5HfSukBdBvZhhnnIpPBv19j6ZSX8N/dpYO4Z9jqrAqDcc
Y10fJB2dx4th5/JHQ6cP6/v7jC5HtSDN2zm+X9gW8KPpsozG6S3Mod7nY9rBHTHC6HEAEIrWM0AI
Te6mFR38lb8dBHPekHK7R+V/p56unLb9vxiqb+YYldbaMg5FGTRVgG8TwcY6ZxSh33WyuhTk44OL
KjApE3MZYiyIODedOUwF65xbj0peCc/0LX1IfqmYq6iRiq1/5ab//1j7kuXGkWXLL4IZ5mEbmDiK
4iCJ0gaWSqUwEhMBEMDX9wm+vpXIKDxGW96uTS3STE4PeJzw8ThorPkjl1SHf700umWa6OhH7u1O
kDZxTWWMJTRWgC2jIFMA/7dAtEUk2fKyr7EgZyCpt9hntiz+1RswEctc56geOyuWkxGeKu6YlNhv
L/aiXS8ULjBr9L4+0pC5z0qDXTxyAlGO/lEQxcsdLB/xDhiSePuFAuuz+/Y+eJIdkJfVaoWO0zMN
beDCoPr19QUuN/vpHbHUHkDDeXvn7WtyCAwGhEj4p2aBX7ZVFhoQ7QlrFEGXIS05d4f+nUcnwHgT
rQiaNZF+Y6i2LbayQsKlXdrfynOx1l2OsNl3cKIUgzg3tdMrOYNS8DzP2HqEZMKThAPMbF56epYU
ESvb/rFd5r4EY9SZ+kBFgQXH9M8KdlKEqRtsFpTZZ7GwQW7bEP2GQX+M+lO/EIulMN7RrhGPc/NT
s1A7+TUsQhlRqGUiVueenY9xrbSeZd+f/+hFDQl3Yunuaj76qAw4NYLRSLICcbRKOzqRtzwso52Z
28iKxYmzACgGtikvSrBSwIyPK7pxav/K84hnXYHfWrO5TPGmRFIaw7bwCW7uxxUbwoKN4mO6HvVN
usfr6+/CqIlI6jxPIGu8JuaQDdA8SIlXrcSECPBBfDfGto6F9t5yuwk4X9ZgwCoMIozbCBC4Vn04
H9IFNZeVuI6xgQp8FV+8bNJ8umCiIINYaoJ9oWNH5aFNPjkOu8UCZJ4c9OEAv8GAT1rGfaEZEIIC
6gUUoijTcvPPHOg1GOBBql5O2iaky4rXnuVpou3iIQPvK48TgwelBoM6rYC3U7hCm1f4o9ip0pMQ
PPx06J1zbPc084N7x27IvtyMDt29Ae0cuNnJxsBcElAHGVvpSQR193X5vUcpJ7B1l+uZcnDcYBBG
C9qrKNQ4zhTLOpx4rxzo3CXGT+xcIP8djBsMvCSqHuJiU1k1WZ+3cm6LXyVK7FhhSjTn72LC3ybP
JmvLPG+MPKWP9MfVT1/CLQgYj6BvuhFhw8v2zLtZ/zwbJoMfcR5dylsByNoCs7zPHBFvvgbHaXxc
rP/SQ55oxoAHZnKHVAC7Dm1ijHYjQmqcIG9wjGf/JgMZfW/JZhFSGHbSfW+gLoIGSQf5At72Ca4k
Bjfam2zKbQ37x4jVPc0I/qMNigVrLs7Tk3lw00wGPYw0TJVEjUYUlNA7A2oqSsINv4XXM8PDW5MB
DzkvMyFRYOvr83XbkXxREvARydx55tmui4nDwjr4gVrk+aXD2Q1+VBA4Y7EruIZlB5u8IeXglDXR
yXUDb+lrHcVPVmc/vtX3Zr5HR8ogiGBYRZAMMBMkezAiqtvKGvuUMyd2QaO2DCo7ANmxd0NjqBy7
oW0u8KKG8CVovMNnSuLaEgMyrSRfUr3CrR9WnlfZ1oCF8eBWFpaokGCr4mPl51PKv28iu8E4HaWx
UETYExKUWyyMWoLheXt4Mwl2l1nLL440ajTsUZsq1mDoiolt3PeAduKlVK2sdaORwR1UnGKrYFDQ
X8S73P5Ktl8IczjS5u7KVBpjwiOSeEVnQRqmakjuxPbbAO+EG6HO5SWnYhiPe8yKDl0pl7vTIJAU
fJCL4ZNXY5o1i6kUxkrzKI/zm3b3f9DgH4PDDeT0qGZxC+SzDdhTSYwBDlUipV0AfWqUB5sRK98w
127TRkfED9+IWSysG+V9q7kIaSL0/qMmlpFpeTBEGv1WZ6cTod8mojyJCJC+eEbIE8U8dZo55qBY
gSia3D07FtIXN3I9qxdIe/3Kzv+dFbITB4aE7EVNP1zgR0dlJPoFdV1abUh4/B2z3VHTQ2QevBos
6KF5hWaDX2GEbO1hstjE5gv0OoZEs5wKXfS2uKbijaWBFuPgnvTl8svM+oPTH8K8h2kkd1FDb56z
dZqGQDrWlOO/b+QMkID9euU4oLNNMKZqWojuNB3ddMztiC6CFgvlFU41Jqhhrf9hWuJ8S/q7/41f
v8UwVyO0mlYwuxz4hdkuDNyDLu+FlnN43hhHDnsbVGmUGpNeQcQh4T7EuqIYZIcEB/dYodnHd3Ju
9w85uXZGhIaAUIFCeHc9yrTUL3rwwCObR98cpAXWvBzv7BznVCRF7YnIUsMeKzODSDQ2g8rmY6t4
l5W2bZciKnEx3lXnsY6zXbFTgcytULpOMG83qmO2q0CjvNgPPkcE73vRf5/odBvUMWvbEjqdx01a
EWufwFuifaPOF2+LkDT/iP5jhOwYTqbqqSh2sPXXMyDL0dERAHqjBZgXOFpRa35g7ffJ9YlWmimG
uhxXNH50RHsX2UVF6oV6MlbfR+Od7oX9f9gMy9OOeU0FTdbB4wSh4+4V+xxoijlxynW6SU/gVeG1
Ps5u+ZsaBwMcYVPEeSZRazx73TEJHLh5WNmFmvDb1/c3l7h/3iX5/e0YABGvISrQKsRRPpKzA19z
Ydi3ExdAZn0SU5HBiG7B3xIZgxyul16vVROpZLCX3faaq63sRPYynxt/z2o0kcQEJK2cqqEJpXCA
2luCASoMTwlL8BRwoGqu2KWhA1ZSDbS5mVhV+ecdk6NL3gSNimus+qfy0zrc3usKbUPr8POx3c/V
Ef+QxDgIfa0LQm5qkLQ+77zPU/N2sNxfPwkifZDYZ/aNaFzPeOauYZJKEiXT0mlxhflggRgVVRFa
40lHruZVIIVd3WwTZLpu5bwcy23p/99Zzi8eeM35e6iBgRxANhRVRCPhnwcbD8NFStVCBCB7wepE
11uT98F5+oEtIFxuv/tEEwMqf0hj4D8s8zob+la8p2gLrCTDDf9heVfyGZLEO4DHJrvvHHz/UT+Z
Hkb+Shv8K4s1Qq3Hn3ku9NFlKC6DhUIy9LsZTOAt7rSyzW+RiOrZeiu7lYpCOLxqERIX39aSLmLi
SKRgwuj+h0TmIzfiEPc9VnecsmcUhg0DfKtIB6PnaXjbw69+5SdaZnzdPyQyt3PohCQcg0Skpcit
4gQnynyGdAt3ufGcJ/GHJIrrk9PMs8sIkt8UVtQhP7sbR0f+elvY7cI6feEdlCnBoI1uUd4rpc48
GLosyRaqw6B4ggn/KbguZAVhXgaD0kjvdTDicQM6HRer7g2CFzKxaXUUWRlMClS++W6iK+Aze7N8
O+nt23qBZTegxLaj1/JgX3ZHp+OlDeda3v/4hcxH6KLLrcZKLPzCdoXCBFZVbGFvY+03LrgCcTQ2
sc3NRSUa3bVpfoKRseP1vc/B5x8/gvk+Vaqml0jEMYHOWiMY3kVNwjNJwnW36Hn/y8gn34N5wJMk
tIrayqEtou7uKL9fTu7Ld/XJC+/nKl1/aMQ83bdxhGsXQaN25TgLqwHxOKq1wX671ohCIgw2ll66
tTBVAI/WxwrnLfaUwCCEVyNd2Nyq8VzQ88fvYd52OcVLrHf0MzvOp/o+fuoOeFjAdtmQDiOPNGe0
DixOAmcu5ptKZZtehGsgXzOJSl1vh6d4L1egBYycZ3Xph5seaQJs5orcgWBxBNr3ruuv0BnW7ScP
2maB5vdXZ7tfEiOMesvEzxhQREQWxK8Xgddjy6qF1WscGKUO+wMLYxn3bmGRWXpWiXifcd2DxOkO
CyQmuINu85g2UYqJHOQ2UmuhvQvykBbPFCKFSIv3toBxDgx02FAuzLm7xu6H9UhBBtJSkDGJRVdC
wYIMbroq7HERks+dF5VEQ+vNU5aRwoGTWvrHVe/bT+BsstsYdFgUYWlQj5K9aadvf1O8+sPaGCgr
r8VoRTruHPD0jOoVZrywW4//bnFA5A76k9fESNIQLBM4+WA/SCW5BCExg++LEyZeVPy4BSQcHSEh
WKdhrQb1g2NgMz7tH1oyEFaUltqJAc4fySjRFmJP/VJjdImOhce7N5zXS2VADAOHWS4Z9FM7dHGo
G2Jaf0PDuXYR+TzIpL/7X3alKLpomZKsGWzjk9AK7fVm4FSzwbNIdnvSgx/i2jDcvzm/iRzm/Ixe
CnB6kPPqOUFCkCUR0TtM7ZIjaBYJJoKY07sp/c2KrjU9PfrAp6vWe4/wGjwWM9ddC/fw97kxyI6M
YaMFAcS0duN4w5OyDkDuuCE/l3hZcrJotvfMRbblJktmLfG3ZHbUNlHNsOtaSO6xFu3tV+CFXwkZ
ezsDAHHXsM1euokwJhBodXBhSBaFO9m92jHerQAwg+VJR241fyY+nZ7o3VuZ3O+s7CKsV4FeCtmu
JTSya+577fMSGLzTY/BbMwJNU0tIEXbwrt4xDY1+F7Rf2I/tYy6l9Yc2LF5bNRhgqb3rhu3IvwIH
fNpqiSnldik4iy/a6hLv9nuO1Nknd/K5GCw25bzKbjE9w87Oduam9eRz8+SUL9+C8xX53PXVcyWI
P9RkXMiLeZHq0oBAkBJIznXbtuT43X4Cq7hrx6VZXJwox0DI9ZqL5kWjsrCU6qMi3jIkGbjejtz8
4BwB4x9qMSAijgmGEC4QVTqNR7ecxpWNwWKL6HbqCodLvB7tev89viyOuf9t0NYhzitAJTzA5bt9
TW4DtgxFlkXth8ahha3/fOV1oM0F+VMl7/8+EWGCheNSNRDR2vcNwIi2hRGj7d8L8GfaXzyqm3nX
CXknE5G1KEkmcyUuqSZcb5hVOemruiS3bfEr3V5efkaLVZM6x3aHmHdNC5qck5xridXliVzmUvRG
m0hlA7nRZn2uT0hIKSskMuwjmgg5F3AmZfOHKOY6iGFfx1cBolKSnaQnlPuPX5wrPovIE22YW5AG
YV2aJkSUznbXvRkuRuWOi8zn5QvnQ9SJIOYOmJWYaa06wDOoF0hMXkj6jaoQ5vZoD6Hs1iaRDrXb
OunJdUvMoHvC/oYwn7zweprnroIi6SLWp6GAhNQMrsrETmMjEgNNH2kyqkxtpSIOzwmazfsosoxo
TML/VJZK/5qm4VVsTHrbvEPQuQGaemvf/t7f0ISCEWDON5xzuqbimKNVtCIZhgLiUuJ8fIxk54N9
OiNPLwtux9BsCDqVxTgqwiDgEb9S1RADb8+7kwe6az9YqGA4QfKc63/Nfq3fR8kGnxkSv6aW/c9R
6nZ/gTOESPsU+r0LitWvfcTLpdxjOxYqJxqycWamBCNiAwP3OybKZzquBMmNsat9Za5Xro/xvl9k
E5CnFaEsQ7q+2jtI5X3pB9Ci/QjBTuJwvu4cCEx/D3VBJvYqm7VQSfTExYtbX9e+f4jA3/vz3R7Q
CvltN7L3V0O8+lQm49YIg5Jo2RVnsD6fIySJydvTSl4ETxz3iacaA+GmIlzqKoMY3P5WwmqruN83
8o9QsMXat4zN45Pk2S7L2G8oehiiww43/xQSugjNtRJ76fsELeAI9XI7+QUMr7g8PXOehiKjIUWS
aDJYZ06zQy0Se0MCBCsCmJXJGaRzmHYsetJXNkozPIOZ80mn4phTvXR4na5XiIMT1W36xE4W9j7A
GNvy8XnOX83fajEPYWAURXelhmkcjmhQxMTo478/+9JOFWGePznIYhBuCVDE6WU7Okq+fl6pn9h7
vwh33OGuWR97Ko55CsNG1hOTQg2W4maOU6qLwQttd/Deq+Wq+Vhwx8fnmBZxzX6fIAPcl+RmYkQC
CqJQnTtY/4MdRJQy0n+muwNsWh2/EdNtie7yznYuPJqKZnB8kNNQNrNIOr0OPp5jLG9Mb0TnmT7H
RNg29bowr0pR4kib480BOQUaDDgQMhs5TxQxqKITeKyut3IYseYFDgylqgTBuU2HKQ/mBuQR2M33
44hVzV/cbzdX859+O7Y7XenioS/MEAfotK6AL4esnc9z2+eKx39IYaAjH2Wt7nJYyKvzkSUEe5rD
Z5G8iAS9E6FDt2Px3Fv6F//9/P1jk2yZsDf7UqktnGdbE4kEy/FCezVQQUDN9Zvz8WZLBgr2ZqCu
oqKzhqXqScZar3rtIp3awXbEF4nWq56KZ9v0ePR9c92m+lQUAyZd08idbmUSfdIcMVzGGJp0291q
kFxuq9ksAk/UYpDElLMG+zNy2MbZSd16odgOeMs4wcGs1zcRwoCHfutv8rWFEMesiPhTXxwvbxwA
pi/Fv2xhIoIBiU4txyyt8XlusIVF6J6upLLNpfEh2atG51K/zFv7b3ksXFSlKNc3E98I9TRlLS3K
5/Jil1XpCpYTXdb96HY3UntW6oBYXy4xuakkbtE+P1b77p4/UJuFlDzHzgwFSdPT+upi1L3sgCp0
YroNyWvgY8aB5J+HA4rJTuJpoJfST/EZM2TLlVst9YK0S3j53J6cWcCenA3jBuqXvGy1IZFOpUnS
22IcbaSaBvKtXzjPOu+mGAzmWJWGqyLgK+SyE1kYK11E+8XqZVWVhMu9Ry3o0VEzvoqWtcYlHnDU
NC+y3S4TkJ11xN9s3lcrLkvjXA/fFAPYwZhYGC9I5ULato8Jdl0mtnoO3ngUcrOZCUUzFOQmwG2h
s+vO9TZslDYpcG3s8ElxKj9YKod80R9UunS3RlCLehnqJ8pXSvSXx8Y7/x5OhDN3Nk46PVDzSoIX
A3rj7U63d/B2Dw1yW7Xb27Q6v3DUw189G7/FsiQbZSZVDbZhSSetXOSLJ7sPbXWNtgq6XOSvCsCT
A75XLCdvfh9IjRJIOGA0smw7ryBYv2V1DvL/ay752ayF6iqSTODHQ9MOc56aAvKJYKjpu+HJrm4j
4D38JFgntjp+gyj18debfxB/S2OPMZaDsr0MVwnJJVqUC1f9Jx1RTUsHfQQcWbMPyEQW4zlZF6sc
NQWabbdJ6Og3V5XRRFt5L83HMcVaGJ/3Ys3nRSYSGQxL6iDXxhraKaTzctnerEBv6/aubKF443yN
x8cacj6dwgBZUpdBMSo36eTd/HyhekeRs12b+7kY+Iov6ShkN0ioBWd4bsAvm2KDznLNmxqcx+TJ
yTGxVh4lqtLmODkHabrYRZEYY5DolueTo8+67BNJjJ/UXMFdoF17Ccmks0Mj1ZNETtVLYS/Njf/D
ttPd4pi5R3ifvD6bedyciGbdpla7pfKtgZLrj+2Hdxoqgk2KxM4WERFpr/5+wYMt3h1gnKgxvZSB
2kBbnKsm2WJF4pd8Taf/j0NDjsmq/Sw+H1vlbOEBrBD/QRR2u3wkGZFSWpAp+ojQ0Z52c+OtVduC
b1/LVWbzk2iz/uhviWwSrVVuuRFpMNNXkPdENvrlR79aXj9NXlh5v1L/es8nkhhMSer/nKdWgJUC
FQ6PovNr946upG3uWQft8OtwwlbJ9qVfCBEahIqlfkP1ihffUjN99EMYqJGLRq17idoSWB3qXebl
oPQ73z8qpThFLwfnq3LuDctfYoR1XWQJbmiDzn3vo1la5Iq0/foGT8Nb6Z+o0nEkzkZqk7NmwCer
29hS+pbeVGmHBdfDvQVNPY01N8pWeMfJ4I98jSzRHCGrcmuPLoU455vBNsHNXBAM0Uk+SNzee9d9
81VQCmG2BgtxUfqxHGfNO2ieMTMApcmqrkchrk++oTb2ebX1XY0Ly40YqU6PTIiBIwkt8JfAgs4g
sld90CaCdS15K/FG5q7939orA0RNIEm5YkBYktnbtfdZaXZZ+uaTg67UxI7/hmFbn4CQyrg1BeVu
1EWY6xreIeK6mFg2XshFgGzTYzu9u7sPzpHdkFleB1UrYvqivDrFKtpdE0x9LZe73KlsQSONb8NJ
XGd2tAXjZrb94nbF3jdsPPoFDCqFlyDR9XbAM+1t19j6st1d7c+YpKslJYV3s8WqJLL3/nLkTp1x
XBCNgaHw0pt5FwKGtg76ca9vvAdsjmZl+h3v/z5xhYNOwupWqcN37LwtetUUr/SKl5vlWi46pxC1
HW+fuW13/gotoP7Pzn4+PF/8Fh2pLxE4fMDQ4Y++uHvqXGw8z+zFa3/ze05APZtZxRpWnUZDaORn
u4Lia2MI1SBSpBIWGGDOlr1zTR0t9oSM3JbW66rGuvX1npdfmq1JTwUzV7jvIquRwrtgca+RPCYY
+DhvxQHkC6v2Xay2GK3npSRnvcKpVOYuV2FmSRXIhk7IDJ5328shDW3pgm46lXO1Zt3CqSTmFl/i
RgdTEpVkoc9dtfPG7nCWK8WVtsb743s82wc6EcZ2CoFXu1WLFMLWGEEKKy/9iHb66RI57dIuDLw5
lbvASrCL8+Q+KfYqdxe42LpBeO8eLdCyt3n6O5jbLEYIvIuaKl1HjnDIBmKXK8pi9Fjf2Uh6Koe5
u1KYV/3FGqEvxsh2u8o+YOuVb9guWeFto/PZic0rHc/hxVQmE7K0TdFF1Qjd+tb+9BIUA9CwveJy
pPNM9N6IM4GNSk3/r4mum6Piv4NycG/avJeaOiCPPhTjNFySMdTxsXCA1m67TTGLjY7dyKJtrV/8
miX9HI+kMX5B0hWVHgWQFtQE0/WrVef/KFd7jvXNuXnTD8QgihV3Td6EknSS06VwQD16jOxA4E18
zw0I6VMxDIRorSV3uUlt7xWtSTu0Ji0P5PnNBbUSGIXWfEJq3rdikGTspeSaZPRbrRvH0UD88IL+
6l3lRRr6b7lZlTnfdaIf24TR37IME+AQBxYly8vXGJHAvhk0Rzy+w7MlRF3H1JOuqbKksb6HNGqR
pIDB8FSMC4OmcRN7/LxFzssKJfwEvgc3gzPnKU8lMujUSIUQFZICr3Fdo4lYQMMCgklkwvZ7gVPQ
nrXFiXIsQJXR2LY3aiQ4RTW3NRzi6+MDnMWjiQgGj2q9E7BtQJZOQkuqrfYGxp3WjrHw9q9esokg
ap8TQMpHMUviDrrcbCd7Luy6JnSOds1lZZvz6qffhwGlJoyMLojxfdZdQOBlr56w3Tnd7Y+UPYhb
CZq184laDCgJitAkvaDirTJ+lu8SFkJcJCcVHSRPuLyJPMtjoCmKukY17uaw9j52I6lgDqggg96A
Gz3w1GLgqRILCwQHOMTSAUvR6BS+8SKsABO8AiG9Lf8C9cn5MbAkgiC6MBuNZgy33Uk6rGTnhb68
j618NvM0MQqd6Qkryrg24xxikFBW/fP242O3xBgGVp1uXFQkX+x15D8WyUMmlgGyS4W8E1NYBhgg
tzVCWdmNai95WpcJQTD0Xx6kzmDFzaxbxRIh7vUsEHWJ7gJ0bDxWiQNHbJtLZFR9IyUQESXk9ktE
14TdyTyLmH8ZUTE26Ey1oVkMIoUDFsmkYPxFRBX4eBuX3vLXc2z7eBhBvmRjISk/fzbrcU5kMuCE
DY5qE4U6bjHGvz66zfAkgOKf5/vdna5/G/tv1Rho6ptejqorFYPRTdD6jaT0sFwbuarA5jXXUDB4
JIsBpkt968wLoocTyPilQ0BW3KBv3hx+a8PAUSzXmhRVBoU+xCbnbeVu+wikvspWPV92pf+94Hsx
8+D+WyaDS9hxVIO/Hloh3XiuZdJExHCzH2FJjshXc97Gebz9LYzBplFu9KjJoCAVto2Xj2/TbJpY
/8fodJHBpL69JUmqQBfD+0Qr9eGwzBc0G46+vwL73WyOuFn3eSKO8VtKU70FowZxAryJ880tj9m6
fgWXi8MRNAfpBoqjlBxZRfMmYxfiLcqzAd0YGON1gvfni4PEPuYWOVLmXqipFMYSekwRpJcWUlBK
sJDUV4mruNiHx9FmtqdwKocxgiSrbspQQc59jwzIRk5L9MNi3vfHDyxS5zWDzjanTsSxD1Uqj6Dh
v0AcuHccL4Q/cfJ2BmnRw7Id9mhWMMiOjjKQw/V9eC418uwOmxpLUzESvMi3++oNfEePj3o2yTL9
TYzlXLASuoqu9IP2zvaECXuCdbBoGgIig4z0y9pw7p06h11TgcxbpvVGqqDGLsP7kP10IOoHvIPL
NyoMN3e7I/H2UNiZd1oeDqDT7+3kFTk+zQZD+8VCI6sruW5OnmzUzngsfXOIMP1hzNtUar0g1wV+
2GuNNhCLzzc4h29TAcxDNORt0fYlPWpve7UzkSj+/zAbSu+812g2/TGVxbxGndXnV5HeUzStYnAQ
GZDcWZ5AeCu+/0zedFIsS4zbv1YBrwWNd4r03yehgNrceq2jNq5g57z1lLmP7XU2GzlVjAEg+ZJF
1+H+ldbnjwjLnw+Gu4G1Jtg0z01LzL2ChmFZsoVtdGAPYE7RaCRx6OGynOp2BT4n2WvoRzPTjWlw
nNhZj3Iqijm3TmybIcdIzGkNjsGPj9wBq41r+RcHk8sceOVpxRwhqIejXsshSvRft5/qKfU4uDrb
qjNVhsHvUWswdp5BQnnsXEwWUEIJjh3MPxG/Pw0D3RYl6DdCiHAobmBh6xINOvwe2NngYqIK29XW
j6WqJFZH7dnzhu0p2v0iP2mHE2ZWv4fFIvF5n+d/geR/VGM72EZwAPXi2OJVOm89cC4CC/1nuMh0
cI+X8Zit70z1Y+A4kM1O7yXoB2KMU7EPSbjKIjTXE9QCfaxbtI9lRb5BfC48027mL44tzuYyp/IZ
1KVTPskoQ/7go2MBoIhmVUQBvLeXmgPrMU/FMNhraI0RjA3MBXMvVxJuG1ov4djk/wK6vz8cAxeZ
CbaJpIIuSINgazZJW5BKJuTiOaXf2KtvjNHtv2NsB+DchTnvb6ocgx0lfPW6LSAX5gKMN9+7hfh5
/eSJ4Z0hgxtD/x/oXTvm/myRbfujWagNutISfDUwD/u0e4aj21z0NtWNgZKL1EeZHEM3LD3YYtlf
QaIfPMV458dgia4HaVnSx7Ig2bOKCsh9cI1nHfOOzz/WwdI1a3WdtqYCE4Sda97yM11hamDcwN2z
bFzv6PC0stu1upbXmJHgnCJHQ5a+Wc81AYgPSFl70jpcWXblxd4aVIscOfOv/28dGTRBqVhupREn
uUYls2/ITaBNFA5yWaDQ/Lw0qIbz9zHOTmJMbIQlch6tXhStFtpR1jT0Ht2JCrH7DOMYP5/9zbsb
ufdhjCs3UOFcCXaMVSy1AaVpeq796HhLtBaCdeMoPNP+fjBWc6vxvO/IIEx6GwejUHC+aM3A/lhl
gT3sVxtd/u90V0PoobMLO6gff1Tee8RSPWeyUSK7ASUxGwwaSLy1p18+KHM2LkbyeUc6K82URFNT
VAkRra4yDqSVXIQgpSpuRw8pInQbkMp50/wVNETbLeFoN3ekU3n/OtLGVDMaAIEJb4Xk4ZWc0Bru
DArR7CfRW9kYVLTQCMPL4cx5YZh+NmRNoc6lJv2pp5yVUTdgpzOM1ms/DDSol7xrP2edUxHMbdSS
KpaUqwTrdJzd5807csB51jmaCmAf79EKZS2DAOS8aJCBtgzEz5h/cjFzgn1GHHlzCDoVx5iGUHRV
I8Q4MrMmXYhe818cAbM9rlMJjDG0WtRj/AMSUDVG5e6TXKgHBBLBx0bHlcO82KAj64K2gxxE9mcw
Z0b2yTf2cH3AX8ARRX8y6/lMVWJe7SgeMqS57io5AMbMk3yw5uEq8TJqs6HZVBLzVLd1FWGv7EjB
Cd2C0hUU7WpDkT8iKzD7Ony2+znnYCqRebhNoytqJFXwuSqinuDQ8V80zjVlczZFU0apdoOIljbo
wXeEN46M9Rt6JPbfr4+/Fce+2apCXlZKYsQ9DnBwo9gzJf5C6Hm0+wd12EpCIVyuxSXAN9IaV6xf
08Q3ehIJdh3blQQ2SSNzZKfsT48V4wARW1wo6sHKb/QQwdaRgJZqtbB52xxmc3kTW2DfjSzHNDLu
Fc14nM+6rYKmElC0cePTE7Yyc619tpQxlcdAhdqmqdlRMHLO0ln8Lki93KFT9eKrN3vEeNFiVUjk
pYrI/vjFvWq8z8jgh3Yd1fE2UOHODbubKGMjDzfmXLmpfixu9NWQySIsBaMT18PVpmvVLs9PC6yS
RZczx/J5gKgz2NENwSBnEbWQ87YHNaN3Mp2DT3r/5YvjzswmJ6aKMaBxLXNsrVVwy8DuriyuP7X3
r8fWPuuPTiSwOYOxw8oE7JaGMlu8u8oiJhgOPh7o5AnaFtC55x9vWLa65lV2OVDPJg5yrR9HKcEh
xv6e2wzJg3d2ZlZSurQSW/z1V0f7uY6WyFejGtmdVM3OMtDdIc3Drar9L97gP3jFjrNFWWBqQnh/
U5AXw0oTEMF+hu47OFt+uPZ1yXuZORDMDtAqoB7vjYR6NPVz/Hzk8UnzUIodYkslo87QqEPtvIB/
kbqXxZVsSRwSJSRqB774NoUTwLvN3HNkAKNM014BJQQ1SWy5HheRQxd3/8Cy4cUenTv/5XVmFz6J
XX/RxxI3AP7N1pOcU4V9wxo2hS8BVV88qOK80eyOp0C7aVUi3++b5m0/oq9wnz6np2IJrPr/cBEY
ACl1ObxUPRXnwEk8b19F/2x5iWSHBQkOKIjF2Dr5GFJ4l49NHhh1MIIi9o7GyLx4u4Ovnnx3tboP
6HGZ3jjPC5suqMxYGXIDGt7QVHPebgOUmQt3YSXunrf/guMamEyMUl2aZlSV+7cLnosN0gO8us5s
ZX4Cx2x6oDMLtBzQMAhs8QiWwaj+jtrWEeUC3tsym02dimIilPRSlYOa45qhpwvEZIjNkb4NsQT1
2dwQsnnHnhRs68GuHroYiEclxAMXdvkTuomjUJagKAghvMypF75vu+iQQgRDOys4QcydOflBZMHm
BTot6bR0gLjWRqIaqXFsiO4JRiyfffK2yX/A7zoOb8dsX1Jmfu7E2SyJw/SwGQ8luxh6bxiQn5Ic
HTiqE8TkG0EAR0+ew2AyvglYZ2JBUCh2orZ+cSP02vPS01wbZTBl0AUDW5aojSLEGBeK/4LOEYf7
iPNcE3afk4RUZyxVkFN7ZzSPIO48ZahEB85h2RDVISiu2q69SAWbl4zgmYvFJDw6cI6OqQLRZ9qH
430usQQNr0K/oJtl/X4feL5OeuxM2dhPGHwg17Ww+cpuhJvxmSsdTezGYiAHnHRpnXV3u0E+q1ti
DGl5okkm8Fe8P2mYRaLmygFwTqjKdj4JilRacgGh0bJxnHhVf69AWv9YCMdltxj06U1dTRR6IZyP
t8XjPz1bp5keGhPuSI0RpwFN9XjbfrkL0YOGdq3A5YjhQZjF+CmdIAdXS4OY162GlNKuRxD383kD
kid0GDuc8+LlrywGQZpgrGuDfpQ1gjjvY3s77JYHTK0K/lNj9z6YlzhmwL1/DJYMZqqn1T1jhunc
ejk6qGGj54SUCxe9xp2r2C8gGKCcZJzvR2/XA7C2GIAZVXFIxZraRud0byOM/ManynwsxGC7ngL9
P9qtsw1eQO+E2w1WiMPzz7fBs23hnfvgznoqmMYFzptIF7P5DPPat6ChEQAqDQqYV7I7gIXJR6BV
ErqeGvxur7z293kbnchksp7tcMuDIAnkU74UR/9p2LyDl8EtnOuOumPHI/h9eJ3c8/HxRCZztePs
1itWC5lOtNyWnT0S9UtaFWD7pcsGKVMmx15m8WoikLnvwa3FoY8WdQFDlcgoPAdYw2c/ljIbsE6E
MLc9CRVwaMkQotric3D4qyhk8ueZ620Uep6YOv48ZZdyUhDQnPrPIdlQhswXu36hOzUeKzRLgmNO
RDL3W7ldhLhRIBKztRlpx/NP2863xhIcLHZdenuuNVId/nWvJwKZe51abR3JcahgU/vX4vv1rzru
JwqxuQxjHGpVjGF4a7gLV2wULWz/XXaQQl44PHOYd59/K8MmMOo0FLEAErc5JTcbi27QtrRDvlVH
k/Az/JIfPyB2Rfec8Vr9eXeaTW5EQnRVBAmS12f0wdG+ouUz2ZjkPcSQJY8YbD4an+jJIAhm8a69
JuKjgYUWpJ/YhYwlfM/6yW8wDodFpuEn92hnoXkikgGQulZA+CfqUHCNof5dd8ycqx85ckIkRKzg
J0lpAdFBO8tfPXkTyQyS1GahZKjzyWAJet1uo+dtuvDgcqJfx/E3hr+xJVvGDtMFLy3AuRkGAy5h
mupFesFV/DzRBFyzfXzVuR+RQRc1buosp0/PFq2TngdaBP+Z0NIX1hjyPJV592tyiAyuGOYlDvMb
LGb9cd1bdvGMTaU8ToL/5RLASwSbm6WK9x61Se/eGCdSokipAo0+ED+OMMrlM97SVYKdR3vsZuS5
4vNhj/pbIvONpCvYOwYqcZ0tP7olxqDgeHVbWp3ipQHmnb2JLOZ71XEL3oEGsjAm4nwgJ+UdgCw/
QSCauRge339xXK5ZJjLMOfxznMw3C1QpDys9ATT/H9K+rDlO3Iv3E1ElQEjiFXpzGydxHHsmeaGS
mQQQIPb1098f/t+bdMvcppKpqXnyTB/O0dnX3bfuI2Z68m4XYQdbNeIEy51n3XmBN+6/Jn+fT08o
2/+IvexxCT1O84fUg43aiGMXcG8txa/P0SyFO5TUTBvgv0tP0+Dld/nTbiub8//h059AXoXmgoXa
SoVoKQbORXoq/3Lqg3fCeOoLeiFuS98GMq+sfAEH57R5OxdAxvmGw3/L6QhnQ2+tjmdfPN8rP12A
KGkd5VEe28h3v2dymeQ97wbvhCV2G4yynsj4xSivpaYLSHmm4rlUIBp6DvAP+vcRY5nDbrflnax7
y79eh4JFLgD1uBgv4xKA7o2n+CnssNv6FD09JsTbuuCwMNMFs3HTxLZwFzu0CaWW4zoa7+dhNhIZ
xVlAi3fW7OOIrvFVGvsi96dPlG84q5ob+QaYxtkTqedSmFEWlJJ8tCvXE231YA3NBkds4KSXgnNY
MkEL4BQiNJ29mXgQozDzI+nVhY89OLdZfAMrvRpc9UaYEwKsWJd5WfNQmo+Mb7Deol/1Z8JaNAGW
MBkleua8w9KHIZ7zLCDyRL42X9wOUwnT99uIbAHRnqdtBtpnNoDkdu+x4aOZpz6jqT+5f/BAjHLT
xXZ4jtMdmltVAZ2yz4osGPLGY+ndKDyn/z6YzpkbzqHMLT/L8w2Ya8gxhzs4jIgRPDTyXIuUWTM+
zn2ZBVxirie8K0V0SHq5a9iGv7HGDpeANPNls8EarLzJAlxw9lNyLpJ/CbM3sFkFwrDzHuE07iTr
2XjXmQl3FiBWHINY31vr6Ebn2+ywAsPE/n4L92G5jUkiLQ/Y2KKTpCF5wKk8qOo8uWjbm50N6Vl5
F9MyqQkIBHu7X7ORF6quHpJsclyaB2owHtlY7EQjfO58luPxNjr0rQgBEMduFJdTSvXEXtiLThnc
zYO2Gxd0Kl5uQFheVhNSHKHExiLqUoFDhpr8iLCt5VCaeWA2j+lQ+iKq/Sx5qNzo0Dgbt63WHucn
rIV01+w8TiztJcHjqMzdD3LfUrorh99nZSAEYhEXsEx7+YiLt4mwuboPSzsPGsbbQNlFdjDqngS0
6aPD7ddZxQdWCFe/0WJH9a3xUhFlWH2mgoQc2zbfde5dgun03wfioACwWDrbcXWiJcIRdqukCqLk
sa2wbXe5aW7av5csWayc6VBOQTlmcfG6ve2CajTKWQzDpoKd0Zy+mendHyCBPQsupSbBqlrt5Xt3
qLuyKFRQx3vTeeDqSIs/kHyo5Z8gNMlvuaRTKoHBMO/p/LfKzqL78QdYMNPEPLgjTJtoWjLFPnZS
2gCRlLNvEGgWynzibDDwmnJxGI4N4OqX6TK9IiSVCQenB5TGZLshsT3DenScz1wmf/LmLo40oyXA
YjjCey0puLhV8iYyVTAVe5cuj9Krr7cptqZdnF8gdI+d901Fs9RSgRt9dOhzYzvHOWEewZolwyj3
t4GtEW6hmivgF5qurpUzLmp0QLgqGBN1J6n0IY9moXbx3G8I/ppavoSk6ZjONMo56pgKTO/zsCHv
W1gsf7+QxITlM41LrgIn2Rv0oYn3Tf4w1hu0WnkYHLIGC+P2MLa5vW71u4AiTSXcuDSyYM6+4CLy
nalOM0lOeeZ40twIp1YwuoKliQ2ZmDBiA7CGM52SXUv8JsjMLW5egwI75mCdC07ruI5Gt9pqjMLo
VR6QViEQNqLEa6t/sKDE2nGShxv00xM0i8JcTNlPcBpS8yTjlLMC4L40ceM16GLL6wONQq+tj7T6
5Iz/OrVnT14uDyIK6JEZu2YIXDvyoUZ2ZDoZWxRYuE4z5VefpIdFUSFz6YICcX/fqWAe3sfsdFvE
VhgfIDh8OIyXY+7BumbOOattdxZlHlgTzjRFH836+TaAdRx+AdC87CLrnSFeAHDeeNK+U/WHwT38
NxgLkhe8X/HanhqjzoNOPPXR8yBCDyJ2G4aefPq//PELkQXRCyBmR3tcv4YbYjms8y0zaZ9E44od
c7D/eiyq9r1dRsUhZWa8xyp9tBgYxDwktE3v2tHN0MlqOX6n+vTj7Q/bekFNTJB1EDxdCCzEk5r+
Nfpv/+33NblISDtRXA7LA5bNe9dp7rs43VhutMojwuIWEThG4ehzMbPRpKwj8IjG9tg/Geb58Q9Q
EMxcNhJiE4GjPV0/pjwyUvy+GWNiMD6PzZakrj7CBQTtEXo7UTycEqwp7Wo/TzCbvxU4rNII3jz5
Xxike8E2zFPEsNQ+MOTXZDwT9aVRG7pg+cg36uYChIYEulyZmmqA6LCXJi/9zjqQp0k0G/ZwjVY2
sXGOETdjXVPfiUxJ08uqQ4CSdF9J+6Wxxw0Aa6S6AEA133QKu8EkCYI5l5ZHY+geckaw9jz9cZur
tsBo/mnD0kgODGBoz72WP5hojOe72zA2aKUfp54GahvjbAGVqPNM8ckS/94GsPbmtontsIgSBFIS
mnSrvnNIv9AKE94n07W+M+NdyaPZa+etEaZVXCxE8MhLMEi69iymojxGzzbiuPJl7LFUwNmqyy32
UGdgrBz9CUF7EaN03JHHQCacqx+Kp6gLDndF1Xzi9O8xfZh5vAVxCyfr2ijUeT933FpwylKPZM9Z
t2V2lm9+i5PtOpZDXSH0Fpcul9gvOvA86KOs39Vm/N216t2cNrZn46QoGp6I2MnZ+bsg0x0JxeE2
fyzv/xY89sALZKw4YuJrBNVUztNIRQ63skT6Mo7PVU/PXL3MAz3WZFQbIcw6QX/B01R1NJeInxis
bO88y/J732+YglV+t379/vL3CyveWN1cMAO/f7B+0L8/b/z6qkoAwZGtwL4q8brN5OLXna6lNjJW
eTAaB0fgyDe5z4otnlt9kiU7QWxKkCzXeM6OEHAVPFJBPslvVYbUcjTuWXPK0NO4lfHVOxRevR7b
wXETLGZDbl4/iWGmXTS0CTIiQ9bHx5BOkddP0XyaxdT7pmOEPkkd9oS9bRhVsAt5kE31WEr5uRdG
ix6Gmfp9FEU705XuKQ3bTPhVmSS+241bMdwq8Rl8WWFhDTJ2Dl0/bc7KuqvaFHFW73jNd0k6UOb3
0x4WBjCxZ8BC6sZ1NY98zArK61zBk4hC35xRWgWsUb7cFrpVJr2AosXxbtvZuUUBpYx2LTaJ0Hdz
/Sz+uQ1knVz/QwUbp/Q0lDRdc8oQTQe8PbfuIRmeWrkB4hYeCwhNHxMmhzRaqJWq/VieFX0oS38z
JbGFiC4PyIMaUQwoVfdtKp/7+l1XH/8brbQgxpGGzYdhQcR6RC3HNc/zvP8DEMIFd6EsgCUyGq2o
Kgop4loFoQjf2ZOTeNwgsYf81+42oNVHcRHs4dIvofC5r8UkCu1qNhTCyYHWBxPHkVRselhqgCOV
G279wqa67VhCd8HRNsWQv7+GRGRrEbOF7uCt8o3oIIadCP81pn8GIU9x/nXi4QZua9bjEqImnpmY
hrlschUIYnip+xJWxYZvuYWTJpqiL4c6NwDBGMZT3X/AHTOvZedKWF5TY4B1n8rPt99rTd2/ahuH
uyZCGI2KWSSJSl3I6UgQv3gT9l2JnfpCw0+34azxBZLsyLDjbpb5hgHtoZh5WYEBZ3Eq5fvsvpsP
aboBZO2BkJW2cEGCYk+Sbk6mPJd5N1NoNv7dlpjLln8gRkiACTQCIqPhvvaMXVjgpjOZ5CWM4xir
/DPPqhpryfM4kH03b7CC3un/ahuZQ2x0rqII5nKNF7jdhq0xQys4sxt7xSOuzB8imeyJFZTEfJyz
1qud77nYCjbXFB6Qw4op5N5x3nr5+wWOlSx42cQD5Kqa9qWMfTf5Luffz77bKMij8oa76oLp3jqP
5YAVlWMacCdjT3UZjQd7tMdz2fbhlo+74rfDwWUETUQoV6DEc40QNrJ2QySmNCiS8FDFyXs7Hg+9
1e7m6jjyc1iMcDXI4LX2szUyn7v9I+s7Tz0It/La1Mw9y01Qig67978tE1cftrDzBaXZ0Lckdfs0
ME33c+z2XlJWHkvkSfINXan3jyzMdAVKe1Ss88LZnq5Lg7SbDop4VXxO5udOuJ5tvzftU1gGbMx2
LNmPqYT5SXZ/gqpLEZqhuw7Sc41q4fQkC5Epga1uvCn6YaUEEdqdtdXzs8K8wPMXHE1Fo144uQ1z
0iAfpvB9O+T5nZNMn5oep2VuY7QKiVnoTiOQUE40SMKZDWco5zSwI7VznC9xXHvFyA63oZgretMG
xX6C0bRAX7EwKy0rDdjs29xNfGQbvFmFh9nsv6U9hQ6o9mlbP/QRfUeK4dCU/aEfYtfLybwXUeeT
gd/d/qhV1CG6UOMuTIZ+8aVmbK74AIHCCnt0joVh6smN0u+KWYLKw+J63Ppw0KKsyeycGQWGuUzI
LBHJqVb1LnPGZ1ZXjznpXnBalmww6CpAYS/O0VKpezOuEg5VjMgtDSLjr7hwdmT2is/YGb1Lxx+3
qbeqji4gaaJoO/CNWQVI0/TJwpJUiaNLuBnOBJL908EYPt0Gt5ZZtpHYw79IinBo3WvRk6kr40oa
aTBIMuMuWS73TonF9ZlNIr8dsxDHw9N2Z8bhiCVhWX+HMzPViZYKo7lx+i0s23EX17gVevu7VpnI
tUEIYVPH1bOyYrDG3iH4rEadUWf2qrn2rO7pvwHRaT11XWzOIYB48AZpMJj+bQAr4knh6HIUxuAT
vLkKoETWl9LkaSCn2t3R6bFbMmlR+RijZrm/DWt5KM3hBSwKTY4GDzjYmg5VIcCPJXSbo+wvdd2e
4q75cBuEPtqx2AnA4HAG4UXBaGpxgiz6nnAFgrVzdadE7oU9gm7muU3qKwu9PtVLkb7MOe5lseyz
NUg/GscdRwFiMAtfTShbtVvftMIpV99kXTNwZTko1AksunRT++85mU8ZmiZojiUhtjeMT7mFczwm
Bonad3XdgJnJV2kVXyh0ZUqTDWdiRU1cfYuml9oQo90kQh8c2gnpHesz7pF0Ks+8K0Mvm438MObz
cLz9KqsPb1GsKEdSAFd4tEdRSVwO7YBHqRzZ+GXcIPowyfz7Wp2ibeQnFI3MJBpL0UUuXLL46Mr3
rLlT4cttRNZ82isYGvmGpHEzUYJ8+fCcwKey4HuR+oeIfoRE+PXU+DG3TwY2wd4GvCqmljBdZzks
a+mDI2ln1apDF1ZAyZHl57j/2j6TZgPImqYFdr+gaO9UFji4g10oWWAkjoU2jLHdZ1mSnuqyNbNd
0pvzPWdu/ZccZH1XdqPxDtmtdG8YFa46GaH0hWw6r5BhuOH+rTPQrw/TnjZrilgNhcyCZt9/MDbs
2ap4XmCtvSnrmimEEkTbJlFe41S7afyebK2k3XpAzYgNNLWbWoBxuijaRxH2VE8/GhyUcUW8YZe2
IGkmg6jWjZWBxtp5PETWw3zq51Nt/374c8Upy0dceP5tkw6djMCPY3euonLHwjuRpRv8uKqrEMDZ
6NRCaVJormPaVch1Lz27rQx9pztAXcrmm5udVfH1tnit8tcvSHq7lpW3Mx4fttzkw3nuPsqE/Yly
uoCgiRaLkLefLCinnSLvzP5DsXXteiHGG+N6AUATkSjvpWwliGUODrTrOceypJx/kOTT4phEtPZw
xfU21dbfxyGMOzhkZ+qZdlaYoYwn9LfOfd4c5yaMHps8PEZuiOGMITlSq5PPt0GuyqqDKBglChcO
i0bGAmoQDIFooqKfU/e+YdJzjK0ORH0b1f+ciAsoGi1nJrCoemSwJEMc0NEv5G5QmTdS4pXWqLyZ
Np4xN08dHFCcE4m9IW28VI2l1yOP6+bN3nawANHB4e963NloyWqdnepC5Fq6J25iv8Jtqqx45Ch1
LOV7GxcQHT052o/90g2E703K2GPNtBvif2z7nJG/2wfGt0Lh1Tdg8BUdG7kIXJi7lv2klUClW/xx
UT8QmKVj21l+RQd3o49qC9Dy9wsl0/ORtHkBvwmtA77DH3mLSCOaNoi3KvsX6GiqLLbgnGUM6KTk
hFb6bsP30edR/sdMeBREwAKl19ch9gssjAadZ7IGFpU6m5XyTXWXqs5vc5RgPqmE7aJ2/8TVVjy4
jpZL0TaCJlrU266JV2R52cDvTAPLeqQ8euC9u2GUV7kOSbb/B0FLIGScj5hFgA3o3MIbbe5ZCfmS
RPdGWWWeiIORbjnSi3S/0XEXEDWDMKkwKadlNCWLjVPJ4tzr+z3vFDz7yMNd3hMb7qRJdnOc/dVU
Wxng2xR13lSEqJWRlAPfmqk7q81PRbVhVVdN90/8HL0gVMsGrt8I/HBJA+PO0QeR0PctZR42Uexu
q4wtZDQV18Xd6KYLKRPUax62wtatX9dcqs5oyZyNIFV1xuKH21++LlAYp2C2heIJaiTXnN0nRjHM
KT69qDq/lv2xL9gunuY7NZt/J4WNNUth+1S73VNcx0HcbXX1ryLnojUH41g45KrntcVgcMNcBmOa
KWs8C+MqH1VVj99uo7nWcIn8NbojLOz5BJaa9nOtOLczqbIAmU9/RrV8xL202UHUGFl+Ud6jha6d
pEfPdPiUtPM+7ckhzOIThjI9NHQdJrO6q6V5GKskGGL29fbnrRHh8us0rVm2KpfJiK8jTeZFjfDK
9OU2hDWHBtE8cTFAK+DoaQrM7ridlhVmgfLsLqqbvUwq5AUnj5zgHSCe70+Kyt1tmGsezSVMTaWl
TKjC4AvNo6+yp36UYlFp+SkEOdPmx21Yq3xsYtYFDRGuBTOhCUlPs1pyE+4Tt19yNBDmlXtXROPn
tHf8WbEH2u/NOtqPsfMlSYst501fgvZqly7BLy98YZdEIeNcRFMWYI6McpEeUbrHuFp17Cvy0LYf
IyPejQyNu/V9hQqRGuLeq5E82HXxLu7qA5o4Dy58rzmcfaq2Djqu2X5zGcwQYmk81os4ZtwOce6A
OOZ0KJJ3+ae02fAuVmN5XJ+0OLAT6BTRKr2YaLfrwkW0W1SZn4Wx3zcfTafw84h8bAT2t4bhXmDv
rtFveBxrxQyUYX9B1jSYmeGgR28RKN9h9pJm8uLhnWq/j+X3avxu27NHFDrMqnsDbqUZ0n2zpVz+
P7hjuo9wzEGg1n39+MSKRNFje2LQkdLn1WMh1NKQ6/fT7M8Wetbd/By193XSb2jvVQlDBojiqjr6
3PS8eJs7Q99HA4geWkHuYC6msf2uqD0ummOVbA0xrrLRBTiNydHAkdU40AKPIfqYDtXRiB/dzbmS
LZw0TT0nNTML2iFtYtdeVbkPtfnVzM+5W96Zab6/rTZWgWEGCyOFyDtTffuvKIYKU3LgHat2/WTY
17jjKsmXEom8OdmwQVuwNOphQ7hQ9ZIPStReNojnmm+T4XWIfhityg2pWHN+zAvENCqW6QibsgCL
8/5g8DM2nB3Q7utnkIXbJFzXvBegNONlJz2JiGEhscC+5XVxn1r3oWPsI1n4E/8G17WX6JWvgrLs
Nzy8VX6kOMNC0eVpvRlwnQ1WM1dB6Zoi9tvhR51U/lBuAFm1nIjOLJSlqYt65bVwi8wtzLYDJc1Y
HEV0bmS+S3so8/DQ9p+QSvRak2zkalZf7wLmwkoX1oSju4zhoEIWuPVdbn1RFFPWdn7EzbuPtx9v
FRBIh54Cjlr4q2a7AIShN6H6toKJzsbpWEx9DzeonHcNiVyv7YqNmGP1wQSyg/8rP+vrLuM2qqt2
gB3Kotwzrec+qT22lRx89eX0wMZE8yp8Wgqf9s1kGsHJ7raEVhzcbNeKprsLOcqxTmn6eSe8hmXP
tSSFN/8jm+xYop2iNw9xnp7maFdMYqu0tUpjFwbKwug3aKw9Zt2SrOtccGndvauafPZE0XmUzntb
wgm4/Z5rBLZMzNdg4xhBeKwxa+SEBTZxUXhB6DgFqL5/7jclflFUOn0vgWgIUYu0TTI6mP6Py12t
zjl6um6jsaYqLyFonqM5yMFqY4YXLDLf6v41+yMOvnst6rwWhv9uA1t7H4sKgsuvqDuilfZa2CYX
kXYE9w3NJ4VfKXkux+muid/ZHaThNqjV53FMx7YFR4fzm70daCGBEyCyIGXSr62datBdtTUCuAVE
84Rz3k55zEA8x31WfeMlyT7Ls/+IiWbMaGgOPLE59lr0Z2GYPlMPRr0lOauMdkEu7WVUimGgsga5
yOCLU5Vv4LBw0Rs+RqM7w7PDb3M0HOZOSsedMVnYs+oT0qt+PafPXUfPo0WOTVH+E6Fv4jYDrDI2
erWJg1CboMPumtd6qzdSG7FokCRV4DC01th3SYnKITqdkeS8DWyVfAztwyZHZR3m5BpYadOwatoU
w/mkhS0mfDgKaZcbtmqV3XAmBnsOEb4Tnaf73FaxMeaYG0xd5Uuroj5lnQl7PKjjbYRWJZUJzKfD
WGFaW8tYjYZ0nZpgRNEd6KGkL3UcHcYu9bh8dxvQOk4/ATmaQ9+iY5WHBcbcShzbrPtx7w7Pacc2
3mcDHX3bRNU2iJnmKg8cHnpDLr7V4kOcVfucRfvb+Kxxgk2WnTfILzpvBujTqcgayqI8iNoZHVcM
FyL+wWTCFsOtcTeFaYdLhlQL0cmW9TbtOgbrM0z9/WTAxJZR+T3uzI+0RmU8D59uo7VGQGhs211G
3dFlrDG4GPIowsn4PKjq2lfiu7SQPTGagxoebwNareVeQtJURc4xhjCQJg8kFu341hSjY9ptnMcG
q5MOERGpX051e0ejtMcchvu9Y2HkdzYxsHvHDaRRMb/J7egP5OHyqzRtYiQy6ccR8lDaL1z8a5Kv
KOfF+dZ6sjVpEA6cCXjYGM2gGvLWoPIYzYnQI2m5Z+15sSZDu7VTaE0bY0UF+nTR57X0cF9rK5YJ
gcsXGAi0iibyBPaRdcUX3lbnxjL2skNOOjE3xGKNfyATmBZwBFqhbC1zUDtRq1BHzDFIOdte3H+w
bOGbHS49jt2WmtyCZV2jh4ayVjjLuBi6bf5Wyb7L5C5CQiAM591tZl2TQqT5MJWPhh3L1Jt24DkV
xJicPLCtMZCOGYTYboV1dscsY4cySzd6YNbiI/SSCfTuchsd3ZpSpmZNy7xFE/SUY5UW69i7Zvzb
7tz72Lm30QKE/+vsjmxDQ+vb3F4TbuhjsxjmnzjWjmiyT+OMjUaMMVsnRlYpbh/DpHmvkCTIhX20
HWRsZ+XnhXwg1XDP5tBLhuYP1I/roiMbKTWTuLq6syaZTBbHHK47Veeh4n/l0vbLtD/xaqs6tMo9
yFyjaRlPi5ava+4BT6aF6WC6Qc1TMLrDO47mwH5yHsSm770CCtUY7AsSaM5HWK+9p2oVTt9NaDQX
6gVX7/26G3eV4ugXeL7Np6uAEAnCEcKKL0yxXeNkmaWjKo4XrMwHRzgfVP5DTWeD8d8POh2CSQMs
EjGxiVmfQXEakSIthikKapC7CG2NOWlwWmpDF68oySsomi6p6Bg3osfkRIm0leSPiYNDS8UfuKxX
UDQtYs9tXMbLFEDfG+979GQy48ky2qVAqNpkF/LWv/1Ia3IGiMtaH/fVBmivVE7D4CTlMsHDWedl
LPPd9JE5LxODRS/3BQ6SF1HvVeSvCGvmMKBzd/sD1ugK5kBKH3lryLvG+YWrjH4oCOScjl6Z/0Cg
8SfLf7C3/RcMLdxsGCojVgcYOS09lMZtQT0n//oHiKDGT5EFgM3R+zuSLEMtssQyG2n94AqpiPpR
ulvNFmsyZREsMBEojaNErlGrmyvSV0VWBHNCi2M3sdILc/t7Sar32KhVb1iaVWgmMbHlABVEgLuW
4E7S0XFTgdmQaL6rrdaLquqps+OdUltLv5cP12I1B6tDoGrRHYMJUY3xiYOljQmNiiB2n+vQm/M7
ye75cLLlhlO+xm8W7BiyNUghufooSkWssmShoQJWFXsVtmfkhx/S3v74+9xwCUZTF6NkLgqyaRE0
MyKlI25susPGPMkimW9IdoGJRjILC+hxTkwWwdBnntn/6Krqj2iF7WUCnTKIABf+uMgedk1MCt4B
CVa9AABzn0n/4zadVryLZRb8JwiNofnYijnBJGxgYgDZS6a+9tx2RnvCPk3Gez7SnVGV90bOXm7D
XfP4kfPFjJCJ0oqD1NA1brjEFrUtd7Bko6jto1vm5bFM7M5LwhbH5oiA6oWjdRxHy3kZbI4R5JL7
KTal7oXk9A6lT+mTcsLSytsftiZzGMXm6PrGpCOazbXvqod4cJG1DaxqOjouRzAyHyb7oZi38mJr
3d84AIsdeItbBxO9iMrF845m3yAggCiY0rmbRHWY0zu7Ens+uL5ofYJS6pC4J2z68aMPbuscQj7s
piL5MIjRt+onRreapdZYGosJOCZAsB4A2dTrL6onbI+IkqIIVOVUnqhp5Mc07Dds3poKuISiCU49
DFbR2+C5cWxq6M/a8a0YmyBFOJWH26+5al5hXzFEaFOBETuNv7H53ErMWRVIBv3gOHM5oM2sTJYi
5UCwwei+NE+jdT8pNHq7/I5V4x+ocPTmiWXlGQZNXkfyL964jHLJclUXKF2eJ+ucf2nK0tuQ4TV6
Iq7jCEUwvET1PAduUuCUVlfh1Rpjl2THuQ538bgRhmwB0R7NGXOsjuBApEB7G/wvgSP31tZyvVUg
SDbAFGFtJ2KQa/5zSdjYGR8BJH5ETsCv6gfVD3/wJOiHQRMoqk2gl6Z53CGfC7g8JQbym8LjGW5q
yO+Wg4nE7E/cBXRIMYoZVlugYHCNTyOxhq5tqzKQdXOUyvg2Wf+YeXIP4b3N5yvmGxaC2hArVNG4
fitxkiTB3qW2wJacNvTc0jgYbXQWHKGFHHZO/tdtcCvvdAVu0SMXXM3bMEcerCkC0U1eWHzFVSWP
FdXv6wlM5L4WmgQcO719NhzzisQhAV+jJ1i1zTE6JU66YcXX2huYwAzj8j4UE5MLrhe4hCQGR49l
GTSGOA4u/RBHz2WXPDCMr85NuSuKr2il9ZWsvSbEiVdl+Gm2dVFgRfGinIYtsq9bRNHgcf0RGKRQ
WdI1ZSCK8q6o67PaWr27wiEY8ENOHK2dizbSRAtViy7rZFYGdeN4VfgupscoUp6dx144bpm2FXSQ
rIZbgTqZzYU+AMJZpATPphKpEdOed+D+6osTxwjZbvPhGlKoqjt4OwB509M90C6c58mCvnBb3N+t
LHXHBiUPvaKmF5aY8xNzTDfYcgU5+OKoMAE7LM7Wb9/lqPsNPZa0BU5W7tO5w2FSaf3B6DtIR/FU
y3ikrYdlrYnbp+7olpjAcMWxLY30nMSucabF2GxIwAoRl1di1jJMwx19T66qSYekLuolCf6Dw+j0
9plWXeKxmdkHpRLX40VrbyQN1ogIgMiicRSHsE/1muHH1u2MPFRVkIX1VyNeWtTd8HibO1a0FJru
MfCOTB0mH/V1iEnokHqMaRXEzYPA6o3axTVCjH/8PhTkyMRrgyW6pDTRTZ1QqoLLOrCxPZfPzygJ
18b+v8HQhFdGo9XYMq2DrLD9Y4X5PzPdaMNYexB0DiCqhbfkMj0D1vaT1YghqWEV5UnM9fdc/skQ
N1ZPYSYMbXJ4Ez3ItFvTqTu7rDHJzI4RN3ZmFe27LjzdptbCO9eBGZAgS5abIrTAQuNr3lJF3czY
5IkgnUVBTb8ws/bqvPX6ZGvh5hakRbQubEcrywzWPS4wevHE5ec8xIwde58an28j9PZtgBD0AJ4G
wdqbt2kkZ+1k97Du38zJa7dC8q2f19IMJfY6RR08osBI+c7hO5WyDRnZgqC5XLRiSRR3QGDYNzgE
fJs6b8UcoQr23cO9gtHBttzrR0DDwtSWDJ9fh0fuKq9tX0S8oSNXYSBXi6yBDcbSu7hJpZAYjjhe
oH4UyQtWFxPr+TYaazSCDvkJQnewrbqJqpGBa8Xkqf4FC+huA3jLrNhCBYW7iAUMpi4WuE0bTxk1
iyBtxtqLGemC2ixRlS9L6Y/GMG/YyVeX4loOrwFq0lGOA8aSsIomqHtfTMey3DXPfbWvo4NxTtSD
2W8wwhaCGh9HStGRoF4ZsCK0fUGr8G7Mjc+KoDHVrvN6Q2MuTPsWPWyBwAw3h4u/POiF8OehEavO
noGeYQ871WLUisIPMId6b/X/Vna7G83C8MJp2NBvbw32Qlc0uBC4Vw7Gx68B9+GccDtElIS2nbw8
5Cra4SZA2MR+kj7e5pk1HJf6wbJTHQNU+rZzjI7JTllwsFxeBzm23/HiHOJ2g8gPVii9QnCPbTl1
bwUB04VYKQQrAaPN9DvsRVrYcHJIE9j293ZZsb3RSr1Cvqvf18inLMmH1MbvD2OCxMO70JPR+yLx
UrFBvBV+hKED2eCBoFdMXwWxrOh07dlq4NT/O2TvwAsOZvLyzUTSKkILGCzXhp+j3z7J88bh8xg2
QcycU8mxF+VTZxT+XPXnzNmoCy7E0ZgeJhyA4CggVtLb0IsJ0bNFkha2NfEKrLWhMaKJz7e5bhUI
7pAsec9l14vmUtWFMUcCR9aCCPQq5EvfHbLm5TaMFc4W4gKG5lIZJnZKdVHWYqEM8UUmzxWaW0ec
iZgSso/L7/aQemNrJRsRyypzCw6XF74WJEtjvrqnIZumvMX2kY9KPQ7DVs54lekQzdr4eWTy9OtL
mfg/pH1pc+M4r/UvUpWsXV9JSZbXxImSOPmiSnc62vddv/4e5Xnrdsz4mu/MMz1TNVNTZYgkAILA
wUGBZrqiafdidZ+OPnI0owWPNEqSfXsDr6wE9WEdZdklUyj/WEleifI0jN0+AoWDLQ9Vv2nayORd
IsvtzSgccDV4s6LyDQQUe2u1Qhv6Zqd0+ymfaWqmz0VoHPrVyhmSlmjZ8DB12YMy51s1WmvJdmU8
a/3b7ZX+VBXArgDvWdho8e5jHT3uR1Q2NbkHd4qf2yGQBU4sSMgKS4NPailJ7TBAaR6jTTbqOGWb
29J/HiikI3GoYqgFckmsdbclwsK2Mvo9Gu5ob84kFde43kmpcZ5kP93IpSDmPlv1Ru4Hvt7vk9jN
U2conQGtPcFB0Hhnutjv5Zmi0o6LC9VGcBUjSL+8wJrIr41G64d9O8RVAhLvtNqKcm7YOYhzaTSD
wdI0M58CfV6TcgxWjiA2xfr2vv50MvgIdNPgwYvXCOqGlx8RrTItbqHB+2z2rTEAg0Q8EqFWOAZ/
5fiQlwW6B4aCoiGbgB59P5/UAXSMxmDH902wtEruwzLniPmpo8vbHQSgmBqBx4+6fMa3YKRB7STV
kxqsgmol7kq5mw+hgF4nuU/fWx2s3NokNq6STo8AosucgISdHolELWha0Z0DijmAwnV2keXcz8ZY
6Ku9CuKiScEwrNkr00P6McRWsjPnhwnDRsWe+p2jJtv2AT+0nnyv/8yVx8TfiFpEeRxsP/fdWNqY
wbKIvkRk/pcN+7YhmZSr6CgOpX00NqU91WKtn8w87iuqhmqBxrwSFR2OS7zSqARyPRD5LA0TOGq2
PNx3Utq36YxxRnpPZLSeZWaH9kaDgNSUKJVpFaluT3Ns19o/d8co2mJmCFoPkQhDl97leoNVnBZN
ulrt5UzAFLxEU/dN1FbebaO5sqsAAwHJhecDuE3ZXFGV1j3w7wF2NY9WG7HXaoEUaMcjnYyH9gAq
Ao5T+mmluMMQDwJEtnCPsnmwKp5HQy8naY/uSgmUfRq4tH6ltVpnh3gsIoOjyVfeLKh+mV98Yajw
/yj/FTXqGnHRrPaiZmUVVXRMcyOlbIE+HwPezGOGNpzxH3v4S5lMKCLGvloPRrH6IsMoh/vOKtSK
goP89tldcRFgiYVWAosHlhJDutSQpMKjApm+1V7PlL6ms9quMpoWdY53S5pUBQVeF3NDjLKdrSCc
0YKWCaBuvP0RPy8ZxN7/aR4BB8QPXmcMLjOEUejxEcJKWiPHZFgjOM+cVVzrG3WOnKFTIo5ZXpO5
xOAgZUP+BNW4y4WDKH8eQa+32o+TsZ+08DChAkgK2awx6kPcB2bMWeS1nQZaAwU/HfA5UNxdCkwF
uVFakAzu83z4HYZoVgTbpJQBYgnaSTePEyoUDamSmqO9V4wFtwDMH7crYDAsXneFceB1NMLnASUo
2MY4tO+FlJm0jZt+4lziVzwBCDxwiaP/BxhZlh3dzDIEmphmAI6n4KHt0caeVHangYsIscltnfkZ
aeJWQ/0UaRf0EfwgzU0Goax7EMJhEoASvlda3TuSUIuczbsuBYligDph9ywuL1CjYl7BA+2Bq45I
NpWdm5QDDyl+7YjwescPQS1QGFy29du1NAxtMaR6LO+NNJv3otx9KmHQ0gpISo5XuS5paRUG9Bal
kcUqvkkqYWlJnKTy3k/VX+OgPk5qexR6/8/tw7kqBrc+gg+E6OBMuxSDcjTKp2kmA2gjgcBnDMz1
ki1xy0qcOUm45Qq7DBsxZxE8wOBywRixH+o9h6IqNIEmgRM+3QIYReXqpapFmvX3siCs8fc/Xhoq
cvAaK3Qt6Qq7tErXpbADEH/fja/5nBITzW0Sjzbmp9qhCg2NAwITuUvdYPZPVNJIBUG4BhJlBS3q
5fQaa2PCcUhXhQBxhULLMsrAYBxSEdXQ5zGAEKXpRKuqCpT9BqM0on8jCOTgMHIV1SS2JcbskrLI
1UpbyDUrKuUZ4p5gztuPf3oyOH7USzHqBG4dfX+XSifOtRJjyKeGgahNJtqNqfeV208IgUiXV6v4
4Z+Lg96JqMWhMoKH9aW4rvVrcLqF+j7V6470ev+ohIar/XOqDuBu/hN8LN2iMiNm7qoBJNSRvg+F
ar9IAQnbP07fmMBhIrOGaT0AJbD0PmaaaUUqBPq+b6MnPFp8VPn0jyo1eJ14P6+HRRBYa7+SlHDa
l1umxCj/+kaio6j41iSCV2DEUaY40YqXILgmSEU9GzeDgmlT7ITUeuhEvwxB4awVJg0GMPQGaGsX
wezMO57bkn6M+hwA0RQ7EccD2ixbat9ko7SGDmyYBu9u/RmwIFD53zVhAOTl5oVtZeJBCkmyf1gV
9RFcTKXQHFdBhUcqJxt6fVVwChi1B7pu9i0+VDDjucL+SXEU0jyQQqcuo/siK/JdbjQcw73iiAAu
A84CKFPAfNiVdSBu7zJxQNQQojJPhFXwrAPp/Pu2vV6VslTKgB1BBMZ2XUeJpPq5VElgJorLiuSy
VK9XCP7+8dUHmvgv2Da2D7Elo+NVuWqDMgNBfKunqRWbaNtJBVGmlbYa7X+xIrSAgHoFfSDA2l9q
RBFJq3xoWkR2StRTcAT34P/QDU5F4+q+fQ1/hnuAA1/+/7eQAbS7s2GEPagu4sx8QIdl7Gh5aFi3
1/JDu8HcC6eNBjZdRAKRRVgKA4j4ApAe7bssILWvPGBgnNXIuM515VEuGs7WfaGkv4UNqCJAB9An
hiQicvAooV6uqhzBwBfFmHxvHc6Y5UYmeh7sgryJ9lv2lO4C71TSgVCaHl/pY8yBzX3t2S3pjJIM
nZH5YhNBunV23pyNN5ORbNaE2GRLnyYy4A9ng9kG/R8rZkK/Xg+aWV9kdvRZ2zaKddxuYWz3uw+X
96hkiZ9+yFqCtm86U0xdFSdlKHu73UQPjkAcZ7Puydq2Zbp9dDlLY0LAH9IYOxiqoZpiE9Ks0Cer
U/vsfvJWxEJGWRkyU31Ajg3NcOKyIrAibg9Lydord8AG5grhOF+uLMbTqwWepuMKsp4PjgZ6MOo+
ojrq8dD9bILux5qY0GJqfa3Uvk7pPFFtfXj7RTxy//L6OljvlPJOibusJan/TSnQ3oQO+WRR+pVT
EOMjJjSyUmqdbnuSrzfMDeNiZwp3ZpjmYpNAzvlQbt5+CWSDrj+yIbq9JgZ5j8lTSEo6kZN74hwd
48X+s6OIN1Q0ZyzgM2aJKoBzsqwUspeQxp5P1o7z+0wO4cfvM75Yw3yODJRtsoce+YEiymiJ+DFt
OPbEZix/iGGcI2YZI/u0LOP5kLj64Wi7Pv24fUrX3dG3rWJcYG9EfpOYWEpGWgdO4uBEpN8ZkZV4
8SFcl9bISRpyJTIOcEwCP8izfDkcad1aZ5MAXj5SQl1398xZ3XIQP3Tw2+oYBxh1mG2emJns1U5t
LSc17uvUenp0T5873k4uO3VLFuP+jDnIBkXBTnaQYzmhpe1tmO+JtyiO8rEBlKSIyqxoWFMMzIb3
+DmQ4Bdn25gaEKt4LB5VLXN9KDOIeD4otHrqSQq4t+FwvTnneL5c1TdXJCUVBlQFkDOtd2dt/ZZt
hZHkR9eteJvG5o5/LIlxCaZRZ4Wv4nQOhxj1ORtRxUAqXLmCc3vzrl+6f3WOrV2lvlCBaQeSKvts
3TnOSB7y3e+U2E9bl+6eC5cjb7mGbujdl71920SQJWP+SYlNlElGztbB2Tw86PS+Jff7VzelBuUe
23Ih3ZLI+IykmsfWR1rJi541YT1S23VPppe9oNJA/svFMc6iSIMgRtvB4ixUctYJVrdZPyiksohN
t/AYnFuLHcP4Q08Yj1EVfjQJGgSCHf9td7hzNi2Zj81v6n6eTv9iJ5GHQSyP1NnywmPbc3vfRHlB
aRHOLAxMjk6UU1hZvbQF1sF4ub2XX++Qy2O7FMbEMwPwDf0qqWDVu/N5tKxmvVmvzROFvWEjOcJ+
XsGXwpigxhT6Cnxoi7CJgm1qD2rr0NoQ+wha/y3livvpfC/FMeZdNUrdzwPEYTZca01U2lYEhEaW
ftgDR4SR8rZPqHV7jTyZi3f7ZniBkk9JHNWyh2JCltsFYO2D+IhC4m0xXwXaW+fGhAFhHmXpiNm0
CKTwMkL/WWQ3k7PN7UfXnQVu2PvT+V9uJWPdq1gwV0OHZe3OB1Ej+bu4h6HdXtPPO+xSBmPWed1H
wQCAnlcNlnMOqXIvgsea0ttSvlztrZ1jjHmqxwKjY7GUge5ENCjaRUAyOt0pHe1WCDh4Sr9o2S15
TAigG3GrCQ3kWfLdofYSgcwH93TieimO5rGvoGlG9a6Wvo4o+1M/8RRu2ZYby2AzuCVCjFmrcDrJ
RM5QAhgwIqff595S7Cx84I3e5rgKNrUqmKaEWZJYzeE5eg+d4T7nOXXOuciMd+iDpAGYFguaTudd
7CmDpQlO+lwisbDjaPaV8PZCtdlnj6BGejYbkPV8sARyIP6mp3hiPQ7kxDsnjqWy6UE9lFrN8LFx
ABXELenuQ8ixnm8b0VdzwS1tYPxBmBVKWxiQ8nw4d89vk22Sudx2Vq0tD8dHm2rkNSXkKLzuDjvh
7rCzaHVH3YG41n97X7KNEFpUgHltXBQ/0ki3/oOeXARWrsXdWp7GMJ4jEVOjmydczAPNiDXEG52i
3TjXiEUtzjFyfKHMOI1uFQdNG/Syp5KdVfYEZfDfySPPNXGMTFl06dtlNTfgZhiGRS1VcrCMtUne
3u48sl5jolVIODrDMwKFCTXy2g8TUC7I3nkMbJXUe8skARp8bPXUhwfX+ritozxHrzDRRiMVtRSi
b9k7WHdhtd1TmuvUWt2bVsdL4H0VlG7YA4v5EyupEdNlJ3Gp+G8IuQvi3G3IwzrYRJt9SV65tyV3
ecrl4emd3wbVgOVZcMd3B5Idhg3lhr48FWHijKCpDL+dIaWjwzabCJJebUaI8KSu4SnTNVcgx3+x
9fZmmkzQpkFL5rtn41QFlttxU0FXHn4X/pjFQtRh0frD0CwB/dmakfEaLX99SEL7tgryNo9xGDPm
RrSDuXjJjMy7nPPrV1JBl6tgnERWhrXY91hF9lxoxNhGJW2MjQKYt2O+mrw7jHMwLLlT3jQTyAa/
9qy3xGfTkT46iUhu48b09rbxVJvtj4+NFB2WMkRZBwS3K8sRD41TveIm4yUFr2T7L/aQJaHppjpC
oR+itAOsVgOZBv7cJe7UkE2wFR9rzE5fVzDfT+5ziOc02Np7lWuNPJW4T2SUOQ6OZId0E+FFlB10
21x3PaESeaIdLa38wHHGnPuFZfqU8qRLsuUqS1tbmaknLGOt1Zn3GuKeJOM+Vj5C0q6GnGkxtNDC
8yt1kLNEiMVZ0Vdr/g0XzBawV808ZfJYyl5pPR+A7u4e1OP8hmRbYCHM4uaOOMGAutj+t7tT6gGK
q5YH2G7nHMpfBnlcpMicXAd3VYwLQWNClokqxAz0+azfOZZkD52NYtRs226r8ixv+blbm8i4lFoq
pkRbnszP6grx/W4uibgeKBqjbIDfKImJ6+qWwRO7XP03xLIcQ0GqZGhnXTYTBNClT6lIEuszcHgh
3HWHjJZ9QFNRB2ArmUkxxvWQTAiOOwpSQ+GkNJQXVF1fy18ZTJjTm6tuwniJxXntxhcbKQ7yyauj
/B9pm79CmNimMrJ6nH0IOVtvIW3oJqObe3IMKN3ma/dfvl/+iluM4Zuy68mA9qsJUcDucD5kB9pY
9BFpRM7WLc7gpxb8lcJENJqWy5icjEU9lyJBZy7PQyybcuv3GWfUt5KRrGr8fkKeD7K1Oh7xBnM/
OGK+UAS3xGiXm1UV/eiP45cCNO+mM+8ODv46t1b7YdL8WEVk2NPJxW1mOPQzfuJcntfv6b+7yDim
Sc98BRPdZc+5c1C3tgFO5oQCXwX4WytknFKUV1qoqMsKz7igZwuPBm+zuQ/WNnnFnj5uP03rk6Mc
LO0HkrC4qdGEtbT0fM0euNxWIVEG8E/NeBKFJN4nx/RV/KPcdZvcxqgi/zF2V5t/vpPA14Dfdemu
Bw8Hs8xRzczA72fRm/xmBmW4HLwGSYsZeHEposY3R9K+MMzJjUwJPPlAqR4RI/1DANiy7AUrheZ7
4DUxhI+x9DrNV6ogSKJXNqc4DYic20bxcnuli2Ex57nALdCtBXzHMjrlcmv1yJ/Eoqkkb0w8baWR
CBQZtyV8pR1+ilgwS//BsTHLMNQRvTZVLSGsT8g53SBr/xbU9C5FjTE43m1WuweBrnN3/6KRwSoJ
Vio53b7ZH+2nfv3IUaarCwb9Ekjul45clqcvAceUmnel5CkhUgZyZakNr43o2s2tiuikQ5cNCKbR
s3S5qWkGKHbQBojuWnoGpUpITJ0MJUkGgkTt1h3cMba0I2+U7xUnip70hVZIlnUwtTE3eGBIgdLV
EsQqMil6tx/RwM+N0BeNYI4TDAfgsEJbKeb7/JizM/ZpUBUmPMBd9da/+Hthu/0E9aB6b91WnGtm
fyGJuRQSdQjmMoSk2tnpJPZMO1lZieXuOoKJyM5tadeeA2CJxIhLHBtQW+zwtSKtFAQI8GwJScih
yu1eInOAxIgMlMxDTxWCGb7zUTiMGunXTyhxWRzVvJbZB2JFXDpoltZg9gAnDAyvFV9AyLyVjr9G
t41I5CJA18V1tqGRk1NrvuN1qF8BgGB6JFq4wWsHmg/0pV1qa6yK7TyJmeLJ9SY23W7QqAjeARo/
lGtT23cT7TCBkcfeeu0hjr0GMA26CtgkC5MTB7Ss6P7K9JAYt/udtKk2IZFeTjxfLl158CwI5KXz
Fc12gNhfri8TYi0fKxmCrGmiVvUuLviC+jkld9omIDMRSPbe49/kwyqkLxjiVFnyViQTcdEyv7rn
3aFXaopoN/n2QYx7iFdm3qaCZHqNHRwPqRNtG/oWuALRj2lK+mNsFyE5qRxzWn6VsdsLqYx38IfQ
VwMA6L00IuYDhpJa7qN724auxNjfRIDA6nKnVx04HVLQZnlTb+Uh6O12407ZRConzLrmXy/kMBpr
dGbTrALI2cWbzp5M2g+OeVRI41E7zS30GpAtJi7dXtxtNdJE5hqLWyULOnQfeJA52+gV7EWr8N/b
kWKEtHdbFkdFfvCk5EGiKlWpLTorbYd32RoaEjsZVTVy3MrU1s6FxU3T3tYQTWT8bTikQjxn2Far
3gj2SI85DThKeMUYwVuMXgC086ogwWN5noSmEdJi8E1PtmSSr0EzPFrzeqbBk3DXbvoXdd08xXh5
qkRXDwGm5uZOktAABbrN/FC+paRuSZJ6gbrmNcf8XD34VkTw6aIpU8TiGaUS2zHI0Djge3NlaQ1w
wtmmUEyQxfq0S1NH5/Hs/NQnyAPRJRqLlq5XjXkrjLkIztQq8b2zaHteSFG5OPMua205skujvxTC
+D4NkE+zrCHk+Xz3x3F2Bt0h1+WsrFVPMGZ2fXCs3cFykLC2DofADe/uX7dbOzy+H49HeZvd4zV+
AjEb2W4jh263j/Sdl7z5Kufd+sTlXL49MINoDjRfxSdaGXn+9ctE9ry3CnIeDhXx1sctQFPzdrui
s+0CKgCSU8KxtcVwf3wAGm0w9RstUTp7685RoEo1RjKiGjg7GHOkurM7vJYTSd3iTnjlYViuHslf
cWzCI0P/czLXpu8pRklj7axWnL6RK+4Rh/5NAqPJAehsiqGHhNrJN1FD3ioi2tW2oiYNj8FrScbn
mkoc33/l7YvmKISdCDwVPCbYltWoKo0xL3LF2y24hIoo9C4izgNZA3e0hzo9ATHDU54r4CrEEIhF
l14ptGWxYKegSf24iQbFw6NiZQFQCnhOZfl3x/eBFHZn64jlHt9vK8xXyZZRmAuhjOUCZu+vlBZC
awtW0xAH4zj++NbGOZx3H6b18VG41tC7VQGz2eaUnjQwWpfk9M+vwcvFM8aNUVO90Fb4DgWJIKfY
plZ0Ck7+/YZM59zWXpRfgnd76Vd85MXKGVuVREOd4qpTMF2cvJUy0TYgiOJFwVfs8UIIE6gEsdSk
hQohlnn3pv15QDffuEYR7XR7LT+DlYvdY7FWYZPrYy31imesw7uHe3krfNwWwFNOlhN1ikrdF01I
mO/EtxaJINlCRwH6CRRrP26Hc0ro08DxZlc6KLAsDLBGhxOGPKAV8tKdJlMGRp50wu4dVksPQ2B7
zcEjAg3IuHtY63RNVfoo7iYS5eTzJG84i766rd/kM5k2QRkx0ksdF+PIAEBcqjhORT0EL4dNQu9f
iF2S49NjuA1tZM05Z3olOXq5esY0EaHlUYxRaV5/jt61LSxzdAG4hFO371/2xeZ4VGnIgyFcc30X
e84YIt76+N/LnieAf1vOnep6G01A78iDbtsAlWw/p1/LjgeWxa1iXbWWb/vNmKQ8NRrSGZANOEaA
UuBz+rgh88m2s/t3ZR8jBU3Nf4OHuNxnxkYxlKXXZzDO4wnj5JYH57dWAMF81Xn6fOVNDElIwWEG
CzIq6OC91GfNjOI8wBBNr4f5/FrtNuuU7GdKbdQjImsiPPTRV/7ih3f/JpDJiBVRoLerGQJ31uEN
pUDo0INhPWjWGhBTaYlZKRIQ3GrPVdf6TSxjtwXgCgD3QyzwJYfSWSmb9CjtP3Rvd0rflqYnXkHk
WuB1sbOMpepzVujmCIkd3VlO4mI+tzu+FNR8+AP00LpFpen96ak+JNhlc3NS7/SNYae2cuQ4/Ovm
823pjNFiuqW6CjN8SALEy8HpN6DCQmPIOtrv9/K2JNvCArJI/P+ow14LlS72gLHcCoTvKzWB6Mp+
Bp4NfRXFup4Q8Iruidt/dSXivxDGmKriy/3YN+Kyzvi+z72uoKpOatFOtDst4TxXr2TPLg2HMVFJ
kIWiLBdpM+1z+EHx8XXbAOZ4Wqqi1m23z9tIlgYOPD1CgPFdsJoDnhcG6VFhQ0fP0s8zAPJ4W9qV
FqmLtbE98kaNYUxyDadnHKotoUdC1ugmQjPbb9hobkeWzrnWrgAuLiUybqgIkyRKWkhUUUB6c9bJ
xr29Jp6jMxi/08xtZqQDJJSWo7oYH3S07eMWzx1EPrxk5/V78q/JGYy3iWS1ltUcx9VbxrYhErW8
r/jg3rDWwjp1M0ewBItHv3w9OPkmlnE5oZnF0iqB2IzsDgc0kyAecjaGRchvsh8sPPW2buB8uLxm
HJ6LMRgXk4LZOp0KCH4+7xCSOM4KHqZ4Emyy/r238arcPgpWTlMaU56uLud24z5heabiNm0GZYDo
goT3Gl0RdCzgMtkDJmm/2/QRqb6T8S+egN9dDcsFmk1GjFw2hIpLSxXO1svow2btO+ujBFQVR3V5
S2RcTRwmqal0cDW7nTbQGgXipRL9b9ojLoyQJbRs1dpIQnD+eeFr+Ch9aKihCq8D2Z14ivoFf7xx
aCwr0GiuBE1MZOhLuFfvkuNgHw7dc71fWb82C/UkeXjA/bg/SmS0jxpBOL+39fUrKAYjSulH8uu/
22E2bRYHw2ruFnuV7BXBcZKErvfo2g1t5eG2qCvQpMtNZvxQm6srbeywybBQgYjvzmYkhEQU6vo0
rtGjefrkmcjPuvWlSMYb9cB7pWKu4s1SOukdqG/EDfAMLhUs0xp2j+kaQB7zVdg3vCLE11y9W+fM
OKQ4DtQ6bbFYDMWwMMSNtoL14CA52a0rnwDfC9zyUg8CShZ2tLN2j+4jfX19QWgy09cjIEa3d/8K
UvZyKxhHBQb8OixF3ALaobJ/CXi5bFbr3qbInnTk47YwXgTIVkYMsWzCqcG+J58gY7GRcHMacreJ
1quMSL9fl3ZFfY9khuXSd+SD4Shvf8Cyu7d2nwmItDDp8ilWcKn++p3wWBavFJgut5LxSo1cyEMw
4GxjmC35jS7347t9ewGcxwLIHC9fJ+PcRqM4w/Opwc6pSALGz/uQoq1EQNlQIEO3xiOsfYiJXZmu
SPInjuksO/RjB0HMoIkgLwN5xupSvuh3QRSDk9XbYSjgL+U3zQ8cCVff898kMIFPPcktMAGQkIQn
TIftO2sSqCqQ59s7eT2A/CaHcTsgu9JDeYYuihT1R3t9//Kyogv4ErEq78F+XTW+CWMcTtZi1NTy
3PJajLQu74zPPnvC5Cky5nbjTbsOgFoeMdpiuLdOivE0pjH1eYOBpl70eW7AjCtsOx6H9fUQ8tuy
GOdRh3HjrzIDlVxyRurlbuGveHh6AtCJl3vk6R3zbhLHNtCaCRu4i3Jr3inWbFgWN0rl6R7jH3Ip
iUHUqy/h4hm9RqNI0l+jDXqMyPocXNMKrGcuHvG6TB0ZFUwpUIyvAta3coQYm7iKlFBFz5aV3sER
4iL6HHZ4xLgf3IL/Yjw/leJ/hbGNW7XaC8WQxCpeFdbBSsE9ahmEgruCK+nqFQuKw/+3LLaHqzKm
lRQEkYrXBRqRTFKcXV5C4fqL85sMxlVMNaZrqZL/lcJ460MC8MRaIltXsNI1z13wdo5xF8WMqTuT
D1mme7Bk4LIcaTPa2eux48F95euW+3frGGcBSAjosyUBHhCHtJSm3u4OnV1urIY63sPDw9qkpb1f
71+7/REsFtvPz1NKuX0m11+g33aXcSCj6YeBX0MxTSdfusj9jdNtpB0PRHgF4Ydr85scxokkEebW
x34AA9j1Fkis8EBbWDryHfJBqB1t6WNOTyeLN1j9euTzTS7jUlaYzOnLE9b3fD6cdac7zKfj06I+
lPs6uua9FpgPxngt86rZnry+6yvZH1LVa7YohxbgW0Z6RHiONsoZgRaCzY+ddft6W3SENXSQi4Ld
UUJuFBOeL+/pQKzKus5k1VO0AjTvERl5MJ4lmmElYAIDUIKov4H7jlEPNQ/8QheXNZFyRWpC31d/
eHfY1XDnuxBGN/ouTAUMdlbRn06st+Y9OYr0vMs+D2dMnpKR6rGmvUt5juXqk+S7WEY1FKXQ/HJe
xB5aK4yWxv8GXc++15LGWoMMym7pFkr5cfvQrmZJvstl7h+l6GZhmLLFaepY7xdZ0p/7+739RPnZ
wWtK+V0YE66KhdG2dVaq3txRozpm/nZ+D9O1afEYKa5a2l9JP4LWtlF7H3NCsJ1nYKHll2S/7Z8+
+e2ZV9N03wUx0WmfJWrYLYISVIKs3nKQT3fQZHiPLgbJUflcRssP/t9GABzfpZnFitEq3XJgCXHS
BeVNPz/4LBTcDWQuH8wm69MGD1aIqa2zsdZR7tYB4yp34UMQE8viBaxfTZ+3FsbcQTOGU2JCLyQi
V38+qEhVnwVXrMhsWtpvarnPpZWRaYt/1id02j49be2ZvuQpQNkU9Da877l61X8/WcbbyHI19pOM
70HVyclszP596G1XHrjPgmsninE94G1CBQgAA+ZEa/DBdWM2QJCQk4N5lgTSOAHqA488Y78W+H2X
xByq0guGGXeQND8ifBZSqhPT6eFpAAOFO10S2QTKxHEx16z+u1TmYE1pyvSxGlUvNsmUWNlabJE6
m+9R71nYsCRkfz949ZblN1llAgWnAWCyilHyLNKpxxS3tp5U1TufV6BbKgB4JCsSOqpplW5VWz6x
VWRiT7RzM99yP6Y1Z9G8D2AOFXNVECZKiuoBj+m/YyyS5PWuGNIge8f0TuBrC3QSTNVajjiSr15g
35fOHHJcj4Iwplh63ljVMyq04qtJ9/sOqWeEGkRfv1ARuMjwNPMGt1194H4XzZw0ErKBloYQXf6W
7LH2FGmjAere+cDBDZb0aryaJhX9XQK0eLot0FPG2fVrCq4vqGIcOsZFs1B/0cyx8DnUkYgGqdfd
4bl4CE5hSp6ehpcQdc2P2/KuEL6ZeJv9lccsOMvQz9HpkLeLS8Tn4YpqVk98NAKWL4AzI/89Ofvt
QMy9ep8ArROuJ7R+ufK/6GwzATmUFEXClIklCru8FYJBTBbyPt1L0bckKiTUT4OjbtultjK5w6/T
SZkJgDs8O7ti2xdymfAhq/XQR3ebjuf4QFF1UM8VWlq9XzNs7UHZKN7vnNj2dn7btgdX2Hzq3F4x
3hcwMUUFYvspl/AFgau+oA35F3paT89nZXveNduPwJlczqFf0/KlM0DHuABQS6Nn53KvpxK8Ghlg
Yt6Q3EeeZKGgM+0yZ0njnJpduFZfb2vZF1cH48wuBDJLnNI8CtJegJYB240hCSG9G63IFXtbeMo2
79tH//i4tUn4/FVfAmgAkIHWitcYYU45n7JcesynYDg8yMc19GaCN5X5lAbDNUZzaATPCJxkzIii
e8avWljX0b2KPqVVuR3k12LWiTp8ZoWTdCfMe47MkURiSUrpvSoPalyTGC4wBROom8T7Aez2+V1v
0H7cCGlHJcOrhWM421VIUoz95CzhSi8ADu/vEr7qIt+yH1NZLPMZa8FbPTafcruRzJBkm848+Cu7
PAmbyqd9593et2th4oVQJkycZm01GFkleIJo1YidnPhDWNnqbkY441Bi3NHVQfSeRGBZTjw05rVn
9YVw5i5Kw0wPUxMrzjuAjR+TVLSCe01+mDBNusJEI+FByjlp7yvo7stdZm6hSjYqZTRKwVMlWjWO
b9CVBMb6P/3ulxbb8p+q3nS/ffJbV8mswCdW8Yp3GXB0VWGc85wK6HyTsOeyRGOJ/nm4W0qTpT0K
NtpIB/Locg552ccL44BVoC/JwCwTDNj7QW1mdIYoYMSv7wUGdQ7FsXxU7NjRdZKiXni0aW8D0UOz
O45Gf2nsLbmMctWlEauhBLnNatO+1Dtw3JPNQ0NlF4kUyzuIKKilDlk3ztrLLWcdrGOEz3G4eUxt
UwN4M1+nVL6/vRs/E9Bfu4FuG2wEyJlYN6mKxahpvuR71bMZEaNJSP8LxadfVYbJx4+C2BGt5MQ+
PzWdkcm4J6Nv/TxUZACt9d/yzjypdPvEo7z6WVK6FPIjo1mAOxSdd76HJFnm4tLTyXlXWn1oa/fJ
Gs02xr3u2ypmOoEWyMENjCLfJ2gkpPkfa/jyJYDWY9gV5i3iPy5vIrOa+lTKNSxX9lHwv/t1txBK
x42V++iw2YYjR9N+Zt8Zgcz+ipVah1mv+t5Yu20LsHX/0R30w2zXx2PmwWU7EbKDksuR+zPOupTL
DrXO+zL3seO+t0s+d+fkWJDMxhyb5M13XpJoAcsBZbC8Xsz702N6ejxxdPmqZf/daJ2xMCMt0pXc
GL5XqERsSCuS1hZO/8PZdy23jiTBfhEi4M1rNwxBK1Gk3AtCOkeE9x5ffxPaG7skiEvcmdnZsxOz
ESy0q66uysqMnxDVwGE/NnbfPzIOFv2qkJjRZOgjTTJQtVtrFSt6zGkjWs5z8JRsHaMngQFMExXX
oAkHzrQj6Ece0A/0ETdjfR69XC+Xx99xH+dMvmMSU0LWB+KNHOOATsAKc+hqGfyWhrqv++YlMKqc
XDay8djmfSPtxOZkR6sew0HJyGVOOrQzdLPbmtGfk+mH5GTvSPspCuRLNlf8Zt2/Pa9WkaF8ffX6
1xlR7lJkO27lqVOFGB/gxRAGwHticntobu6WTo9IB70jry6SgMOpOXjv8V6k4Vq12l3LkXVklHhK
iittXX0G64Kuc47oS11ts17t+lMmmYhe6ArGqfEpZbSSqreOpZKwaV9cjkAisN0y9uNF4MahTYau
gZoTb5dx7Gh0uHUrmdpWQqvilCNOqffwo0a3xrEG1wMKRH8fG7t7sUFgerwtFWhlw+g0oIxZJU41
GZtMqmgPfrpkw6johdprp8d27hOdv4bQIQmld2iXT3tfKz+oi1wJEJAQPT7Wn02I9Kp8kC5fvB4Z
zXmFlL+ySCZwn0W6NTsFDTahkiLlCcWRDCkzzKUYkG1uyiaCdvr6eIhzjmNUFMODDH/wCEBu1y3s
Wi0NUthqRmzHc7MyhVV7Dj9Po78gAPNkhDNexLf0gHoVYDXfODbtpqZL+OK5q//mQybBX6rmSp0m
+JBcJuI+0NayY/C0U59r5U9F45pk7YKuwX32cJznq7FPjmuY9Ww3hDD5utl1evbXND8/d5vNZpWB
za48JDjFMj30P6cyJ/XZiE/cmBXIP3A9J8tJ2tkThHKaKAmQa0Kn0u1KcFwaogAjMafINeoM/FUb
1j1kFfTWzFqz1IjK3d7/0DraNlapmY/3wX3sPc4FrhCkSwGaQP/xxHqmiV5dt3CiCnF2CXqUfOoG
emvy4PT9m6LZjyxRnM8OGGZlNP3ykC+dTH8SMGGY1gqEdbhDg6ll02QpBrgr7+LnoaCJMUGeEKQD
0znNHLfr69o78+oeIAMaB7YQPmfMuyyC/DYxGRobMugAHPc1ET7UjTBQTHCfrSV+IwXGoDkL0ebs
eUM/uSKgsxyUBL8u5+olCUW9IvWB6TgPzLNX2V3+LLbnrnsrkd3LqJpSPn/l+4oI5XvD68GgGM1A
hteg/VIU2qBHWXFTXRhIFv0wLfU1nw6p2co7RdAhYFf41VK8OEYOU8c+6pVBvU6E3skUSuMqmQN9
r8Y9C6biQAshehcVBIxVQoaaiFBcFIyksHKX9niixU+RuxBS/Aak0w8AoYIEGTaoWd4pESpVG5dR
LnnnOEEN70kFA7+OOC6x269K1NuvAczTevk6ZDsu/6gyEGXIYJZXvtOUAroS5IEumTFYCky1orUw
5jZFI2W+hmN+hq4g5xJWPooa8Y2mN1jJiBUT+jec5Ww1lWpmF9ryWzbQYe/btQO5cMJBAnXtyaaD
DvW/DhIRp2rnUBe19pgIDKl93ftqXT1w/j4+orPuShM0UQWkadzVk9jKK2tHYh3ZOzMB9Q45Cd55
qq49GukmGOEpDpBuAI+YkKeDqEerUDey4zo0v5SvFXQp9crUVq27mN6ZuSSh3syCxWR8s4HLZOK4
Y94TFbcXccaGHZcRf6DZU62wRCrcVZ7vmp0fUyYi6Yua6gmzkpyXoiPNsZJpLS6drnuXgm+BG4Ns
pYYs/jQM7lHlSoY+8M8VOpMzu+f06AsrnP9IgdmHHcnCU+FSntMZaT3GQS0pg4b0KCm4vsFHJmNr
Ek1Cg2veWmYpOrx3Rkgw4y+cJcQtqEbfutg4g1B02sb+2bOZd89MnacyWLGXEk/vvZOTDE3VKQmZ
P8NPHH4G7E4L0CzArvh/DILW8B0ithDaq0ed3Um8nHadXFRt4Z+j/kl7wfGRtvEZZYa6f2ZqHyw+
ZvEjIwM/6Kxq5S9Ks3DvzrzMQDSDCgs3XnMi+xv/XPlAn4mHgvOY4JwDYNDQcqCpQtOf0nlLDabf
tDkYRbYNKeo9wlWmOHapmbtGq5L02z2E0s5hEPaZZXAIjlVBpYUkxH0Qf/t1k2up6LxyEMavq9Cu
69HAx8UEFzzstPTosKSp9MfneuaBrOBGQEVAgMjTyOxyuy/yYqj7avDic8BvM+hhfLGOUQc6NLDT
neOYcDH+iS1WnEC8cxrQISfuEoLhPsEJETComYGYh0UFjJuGgU5SBGwjhMm5thKo3Tw5H4B4wbvq
7VttR2fWXbhWZg7qjb3pWZCh/+UEsJewFw3XHZCTj2d13MS3t8Y4IBGxOyIpGdpmt5PaxQmnuFqS
nMFe6ZIMifbv/4/utDEqemRlslc4B12Vslsk50a16+duI5jVRlsjWe0Wq1QXN0y9cHbGvTA1KGiQ
cEXRhkc36ySpALxHxQiCl56d4lJ5Zle9Nun28czNPB3BJXplYxz01fFMfUGrnRw2Mvu94gkbbOQT
Y7GbokdV6rGtuVUS8biCu1YgvK5N5s/RYpevmio9I5aoewPZrgS846XBvTKLnYRza3Vta3LMsiYP
Imko07Pypy3gdwi78bxtGLwy1UF+L2taNmaUGo8HOJNnReA5Ssuj8x+30i8TxdVkBnUuJJqvZGcP
cncDAgjlPUzshjGzhnrCtin1ODTYJ+GSRwNBPrsKT269Yp5dbctInz4XEJ4jubtSAcdqiRToPASv
k5WivFfMa13aQ2mopd34yLase0QmaNHrEScGNK1fnKVc6f3uQ44Sl9d4rBBOT9/DWSI0nt+2+dnz
dUn6TJOdWC88RO69L0wgh4AMgszjxT2Go1fzFSWlwzjakJ/B9k267qUAzMA/sq206u3kWT4+Xp6Z
Z48KgjeoLOIq5FVkLm7NAQ0n9Cxb5mckQ5uaKBxtbK+wvHov26VeHLmjhMZsLQwRb/6Vc4tZOmyj
H7o90PgAnGYN2TvEK1PaiyCI25jzO4y3A9gOlGgu0v9ADrek2Tkl1Z7qVSYu3Dj3nF7ardGJF1G6
lgV6E0Z33Yk/f5vfwUs06NGGA+PMukJjh2lQxQLJyYtk06BZPZ70uSXWxtcEzj10x6aHPisbR+Da
Kj9Lg545pO1UK+yAKtY0PfnyKyqVLH1s8ZeJ+W6WZR4zDQIQDryBt8scaULl5HUPjSZd6MwUdcUk
4QjHG+olf61BVZQTzUgY6rB6lBicb9YpaUU6HIGzIf6ml2mCyttXHiCHy/c6IrMIrUYFRIM8WkR0
cGn51P0kGe0AGantDOy3Pq2HXeetinglf/MlbZhVnhkZ3iaLzFn32gN4SI6kcxiYApK26SbiOt5X
h0Yqzp5A2CqiUfEWxNTNzSLsqdB++qnFOq+aZ4YfvXTsRF1sX4QfFJkkCaT9NNHA4GYKqqHFqwDl
nRKA68JuAKPidRZPUZTClJXW6Z6yqTk91Uz8Swn57MeL9Nt8N1mkm1FMdiWXRxkUPeXijJZ2X9MV
AI6UnQBWrmFbXoZvoCVQAnKs5CeNiPsxqHYQmJxiOT1V1FUZ0HBY86zV672sB9WqTSxteIrYrcgY
aWYWDvWOknBIn5RP/yhkhi+8uS0UJVFY7g33IP6pHENJt9BIdN46ZlNYgryWtWcFj7qfPLCKWGf8
11CzyvAQcubArJzQ5CVa7FO8ubN9H2RG2ORU9MhgoVHCw694a0YigUwFmN+WucEWJtfQvn3yvmtP
zzUeqRz8/dQC++pJC9N539s52RTjfXjlSf2qFORCFYszvw7sHfN+qK04JxFyaRarg7zTIzJCWzL8
ZDQy8Ho1EquwfHOp/C+NyzZdVhlNA4guQYTC/b4Grr4jbxgPxGRqcRYO7UX5k+7zfWV7JgcSCPcU
b80EWjOHng5muHeJspOsYM+SDdLz54i8UbBdQpKIhQYZeg1Z+hoCxbeSLN70D8HC63EmBaly1186
eRj1RSqEJaMUZ1YpaVJexnZt+SU5ShZWNTS9JXv30c+tvUnOPM86QShczAx3KMwS9RqBoLINWhBV
90zHdkxuLx6iVWTVCx54pkxzY3lajhQSVo7hM7A3nsNXd9NIx+FD3LUqLUsi1x9DbyPuSPUgXKcS
tgb/8vio8zO33vVMC5Oj3oayg+2PmdZWPPVd2iHpDDTQu4uTQHwTNTldsNNNQqUPh5br1Eg3gj2C
Ux5/x/9jb8ogk0UzGIj5JisgoRLaxvH4HZv8S34uabdJ9GIweRmvzw2OCzvqPUZ2lpD6wr5lT12u
50i07Ku/bEC1P8oqjmMirXMrbYwgJA5hSqLllAGzUW2OuyY8tCeGs9ph69BKj/Vm7/Kk/g6eGziR
dag7ysKYZsJ3rK0iAFMANMWotXx77rm2j7RY8ctz3+peh+DxMsqKq0m0qvkty+Y0yJl9ofzjVzOs
IoZCTgEC5sgt3FpV2SaWfMnBXhYNJyL1a9d5RPn0Nm7zIi8xus5Um0ZrCtLUKh7Nyq/vu/YpIg9I
DhOUZw/ZnfLHq3hTrnZF+gZgkJithuCP1PikEiwfigU1TSJ+IaKYPbpXHzDJxQVe7bVsGpZnMbQj
gEQRdttVaKvlplvwEjNpv9uxTrySPCSFJ6gYK7veMYfgNJjs1wHUQTKNV9XYyoaMXzW27dO3GlQ+
sY23GoloQivjKyO5eYnsFZQTcFVR11x6Vc28CG4WYnKA0DEo9LE4flxoc9kqDkQid8fHp/SeMAo3
mYL0Ih4E6E25O6VyIiPtWbm/OzooP3LpFEkr6RCH4F9VznK/yWuLyUwFTEIMEBO7vEKe1qi6jw68
iL3F+ofHHzSTsRk/SMGbDp+Dis2Y6bvefqob9Y2M1VdwhdfevjNbxH2ImipogDLbARI+EktVDSAe
wjhPEZX+RutkCcA5twfxtAQrI1g3EUlPHs9AK8tZLlXYg+Dsr3PT8V6H9I9TAmDgdAvvlDlb6KNV
FGWUCxanucs8C8O2lb3qDDx29QeBDIMMN5KFqD8g870wvaOHmkYM6ohMBUhFQVA7eQN6Stl06ZBX
Z6HdqNy7emHAOawoIP8hoWsJUklV18jLcM2HC+mVufcgd216cq45OYszP8mqc/GH+w4FgQq9Lko0
rVSQR/m0JLWopy+yZHX7UvRpApRBWmzUpYf2TAkYiLCrKZgc+jRpU4gal9UZysL2KXiR4OY+FOtF
RbL4oOj8whGbdajX9ibnuBEzN2M52HPYNcQGQ36XQ2M2C1Bxea5aW60pFxKWo0qzUk5as+BNZyMv
jRNG3P3vBTJZcU0YnJSp6upcxyioZJtMNMScOt0uqySj0AJacmgDyIkjnxb22vjL0712bXmy4H1S
y1yJFqNzULakThAUKzGNB8NlUQn8CUt9qL6S/E/cv5T1htdst3+LK9p9PP6MewaYsRSICFmAT2FZ
4TdguvIoIed1UqRgAnoEwU9gQRd1PqH5rg+Ids4+L+r+WUINxzc5epbseKMagVGTciXZ/NIRGEd8
NyMos4nIBI+slePpvPoUL/RrIU/h0pvws981uYE0ozpmRvoWYprDF5NuQtFWPOq/cwe11dNs9Xgy
fqO/uy8A6ygSBCpud2WyJvwou86XcXnm3lNDemqREKz4iIiswfobvFMAcSot4IXLzuw34BaxnAgl
+eCnwmtrXRSog/nvENzdeS6VOqr4FuCDTfv8+CvnPCJyev/9yMkJzZyc1wIJ01SkpM+pj9s13uQZ
yrQuRdT42Nh9a9W4P1CgR3MKi+06zftKXAx907LAFUhBkCUTe0C/AB6aev8ennrbM5D6W6hXzZ6M
K5OTfVArSQj2qrI8VyGyiXi4es4+CfRAWXgMzBQQb8c2PhauNlxRBym0x3/HpoFqJNvWaIsTdGTt
DfRF2GAu3QogOouMBJTSj+d1dhFHRO9vSzuIIW9NR0nUKFndlGd1zR1aN6LFACtBfYiUhQt0vIzv
9vSVpUl8zA1tpkUeLFUJiOTbhJFMt8zfHg9npowzTuX/xjNZM1cIuEYEmdoZKbUz8y1fgnyVAMMh
bOWEsKnt7UpnIZk4EwGCq17kOJnTJB66HLdTWLe+KyqNBHrqyjMC+MYw+5CEhT3y+yCdTN+NlYlL
qJ1O9UGSVZ7bdU9Fo/7JRy7sTK9XuVHp0ZO7Eb47JOU4ypoN9fGnQFu7MVi7Qx9stw9flhDyM1sH
uwaEvmO1TEUP3u24tUJC5jZgynPUvvkKpLab5wZtqb4p4A3dNt2/meYrc5P90/pelA+MU57z5KdO
Ia6ifmehv3AcZtdSREPQuJwydFZux4QIPBgqSPOea42GziUW0E0RLgGC54xwqoqbheWQ4J/KhGVc
VzN9ENRn1zFcEYq5FcjOl9rKZjcMYD9o50L5hVendwhTyCKDSLE+F3pkdzqniz8eOEgHtKUWaJM0
VNunsa0eQhtPRu8IlnHQG1LhAGiFIa54vSCXx2dzBvkDiD/y/CxSDajyTvNgWuuoWp6m9ZlLSG7l
Z+6brXXX0GhpVshxKRRJaTQciyxoPHRpu0HjlWKKdNOgMawj+SZauujndvD1B01WWwkHrU7EpD4r
3NGXaRptmHbth76uBsQVXQI4GtIZZqwSXmjXwztvyRDbeJX7Bdc4dwFAwEhDWxwKIPLdQ6bjukJt
mqI+b2IU2sEdZjeHYaUc+0OPbmgk1yMjJs1Wz9bcrli4xmf88o3tcbdeXT6OkKtNyGJVOhTVB25X
denC3T0TT/GQTBqBblAvUZSJT+4Hsczioa7PQgygWberso1Tr6LySXTMhS02OoFrL6mNOBz0MKLG
ARQf/uF2MH7DqUotuu3ZbfXqHXAmQLIsACsSkD/u0MjZb12w0ai01VcoLD42fpd3Qv1BRN8GkElA
karKFLU6dKk4ZFHenNLAfh9wxKpv5wCy73abLtwG0437a0lGlRCiLMgBidPHSlQ7aRTw9amOCN/G
66xld14AJTGveg56G8jZhYmdbpL/GARB4wibQfPe5PaRfZYPqkKtTwyPfDD6BhuxXPDvsyZG3DhK
78DkTEE5kBKPklDzm1MUo9LLe2h++YfO/XcQaD4E/EjSUAifzJqseUwS+0Vz4gbZZLSnXAiJ6+YL
47grO4xmACHB0ox9jqwm3O7BWq65ZhjNFLpsFVvVUtfqun1V1+6K0xOdMRTDh6ZNbnNUs1I729e2
t+JJC3+3sCGnF834JUDLiayIshhYvycD5ga1HBAsNScUWvwVXlQq6AhIzEAuaeOxK3bLp3b9nW5K
VD/+uWlVQ14GIhZIzOA7JpPARoFaaGF3klFJ8I1+l0IdPtjXx1B8kcqTWNsNv5P5Jykxgj2Y9hbs
T10ORg4pHdjlBVzi0C6amNcyLw/SvDv5vkdzBrhH9YxqVCnapbLwchXG9bz1OaMtAY0dwHEAHzpZ
b7UVmdZ1a9hSWIKrVQuexWYnoljHoKcZ/hzVL6WJ9QAvOFmxYtGjTfXXKQ1ZKEhfvHnlOsxe23IT
oddd2ISclSaGE5CsojK3Bgz3havWcmpwIdCOubh099y7zNvPn6yUVDgtUyiYqkqxefTAcgQVP/cY
apcoJJpAIo1Gn/9md3AA1YoAU2CDTjam74lO6HlNdwpVvSpXpSHUm2zTrHnRyN5S7qUHT5JmN+Fe
+qiBDvw31qEyg8c1IhFtGrii179S2KHqTnVxFLuaFug/7h2C40wcwB4FjvDZKlEL5GFsJjC4lKbt
K6d2C98xTuztvtHQC40rEV4C0aY42aMyEDN4WHbsic1Chma8GCPW7JMFJzC+Pm6sAMEBoDUY/1n0
iaAKeXsSGDcUMoVR2VMwmKIRe5nudyXxmOPjSb3r1cVpu7EzuXmxjZzQR4n+1B20l7Qg5bqzS4py
8MnZqgwpXNKs4+32o7X7jbf2uQXffnfgf80ruHgBpBpTprfDbJQGynopzEtbt9sVJQC2HIqJ3AjH
HYzHY70rHv6OVUQMC+8qicBv3hrra7nDWwTGuOyUcyslX5WJEQtQYQqIXyq0GrKVBwnlMs52QV1/
+Xn5BfUrGvRWvuTkZ9cXqElZxjbCM35ylIQhTFJu/JauAHVxF1lDsCuYp1BYHPVd0IEpBjhSkHl0
2cG5T6Z4kHIRZVOfO7UXhIhi/5ycxISqzDE+8mN938Mbpuh1tz6AUUHkXksXJK1puxn+KbJxnH50
IwFAwyNhAU6B2+lvojCqhzDiTn280WoG9P+NApx79Sconvh2CY91l5kczWF2VTSGQGtAvrvK0j4J
O0dhQTYIThTyunkfmd4O9sluQE+9fat1AL7Ji4dGytXz6+OtNre617Yncx4LJa+5Hk5v1O3r8rXY
5AD+V4P12ModRu93iKoEaBsCvLHOdDujdRD7baUk3GmHsb0D92rhrQOJO2Km1ALhv2WFYIm2TxwJ
jYGA0e4sGPj7a+y878llkUbo7vH6nw9CHAVmH6z0FCHVKE4Q5bLDnvQGtMopPX3uPt/fdyEdaG22
Vq5H+8LarF5e9vtnMG69PZ6Pu+LDaB7+Esqkmgr5w7vO2RaA5C4suZNSGuU57uCZ5YIKyMEHSQ7J
Q4HwiCKfm+EjVpK19rRgflzVqc9WgMrDxQjCtjserrhvXISXBXcSkNaMAPEuVoUXAbP0rDWfXRuj
Wfnc8ZJRSRAsDHWhPeXxqIb2+DNGz3H3FWiF4uHjBBHggNtNoaA1KfTEjjvxsplGRt6isv2VvfKh
2bRnHwHNY3O/ZfmpPcDx4crQRomK3sSTFbWkllnIcSc53YcclFCtodNwI++hEV+16AIYpJUQ6Z1j
ao5eZufgVYTqnRxanXwSYiK7W1miHQSIgsFgGwqNuLj4Br4rstNuN5QJ6WMjWxL/u6sbjVsFASYW
Cw4Jb3j+dpb6rgK7R4Gjg3jBex82Pgpj4ooDy9bLBWyIj+doZmMoqAYCmzwqAN+RqAD7FkYMdGlP
wjvQ6eCh/nn8+zNLfvP7kyUYZDdPBL8Cj/pfpEAk9OvazUaVrNVjMzOX9bWZaUyiobwSND2G8Yl3
iN7r9cL5XZimKbgmVno3zxn8Pqc7urbjPh5//l2xDmt+8/2TNa+kvmHlBr8/ckQq+G+7F9eNTTyf
pgu2Zi6AG1OTx4UmtJmSaTDl7L59Q9oFz4/HsjRVY5B6lf3JfEcS+vH3+Ytnol6/2GuzZGD8/68M
+H1Y19K4pUKCnjQybFW0HOn1Fr33l5F7YJkZbmET/9K2XlkcHC9pgV8TIUFUQulNIweO4BUGgMgf
4OmM3uz2q8sSkGomOLpZp3HLXxlFm6JQxDGGCQELmTJfK/X49/FKzV1K8DFIMSFFiFfT9J0ZMnIZ
dqOA1o7dJS8cTdcNqZ8CCMlt2oXK18wBvTE12RWB73eKmPSQc/sIN4oh+oTfLJGtLtmYbAytQcbC
E2CDzWlJibevlyZsvKAmF4qKFxYeBeh+wbt8cna8SGErJuLGrQdUHQVwwAJNbU+W7Ny9oMc2sis7
k9mCGgQvMrhGTy5K1+KX7dqCFT4BRrtfYnoYf+nRiCZzxoSZUyQ+RgRGfmfhOTq7HlejmMSAeCZJ
aRjgt+OSAB/bbhdzQkvzNDkjYioVWTlqKp2g7XoEfFw0BfQWJMelwzjjAW4WZDysV4dRBrS9GDwY
2rhH8zukgtHqC8HRzHm/MTF+wpUJV0LHQsCA319e79yNozdGa7ML1+SM77+2MQVZBWBIlQPQIZ78
Y21Fr5q+JM05awAhNuiGEGMr0zBXCVzeAbgK4QThdBfg58cea+nnJ89k6BZlqRjj58tL8JRaQw95
9McW5qIv4M/+N4LJTaw6HF85cABj035KsKuOHflZa9bLKlpY8KXBTJyJ0qdJ0yHbedKl3mxrmp4W
hjJ7OiAyi+ojekLuEjVRGHtNzYHTHjyuKfHJT6nzi9puM7fxmAD/r5HJklRJnzdRCyOenhnaP04l
jo7w6tcnq8EquZT3NX49xUuZpyYodyQIVS1FwXdFfsRfN3Yma+EGfhOWCTjedSgDP78mtmRyK65d
JESe9SNX45k49nYQWjgtjGeMXWKowp8yS19Y9lm3e2Vj4tKxHmzqBxjL6ytS80B/IF6BnnflEn77
/Py8BFe9w/dN527c51eOS5P9yulwu5/8lb1TjvT8Ap2kzfte354vj4c26yKvRjZx9+mQFa0faggt
nyNTtLcDeNyWhrM0exNPL3phGqgVRhPYJfG368vz4zHMhfo3W23i53u0JkNKF8uz27j7xD6djhU4
H8iCmfmNpoEADfSQPLD4t4syhGpSVJI0qpMm6JD8QXPMOV1i2pszwknInOGSB7PcFGHXgGkkUFMP
5LpUtXqDw8sITACkWIgj5hzltZnpocnQZdbXUEVQLX+Ft7rlLoCP5/bVtYHJiXFKV2GqAQaAhLnk
Z/79T7Dul47lnDe+NjI5Jk7aVn3HwggbQZOxJMJzassHbu3q5Sr9F/f8ta3JQQly8B3JHWzxFrd1
Vqm9FM7PLwnqgArqYUBfTLw+uI/A7NxB42PQ0EtKRDsYEBMtnJS57QXyCwkZRGRwtN8WvSvHUslN
EBaOIOAF9C7oxVuyQTaGZhQ5UXixDaRRX/+NReRcVODPkYSf5vwH1u2rFNIKJ5+kO+Ku087q1s2e
roA+fJb0v4xZ0+6wtFp3OhijBwVbz3/NTrZGnzqBwwSqAD0KXWJJ8JKg/Q0Md/rlGRxvlwu6D/Gf
cqUCnyqB12wpuv3Nxk5fAdcfMNkvLHRRGyXFB2CmBxNX4OtrpYc7xSBPT8cjt3+5eIZnXFZ/H883
P17fd3ZHmAradcfOk8nJThqnjdksGK9DWEZ/ZXyWwZubgZ55vacGh+V2TgFqdsARk8VRz73mfoEq
/9f65NhLDe8HFQ/rr6+wvjG5kDq2bLvWxxqtci/gvfX1xFoCuc3GGtdmJ6sNZQuukkuYdUANpv5N
1hAtHVVcHs/t7OG5mtrJknZ+JrJuASusrB9GJtKO4BnJeQtB7GwO4Xo0k/tSKauaiRrYKdfgRUzJ
rj3WOynSga96/rvgQ8W5y/na2ORWC6uwYqQIxsTdmChrIyKsnCft+A2Wsc/WCN4cHeH62PXdYcTN
JpafUm7kYc6on0HIqSLMU/IDGlBXf7msz19nlBoWLl5pDBXv9jRqsCgFo8AjyRPXWDmtLIVq+58Q
7/09shUkqRSiWiMnaLcal+Jk2+JTzwGGztIwNsifPyEIyyEFXKwyowLkstQDQ8X2X6/+XsaElmsm
9JJZl8vfRZ8373yQ/AesQQKqYwrEEXg3SvsYSaDS4J+zbQdBnFNqeab3VthmaZXEtZ0/iSXQtX8A
x6Ke6mjbth9v1jss9q8HvPqIyS4KujgNhwgfIRyirYCG1ugl3oVnbZfDmmt6m/xpiV5x9C136wSg
AiqP6HjDE+k2QspbpRCyfEBKN2syOpJDUQRS2cIxnA33BE5gEYNBkgqUgLdmslZN0ciXQz3qHQ2w
9mC3IiAaOgBWxsLOmw3Er01NHAvfMoIcK6l4AkxtsKW3xPYol1va50UJAMTkCah2Lqrp6vIC/dFc
/HRteOJrGhWkrMKQiadi6xs4fVRG08CSQ7sHw0ErCpcUD4CaxgIPNXmjFWXgA3+kDKeszInUvwXV
Sx9YuShZb10EeDJXEDFZKlnNDA0tQ6iCA4SH/53Cd5NO7IOmatjTRpOM0nL+gDooPSyxdM/cRDdW
Jn4tEqus4fFuOwXSxf1iatpA6WUwo+5v/7cCZYXiLVaZ7q9enPaxHwXMxZLEK5MTF8ZNpAh4jp4y
SI44kWBqw2vpod6Oljs3oVlTvABwXYrUkc4eby6c9/sB31qfDDir8rrLG649sY0+oAMirwTTSX2S
iXZWiVRWVkXIb0DLtGD3/gKBXVUCnZkARkZWnAQcbdTXaq+mgCb1ZtSsGaUkQzoAuZkZYrj3+kuh
mYELCrFuI0nQ7dCUI+C8VpVSp/lb1Qv32UwogM8BEeDYVQws6+9dchXhiq7LK6FWdCflTyk+D8Vz
PqxS5rO5yA2oF15wh9arJYrIGTdxa3QyB76IuJcTAc9i2MpQudIoatJ021yBQGWw6vt3pgJVkK2m
7Xeq98Gh5UBNyPhkSL56cVcl54U1GS/EW0d8+z0TD8nmTetj93enIdf7ZKOEuBhTQ07Q8Pnsck89
4YNUX8RK/caW92ZBVAMKBaSYpu2XQ9SmOde03Yld8y5VxKNSdpbLS1aZfQbqh6CYuRzvgwi8/C8a
ehK7dJeVdjjYQrMTIhrnTx3Xkso7Cb0liwfVzxdCq3Hcjz5wsk6Nh7a2kgUKMGiF90xjPMuvvQ2T
8MPCabxrBgY6Ftvwf1MxWQEl7D0GlJ7dyS1eQ+dFAeczsqDoxQ8zk5FPChoIe10A+AlTEK+LnPLO
jimPAfdcRC8cb7Lux8KemPNOCqB8aJpAMRxNa7e3puQPmSq4XHfSIl/tjCTOQuqKofil9epgJlL+
UwEffiik3DFYrtswAZCSKGN/tZEaLyQhx3meroMijj1z2CYA+U08ZaAxXRKUQ3eKwgSrLSWirUJf
Z8EX3F80knhtZeIR0RgW+UKEEUvvQWs1zqblCCsA3PrFtO8Lszu3s65sTcsAclAIMVPCVshsmfhD
jX8G51P+5JOtL1D3/5D2Zc1xIsHWv4gI1gJeoelutdBqWV5eCMuWgYKi2AoKfv13yl/EvWqaaEJz
Z8YvVoyS2rKyMk+eg4brrDjSey6/mNM9sFbOxlBX3gwYKxJGCIugYIIOzfPVzXKvsebKkS87UFEZ
844NUeC3gXND76bA9vav18e78sw8t7c4SRWp3BxHQL7Yh7L/AoqkAW5uj3i6OgDGfxiP0xv+HHOI
1ExQxykPu60y2woU5fwTFht6wHyQzjHli6f/KL2HXm8CpP8jTo8QZBjprQthyNHIH0TR71r+g/S/
JsgUzdUN8iOgsIVU0ztvIsL2trztazTjz89zdSg6597TkmPnjWGtPXZ9c9MD4TvaYzhtFHBX9icu
TaRhAFBEdeRf//6Hq6oVrLEnrRmBINIip2SBdKp98mg3yUHkxb1b2Ru7dGWTnhlUH/TBoIcqDaVE
jC90Mu6l0d00DPJNYit2Vefqw+lGIxOUMVTPFKgiIWb5b+E+mLGzLuta3vZxWe6d5vhzKg6YT3S6
2VH+yYrPP1voSAYqDihDNA0sNoEDKVk5Jb2IC10LSsMP/coPsaTptHF1LFyWMoToBoAvUAyr/Ozi
gCWyQ9uZYYq4F8Nr6k1s7/uatWHEX5k6sFoTGMPMKWKB8xUSijAkFd0ctw7XhpBYU4m+omqw38qk
rPudQ7XKupeQ8SxvKbrTnn0r8/xDMZDSveMJR6Oa11reHNg+xBsRa0ryx+prp44Sx81/eg41Xnii
GyASk34PVo5O2PfWOBZi12hG88zaCv3rfc39Vy4z6y+fePPb6c35Aa0CxUtVmO1T2U9aVKYJ9Its
16q/DKYcrEBYvOS7ehbjM50Ee0DXIThbqetrIhqssfltVrx4Y1OSv9AkK6vAqWr+lBSzXYb17JA7
q9abLJoG0IiETZtn37PCxJFOBuBEQJQxTntz7gb/ANRrCarkgRf5i82rjAdW6U93rd1q9j7LTe0E
1J31RhKqg5Wc95YOxuW8fBqYNlf3Va5BZmrWp7SPMpQMwEHCRu0l1fPi++wO/Ofodu4N1ZvpO6Kc
ogyGmoGi2Zo04AtzDJHtOsYHUPOiuSePSsjxfUkbc9DRfY621h1zjIaGfV8h8i6zvmNBI0zyFVyt
UkRdRTkg7OiN/ZXl3CmOQk5oCEoEWLbbWoOa2yBI3u1Sp3XbqGionwQgTBt/5FXK5xuBySOBM4yQ
dppkyrbg2fbCIak9jkZ2Ja0LPXrwq6oQ4sPBzU2adeYoxxhc6JUMjWngHQopZMz2+uyP5S5BTPAs
Wg4CQFb6+Zee924edcyC6PUgONbCaPwB8jyTwX4ldQlooFuAL9aEBhKA1wb4WzErjk12Zk28ISpB
qF2ENckZcKyF2995hYu8cD7hogsTy1VMZYg170BcyaK2npvfIpnbZucbc/+u1WlV7KrBy1MwxCWO
E2ltb7yUmegOpBvFe8sNoR0NUTKxB1lHKw+93wqEXWUpqwBIbfdZdqOu77TJSSGUIOeJ41d16VwH
IMR0QZzRtt608bJXR3jhHdFAiAqS6oEDfeTCkdBpqLOKTGM8kjrsxwOxsv3QvGvlVlPBMiZQywmq
IyTdDdCk2tYyDeVpKIYLPZWxR1PjedaIDHy/I3uQwOmI/xrA7oXsadBUHhJp4D/bicTV9tydGrQt
++Aythu61fSz4kfBGaJUkxD54YG2CMqkJQvS20zGFipQoeVCqrMk5O/18GTxJsXIkX3C9KLVG22G
YOM738hSiI6L3J5j4jp7SB6HmdufREeQ4ZzeIcW94bbXzKn+KVwRxHfNZa/KPJPB5nOqxxw9AA8i
sSGNVWMHs3YaHjmb3dDKpR5dH+PlPsJFpEqRyDagyXB5VZRe546d1OY4r6kfOUKwI25dcULIzncc
jW8bD/1F8PBvTkFsT8BABoDDhQDl0EmORc30OKO5G6apXd/5gzYAaTFoG8mbSz+k7lgwjMBRoyNO
XwSX7ogkfGtSPdadZLpxSPXL7L3xIHNQrNjJPN9XxOjD0tCa/fU5XTkySu4AXd+451WFTCVZPnhA
XYMeITetOZayCf3GjHRvOI7CfwL7QzjZ4LWVL0MPhLt1k3P0r+QzJPbqZAvwuaweqclWFNuoJgPZ
g1rO4jvwruz8oa+MGDIcejhwBFmBO5IBsjgVqE6gEArxjZaE8JcQgphzZFvpgCboXBT4X2QasHF4
b3LXDoXRV7dM6Nqdrs/z137sQLSQsXaHgmN5U7XSP1ZNVn8B6KQPpmpK9hWjzb2X8v7L9cm9PPkY
k6J6s3yENmgzXsxtnZt1Zwo9tuR0X5vNt7627M9vUoK942PakIJAMfXcRj3lLSSmZhnPad/fmVCO
22E/52+uKfzj9eFcngegO5HvM4DxRub0X7v4h63CrCHnmVWbMS8aO/Cdfjp2bGahLXu5cR7WTCHX
jYQ5ePJwYyxnriKcSoQQMRKmZAy75ID2guujuQw8MWWqYorOf9VRsXDLru1nKp9hxa2eN7dm36Et
e3DIc4XulluEBcDwCwLSW0nS0J+nYRN3qGKL82tRfQBaYNV/YCxbJLxbv2wdC5Xp2JB7pxinIPGh
61K8aba986eoA3mVPYPnSR/3Q8rDarq5PgHLxCGOHD4AcgwoXKCA4buLO8NjnuUzombAZjsh0wjS
1WGpNyfXnl8N/WtjNDeVa8VU8x70sQuGvNvw6CvLjPgLKRrYd+EAFm6vEbA/DQbcHmfD19aw+Ym6
pWeD0iZBJv76eFcWXEUHaIlVx8X6l9L8sH1Hy6U9tXs9ZrrVcgTqM9T9Btveu0U3vo5ankSdORT7
ykUN2ZqRPrxu//L6Qvu9ZSGOUNJY6CQ5P6leJrUEu0kHt7jh3zpTPkTY5R0CW1L+rCrtk934annN
f8RdBmAIHlhazu0lhqbPje/ocV5RcnSNqjqliVfuvdQcHssiYfdaMiLnyN1mq4ikhrLY2ijlgHTA
RrFFcQOfmzbLxBu9AUMtzSxMuP800emVK0pfMaIb0X/KePbSUXBI2FvZ+cubFEuLEgselepCW96k
IL3JpAeWv7jRKxUUIOf+g9PYJkWAloUw7w7XV3VZUVLTfGZQ7fEP28rKE/QNCRj0mzHQmh+FV+w7
iz1ALzUAAeMpz/JT1UA6Y3SNDdsrxweMU8h9YZwIHXTlYT6YRrOhlRGtMWPCPLYzi9RAJXhg2NVO
sWHq8iqzVWYRLAsKSoPcw7mpCQ3raI+pzHgPiaONYHKZOlZT+PGXL++wvEbnKt79Ziw5x1M8qKQ4
eRW5m5Pyj5539z3aj7Wiuamb/Hmcs8h8G8fhG/U7sMFpUVKg309HKwX9azagjB7J4/UlXjm4yKxB
YwlKCEiJWAsv5U3Eranszdix0CNPeJg3P2k1hgUoza5bUi5/cW7OLC32kphTllQjLLlZVGug9ALU
ICtvv163sjWexekEsJNA/HM046IYdvpw15N+nzg3tb+lHbdqCHUBeHiUXSEmcb5pSN34nUxaM646
/35sf9K+3nujg/7nz+UV/20gXKBQ8AF7EfKLi3Chb2xJxeSZsWDvjvPOfFR/5LDLs8iyxmjuN4gC
1g4D3pd40AGigQaOhWf1ExfEWnZqxQ7tq2Pqsq8IJrbY+FeuZ+hqYVDgHgH9IEQAz2fPQGeNkZaF
EVtdkoajJ8abrjTSOWiJKQKeO3NEoJF2bD2lqAQd82hCLAqyaL//6tvusDHHl4NG7Vq5c4BScHku
g9k+0+whaws97jpzDoZu7g6oNhe763vz0qVBhxwqKnjiQfcBLKrngy4KF1eolEbMBnozk+Su78VN
SjbCy8tLAlEs/KUFpRakJpZUV/3EtELPZiMuTFAYQtu8qR0k9OZbCA/+AoHgk7XFFnx5FFAfhzYm
9CygpgInej4uZvujP6BQFdtVNT8Z0FrYFVVCTh4Rc6yNZIvMa2W1AMOxEN0B7IBRLo6ejgvB6pEY
je0CrCothE4ephLVmg2HdWkG2E1E0UCbA9yAFTsfVqm1xZB10o4zmwFSKJFw4YJ5GxfE5aaAFUVv
Cxei2IUWJ2F2WZXI3rJjTyZNjJcdKLoQUz41XbeFF730wNhgsIY0HEFH2zJo6pgx57SkTqzVPT04
NcOFolf6kZWmdQCKY3rNNLF1ua6NTzXP4hpEKhy8deeziC7+hFW8d+K8tdHAnAlKITiNNLAd2B1P
nf+waMhqoIddNaDh7XFujleTqOexceKZNagLDbPYi67f4mZaG5TSK8JLEc954FLPrfh1McwNWnxi
N61QaXrwCxANUXPDX6ytFx7X4LjBJjfNJecFs0FEa/aMxLmXQ8tjsMsbUlrj0Ut4dvR7ZOzBI5ZG
n3VSAA8hIoB8MUJMNOOfD43bRA6+sJ24IPWw87IMQI9irIPJ8PsNUyvhpbIF1leMTjH5LBbLmpyi
tRPfiRvPLQ+cTdotCKnIkRitiIXbpjcV8r/HSSNWaI8mvWVyMjZhU+qEnQcmEPTVwdhnI88IksDF
CczlkOpDUpHY1ysE7fLU22lkVz9ICQJLI+AGiM4JyguBxb64mzH9ylZSHG3gLgOXCNIC6ucf4ty6
9fU0mXUnzgoXffRdJnd2BnFAhMb1xnyvmsJTGAU98DzjCXFuKpWaqwnhkdgj4Le4daxOjo90yksT
vEmDtD4HC0DgAlUl5KtRwYbGr7uEo7GyzBobeiCxxiGI3pZu917LRN8I3i8Hpazg3nZQ0EM0sQj4
uplo8K46ic3Wa3+Zg2/tSws1qSAvui040uWN8P91okxQGMGFLvUGuAtsbamBptXvsxGUv1Y3QgcV
stD2xqWwagjsMqi4glAPRCjnK2U0nlN1A1YK12j1WiYuO+qaXm+QMS4JhNQKKS5h7L9/ACtvgcTt
KIoynORJ7KQ+/+7XzA/A+a89tGM7nMTo6LepnI1TJbUpopB/2BdUZ4eOMfHcGOWNTWkZ6kUCdXOK
KrenDfZPHQjkb7Se6gc3G8luaPvij4v634abX1l1iNmiMxtLAf7BpSypO7Z4meddErssTUKeIttJ
mPPFKTe7Ui6f+zic/2Q9gVjGs38RDwtXokzqmEnc4/qCfJOeZd8J7mowA1da/rvhpHmBinEDkScy
ZBB8LUb+OhSOsTXkJQRYrRZCRwSq2BGoWy9rLbw0QWNJMy9OPEp3NdXlS6tlfr/z0mLfUDc5Dgbo
zwqGgKsFwVjUT8l9zvz2YczG4q4svFe7pdZtCce/8YpcWQ6EL6h0o00eG3YpfKgbYvB7kXqxJ8j0
QlKUDjlL66cZuZCNo3F5KeKxBbFViGgDaoQ+2vOj0QuVhKrq4m70WUjYbwtte61AuzmkTD+rPYcp
99H8D6YwFy9k6AKoj/ngnCcr7YTDXXbHvXsCAI4xg05u48F1OXeqIoDkHZLc8FPLXC2GguJXAVUB
AH7AnyKNPzbIDEOSIqV0/Wq/iNPRkY/yIbqRcG5AZbJwlVbhV1aW8vIuwWX6UBa5yoxmblgmDj3h
6Az76/bU9X12sSq0iAPVN8wgoiV3Efplusu4aHp+VzHd/jIhC7IbbAFCimwEnqp3ACHp552RWf6z
qctqw7rykUvrCNyRBoZ/QPFgMVrRJL3V9gO/G4rUvqMVOMlqU8pDl/XvhZblDzzT2zDzC+PL9WFf
7FAM20agq8B5yPC7C49hCWalM/P5HQC8/hxYVgoxPS1JUsgJgPhH7tnct++0ltNnTyEMw0Hh2sUr
DGWZheEc2jRDZWT1nZgrgEEQUUbYTnnglWO/cetehm7KFsiUgRSGBwY26PxkUKcCt6IFsjWnGZNd
1dZ+3EuEaQY3jMc507O/HnpeTkkvARB109x8NHxZHa/P9BKpi5gCX6FEUVDjU4KXi/M5emkGuEFd
381GS77YGrAluiMVwsCF6LYJMTw6TtVeB9fuF+YIZwxy8P09Tbwvg9kvyAndMu6+T/w3M52r/eyD
qYS0kOQr+vrX9W+9OOb/PhUFAdRFFJZtEevW+eD4dd7Wd0VC7aiENnyFKPtQV571dt3SRfAAS/DD
KDYCuouSuLrRPjgtVGUKg2iAos6+ke8aMoBmWpcsvG5FHZ/z44XYDnh/0KOg6wOls3MrudclTU4a
PMKdpC92zVCZSM62hD31nU7HkFS9I2+u27ycQ5CwgBJOBbAq4bDw/XiLTyVONYkbe07nL1VTQO+p
Agioeaglh6TeZ83ZqNrq2Fk4z5fse46wxrkXpRcXowAaykVR1bsDObvuBLmepd2nwRQKI4YTpYQy
cYsts1C13XaNNnlunJoFJAgT3aPDvgKHbroRmV/OI3izFNEZSJUUrH5xeLFl5raoci+WwOGF6HjK
8gB4ruLLmGTOFr/75XY8N7a4BZBby5wK7GqxAPwmwIsKVMOSep/29ni6AWkHLBPAMcDnn29Hr+PZ
zAbNjfNmMA/W3EJhHbtoCHIbPRvjCIEV4vRoI28tUmxggC4dPsJQ5KJQmFFAh38NZB8OXJfQqR2d
zI9nT+5qIJNzmaN4373Mg3FotJfru3JlPoEKBkMhdA/QJ7/MIqb9xEeKCDEWTTm5weTopRb2Hin8
jXDhYpeAgA5vHLAZAympUkbnU2p7jYE3SM1jnRTH3MV9bQpDi3xzq6y1ZWhxU5PGs5LK4dDBJAMU
aP7y8cmt84274mLaMBq8EHUHtK/I2v9rQ/uwSEkydVmeSA5UT0/3lPOXShdsI/e6auQfGgopbXAL
qJ9/MNJmWqklHhQ9xZADbeikIr/X06qqNpzvqh3QSGNt0JtnLnlBHb9Eysj3eCzTPLkZGRSxUPbd
Iu9e7mvc6tjTCGOAuUIr0LIEl/XMUwyBzi2Zwhq9v0LQIKFR604HmX7StcMWUHQu4ApKOgHtNecz
N5LJdWrA/m5L/dHrZdjs3L7fXT85S85/gBFghKh6nI8ECFAe50amclI/9sltaqXlTs9oGlncT6LZ
dqvXAe+iUzP56fceD9bTDBzdIbXmPPSszv6mC5I+EdmWh2r0oFBLActypKuFktm/OfctaFhSOyUb
UcMyiFVfjO4nvND/SWMs37l45CXUmyt88atbR3vnYETD3fDj+rwsO1zVvCDTjdjERfIewdRiXmpr
nlqPld4tAHgsTOyKow/a10KUZNoDqnZyV00tNE9k4+2oBzA76dAKpPWkSpEXFMmJm14TJS7P7t2u
S+5cLecvvc77Z3+QwxGW9Zt5zhK6a7tU3/W94YuATMLpItsFEjvIDEBvN9zXMkDBoMAk6gL+BVwm
kqcLrwIYNJvlTLxbu5zwOjwYZnejiZ8FkhzXp2/L0CIIrfUJ2IvO9W6H+RbwA2gfWwHLH4rh9T/Y
wV2KNCFS2yg8nu/e2az6Prdhx3WmQJtJ5Ff5z9puIjm7++umVk4+3oj/a2rh+iciuM4yz7vtffGY
MPLqNvt+uusdPTDNccNpbhlbLJTmgq7QBKPnbYFhpbs7rX0+9lusNWuL5ONWBOkHngvIVZ1PnlmK
3BoAzwbj+1yFo8Wqm4633tGbxL3tTsbGWi0dtNp8gGi44K1Qnc1LQQJ9sLLE4DA3tr4MClIJdPLk
1cbOuzy4KEAohLfhoj8VFDOLLVEg8UV9t8ni0cxr6IE5aQL9qqwfvnUpCJohoT2av7qxUw51KjMZ
yg5tbKEuzX4KC+6LF+HpVbZrU9DpB0iuW6kVTLywrcBKp/mtNjP+MnKTmtGM7is9JM08JxHjRlnf
CptZ771Z50zbmRP6x/dgVYJu9/WteOEBiYHiGFrv4ZcUhHNxuphly9mhjnYLwH3zdXADcoQkoEYh
x7YxmxdvWkQFiHWhXKDaNVwkLs73SN0RWnmeSGPwyvb75r4JqjfVic4e6q2b6GJ/AHWL5loTSTM8
wy9w08Yk8sQ1ZBr7FOCZwXsC/v5ot9A91ist6I2fQwO5JYuiRsa+zfgrijNviyGatC2Q5cXxO/8U
dzFqhsSNwfMxjXvtxCAwbIrmUIKKeoT+nlYdrq/mujG0KzpAc0MdY2Fs7PnkZP2Uxnn5Lbe0aJj+
DtlLCRmgQX6/bmoZVWI1XV2VsFyspurBOV9NrS8s4MbnNDZoszOTk0RXwpRtECNduBW0hyP/gTsG
L2EVXJ4b8R0+mDp387hl3p1IXhOjOIwZ2LzFxhvjAkeE4cASxoI+eDgwb+ElB99PkgyaVbFtaLeO
y8fIwoujbyz+ZWzQYVtILqPScNI9SY3iUWZet58yD71zmTcc0D5jPukj8OXcQJDd2Gn3mCDAfxCV
9cwHdHEDSTxuyj6sTI+PCj0K2yrkRkh8Pj12gk6PfMxpnKFRxr4x0lg6N6j8skf/ZBQ751f3J0l2
++Spesc3X19/9bs/JihgELbxloYTxuIs86qkSrLOQIkCuBlk38KOx/MTuE58epAjlK2uG7sAtJxb
u+APn3JgzRsL1hr6J0ubm7yeduZsH+Bm9q6PvqHpdoDyRvWNlU+lO2+MddU8ysSqZRTDRmbmfKIb
NOu0k+7Q2GBDYDcc6LEEhUxnCNBYFDS6xN3gPDrOj7T9Jjp7l1FA6a5PwcrR9j9+wuIocKMonMIh
mO/pV0pf3akPEm039HpofRYSpSYbSwpsBip+6sF/PtpMujaI7jDaZDqOzV+ZgGl4+MnQlGimX51C
bFxBl7sYFF6YWVULQPjwj3Tnw6turKy+bE2RxUYeDx4JWw+0RwBvO+zt+hSu3ECwZOIhBPgVMPXL
B4qX5KlJEUbHw94Bm2NzVwZNmBFoDnYbG/bSOyJ/psRJAG7B3brM345arXvctjLktkzVGgGJoq9s
y8iS2wVpTliBF1ZZGaTrlsVZanQzaolpHo+RjJMTCZ+JHaU7bdfu6MbNsrZIH02p7flhkWhZ9WIo
Yarh75oWpk+Vf9u3G8+xi44SNSAgf8HpZiLwspbVJ0KnLudVl8fmoXm2vusReueC1t0/NW+lVNxJ
X6/viLVl+mhvEbYWzeSYVMAeN7qwrHdlhiLUtJXovHSV56NanKfCmTqISsJKPkd5tAfayYjaJ/99
U/joMuwBEB5vTXhkF6ncZRSuuanlJsTJ0TTyzbXYo57yA3ezZ68t9vXsh3nVha393U9B7OH17cM8
aX8btI1qYiMbtOIw8YzC6xDvawAUMPzz7dIglq5dxmjsPhgP5NX7Q3a/+U4/QlEX/15fxLWt+dGW
WuQPW3OWU+0r4FXcVafaROeR+9Y2IhjlFmHb2m7BeUaEgFcHXrwqlv5gqMybrCm9kcZEo2EFjUnh
gOaLbsQ8F4VodQjQ04DUPygf1PPj3IwCBqRVN9MYpecn+khOwG0ySNJAnyOGgPaOFxB+OIoNj7U2
i0pmCLh/FACQ/Dy3mtlcy2bbpnGqiwDyXwG6kwMkagZ7I9Ra9VoK+adkSEBItQxSXTzmDWzTPP7u
7ME6MN+Oj2hrjLobK9qKh1f34Udbi1uznqk0Sg22RrDQ+sHPLviGKAEMoX04blzQa4fvo6lFQNy1
YDFEnjiPu8iJ/tMvB4QKtWVgcXB7na+ObgxmliZoRuhoD0o5NgYqMNt9/iABN/s/RhYjwOvQILNs
EU5Cmp7U/UNt8aDwn9J2iyl/da6Qz3d9PNOQfltsNhPsP75fCBpTl4HySaMPugZyvOvDWb3uAcNC
UAEVOyT0F1Zkw+u2LXFeJ3OQhzYzcE36s7NrAeJFocL7PWmWjuqpU0Z9Jf0oGf0tBc3LqA0xMsB+
YHbAUcYb5nzdbDORBJVE+MHcyXaa7922aBqPMt36O3W1s5M23hbXh73mpXx4D7TygtQSmJpzk8ls
tzIp1EGm/gEZm/mIx28RUlBMb0zwistAdAPAA5B9aJpeFsRJrYtmrNIiNpy/HPOHkMAq2lB1vH56
SGeGFguZZkLUNtVo7JhlBBz5KRmdGPwV0XUzK/e0emuiTwWUP6pX8XzmUvTUDywvijgf/Saqkyod
g2n23wiFyivKktCjBz170FfemO7MetwEQ60s3dkHLJZu1vIWjxtexJ2hfzc1/SB056GctGOikzGQ
nn1PifWtSZvjpEQEUewEkpI2IIOi4FeWJYPOMDDKu+vTsvZVSLTB7aDgjSbbxVdVHKg8cDEUcdZC
70TSqJyf3drZSFOubSYU3lB/Rm4PSaLFW7ahViaAZlNj7+6a5ldmPRhmfvSRqPn8cCBQiFQUMJpw
2IsjmSMPlet+ieFYbWTY6ON137rm08UdqGN8tLJ02MJyx6RjRSwiAjREVn01uneOZuiv10ej9uT5
M1wpS0Gk0wfKFkiqxWhGa/Dp2M5lrJl+FbZDzfEkHaPrRtZ2wEcji8FMTl/bKdfLOCvBsmxWwX84
3y7SdUiFoVkb4c/5wWNpC4F1p8Z10H03y1dqHlv69/oQ1rYXalJ4Y4KwCHwHi/eL0bAEzA8NTKT3
LHmWxY1IdoTdXLeythqAw+KyAbwAElqLiWpE4rTSgUe0wBX/ji6zLnQcNCRvON61dxIgsv9rZ3FT
t13NtdHIirj+DlKwQMuCBArkyZAEetqHbaMfElaeyroJ5iku3ey+MuyN87p2u559w2LReFeK2tXx
DUiCVX9QuiLv3o/6tvV2GZijnq5P7Mo9quQ8VL8xkPPIz53vELwK884ZaRFzLZ5y9iBLSMl2x7EA
L3S91T61st2RQEWqgCAvjorpwphoczt1qVFAw34OevI3hdJa6Tobh2plR6LNBjhaVP+RQVsSWg1a
k41JO2ENvTcdcsFaugdrDBZxC9m6Ohwkg9HBBezahQodTT3RdNLENS3awORpOM+nqdpCP65sfVVJ
VR1KquHRWhywsanyjrou3KpHsBvTUO/a/zBjWHpUr4HisYGzP98E5djRtO9IETft73x+GgbQAoKi
s2i/XN9sayuD5jn0N2OrIXBbXEVQqIGKo+NjKIiDrTEDq08aWuUBzFobB3ltaeAoFIoTDz7wWJyP
yEktKPeKtIwdKIQL+5sPSh2Xfv5lp1yFQvQqRpIl2r0YmiFhQwcjJA9SL/LTByO7a8otnMlK+IRS
ksJ0qWISsLaLwaC/RHYMdroiCfK8iNo2vylIAz3keODpKRPeCS0RG+Hu2hMP9tDjgm2BG/2ij4yJ
dppHA5dTbD6hd0AE+qF68ECDshN/hgLgvI1FU8d/ceWeGVxsj1qnaLUqlMEXMyp32tc5qiJr4yZZ
M6JwasDF4ZGE1r/zySycWWdsmMp4Nh4LGbihWQP5t/9j19+ub/Y1P+7gVkT+EIh/5HsXp4pCQQMg
RqtE20rAIg/aVXvIZLuv8zv0JqetmsXa2fpobbHjK71uNORNsRmHFPjyNzsF+avehdvJUfWblsv0
0ZJyWB+yNTNPjczRbMyguJ3d8ih/4mqsxqgnIS/CobjN6b6rd6I5FfvrU7pyWZ3NqDr1HyzXxLKY
9E30N93VWSyj7k8nAu/t/2ZkcdqGdJ7z1MWyye7wk/4qfszgCH6+bmPNPaFZGU9nBP/ArSxt6G0m
/KlkcdfTPxxtON2MvibS7f5vZhZXh9bpMps0xuK6c45Vld3M5fTTtelW2LQ2HISAClgLJihkJ8/X
BaC3xKrmgsUjOpUDgUabfTGmqtDgbGXT1m5D3B+AOykaRITm56YAHQEUyqhY7FuUhEYCohTibpWE
Vs4SwPd4kQFRisTQMoKQaev74wwfgdxymDno+O/MEKVRoOOC6yv07+m7OEwEqEggLlC8R5FmcWxd
r/FK4ckypuIkuixw+nuz/Nbwg6gBv/itD6cpf2PpL5SeG8MJp34rvFgdq2LbQTJHEd4sImuatNyS
I7Y7148uHm11vh+TPEy3gqV/e/pipKipIPwDhA3dk+crl3WgYsQfFoMqcW+H8+6NnaDAFoCYNqwi
JyxQXvkvk/vB5GKzzEU6FfaYM1Q9hr1+GiM9yoOsDx6NU3MjQRG7RYC7chCI7qLD28djCJiPhWs0
DO74gw7XmJTswEHcheqUlj1eH9aKFwSRiq1Y3tR6LSmCBKnRAdInZQw1STTxHubSCFvrqU9etW4j
Zb5yWSKsBcWGjU4UEDItHG4PmvTGKXDaKrDUBANLKbj7KDuwyZY3tcB7kqEb8y5HL+bG2q3NpJJS
V90HKqGwcClI1pgmwz+xa8fD8C5iOnweQILGMyDXUeOHKwHD2fmGtIaE11maZbHo32oA8nUHTZHi
xNDE6qMQfX3RVsaDjCyAIwDBqUazxTkH2VhHtHnK4zmrw6o5dakdtNPGY27lLCM6RAgNKC+e48u8
LCg5mVk4Nuph9hObxU53/hIfNY3Po0dUx9f/2llsi9zNEBjaKIe5zjNJ3J3QflH+DHj3hndc2enw
8ai7KdeIPbgICD3DkS1YZvMYBKWRhwfDLncMlOYNBJ+s+DkPtbGxTKsz+D8WgR4+3xN2Z1g1OhDy
uHbL0Mbz36TPVQPFcGh7/YcN8cHS0h2WNa2MKkFJsUsApRp1DJD8ksLdeKSsbrwPdhY+0BeNVNx+
ecwaVPAsunMYnpFb5B1rtTVEMsjP2AAQIkO3OExoZUsKx6toPCNt0jfevQH0qijyPbS1wyJj0VBN
gPWBVRUdIh3569fAfybyj0zl13baCnxWNg6+BkBGNPgAxLhcxmLsHH2kyHuhXttNT+C9/D51T+iB
eOg39QZWfOSZrcVCDmlaiNKArULvotL+ZVVt2OruUTPuwHqww3MwvL5z1gzi9YxK/r+0wJJeQfgU
DcQEBlttDqEHGVXgVgAyCu/1Jsj8cuc386c3q6VubIChFMwD03p+LEDwk0iD4R7Qai/kWRH0/Zvc
qq9cjksZAQ+c4v8F0n1hZOjcYhbItce8Tval79xT62tO7NtMyoeM9aBlcY/XZ/LytKNRAJcM6sFw
aPDL58NqE832AQZnMVq+gwGXmXxMvZeBftqpnJtZHEFb+GWvCc5i9CMYfeSK+7m+J1tIu63BLG6Y
vE76rK1q3NUkKksnD/IOWUrWlEHrv1+ft8vjhQGp4hQqgC5KzYsBmb5WelQfGVBFD0lev/a8DWrZ
YVgA42ZkIxRY2xcgLkASXukRos3hfJUSXWgoNiAazyjQATkSbJp8/X+kXddu5MiS/SIC9OY1acup
ShJLpl8IqdVN7z2/fg/Vd2eqsniL6N0ZTPcAAhRMFxkZceKcUmz0smp+o3tqPbFz4zNnz4GyGyLi
ueWRpspjfKUZ2Klo92ISVUYNmKcBWq7cEdphjRNowRTiD/BAAPuARwD91FCAz8rHgOv2cehB+2xI
3gZILVuTIrX2/UWbPfBV/I2wANCKmTBkboxiqcu08mSeKcuu26MsazBKYQTJSmpl/g13LND4itRL
5LoqMBacVoa0LduasFhZUxY3DgCAkc6wFW+JUq0ZQzxw5/sDvE1YzSNEmIDaK8CzkN+53iiBmnMZ
Atlu3/0U+UdR33AKNM4y4ERBk6lXer0y3puN+W0PqRC821Agorum1DSX41LFeIdaz38FQFSBer41
IKxxf2A3x42yQ42rK70ADaQ87AyWL5VE4V3fqIQHfrWwv7gblX9HRB01oRUj3tMwIuz48gUsspvw
lwbhusoM9fNv1oitlTVbG9r884uMju+HAdSxYPAw/TwFBkRTVy7LG684zx2ovpE9ReUZV9i1AUT9
ft2XmLvpZx7qk57zhnl/ddYsUM4wL5C1TOddUMu7BBymXi2BxxR0yD/v27lNFVBDoRw8esFbvpQE
HK/wKaqNsDqJImmcvdeRApz9L/7rINixBC3T/6dhKrYrpNKfEh+GpSOvFdCd7q2g1F97S2Adafte
fRRkZU4X9+HFqs0/v9gWU1PGXMBh1Rr2JRYOov+SCCskMmsmqK2eeyE7hpGI2RRO3fDZq4dc+LEy
cfNr4cYhXgyD2t3APk5pOm8+BMAGSMS0QBffiprEBjrMMtvjVxzFkosH8yHa2xGC411LjQmU6JEA
otVuz4YDYT1cxsKa7OHStF2aoIZUB2jOjvyw3/MD6TfyLly57NeGMPvci5WH/EIGGxhCE/3gm2PU
Pa2syZoB6hoMBI6pSzHo9x4yGMUGzQdl8CB89G53UB/Y3Tk8RnryeN/oyqTRfO5J4wN+q/j9PslK
I+dKPQfGMVsTvFm0AvYOEBrOGRt1/vnF1BUhmAySDEvjDTpPACaoVnzp0n0Hyqp/DFDbC5Q8fVI3
cb/PvoD/0CPJrVO768wqtPH6uD9li94OjzcogagoGIJq5no0QZZ4PHiJ+v3I/WBnznELWS4SEGgm
q7r4A4u0Mrql6OUfg3PHNWWwi4emUmaDeiHobKgrnw04X3qoySDLtrLNl6fyP6ODsZtrqY17Ncp7
JEPH3xohw++PFTTowm4ArRJev+jpQHhMx+hqq/ToisOeK6rHLIIeyWGM3PtrtDCIKxPUhZTnRaHE
IDXd89x7nnzhuJb5sQabwInLV47tvLUoT3plaj7VF3ubb4uWUSHqsk+TGsmSD0F9HyAXwq29QZft
oGCMcu63oMW1ndm59Z2AM4QtoPWqnqlIBkILRtTWdsBC5IMR/WuJcnQznwY3KjhMTR7pMRR6xIwx
Y0FnvIHIK7O34PPAEK0iKwNVXA14oOtR+ezIj2qR9MDJtyQTJ9Ijg3Z/LyxOHNR6vp/RYEeknI/E
CVMTF9jQPbtNS98CASMRZUccUue+oaV5Q9IbVWl00qC2T+0EtRykXkzaARQCLQmHTVK8qtn7nKPj
2r+P75FiR4l/FouYsSTX05bkUR+GQj4Aa9+5NUMyzixKHZiV+K/hTaDlu7REDQo6mH7PivWwh7wB
eK2EKNDbKlt7SN9WpGczgCvgP1QfERhfDwjkUb4ihZAEbQS92LOml9ss4wwymRK73ORrbb5L/uHS
HLXtehWaxcyApQqEeCd/MbxvhOMr75scZwOp/JfkMHjvXQ2OWq0RuU1tiDE4qYuMNGdJChn21ri/
+1ankFqpahh6bRSaAbSND2hQk3VF07sHNj0ENWE6k1nJ3n6//2nHdzmH1LnqPU7uewlzmJudVevR
MT8rD6XhkYZwAMMH5AvctAdt5ZDR6VwA+ubiJw4zUsMoUtPH2WtkuW0DZXChFcDqnj3/W20g5Yu/
A32orIG3g+3K5FJH+49R4La+SU2R96e2ZzFqaMTjmcEdgIUSjSIvkfX3RzEkPYh/DU8ZJ1CEobP5
/pp+w5su5vjGLrVPh9JvZDGWB7fm8XwDRXnWWxIuANE7oQoQi7HVM69cYfvdodU2vQ++KI2EPJF7
yQjktzQGNFTq9RDaqdkuX/k6uqvjz9cpKPeBRFFGVE/FJYkKKaWpw1JUYkTk8CspHpDASVSUJjag
tFF6hlRbbzXLTJNs/rE7E7XMuSLgOqlIP2FEdCr6WA0p6KxIBk8IOClkbySFmhmeNhIfXCRCYjLe
rsKjkDsUhYtnKQe2gKkNSToJOwXy9vJpzLcFiHjvL9rStCDMBTIJeTNwStB3Wif3mewVautWw0Pa
p6hbP2GvDmKox10G6TfXL0g/7tcE7Rf2KPp4BNDHofcBLDP0rChlBs0rpnMn9qXmcnuS7TovrSFL
TaH/u4h0XgHYAs8VGC3Q6kVXkzUtBR5eVDtXHI6FGJCuf4kZS+aRdt2hoUJ8WplS6rn6x94MMgTm
ATRlNBtmJzKZNHFC545xmz8Pg8+bBeyiD1jUWfSSmEICWZIQi/nM+72yTbJsTb2cujL+fAJS/+i+
RK73Rsa7EJOEr0Ktc5/UgEcKUSQsOu2Yr2Sq9GSt9fK7KEUdfOBEAVyBj2PBPEg582TSWiZL5d6N
5TF7mESJeUqUhoEWXezLINto8u3QYscLRTUafgNy3gzF4WzUWjMcJ37PTCok82Rh1EcPnEyIfwqr
VSJVb5uy3bWheo75QDAUfpT1SQFBdOcVmV5qcGYQLm1MoVI/Kq4ubKYNOIvpIeUojo1IWrAnWSI7
ItdXtwL8jSSU08rNsrSR4WvBF4EkN1Cf1EYeArb0wzTGuzfJXkHX/Sgyn0r/2JUPtXBe2VizA72Z
Z4Ax8Q+UZm82VqI2PVg88t4VPVMTN5Cf3Ggc1JOCghT97w4cdYAMvY51r6cKA+jpWq2Vxp58byt0
J2NLYcAz1uY68Cm61p+UWeO2FC1vUO22DKxZ1rPIDXDl7appk4XbFOVeWfzJts95Cz7cUgaxyFsW
+af7s7G0xaG2K0J5kANTzffVe/GUkbJJ6kSp6F3G+1G2P0ftGBekkomSP6xGYNSb9s+4UVlAGRTo
XsBur8cNbqq0DzJI7fJN9AmsHokVGWSw4VH+2TGFDlXXll+BjNBZ+Bub1Fz71cAXOd9BT9hjfgqq
HXl2XuAK9bd5UtvAQBhjO1ghZA+8bDL4ZhVSRb18//MB/woaU2mKqWhAfsg1vZuKOzHalO1eSg5x
e4QCa2OGg56jlaMqdlwEFzoZ2WFa4+xZvJsuJZWp3AXTQzhKi/AFI1M7XFwaLJ4nhbwJmYFAvAvP
1lnlKrAiiaSSfX97/Zf5/2f4dLLJG3ilH0WseZNYB1nWCxNpR/XNnM7PtbMSnCzuZXjPP/StaDC5
3l+MVyHbWMOWkr6XrNPEzxnAcuOT4L1oK6aWJ3XmcxNma2j6u7YVBv7Ah2zVu332qw8PMgiAPTxj
MgO9QEgK5J71O29+/18mE20toAGeOcdvooy8ydimw2Zu4eNVcJdYEqTGC8jM6oxGOslR22bTNk7w
677hbwbYG5d5YZh6zUClR01yqccmnsBp9gQGwPPEou5ewFfAXwSzamseETaEhJcP9YFN3x+KRnU0
BEF9E+kQY9xEohuUp5J95r0WrLI2Hv2AXJCW70gsOupf8nz9OXcXn0zdpnXZN0ObY65A1JJsVKQa
/N5pmLUGsKWpQX4B5IEzVSHCIup8B0OftxM0ANxIO0hWYGatLtQFSV88yZZ9KPsaCZqsQeiafNZn
rXKZDCjyySNgzDvxzCEfnuX8wHLCtkIR/jRMdi84Q7PWw7lwNABkYNFRAepqRO3UV6KtM+AKZp4N
O522g/coCRsIQBujeCylNc64ZWPgeweLK24VGtTuhdMQM6mEc5iBV9bxhR6E70SOf7JoaM66aCUw
nb+d2pwY27/mKP8G/C0HhmyxdzVS7T3bUkZyf/uvjIeuJEeDJEFmme3dIqn1kpXNMfvwt74tTWgY
6tf4vueNeWc4357n4kYumaIX6xHD2UmkW5kq+gE/n4rLuaJDD7EQmhjK6biCo2cPCCFeqe2kETeZ
XxqV2Bh1c2QaojQbFSfFG1gkFURAGqpj5VVbPmwO8biWq6OTGP/5JjQtASKFxg66txG0tryPZiDs
TTY/aYpXPARjMotnN7yiq/0Yv3ec9AtBsLKVorqCSnqb/SWK9c83oOkMHwAoISR2rt15JxatFgjY
skX5GPBPKCpCEFn2fV3kV9J4SzfizJTxjykq1I3KIdcqQcbpKJVjmTnNW4nE0BjWe5bZhj8ryYgO
HkgtvDXt68WNhQj7+xWNLD/lEYXY86qKY2C4zVXCaD0UWoeoWdtiCwHP/Dz8x8z884v9Ww9ZEY2q
17vs6KjhaHX1LteHoiLtu9/aVXtsd+pEwPOSjKDzyz64lQn+7gS6OUAXH0CtZVNwUZVIweAmm8Hq
XKgahCQ2W7vWm9NRsgTrB0Mm4xCxZDQeusRpdIig64i2c+fxvuNYPm6iiNZdEMwCv0NFCb43pi3S
6khcJQ8D1JlRjGdBz1gZSfUWRbaMoK8Wn8q3pm6IMOne9KC1T43eeu/3P+Qba3szJxcfQoXeZZzn
UxrmSJ8cu5y8Yf65pzp1GgWc73YKPcUEK/KkRHqH9x3fAzf5xFVWM+l13BpNaYFOIT4GaPfL/pKb
58/JQ3oPDyFgZZDGoLZLFCEXHYaDK3T5W6iVX2OzC9KP++NfeF4i0QzMOJi6QcRLl6JVoRklLsI6
ZAPHkDwDHa3HhoZcZWbuNaAPXANSLZ61uaICDCouXPqsZUj99mkbDS6YE6KtUE/xxxhE2Upz7uJR
u7BCzd2gCV6icCXmLm7FPaRa/V0hBIGVS432fH8GvxVabnYQeCYQ7GgQdqb5JtSWzaqwwRQinuqs
xhq3vM3b6EA+M1ZgF2/YLdbw04g27LY2x/GY2/7+Nd6MlvajtfxNYbYWZ/dW9jv4kBS9bjf4szOf
QyvR1wKCpeBcw4P2n2+lPADILlFaLeABIj6Auj0ZOLyevQOkVGKeJ2rpeP5Tc/i/ZKyuzFKe3QO5
QSg32MpMcQjZH7n33AkbNTtKwMOkp4KDl7m/KIvrfzHOOXC5cLV5rHJxoCaDq3ThuM2HoTLztqs2
shqutbAuJS0wOKR6ZtE7nFNqcBV4c1M/rAY3N/ttY/F2duIM5qf8PK8u2Mb3spXZtXN/gIvn9sIo
NcCOGWaIdwb/yfTeDkJLoV5Uubiv6kAiQS4AZRyDzPS+0eUb+sIqFVCmoCZTswBD5fvcHBypmYDx
PFYOZKqq7AAaGd5D9tNk0jWvsbye/8wx/ajkWkSaHkp8Lis1Rx7vhjE3VaZfcYb/5Xj8a4a+DBII
cLVNMbiqhnT4KdZUvWO3oUd45ct/77KAKNwzsxZ7LqXwkR7nZ2I+9KFKNHI29fiYa8FJ5oas46ea
riC32ISQCA0NOOONNEx641nAadpV5huAYhgid6qzd63+KJUN8+Ezv/lhBwIrXRbXnixLJaarj6O2
N1cxXRYLOEqpZ/qRXbePTeSqojH2mxQYaR2SzaAqj3dRq5IGfDHa3ydAr+xTO50JNaj6Mlj6IvP1
ENzA+1gxm6LSlWKtELr4XsK9C3oMlFOQvbj2GoyQdZ1Y4dbwxDd+dOT2XWZAXWLfP0X/Zbn/NUOF
m57sZ9NcRXYjxhLR846Sgag+N+kR3RBmic4PhDw8auaqkWCvSdgQKnA7OeKPVHHY/DgwBUnCHRd3
Oh9yK2d8bQ6omzNkxFLlu2ZwQbili3GgZ54lMflji8D7/jwsO86L6aYuo8HLFejXt7gV4tyKwn2s
PZRl9F5oJy1yMr/YTey7MD2l7DZqHK9tDZAIbhl1X2pryN2lQaP3GxfGrPB3I5IaqkEzSPkI96KU
w4cYdrMdcTCGQub2XZpKa7M8b1o6Zrg0SO20utHEKCilwfUfavkksA0Bq2gbWmG+Tfm1tPrSXYES
HAuG3JlyjqZzUMdG4Ifcwwn+8PPPOtiw4F5uS8XuP++v6JIh1KKR7OE19FfS7SceI0G7oOhHdyhL
YyrgxJj2XFS9M+XhURXXvPVCHQxwDyQ1oWo2y/ZQnmGM8T73OpQQp1yx4/bcDym0rzpdbbeCttMK
biuEv7XsL1sEv+PyS7PUJehzjRBLgTK6IegWoFFfvsVrDfRL2+PCBF1LnqRhzDMGUndd/dZ3x6oa
IGNmhYlI1Nit4rXbdWndkDXlUK1HPywaqim/F3qlwOTM6DYB0jgxnn3KI986at86ASpqf7tJ0MUM
Hi34PxSFIWB2bcxXqyEKAogLiqMzVlbHfwg/cp4o8cq9cXumr+3QR0yNoyT0YYfRto3yY1LeCjTW
Pd0fzO1r5toI5cqbLoGuXcQj9hf5UudFj90y+cha960sPNxhBppULKQZkU2l09vQkBvZDphhVxo4
fVA/Ef0MPAg+zYkxfABapm6Tv/HhFzO+pNJOGb9GZBCKgDEkVNdLMXKC5mcQ/hIBARi3mVo4vLjh
c8PHTdO3Pbj7V6bldv9efy8194DNhpLST/A4+WmcHhunNjqZANMv+yvwyTVL1AKkAHSgbwCWKmUT
qJtYKs3Yf0WDks5GLFANK+ClBQwKRoYLAukwNNqh5fV692JQTBAPGkYWJwehC5y6MKvueRAGUvbt
cwbqFdXqa5b08UQAvohEVkfnIQk9u2E3badz2UeUgdytR0lpw691/N7GyTLcPOofIFRSUUalPq/v
wDk51PyIOgjnmWpVjiQuQNbaxdGvlT25cL7mK0UBJQGIdm9IgoScU2vAYXhXrHBFDzqHppfcVMZn
TXqCeEhRHjs5IDHzXPkS2sGIlD8WzGMDOE74O5J2URD9TNUvBQ1AkEJu36Dtx7S+lTcrG2TlM2nR
BZ8r4MI8kXc7MeYt8HuajVKGWyRc41MwNmu4+O8G8eubHfcfgCAzLyQuJVrrBnxWSRoD1OfucoJ0
WkmOsv75+Snqn6f96+vr+/v7w8PH9owUG/ndk0T/+utlgX3kcdDoNOd16J64IpDlHpyXkhvsgUcg
sj1YEgBp6cG3Q7vZCbZnCU+pPTnyhjPzo2yythKRZBudVzmQb+/nWdxJmcmsoWFw090bar4qJ5CS
ciUU8InVQMLHB1MQ8147snl/2AupcrRd4z4BncOMmWTnK+7iwc8FkRJWrSK77DZ416zJAUPGQ2bK
IFxesTRf7/QCz9wl4OoDeP8mLTeyQiSMrSa7OTmOOmiW9bejT36JpDRO+/dtQHryct/kN8bjxiT6
RUDIMcdvNMOTAox4AWJn2TV2h+rkHq0f1sFI9FHXQvJpbY7oISWuReBWnuqT4zi6szVNm0QYvPG4
W7lXFx6EmOqLr6Hin2BC2ZzNC9lVSGjmnVGfAXgL3cjR9XI/bBNkk7ZrEKA1owKVL8aOhr7ngCnA
g/NF/zF+lokpvAr76QEaUd1LA4HeZ/95Zd7na+rOvNNARzaM8AQPSsy7cTB+HI7W8ZgZ1jHQGfKj
JJ/zpFsp9LtIvqkeDMz7c0T0D57kR+dROrXEWdkItEgHQs956sGygVeKNhONXe/yKktkfxxq2fUO
7dPBqvZJaO1feUszbTRA6NyvR+Agf49bZQ3Gt7jpLwzPXvbieEFSBelhHoYnzuD1/KA9V51dxnj/
W43wdn/aF7JMGCXYdr4bREX0RlwbG8CFkIdsgxOWkmnfaed+AhPCafAP3qsS6tFTACmnlam9DYEB
oYVeDuh1gLeGqMu1TbC6Mn04oKu8wIpK5rmwc2dlWLd387WJOZS5mMMshEBt73mKy9riFsBUM7JC
k9E78vqKapojOqtQjDWL1EkFEKEVEp9R3MHojF73Heah2sVn7ok3cgsb1MkO3op7/K5KUGcGrJgA
RGpQbkXzObVFZa4ceT+pMUoQjne7QNfMUv8MDJA/6wlB+d/KrYw8lXa5Le36ADSENc9BavuEtZ4S
I3QiYyAnya5IZEaPoBwmMZm/vsX/FXZoJITRXwHz0/udtEkOzKbRfcvTg00JnPUzY6krI1rcGRcD
onajnFZpyCiV4hqF5T+e8+NaQ9N3gYCaMiC3VXDdgW1xFvq83hgKyvRN2imK2xiiLuy8E/NUWJGF
GTMnJ/4RGJPjb2ube62tiqi73Ap2AWnsxo6xiN4Tj3kAU7LjPfTr9+qCC0StBq8XYBAX+t4jtQsz
NQlVF7pdZmv+qDaKNe15k/huEure6/0zspAaAzbiwhx1RmAuTaYsUt3WRKMuIOyWYiIPRDTzIzdC
K7IDEzE1UYz7dukuttmxXtmlTorv1YFYCRimbKvbZpM/hGQgHfqpX8tNZ3cPnnnf4II//UYla1AA
AD0D3cQ2VdA3jpJBdT07MgSn2WFhLdYpV3zOmhkqny1AgQlZU5hBGOgMG/9RsyOn0JX3+6NZqOZC
6AIg6/8dDvXsSKCcq5R9r7pv2aYjgRU/Ajn65B/k/WS3kBtQcEUiqfnOrRmefzF9dEDjBTlq9JSA
/JIaoIxQPk+kUXWbfbmVP+RtYlSmaCj2+Bz/lE73hzlvPtoYeOyRvRCBjVVoGhI28kqu7wLNFUoz
FAk8FIpoPmD0a2IHS9Esss//WqLm02+EAMpikeZqgdnrUgD8574WjLh9ls2e0/mVkG52YbcDkyEV
AJoVuO15G13cTDVaPJopzTQ320fP8jNvrOlHLc/cPwboaj9U2bjRmw3IB8YBgvrJ37OWuLLZl2cN
Dw0ID0mgXKPT9wClaEonl5orHtiPcst/Vb/BCmXyT/zKm3LREqIEAIbQ2Aa9NMpjt6kntkrTay54
BMqn6KcCLSoLxUxQ5U4fysq2W3ROl9aoHEcTy10oea2G9NwMF0MzSf7oP3KHaqc8sLFe/YCOH8TR
1174CxffHAr9M0jqJo/QyenxHMxqRzR4P4tf3K92jUp2yUFd2qAuVy0vFC6MOw0BbdCR/kN6UI/V
79xqVlgEFmoN0KWfe2TwGkWDDg074EIPkjZp5rlGXJPk1J83/Gk0dEmv95y5DY/J+b6vWEgUwSBA
ZRxyMei2pCn5ErbLGLWBQXarkNIO8CSVdi3uzwBVYZB2E95KgQEQdKg/6u2u/1ylg1ic24svoOYW
aq4+lIHwBZWBxqdHopiBJXzWtrx5feANsBy8J+fIXlOqu/UlwEHMxTNgSkBhI1IPtVGtUg6sOJ6r
sJPl8Zuy4rbTb6bprfsTvGQHItSYW9DOzXzz1z6rksu6bouacVmt2CIO/VlOvuKA+6ozC35gVwKE
+bddeUgRyQVIlSPZxYGWh26yGoUYmglFzLsJAycc91Vm5KC6N3mhFVbiTfFm3ZCGB3cXylGQIpoR
tNcj4wPAY8ZJkFxmeuDKLVvs1GhTaERBx5bHvHreVwhZiOjAAmbiP0/DScqJxJ8RpemKYA9frP/R
Oor3XCT6dOZQwcbfv6qPPHc09bmvdBa9Qf5uHCDf5Fmeb7S10QDkL0OHBsRoKWlfIS3edKZcIjBP
UQM7D/FO8FcQOjdXAkaJKxRx5awSd3PniNC6SLP5RZkFqmeW9QjVSAVpxAgd5GYSRqUT8IVvlu3o
reycJcuqONOoQ9ADzLHzzrq47URpAE0aU8muPDBocB1A1u0LfLGpB0xyKGmprdRx9ihp41qhf2lp
504eJGYRKqHYQt0bPVOVPujoZcBvgJPgCONBsCDeStlZ4EhxSAOrzbdgnZajw+RvI/WYabFecge2
11nOCRh9AvPspzbupsmqK+LLJ64FGrP4wftOrJoCeG9ri8lfkt9heUgbD72Odpu8+6neSWD509Ud
/5ZtJfGRVScrhNp6b1XqXsD/3T+ct3H89w4GvZOE1B+a8KiByiIIIJsJ6Tjogp7wfqqAPQbJXlsW
vlPUzWhUkEM34kroNqVUPzaJDNKisXz25bQ1eM5TdUnzjD7NfqfzCCG+keuNkCoh4YVUICWIwUiX
KcPm/nffAkBmrJ0GZBriWQyBjieFgO/lyVeTs1CryQZcZ+kDz8ibIAFZfAgAezdAfkzwBksrcNYQ
EheWlEZ/qxQMdwXNdGi+4jE4Z5Jp59blAMpH1eS5RQRe/IbLHyMcWbHqITSOgg5WMpabU6C8hNyK
97lNvsC0ipc7eJuhMMDSsaDoyULJVqx/TnPb63XB6TmrY+2+McJz32wBx5S8X+JqN9K8Ia4dLMxi
zNAgwTsY4iHXh1KOc4GN68w/R62mmiyDclHvsZ455l1g1yEHhdOurh2IvItbPmA6C30lpI2mwlAh
hW1qfdmshZM3bwvI1YMJVoJQJsQWEPVff5LYNSCxjmr/XMUiMm1RrctsLOmz8rBVCflotYAUGjFI
NG3NZycITNWZ1YRRtFFHfg2hcJskwNeAuRtldaiAwHVQ950fsWEBrgH/zD2rgZ7Gh/E3C4aiSUfj
ZYR3lmj0vZmFpuAdOdGsfQvQnFwsCZsek/wnv+fRJ104KcSLEhKhOvY1drYUbXPJVLidJBia9qKc
fVFXmLV5nMNTamnnZCV6c3BPgyV4vu8u/G0qgek+T3vsqBdPJoGP966wTx9b9MeLGqmbt7z/Ne6i
yU7lNT7M7wztjW28PlGhwp9Aul7bHoWeB1F84Z959QHOwzP8p5EBNI4ExbZVdb5zYvHUSBbrGbxR
fSSP7FP/IprjYEjRjtMVU+SJcJLcVDV6z+gYUwOZ+ZrTub3wsbQXH0lfSG0pKUGZ+2fwxmlHprYH
wRSUrX+QUDdsjpwp7iDS/Sb4jvLIwOtXBqez0soyfReGqKkCgwBO4QxinfEb11MloIOybyXVP9d9
bOaPY/mSgfrVt71cl71fDbPvCrts37MpIoK4D8afFWvInK0AFzRIhMts5Bg6E2JzkCkmbGEmnSEy
9jSiNeEhSczIO0F1QKxMJnZajXCJKT0KX6iQes/aUxNtqhpdU0juMr9E+TFAq37LHdrt1LwrGhmg
mRluwud4hLZFtm2kNQznN4f0vcFTeQSRSTsxherNWT7UsjUyaOgdnkL/oHV6vA2j1xJa7U4av6Kl
CZc2mtjfs1OUO7FkTMHebyxZeuUHY/yS/Y3PPIlAhudbZTRaeGytPspeQoTqCd6GZMMZ7drj3D2i
h/1JkS2Qgys/PHGjdOck3pTZEShDKHyX415WLHE6ZMUuAa40JB2z8VW9QOE4f8kqo1DMcthVdqg8
Fm9oUrl/Ey7c4Cg0yQDoI0RDbkWiEuKjUjc+y8j+uYktudSBjS/9DWjFOwNgrYTwoa02+njIG7Sr
mWh/q/UM/VxbWdXl8SCuEQUvXUtXn0PdD0kGZZi+9vzzeEhFtMdadWz0KKIHLMmDl2bURdEU2dhQ
+TXaiYXTeWWZcl9twg9TKjL+mclImiYgfCl0rVaIJFugmKmylKAze2X2b5/8iI0R/cPZz2Sq4Om5
PoxogxbEqvKDc8M+MLh5omk4BL5K6gJ4imzmizPjeiRopd5yCJo7FccxGDeausrvdfPOwpcIf5qj
5vwa3ZqcRgVfiq0QnHNV6sFWFmoPUssPdtkpnN6PdbavlUR1c64/+Q3b7DLNH4w8HcGOFHD8Wy63
mj6ySWzwJZd/FYy3BvW+fdrjC6HyCMp2Hmxg4CG7niv0IylhWgfhufUEpwojQ1MqHVD2WrGL2gra
zqyZTRZ1kOV6ipiXpNprlRUrgCt/3j8zt0VKFLtBQYSwEAunKjLlyOVCFEY5zeOzbMeANHGvijUe
4KxiUee9DS85yBi+x0dpE53vW74FCM2WIY0q4IYFhFGiYpUOWAy+1oLkLJcPmWZV/k6RnTw+Kd5Z
kH9GyiGtiYd2C/ahkc1arY3MY98K3h3QWR9ksy5BDqDpW88CWZ14ulqEW5iCsFqjC9JXoIJTJVh5
AN6kl6hPnsOGi7CAExORQdwVn3k5Fc4D3JAV9XUNFE8CPYYqynRxyIOVu3ZhN6MIh0gEYgVI4tLZ
CSYDxjdkq+RcARKxr9dIYOatRl0jV7+eukZCvq+AU8ev58YHZXzpvxRhWzx0qr6W2P+uCV1bQhYC
/ToAIyH3jRzT9ewpVerlQhAn5zGZtn50EMctVykHr92X53ISzT5/L0an0xFbGIzouff3220CFOkd
IFzAeQIFNw4y19fmU54RWy/wgnPFGRVPop7EIzo+rS45ZFVE0spm13pXbvfLtUnqcCWjynhcpwXn
WZkh5luSCBwasN6nSfrFIMl0f4TzAKj5RXJXQc0LpDrgFqMO1JDmAyj7lPAsBH1iBO1UEzZndaZX
Yv2+pduiPuYSGntA9mkCvAYd2edl7Q+cEkXnPNuN8qPfTaDHQa8Z/wsZHekDxI1JZpYWF5F+L6tH
rbGmA3hsSFuTjN/FaxVc7vbCQ44Usjqzu+dmFbjrtVWaIop4JonODXPoZxoGXk+ZJ+nRs5iJFNkm
PaooSY6kPglnTT5Vg+MXSPNBoytbmZrbuhKmRhBntXEJ4oc3z/GCHdIqB6fUuRK/isLtqseaOQkp
9HUC0w+J7KGpPzpLgyGgVixuPWifIbzkWx4yf+b9ZVrafrPDAP4StR9cNtezEufl0HMQKzi3goBw
SGszuxKiBrjcfHIipUwMBAlr75cloyAxAvcN1gI3C2VU+h/Svqy5baTJ9hchAvvyWoWFIAFRGyVZ
LwjJkrDvO379HOi7M02CuET0TLg72m6HnagtKyvz5DlxHXBpEManJFDVndjVrN23f7imOwCFNOGJ
F2kbmZuVDMgvfwJWHmrNGOrimI2lB9WCEbM6iX/F0R4VDuT0eG+INUmfBgTjdWhwraFuwYLXDpwE
fhu04LNzdmwRZvF9W0R4hEcnRe4mlwMTSJyi16Wppg3fNd8ry5OtgKiJQ4IF5ITLZhuh7dlRUYMY
CQ5oyUDlIuo3Lpk15wyF8n9MzMt6drV58M3o8o/iU1BzhFNj0k6I278EQBde2OzPKBAI9NSxEw1k
2ChNre2Yc9OLYEj2BQ3hUBmf1EJS7pRsYGiUcIAkFQqeu0qugp4pTa1/fzYUvPDRuyQD8biMwKYg
4CZWq+NTM0ZomH32hFIPBJ9GQ4HzmG5t0etbdlaaERHwSMAJ4SZfTG/excGUY4xoV+XMvFd5SFIP
5X7ipkcoSM+U9kqs+4hVd1xbABkWoVVXDNpQb5gKVAjqlBkxMPZmW8tfSjQKoIBiwkM68Zst7fOF
f7XZUG5CohvtXdqSuaoBMUaRThyWIz20EtKuaNUjqnBXQ1xr2qM1la2teJPXZnYLS6uYIhBMQw4K
mY+FB2dzaRTEUYpPWlrr4DSGiPQTNEjS7Bm5bqEyW7zQB/VQszp6fll/Kwpau0DQQzfXRjWQaizZ
ZhrW44uJL5ITm3ehy+QqWqjVJLmPxOAUg8/7mE2Qw5JUL6Vj0f/513sR+QvU3YDQhFT3b4x+dvYk
wY+LoWiSUwsBznE8CJLel4YIsZvi/bal69ZxbMFzUwtXyQwZxHSEOjnxLnou7TclMRvPeG3fQgoC
ASMx0YS5L2KqQDctPUYQQ9r5R3mzGn0d0wLxq8KZQddvVgdeHHlomwpTHCbpCenpWs95DsxcMfR6
//0FeGFm4aBLNU/SqI/TUzpF6FLeg5Mp4A9gjxm2cp0r76iLES2DW770A7ZVYUp44q0pJ8qr+gdK
tCrkMGhjIAUWmkNPUPt62ljR65QvDM/6OYjEZlnaRfwOQvOoq8IiPQFuZiDh/jGeajcyv6NjTcxI
VwEu6fX6Xj5ASXM84P7YCr5WLqeLD5g/8Hz3jnIImGKWnio208goa4nhx2Nm3h7nSjblcpyLuMIX
cyD3izw9Fbrs3be9Doo1HtKn4Iw0GX5XP/PVXs52G1ZX7qaLwc2DPxucrNYVpB8wOOX4Vf1NCWpT
sS6+DRSZYLuiwp4a4+fDbaMrdwVsghMYFG548P0mWs5ssj7vg8OgSU9MjBclKEQ/cWmA0r/tYhp2
IWO1PT9QMcu3AKW/gdLCCeM5DkwNgGXIqS5FtFHB8VEoapNTAha7Y9QMBYer2BdbykKOBEycbINk
Yt+OMU/bLhLz5zkP9+Kz8diQIckrySnyvMlpOMbpS+BH3VfMaHX31QUDmMtI5QuNDY2YYqJC1zJg
6tDUKkBXSQkiVq1AtwONhGCIKPTL5AyCJBNIRkIop8s00HLpaxCTQDCHOBdz5Bs1yeCSIfgUhtAP
9XaIqtiFZPKQ0TyTcV2IUpP1+u21WT3nM0MYrnDcjqg4XW4IPu8kqSzK5IQ0Q8N0uloTzgd3gvcA
tt7ekVDNVmkcgiqqp2j+Rdvr7Q/gV24qaFn98wGL8y6KbBZBOgiv6GjXSizwpW0IEeB4X0P3WqAx
aFv/guJxMFVgT1E3McEeLB2Y1iys5qdi3oIXzHXSPDY+5h2znj6VsotSzP/iM4GDBsco+LmR3ll4
+B5dsWMRTQmoxb7DD3YXOUwggtm2MsNW73pTrkinErygaOm3tJLeGO8uBUy7o1qV0AGRe2x7noEa
JjZFFdvdYFchwgFSKoTdYpu/5v3CtSiitg4AMKCceLZdrmqL7DkzDVxyysddKR/aMiZxYCJ5KKDR
ORK+2z40GiT+u4gjXfw2gqfb24fQqYjRG4TqZmmrwos2UrlHq9vrGD2OwD6kelUypN+qyK+5Bzyw
8MrHY39+111+KxNUYT9GWnJCyb/T/VYu9DIdPaJhyg3UWmWSJGm+qypmizpr5b0zwwhBqjR360AH
5NIyFGi8MpZFzJLM+rt6EGqgEMbpTkrLYuPmXgsQUJWEQANCcxCaLeLlQil9qZpCeHuBE0EK3Y5G
pOUvqAHt2bjcqqWsXi6IeKGXDAA/fiwOFYPgM2xB8nJiU/RAcZoZtaQBZ1bzLI8migXhazzpY7B1
p83OYulvz80urk5PDUIvKtv0VMpELu8VyW3Zg2rigDLxoRissdp49VxDvLDRwYCLtDMqskCXLZZw
kMqaCyBsdho7JCgAO4Km0CcPJHtNWv4VlRL1PkCoFBnMqHc1VUwW1ywQ/xoIoacfbtx74sYnrfkz
gGnAFasAV4Py9eWmYkuOCVuGQeAUaN0eZK7AlTTSE8/Ukgu53+DA5aVPWSYNaQs478bbcy13IMBF
aXiVoW4OIq1L87HiBSAGj7MTpFuIHL0pI0p/4o5R9oJgZUNjJf5DpdZGuCWItRqKwygvzmz5SEwu
PKTIpYAYdbDcS2QoH2o20zXIJ3iREXcprdic1vJr1zho9Cd+akpyDdeIh2JhoAd/4lDlCyBlCNKx
uyF8UROd9Sgo+m678ZVjCJ1LxOfIGyKhtTyGzNhIEZdy2QmawJQRbL/uQJjhalvgm5XiEeBNeI5r
c+5SBoLkchnKspXVIhayU+JUT4ydkppCYog8PnKPfyvCbxE9riUML+wtdl0/ZV1TBbCXEzcwxZ+5
o+Pxe7q7jx2ZvBZQjj7V0JTbvL1XTvyF3cVFk2VcrU4Rn526v3gkxOIhCz4yxZLyAnwa0LqpVOJJ
Lgi82OGpZg4ePqfQk9gY0FfUHvLCyJMNmOnK+bv4onkLnEWbzCTKHt6k2QkV9LmFoNA7NsWuHwgX
fNfDJpPIqj3g2FiQV6Ljc0k9NI5JqNQF7I0Deit3yMQSO7eCpwFrDtg9ZQkt3LmFxuhKSnc90b/S
g1eTl9s7+xdGsfC9c2zyP9+xOH5ph37kQMMOOICjhGhEQLWYgOsV++67/WPVupMB71qQ/emp/3x4
2MrNruWJL+wvrvE664SSK+d5J8C6gqCwcvCkySNr2Ocehh/gxRjqD/7n7XGvlUHO7S5picKxBQVF
iHG3dJQIOvDxAqeJZwSTpQv2bWMrr6cLW8trFQLpiRpgjKpy6EARGzX33vgy+N+bqJm1/OWFqcVV
mqqxmI8ChiUcU/TeIE2DtuHuUPd495JKvIvee+AXXW8r3b3uuf7ZR8uqi+T7CCoCnOiR2+UlaXPK
uuwLO+3jb8B2JkjPg5MlN8onXt5I5qw65zPLCx+G7dP3yYTZZYUHmQPOLjIHyHNtBserPmvOc4MB
FqiKJdVG1cuMKPsAfErMYQZESmbKoRMCNPI2A3VWZS78xGb1wb+yEl6KqqlFd0hepqggatUWBfi8
Za6P7T8fs3BXWcslwcBhnaPC7QJjwLuGoZAuQI98AlDPIdWZraTZ+i7+x+T8+2cecn4Rg3kG8yxI
DheZDUhTxTeAjrlNnpGV0B6b+B9LC5/E81MVaRn2kpnp6HmEOsqRTt7u9qFcK96BwxKo8Ll4B5zZ
Ygp7Nim4uBCz04uZk+gY6LULTb8mJXQ/ux1QnOz63RMFz+9WcWwFoYNr/sz0Yio1RoGyhzI7Xd1s
v1GSQ0tpZs6M5Xa2yyZKfxI3/+wLwzfjmuq3B75+6Z9ZX0yv3PZ9nDUYePW3NoqQBBIu1WcqvLD6
HroLlfnQkwdk4fUtLvN1J4ECPkCiSO1ckZmHAhOkYY/nTCL8BbX2IOS6XOKSm9AG/6iqLzVIF5sE
XVM2vFSVgF412jg4K3ALiACj0QjwKB7V9yVWThGTfszYKj0NHYlUC0icpnZ9A8AuHF86fqexOUY6
G1uTaGtW7IIluKSZJZqyamcO9z2lBrJszSEKd9lWl9qaJwM1AZJOcGeoOCy2RR/5Hd/HbHrSuAYt
pDnyF+WYwXRUgAak2UIvrrxjRahy4JxB+lkFRfDlgR4rTixBX4y08DDuJggbEgCXHtDBbt3ecItQ
B8VfCGDMwwGJFTJqy6uh4oAirZtqcMbyEHoV2LKREC7/VCURvC81McU22IjX54k6846zRQUteBqe
soBB42l5ObKprOKkzXqocOmlW5CP/Vbj73yn3DKwOEK1IHcMEw6D0wtuLgWk2vJOK3N2MYJFWCSg
8sKKLUYgx4PRxxFtCwIKjlgSSMIriIsKv9jwC4vtsJy034jpzL8P4OKJWwYmuRLKfJKLBzCUWzZW
ZhmgXFlZxEKjn3jIcEJDDFBYU3gTzObTkfbjW2N4SMnnr7e33jK8/X/m8LCGZCeqWkuNywb836nY
Q9yrp8F9b3U2RC6JSCSrNiVL1EOUCmoLDKPO3TRAsI1BQ3aKDvuv25+xjDYXn6Etn9cRHJJaQNrc
iSO7G30yCTIt0bPTtTKJ4W78lihIBrPyy23D8z683qf/PXyU9C4PwpiwVex3GH5iF8+94f1pneKR
3bhJl279anSLoBMsQ9GUatDWU2voROhcS/g+nPXc38v2TQhzgwXMONc+xVgiI9KdqPr28VaqbH37
/jPUxdPZA101WP8x1Od7usWkubGNkB69nEcvzypQveMv93mRMFAyRo5elwO3wVAjhtZ4r06K7qWP
ZWCA62vKzBrCOyVJANeHzndrdaWZd54txgWdJgstPI12V0Og5fZyr/s9ZItRRZ2VzBYeHU0a3dho
OMIta9XAcoJ7QEOB3fA44/9maOFgKzlSK7AF4hSbPUPsfbvbUgH7/2yqf8aycLHMAIGbOMCRaUBb
EuHUcqZCOD346MDr+aBDAZzeHtP6IUVOEBVoASn7ZdlH5fxW9CJ2cEIOOF1IkFRNRZLuuwVqSQGn
gHcXNWYbbuF2Frf+f07PmdmFq5/ACyOlAeZyYJ80PyfJqy96hPG3TunqAfkfO1cpvkCTVbYSYUfQ
PtTESu6ZzhpP6Kmdd3Dwp/Pfa73oBDI1PP4bIvC9Pb+rVxpwvsDJIZ/NXpWGC8mP0CwGLxGyaFxj
jL74gRCNOUGVgQ87kxlOjGfftrl+3ZwZXTjApO0boABhFMrNDyoDqGyARsV8D0CPJB18ME7yL6KS
2CzOa5Dh9Z9vNOgvnxn/WV64dyRpFTQBLXEkHATMen7i4PqlNLOE5rkVYqPx6neuNEW2M1pltMu+
RAlBD8DfmEE3KeaeOnQM8kFuxz6ks94VzW0Tb5/6G9fDMu179XHznjm78/sK8oMge4RfkyVT8lK9
0e691hIG3avcHlPyyI124f1L5Zb/mJ0JEeGUEaktky9Zmqfe1M9mPZ9OvtUINEl9t2K0j2mQDFVl
/mV++8riYh8IY8BXUwuL0hOze/buuf2w5+9LXbPDjZBj3XGdDW55G6ZhEpQDTNWpwZnPni7rknVn
QALWSu6cLTqSda91Zm5x72VlmEXA/g8Ow+njRLlJlx3mh0n14iGjW2nLJWL/ah4XF2GganEIzonB
KTLJnqZ255eAmfNEcmQwvARuLXL4rRcBafsMmS4fypkoWk64jirhfxOvzk3AYI7ToMO9WFIZcnN5
4fP4lNbiO1finwthY9tch08y2kmhTKUi64NuzoVrzutiEPycG5034IMMeMStwOLaJ8IA4CrI9eMn
AB1cnr9prIVwLGBA8bNnpqI1mBiRtwtFoyxz6Ej/4YtuIxZdHdMsjAcfjA7J5QPYAx1pM6Fe6Qhv
PUCMEYV2x307Y5xuu97fJsvL2BNDOjO0WB+ebaCvOMIQTjdPm0+k0oXd+CLoHAn3ijEYoV2b35UB
vbwSmAhdu+8/n+T/zQoC5C6hoI3L5Lfieebg0BUjD1KFCeZl6tOKigdG30L+XF/gGChkROeGePx9
S/ISzSvrTE7k0UlV6kH2Ri0NLtLrTdbt1ZU7s7M4ezF0FKdKlEYnemZlklUWk5LqtWIfWj7fiIWW
3Zc455djWlwMDJeERcMqozOYMVGNxgTBlRWTfq/S8Y5M4FnT5h+0MkARRGOrgH/bZ2Rf0ZniyduM
wK+Dl8vvWUS2ZazlMZeq+B48lZLI9OQaco4bo143Ap5VBAxgGlkCqMuhSwS/hxFZNBvAGcYJq9hs
uK0Vhz0P5R8ri9hZA/61kBlYEaPXTHnsrSw1RcRAifDe+4ampFQYpI2RXT8M0EIr4xqYNcmBmlic
RTFQRwhSwaYSm5H2t48spbkrNKqhI//2sV/ZpCgj47DhPcSzqGReerSRS0WhqMvB8WJSPXvgJz14
x2qv3d82s7JU4BmUZ250vOuhHH9ppuHUUYvreHKKiMWctcdCc6awNG5bWYmPkLQCxmm+Y2BkeQG0
RdMM/RRNjpIf88fKKTCqtNgJLQEWdoBqAlj+E/xqw+z1cs30GmBhwSbk5CvYh4KAUYkzjE51GXLM
7MZkjdyY8AhijO/WFAI6gvtmK6l1vXSXVuffP/OVaH+b+kKC1VqUKJ8fMmDHBioJz34U0SbcbQxy
Dkwu74dLc4udIs69UVIDc1NseoErViBhqp67fu89xonVKowhCgYzU40H0PTsPv9v5pc7yI9lQPGa
dHKav+qpl/EoANrBhHBWZfkmWFVCBOBbVbKNdV0yDDclGqDyLJucLCyoyL6V8uv4xiIX1Pc/t4e3
bglawMhwAyOlLvylWLcJbgsG26R9ipgT670H1Y/gfedbNFArLyws4yxgj4oNNuuvAvTZrlG1rg2L
MZicqFX0MgqNuAwJLlwGicS6M8ucFl6C/ntn5JiH4r1r6g1ib+76/p2/ANpsvDQD9ZdtIVMCxPrY
JJMT2LmBxHke7ADYrAzvKXjU9h59Arn3Q/Adv96e4uvYbTY7N36h7wWkI4sp5lO2YTUf+3cEakkG
bsjiJoiCkAYVjFLZ84+3za3cG5f25iU/m2g+bZu0UuGLRtZlpqf6I6fIn6KTP1RJMdnIl2xcGusT
iwmFRAPwblfkxeBJSXOlyEHkaoK1w0AtBMjb+YctEo98RQAp+Bu346oPOjO5cApqKwy13xeTw1Lu
ADbAvWQrZCsTsYR/Ya9gKv+xsqQkrhQ/7oIJVlojO/L0eSIBnXbHx8+O/PFB0YB3Ok0s0FbqAt0I
v1c365npxU2soKG6iVm4gGYqaSgCazFVYMY5ogV8Y79cX5GXg+QX+0WTG07KYUkEay3v63I66dJk
xuxznryBW6wIJPDfWzzr06LgbLwU6FjbTbvhaOeo9MrNnw14vgbOtm1VZ2o9aNhEmvcn1D7jYeNc
rHq6s79/tn/296sTWvmCoJzXMi0eVe8lEY58qcfi1tt3JZOD9iz0aeBfUHnj3XlpKaskr04q7JrB
BK/Ry7QbSLFrdomumMeMCHuOwhGYIGlCh9jrpvW16/Lc+mIee7+tOyaCdXkvmage0JRCV8StdooR
0oHiA6hHK110IxDrigek2MlGKmtZOP49NoBMznEkHq2ytvBA4ODjcr/GVDdmbTBHYKtRoJZ0FJFt
fkRuFrDfRiFIOfOJCVHcnG4mO9bcA0gb0VsKpSdAMBaTgPLXWHdBNzn5S9PS+LF6zu75D6XTs7v+
lT+g5R36exDoPfTHLbICeXUBzmwvNpoiJWomsu3klEZJRmDdK7u6H2zvB3S3D0i7iDrwcpZPP/4U
9EXCK6ilX2C8NU7W3emkkpBq9DEhHz79Yz3XxAbfF2GA7zM+HJ8OhnNX3fGmRBvr6dQf5MetmHLN
75zP3Owtzo5JOyUKn6eYOUgLOM0hdaBIs+Fw5v2/POmARaOyD1JXPCAX8WNRZ8mY1BN8t5+4Uh6k
4P2q1R3DsgkQthPjpj0an4Ws7mgug2VGyUs7rdoI5SFfMG9/zJrXQYMoXiBAUaLFanE5N2zHjWXI
T05Y/lWCY5ZseNdrr4NBgnoYYCCgs9llzJEAyOqJgaQ6jUgBlmydDOz5t4ewhMbhuKH7hQdL6dyx
j6O/GEPI12Ki9JHnqKfyhQUFJKCwNDEHypq8PeoyARVlYvSvt82uuDmYBQEm+jo4bhYuuNwpUgD+
y5qvPMcsAmN6TUtid5/iM0IqKEVbBRlt8RV9LuBdAp8Qcz9svOxWLmfYlxFZ4YDDzSxxOUzqC30L
BjznoCVU3vMvzF38nn0NhLe1d83t9fy5vG/AhlzvJCrcs3db8JxrJwM6DuhRiCo7Q0WW0Ewg9Tyv
4GXP8VOw0kAIZLyXmHskyJDQ7PmNJ+ZvmvLy1FxaW5warik49PQoHirUOWGO4QdDZi4p3uoNyQwf
QXlqxpasDwRpQfL8KOs+ub97BTr3jqPpfW8PBqvzZmexAAVMBtSY9Nv74fokQfAcqTMQHQCZDmDy
5XbQgilW8tj3nCAriYiu/S3FoWUv0e8+P7ew2HBg50y8ZmA0R7QYU3qrrfxUGPWpe9VO1V3+lFnc
fbCVnVyJpi+HtbjMvRSd3lAN8Jz6sTlMICefjIzGJKNbsIoVT4F0CHgJwQIHzdzlpan2RZAOKt4/
Aw/azvIuNYT4QeRiePrbC7V2cDUWIrYwhnXif8P5Mxfv5U3fKAHHOCmoudzgvrOFQ/KUuwVLRJu1
vV1wNzrSSTz4R++OcbboY5cDRUVxZldAH7k2g6uWHNtcKndDWQiMwyBF54dfWdGRBEK1lVDTvNwY
7JoxBAHI0mGsSGUv9ozHjrycT5HvNrWd3eN22aU+8HMZutenDT6RpTuYx3VuarFTmrGq0BEd+67g
eTakHUFUUTJmWSNR50PYMUKWgPW3nijLx+XS6CLQGUa/AD8Vxlc9H9VID13ZjuFtsUU/b++aq6Du
P5aAAEPXD7hDligwpCKFDHpj2A9Q9HV4WpiJHunVASndBEELRIaNiuRmetTut5Rwrw7h0va8ymc7
Vq5bMWrR9eJoEOFq/Wd5svp+57uhPRQ//gRi1fDr9nBX5xXhO7orUM8BA8GlxTHnPaVmMK9cY/GS
Xg4sYd+i3CeK9zjaSvhvQ+bfEcJpouINH4pr5dJeHvd8MsXYPFOYPCVDrpddRrjaR1rNFk5B+sSH
J9+bW/rL/BglD4lS0BqyBTOTHPrsim8e2MjbU3AVVyy+acmklHBDBY0azIEWECQYj96+dePT2MNL
xE7uoPHnrrVntWfCbE3H2lkCAQvKdQiQ5pzq5XQETZ+1QVyAHxGwYTf6W7x6f4pjaynUh/7QJJh1
QBhHOI0mY28JES1Rt7i9YPnM+GLtuR6MxGoB4yXkMFJjODTH9EOmOY3d0JECiuB8PHQG+3TH3Hfo
WNxiv1iG4LAv8kACzFwbGuLjRQiei3CPLfTMXT+z0vZYBw+Dd89zW+2JW2YWYaOQ9SNXtjBT/3T7
iW54w2U48DsI8D+Do2JmLPh9JZ0dWVbiwgwBEhyv2v3xwsr223gjofebfjkPiWYbggQ6X5QQQGG3
bEMMIPaDd3YXuOBjtQpT3U96uq9daecyhvxVuzk6d/eaPrnFA4iQjx6yNLsdyg0oUiWuhpr+vz8w
F9+zuAGSTEVfFsiM3bp66dR31AFJDp5IEPf9UcvTWOvYPBW0s6uv2olb0oFwOD1JyO3c/o6Vw3Px
GYs7QdVChQl5TEsC7mkNLRya8CAykJbYC7EVSRvWruq3WAUJBRZIVs1SaXj2X57VKg3QfZoPoRvk
UEqLKffaZGQcCYisIaExpQQ6bYZ4HAwkHH7GA6sHJcnRokR3t4d9VYT5z4cgvQseWqRffuOesy3X
K8koBHIfutrwxEskE+56HxrSAOsHu/iI5KcrbT0BfrsOF1tQQggFOvy53wM5n8vBcwPQ64M2hmDf
cxSzHMBkYVbKPhLN8GHIdoJmiiUIGKCk8+WbKQlUB++hXN1Yg6vk+jz088+YT+PZ0BkIEva+PIWu
4H/0XE0L4EW9+pjee2D8Gw5t8cwXegGxPHATMNLr7YlfuSvR4TxjqNEkgRrbwl8OVQBCFl+J3Fh+
VcHZ7IFBmfNI/J5DdjCESGVWbFJJXcV1wCXAtaD1nEeG9qotDvJeZREn5eCmJEeCBMTNtCYy5Y3u
XqbTG/73++f9n1EHjTadyGtFYh2CSsifFMAxTIhWvn9luSY6UQCKdy3R9B4PI6qzCO4Pvl4gUQY2
NghT3Z6rZbIVT2UVT3XUPZGYksEUf7lQU6HFbQsIrNsVzyHjE4icS8HGQbhyvbMNRPgzLQWozJad
skkQdL6Xd4PbKgXpwWAaoz379jC4ZTsuGmF+c3ushtZoAeNYLHrbMH2iBcHojvTdPXT6jr5V+vQX
nCo7ZD15+jmQ15C8p5jBN9EgR7ToQJYCuF56fD6CHJgQ+/3Z/gspIf11VmF6engQiL53OvrnJyX7
3hSJTO6RGsIDNqG7GVRzx1n4aaX/dPTjpzViaF8mtKc/8lFE66GAX351poQ/SyvzSSUDVUlsJ+QO
STbpiBS95QjWa6//ycjJSYjR0ttzcnUMFjOyCOHUigUSdfQxI9ZUP0uMzv4dMmxNFkQ9tpZt5AOE
eYIvPM+luWVdkunyvhUVmDu47y5L9Zi85MR2v95t69HV3aNdGfjHMfb7D8v5rqy3rS6dX/HtW1+w
eFul4RClPYcvkN8bvXJkar8fzW/TvDd0Az6fPBkdsWRiEWNn3Dn0ZecYhNyTPbE+dJVubck1j4Bk
839vyKVsrzyKoq9M+JqYlMabQjf5iTfWdyl40AVyGGk9DDRQeAFeAZfcT/vN/JVbA93GGTa9PRn1
QTwm4QM6oVk9exP9rXO3NcqFo69VFUT5JT4iL+5ZgHOBdebnRlGCGB1i4sEX4x1y8JSgGdoH9gel
4zhDD/xWcLf1GYsQNes8z89EfIb5kuFQu2/HnLD0EBMXlEb0meDwUeyBN9N8bHD/O5Zxv7ecp1eB
0sPpASfwa2v5r29i6ApAzwDlBiSWwY/AX3pWr+u0sQjBTprywMfYdX2q80wv38PsFdICeR3pKeuA
+CYb3d6jbA20fY2eLoJGBC1KNtZJmO/9xdmAkussKgDkIRieF2dDYZSol5gpcd8YSBvqoPE5ZDpz
lxwHPVOJBAVEqH7onFXtVBsT1FigdfbgLHWQv+ul+RO5zSnbgv2vzBH6tyBZgUw3+E6h3Hw5R8hH
ZDWXBWhgzHKAmMEU4eIyinWv8FhL473G4CW/tLhxaAzQMjZ/xYzXbBBzp3exkiR6MmaBmak8uhC1
MbX6OmdcVpF9YwrZrW6R65sS3yqiA3BOryJbtdjpAy9OSs5HtVvkf1oB6uLpUzRsERtcO9HZCFZq
ZnOW8VS5nJBS0YKy02BEnrO2zyCUmMDGpBJ5izAPJBnXWwL1BewJWQDwFdfn4n4Ycj4vhYoZnhHV
gNsnAURvgj5PCHns1uc+fLGL/k7BkLAQoRDRes0wzfc4Ql/ZQmuSB9HhMc2cqgdpsB5Cgem9ykru
bhyZ8CdPYnkWYO41PI0F9PgmBcLxXsu944RU30uV9QWI6noJ9Dtd1QFF2VVM5+8EFFWsnuH9weLa
KXsOwBoo0UgOBuiveAmANhL0Ra1xwl4i3pAznJ1IXfJadr0KKnihGtCT2YvNVzlE6kuVl4FgF+Bf
bin4S8HSzSvJ9MKWdV2DIa9M87FwpKIGQxcBqyMb/QSC4vno8VM9qLoBYlr3k5mLUpbbYauloxnG
as+jx7Zto8+xZSQEc4JQNXokdRMiiXAEqZTsN9NYkTEWQlAkFbEIgik5kEs9qcNIuhNzNU/tWsvQ
EMcVIagiM2QlURsAqo/D670F8b2CmQR7fxmrqcVPchvu8BEA3jB+3nw1PvYN8Mlijn5Tr4ZiQcIC
DAehxEwCv5HcvOaqN+A4S00oH8SeAZ1/CtIYG338w2OZxBWaZnOpcIJEbjq9K7j6YUhZ/3WK0uaz
ElOepTk4pV0+irUG+KVJfSoVXiutiGVzhiSj2PQ6N3aSLuUxKM38oo6gH1GoMdg32776HsB1x+mS
kleJDnm0EleTMEaROYZC7OHVx0p20aT8dwm9HcbKxIxB5TljwNKTq8NkZsq80IPQKhJRk7QJwPzH
NL4FDZT02VNYdCK1jYRucTlmZUvJKk7T0YhST6RG9QX0ZrESZWYp+Jyb1DM7fV/FxTHLguQJfypP
iA/6hNBMq8JryDQm1UPuhVx0mCDHiYEVQWOFfeFxNGdYftwppdYc+oEdOVBDcf53LOchYws5GFft
sGr42szReBKRMWelryivFIjn9HmiGTwjJAKpBnT3VwJoYWjQSd6wayEZ3pKqrFlO18Q4+JunavtX
Ezr0I0VM3YCCQBrQTZNnavPC1FyHdmN5wqL5ftOy1Jf5Ciwf6tSlRlKAJFqXxU5DolqMq1Mc8woL
pSINOhBMWoeCXmmy35G2Cz10BvVt+dAPAv8m1aVoRQEb/EjolAQ7TzVKVhEFHEelvM5epbGqcQxC
LItZiE0e6IIC5nTwh3LtuO+hes64CtpjVbdm0LpmcFmYI4khTSJPUYzpPoa+0p4Hj5UfekzlQ8s2
mpVgpUYKUvzhqwNBKPQDQ2TJKcdOKMeFeSO8TGIYnVIGtPq+JAce4QcN6ay28zEHuYe9RpShlV/Z
tFewqpD//EZ7RIZnUgViUz8KcfobXIAxERq0EwHA39TQIfPAaAeCnkJLiFInOdqGhj5+4dq4iSnS
1dXnkA2DzTHpGIKnRwoOmRJopVGona/RuV1t10cQKiE9OnJ8yJ97eJEpEljZ/JHx+Du+6UHTlmaZ
CulcLw0MFvJzuN9ziXHHiEPqAazC5akopLR1OpVPMFFxyMyCUnz6lTR9CWKktsU3hpOcqLSRUi4E
c03IQ6E5Z0Fa1kAU8Rm4jhLlEA+tA+CalfBSA2+D9CVVXg/alT74L4rOpLtOHArCv4hzGAVs4U22
4zi2EyfOhpOhwyiJUUj8+v686V44cd4DDfdW1a3K+b5CSKSI1Rx8SxledCcACPF7TleqvmPR5PY0
ftt/Va20v8Z96psya12U3GLXZdPjkLcwkmk3Yt22Y63zscY4FPJwne+9ihmUoleC42oNh0Sdj/Tw
o1vHlObvjQyzlLGvyk/OUTDV7Sfkrws2X66CuaEb3Ivdj/qAuAzHOzB7votzEHQuIXUr3+mS42Md
Sx9P0R8iWHVMMsCmTZHPzs/PytYh5pvtkj1vnaLC7Pp6u1Oi6d4aOaXeNd2U/J6ryJvvsnzR18O3
23jFklAHRVcdXn8ZtMyzx6bJ2+6ZkKM6PHmLxMwdGmZ/sFvdfaBDDHIxuC+Gx+WYtLge1ltf87H3
PgMI98Prjp8VFnj+pgN0gvFHDldUM2THmf8DOnp3RRQc6+9lS/P1DEDQ/rKIUl+d7paoCE2WPGMQ
vE5lptL567EOcCLRaJOkZKY4Ynoplb65ZpSMx3nIN/DktrabvIvjasFdKqtHdfXaQTD6X0/669xD
u98CsXniuiSuerIB90wpesOX9mKZ/raLmvqnI5nMWsqBCYNXP5nhKuKomsZHu4zZ4yhI+uIgStne
/oxkrpyXKiA0Y09q90B6YkOCth+QirW4SKmzqtccKr3i05cB63MsBfolHmPXDRh6WlLGqTNImCO6
OTkeZDMRyBHPcYZLf7jWYxmEYMhlE83LOzLo9EW3e/NOx7Z3XM8BrthJ3tr507JX03brpWefeySa
3WVqfSqgIck1nM7hvLPvbyTE4Cy3kwTQZCHbu8+Su7BeR9LDws7P3xgUObwiq4liOiVq3kyReevx
s058HkLFg8aF0NvjX5EZvahUzP4TBjrK8NIoUNyiCvzK3iXTTBgP5GDbUp9vrn4FhM/7k9wW3CFN
g+MWJ5IWw33t+jp9Nm3OKhqln66lGX3DEfGhzT5xnCdInPy0UczqsbjLKl/Gt6wWPrECi/UQSA/1
2l3jFVuPs1/P9T+b9HY8yy5Jn5ATfeAmUbr3p2H3hrVYxD6xQVu0YqcKKHQ+ebsON7LOU88nmzzi
X7lu9YTaIfQoaOw8N+s978J/8kTnqocl2GRzI1TFq6+2yo24mkCvX9M2U11pqnHxL5OQ/fRQt633
4FX1+Fd1yfDiEkNO1doMiAqOhhmg83LoKAJT1PFylx9xLD9pz314I9QKQ01MAAA+dRSa4ELigHke
4tXUrzrqp/kpG5em/pqsa/hNrjrD5h3mbHkQa+jMUcwOSzNm7Ca/fVOr9cFy4wqSieqD42a1k9sJ
e6JGLd16rMg61nH7rvHL/3eYYVSYI8Xhfhtr0XOTzc0YXqp1Gqj0qEDR8cjINPTIWpjL1gctAU+4
3551OmUjg8frntzqEFPgl0PlYXPKxknRqfW417xWtgrqk+8q0gr8VO+n2q+G+FNq0qM7Hcs21tej
mTX6T6w+8zvaGVrgwPZG/fLqPK1fK/aQLDwPUdhp37Ldp8rqqaEoFrJ0d6+61yb8rPhU+mRSG31f
WR0/w0oE46U6+M/erLV81i0NZpEj5v0RBZ5tyohxmpfFq48/yepnzZlIQ/ks4Q3vtcnoVEw79K91
lXQ4327Sf4lsBgX8cd9SWg5h9hc4ofkJzeXci6z6rL4oWU9E5G5z0lz8Rh1j2WxBQ0LEqOuubJXB
A0V7i/9IGJ39Ew8my4q9XaaciLq2QmonOFdY+Dn28wRRxvw0rOXfhlCN6SL1Nv+Tg66+TakJlvPE
0TiUUZtkxHZnTOvBNc11e65kGjWFOSQkr1MGJ7058pey7dL6c4fWKMB+YAq/cIeIoegzp961c84U
S25oKVy7s49sf5AeIWuecpHtbZPTfQzG/Resafcc9NXBqN8q/+Scah/BoIaDkThQ7niqjPx7qBLB
/e8JtTFYELnHvF0aOhc/+jBV6bgNxrXJnzebyrfRBtW1VyF8jpcn1/7ws+81hvSfjKfMMymHVVUO
cUVeXmTm4Gfe+OA2zTZ1vI41i09+l8T9jYDBlBeqN9Fc09qf1nMzbVbdh5s/mnObkFNYWP/AfwSW
P45PS7zO+2ceETV4m82A6gNeg3BN0+jd1wlt8Tmx/fRWhRsQeJNR6hfHQA5H4TWWabplDTN7Xm2f
p+d+1g3N3YTDGsVIFbenZNO+PtHKHNgabQc0EXA6M1xD2oxN6XVpPv3n9pRnHi11gxts18ruarp8
WTm2uH4eab70fJ27RN4l9dz2t8gzcXgK/XlcnlOUmZKNyZ01XOPaM92JaW9zIeQpGkrl46WjTQyQ
4tcflUYYDZRnviX0lE6JNrrQQUayLHen+LEplXyP1o6mY4x3Yqu9rJvosVazf/a2OZfFLvo+gQFA
aIfa39i5dJr0zULX43FOOKnJOp+h28mSShSl3k5WSoElz/ZQJ8xbSzoNwK1415/CrZU5lVWQ3U/t
ZtFJCmS2xZF541H0fm6hGtv0Rx22eNMtym3Ibq0j2CKJVf6Eh1A8FsNUC2ipLelFES+yJy91+PCl
hRdxf6o6HfwiMvnQnZpVGM2sx6iedd97f/1sS0HYciMx+lznQZU4MOLfbVhPmiq1xZEvmePnZdjX
7Bwvc7oUk1fbuphlmD56TZ60pYuhSQpGtmFHprWlEt0Rsf+bIW5wgYhN/DDxM/IeTTI8MWFG0y6j
Xv5ncPv5HPRNrc7ZOLMlO6GythyomupyaPsoJQohTZig6BSfKYmN++L7TTdf/JCDhhNlSr+y8ppX
szcZSJ3f1N4pyAfszQcVzk/W6no+DwfzyJiv8QD4HXr/IuvY78711Ld0UCYjXOoI+6H0xaj2Uuyb
+rwJqIU66LD+pXA7alpZa3DKN7tPjC2TCN/XaOheSJYQoEwt5bCve+Is5UdWDgmN/kTCGbuB3MY4
4GHJcOz/6+QckB2f1ByDjclyd87F0fxx23K8rO0eu1NUAXDwV7rugSc74+QcCP1ZJjSuPPXUe3Xh
EP8KdKT9sz93ginLoI/EKURxUBcBeZFvnNZWnvq669dblTZOnDIau/dsqGKfiEMhn2R7WHHOvaF5
dzSrgEJbsibFNFIO4Vc9ZE+M5Sr8CAbHqRvOXpu/7MkW6Wvc9g0GoyLxt/O+JS0RkxzBNwmPiq5+
1kNQhHFWvwdxbNQ9zYQOThw+oJZt5tGtIqs8yPOohkmfUxfUwbmORH8b986lZ0zsmj/TYOQXDRrd
3MKpj6bbJJdpfB1z7MKoH/u2L3Mz5lTMk5Q10W1qbi9Zc6zxKdO9NHdrIOcfOINn3IxLgie5lLiM
f1yhaREf/kgXTBh2U9YyHoPbMdipvxKHvUaXoKHezVrcn0uNZczB5REFhKx7QfAk6o6T2yp/eZrD
QFNc917IvicwDc9G7YXNJz0H8/aQzBu9IgOCsCPIY3NqfeD7m9jXypV7P9uPkzJkRnZsYmzBm1VG
YyFYggDttqt4XGE8mtPS2Dgr55Y+4AQy/Mavs1dGbcCbmjrZvh+Z1rZcp1nTjHkQlU/S8xdQmBUw
qsgtsx33URLYlopqnbMTgS8pE12shLAM5rgOiHBhKqFI0444j5rOeeKEWkL1ILqw8k/a34fPUS7z
saA54rQ7fBVH5R7VcVdGaY3avV9qnZ4rffQ4rEg1oc4keyfg6Guj8x50/fGqdk0tqT5GWgoXVd5U
LoOAQQBfh7bPaE/+8w/tvR9TsgYXQXW9cmn2cURWOLPthRLbmj+NTZ1XQP19+jTO9Z4DEloc6UzV
8zUIEsOPRM91mN2GKJE/82A63kIvdMx7GM/+C+Vh6WWijY4kjvFkzypXveSTx4rfw577L41qrvEN
PcF3r8sM/UXSA4HlwFYTO1m5y5hxRBc59jecegdTlhf66RFp2BAv4nHD3os4ADekZOSELWfs1vNG
z0PnEZLTuHRbyr2zflZ2Fe4fZWPF+h4tCjPIpqvnuKC9Buxp9u34le1b9Fe5SIDeqCR8NZNbCIpc
qI0w9Y3ZzDptdES6gu65Q/NI/jG9yFUpPip8oMFZcoAvdfQhxtCbKtc1YBZgyAfOsb2leaqk8zz6
LpMy3xP2+qnaXXacM9+O9Yl8nSh6Cmxl17LnOPhvGPvcL0zs60c9qwh4sNXL9zBIBkyR/WN9zLJJ
tyengWiKtsG7+DHve9HcRGqW4BK6PQovnWdgg5teKjZZUEXmAtOz40SSRCuuIOHs1yfPBFF3M5zt
X/KkG7xT2AqsliMvTdtyOhLdPiXO69qHPepUXSxBgH/KvBPwRXpb1salm7b1T9SswXhKRl9m5zxE
DlqOgWwzHGTj8HfGmCvv5ugnQy7BHIfnI6qXuTRzuH/PTGo+SxKbuQVIl9jKsJ7mn97m5VSvy5bg
Va8GMm1V05Fstgej+LEnHzCkRQd5p3NP73ej9pupHF0Q6bOntuSWp1XnTpKhgKBQtQxu6UYDcs7z
QbZX5aTMCogfHAf32ss+T6tHBtjUUFXpwliOhhMRmxHToY4L23PgM1s9Dy+T7AcA412L9NqteNeW
HYVVVhiX2RmwX0f24ny/1WSpsCXKQNY+0LKEV73k08xU/kRf1pB4iisnHupef0LKKV3p5iZ+WOIp
nW91/dFaTL1li1VcEUjdwTNRy6VyXstgsul02lRof3asMl2aYegpesesBffMm/G0m7C7B4OWHlIZ
LwKE4SESTdBzA1JmxeMDQUhAORas9DPxAftMLml93GYRhQsprdbfQb6l/rQ2m89HSDbkBFhIYM5z
6PZP1mScgbXz3wB1encKsHylYFKMfFLKTDgr5gxbriRXUrWBFK3Zv6DNiRrwtFn8azimXK2dQ+h/
wsLDVzcKEanLgDX6x/C6qApc3KTX1EVd82OL5uoXFZlryqazLQG34zSGy03boG3BdX3p3XeBmvbL
YfhfAY8EA5dF2xTi7QM29eF2kwELuc2lJ7T92XxJ1CJe+yno7/d6EAwZj/GUENDKhOxbbWw/PnuD
qQO/2A+/DYusy4k/sj3y6cla5yCstorcaVCVEnwlSgp/0OY4zX2FcXMKQvzDtZYKSetuf6mFrH4k
zZH8maruUD96RZn5ZeEKSb6GXNru7qj6oPnCp7R4cfpLwtWGS1344CdVWP3c9XzwwtQ0fgrGXZpS
5UOtS/aXwdosSie8MvEJeZ8Zm2IxxCr7Ou0ZwwKVbyTFiW8r9erGfudYkxIvaUojV2d7OaxaYp2Q
LQIYvvKzWD/tsV30XR2uOsDmSotJvQ7OC3gXoxHtU991nXdKKHN507NuX4ZBt2iw6JbM30F1awY+
DmFAmw+jLsWnOVKkZVXN4ctLVTVeXnLv7XiLbCapt/u189KQA1s13smjWt3vMQcJvgGOr49TSgN3
7akiSOybTZc8umOff9dDNjvGwVW8fo4GH4+EqHES8JpukdY71xkcPb9J3snemOm2CmuH07ak1twb
uCqO6Q93CSq3YHuUy+zGt8WJoQV50ILhXQB45j6XMb4NdvPlbTUadXLhbaoh5zvcweFl5Hn8yXHL
aCQxTGiIajp4aZvx/HcqXtFh7dn7uH1kMtmJuo6Oj08W89LqvqEZguEQ6QOI3bKcK6Lo3anus4/k
aEBVIrdIGQvKfjVifJlpkoZzm3GQnsinqqYLTvB1dWU8JPoWp5QpPLes9U7tOrifDam+FJHbWFXm
fCAhI2J5N0N3t+ZLrB5skG3i1HQkRp5Ev8r2+35wJt51FfVNBcjngiYAA4/W5L/IFz6iuiMQd2sd
r6LIdZS9M+Qb/JDeMrq/7Vqn1R+gOps+c79GdCEYmyJMnCVVUhMQqhZrnUJgtQNlrAKqobZvvNsS
xxqka240Nr4V2BaMAFpFZ0HH5jg/bhxVs18eOck6/2ajD/ngJY3cL82YqqelDab2sRJu9ylhehib
uN4C+I1mDoeynUZ1vPSUI29eR51XOiGGrzDpEDrYE2vn3edtbrLv4xBihzQdlBQH7ljDnTt4P+WY
+XI81Yuv06uQu06e8j1oMRQZ++V30EYCWa7bh74YibQTtwwT76d0XzpRuGUNzqIjdbsKWxWex4rK
70x3Jh/mSUxQfVXeJUVMxunfsOn99NHoaeM7jOBh1KrCipJzZ2nuo8jM80uiQwvToaXPlGXXU/PW
vYxBpm0mATrXrKEjCRmtMEoed+GUdV+bD0f38+AJNKCbIVtm2rR7MRTZ7R26BlAGxRUpinHUNEZN
5YdvPNLsC42GfezXXfw0Oa+s0HFjrml7VFmRCrm8H0m+RoVMBiqvZhJRzVpIJ5T6Y7uCk+6zeA6A
MyWwgUgZ/ZimzBZgAY4Ij114X3uQd69Ayllx6iuSNuD2arrofHSEs0BmxDOfRjOSknJVs42m0J1T
Du2vuxvVrxkU70tnVsoxz591GRPbetcOQFDn0dHwlUG/8pnaeJgnkjSN/0/JIFqLeJyCH0Pj6V91
2HtbMRorX2LqrPi00Xvb8xJiN7tjQUKyHcmR37dBUbGNmUrOR+Mm8ks/6kxoDNG/NeKgN5eigfER
YVO99QPBGK36wOtX+u+zRfnQUtJO3X5qrGn3k+kHQYB1HM+vOUQ0UNXaOuSE4CmqXJox/+Ea5JV3
Az3A54NJwte6NbB4VTCRU1btxj0N3gwSHbjG/KqrlKq/aQfUGwEA2v2iul5c9kB1d9WyY4bNlNSB
UQWIJu+Rfp416sX5DSYooa7ppPiyT2v12wzb9h2xDwRRBiUOy1Yd8Vev45KncdrGt4gHSfCB5Gov
vFmSQJKoNvwltiX7vAzTCJERTFNfetlqOGqjcH5bc796DmJMGLL1yL+6rOp9GB6D83rQzuD9wzYA
3Nk2mJ+ZbUu6M8cjxYms6+T7Fu5Ne51SMg6aOPHbYoaO+mR3RRSd1zvipG2+QtLouDNzKSgE72we
S10ckDR/6xQqpAADld9EHSjwMLDDF/wg1H5G/7/kZa+dj7ddAM5dJgO1NK2EqXjTjYvuU3zfumKy
rfnT+JhSl9zN4LVBsk/7jVLSxGD1sNolI/MS7myMbXcZl8r/MlWTnxa7Be4qM215v1vs7+t1Hsmm
KtaWwSC7hxJG2Qz2W2+q7t8+5pMqa7WmkEndKr4qT+kIn7ZIv0H8k86e77TCpVqGTF/51uHnuolb
GPG9za9dROEAFVEx/Szb9mWejnC5m/qVRRWT9KXpFbF+Y5M7fRunjuB08oj612ZaDknYbG7VOdlw
iir9yGV/ji5i+myT1f6CVqD/IvmYT1ud7KyI5YPcoDdef2hv1Z/AB+q/zjQLHSTF2691io5H2Ycg
OZkT9zL4GGAxa568Rk2TMLahBvFP2SPMz6bbhHq1EYwba9CNd9vKspr9OPxOi/GBnJsUoZmplX6Y
tmZYwN3ChbLID++awVXpeYkShxxN9M2vfLDrMxmNfNWVptldgCltVdo9sr+8WCl1cds8/kAwQfGT
1UkrTlSXHkb5wAL3e+jw1dy5wDHU9lvConrp9vHSUfm+pk10TO/oTjfimmbYc3mNPIS0pUy96eLZ
ep4etiWHaxaR+1hl3WQOcIWwiW/QFmEDYe5LebeNhsw9KyyxNc3qHeGtG3L5vWOrxQC2cxL9BpJd
g29M1kbzOyVmjdBix8oHiJm/eXR9Z0sO7uAdHF6J62qX1j8Pel95gLMVHt0U/zSYforCbNsC7BvQ
Qa/JF9+kLVVhW43TfXJQ0J5CgnHfhYIcP1WcUf5ZDX2McAKCHz05TUh7oz2r9jKze5VfjmPFninu
QamueRcME0NmbgKrSHf9X5bDQwHAdetbSm+WsdoFD9KgXuxLNsT6Z8gyKVGIH8w05dvuBfcTJf58
ieQGFl7IblLfVA1X8yfjx+nD2PpeW84jYbhnsguzDVailtHpIEbRawsHA5Ke5oNf+IkzLc4fxmrp
iMQDRuc8qdIviRPxv21yfnVes2AMYPLb9GdGtguQhL/5kMIQ8heRdN5+6xqGRdBE05eiaPLxQXZL
bEiYnVcNckCqr7eck91yyFoPlPLCjLJYziw7wAEo6xgx3eEUU/XGY6Mq58kvke7b9mlJNBCpAERB
CxEjtLmnfI1xCWt1hWtrGyMjqrhyZTkkcavKaA4dBeyUJa9+kB8krY2OjhIxR+89DjKddnq+vAFR
i/x+uET9zqi8i9EdQX6mqgcvzIJvfRh80B0DRjt31u1VWujMiIBzO0/WcmhyeqCNwj4rvBSkdM+h
ektQ+ew3+9iuRTduK8SkXZf6hFVJ5r6F/cyNn8l99c7op8bufm79Liuao4EdMwgpxNkImteSAzXd
GJWqXXTCPJ1Wd3Od1KdehpF9qvclgOidoemOsxcu3XHeRumaL3auBdZGC0TUlyRC/ddwnpp0+7ID
qu0nleijudejkf3TLPzGv5p4CPe7fN5B7eXS+d6Xo7O2ubViyFO6Tqses0XXK47aXm66b+B4vaHf
GWf9Es2u9R3ETzy2X4Mq6fO7TKdwL9vgJQlPGLT5e92MwXRVgQSqzw9//xrRpYmiIVLiw4G3WYaT
dfnurnmlU2C8zmMEXXuj/YtgDFSMKO3UXID00/m99w+Mj03kbdsl8CqlT0pnzpbeMZMqs8caVZ7j
c3DLTsN0g3ClSmLwntbA4N3KraT2yj6guVtJTckEYFGTGLAIH/wJ2FLuKi83kiSykqpjZwRJhozI
yfVgoi9b53F8qWUDTM/1uh/noE8YmZja/ENU5O/CXfspW99pcern1NaQIWHaLmG5IGKYgD1w3jqv
vTKPMyT/cZHeVNf4J1BO/FB9pcGvRCO9C68WDZwaoH6JBhzr9TTuo86RVIRHfkGbVk2f8o7c8YIE
tL07t1azhOQaWRgFQ61IIyxTngTSuO2NvT1Oz+aDicWFP46mb1veOvKX0qQ9rltDF3WyXR4eJ46W
iHQ/O0jzNDM38DiRRLZ+D8LDjBguiYmdZrh4y2pqcY+tgwUv27HGnDQvKhIQ21cpIWnKKma+AL9s
+F1wreaoHp3SMYxRmvaMPNpGqDvEkja+Vws62zOYdWsv45YzDArwbYML1WkmzuA4ihmDvj+qO9fW
85MHj6VvjnmW7nXLwbPe/GxswnvFtdP83VSarQ+BY2656FI/sTe39+JToNO1udaVlUepGhdgUyrQ
ojxWdmBIG1klZlXbcQDQNV520HLDK7TfPD+Nlk8hErX885p72fYejxG3hhfXe3h/UOPg+FrF81zO
fFl5Ota9g5FEM7JhDDUE3Fh9lWaf0Iqk+XWzUIy3YVjzHrhUUMmV68LeuUIGL1sRyTAOLvhYdu48
RUmVs9bWFE1GssTNvcp21uaOxMpeJ+0L9V8w+UeLWitC6raOeS6hxRZtvW9Z3Mvk3G1e1V0Ratj+
5CUmGJ84kYcvowy4AnWQjvuXga+X39Rsh+pNkU5qXnwM3vnoXFXVY79XlLZWmvpP4DGY/SnoU05l
AUztPUAgklMwAPmixByboPu7WxGS+rDoaD7XVscQqEDx1V3Xgg0g2jgspBSHth3Oh92H4OJzLq9f
PVid9YO5gfKj1sxQJYJTV83dRirsH8CIXXkFupvIndTsKlEYaLzhboMMgFDO5RxePJV7+yXxEzzY
Xdhl9b3w9BpeE7LGv6aqavHv6fnY18Q2IQM7LJ3vuNEt9rwxdj5AlHBl6wI4BmwX1QuNBh3yxpxV
6o3bCXIcOb5nVsHVkXNRo0+bww81yZKuN09v3vzAZkfLkB0y7n+rgV6scOEUJOc9N6E4xWZLQIqC
cBT4plnVPQidmod86mj/3Orhy7TGR2zJ/OyINfJl7LUXz/VoRqJEx3EZLgmSX25IrlR/dLQEc0Ud
PfUQsVeN+NgWkoJnLnyTrd4JbR2u11sVIr9rwX1gMtBoMWKTw36eOzWJ7r3Xq/9TxZOZQB3m6jgh
vYBtmvc0fYckjoloy3TwSm+EyZGbupgDsFum9jO8idyvVsH23HUq+tjLq2/Z+520olg3Ybmi5xhV
7tTPM0Gsh++vNG2MgN97tReyCI4EfDtM+u4oxvijt5q3MHI4qion7kIUKv7NO3QHKytrijEvTqKP
6mGhD2X+OslPqkI5QQs4ZPgRbUdNzuq4LP+kJrKxFl0nzhJ65fnQArwm35TPHHCVHm+cHIwaTfSg
z1EOH3qdqsV+272GCf9cq+UFTH98yrOprWh/Fvfa4uixX9tJzcdloLE/EBRO0X+qC5ukAOihqmmD
yMWwpoeAXxR7gMAoz9Z/ibe4+FaLLeDLY/rRgw+5FuOONPF+waOsLcK7UbwsDrKt3PJulmWl1pBX
W/vmEZMMg/0K1UlwC1yeY1a4Okc2rF2b736bh+90ZuNnIxF5F9ue+31pEB0HtznYkr9eGHcjynEh
59InY74+Qb0uDBWm3fSIy3Fty6zp2ppVqtdvKVpAfUsdMqHfM4j3hjowZdkiIJftPRBFPGF9KY1f
bFZnCMtq1vwZ2di+Uv2FLLh+nnyQhUXY/1IzHCRoEmHsXdbaIKywzRIcV8Rk/ifD7ulPKk92ylfe
BeRTElG4zksbXnEAzVEHqEyGZxWBrp02RLvcM3Hk2lvl61kDPfSruirdYv7HdmW0OhVrB5yTNf7d
EWUeo+1pNBj8GrLkwfdzpIrzSBIJdwGXFiID29QXsXVZWJqQgoMNtqjxvPohikQr4HBprz4khCLc
LLNpmgsTYmEPHNEdFQu8Mo5mh7rIt7dFduZzg2BcAcZRR+CG1WGFMYMu72fK4u7m5XkwPsKi519z
JADDOY03D6H8IkVSbt5wRHcdilR7D3nAbvAOhNVngpOoCPZoUkhZOyChUrT1hNpwTO23TNAblUCc
hDDvYoDG75d8bs+zkHFQ+ofxIfrkNr3MHbmxRZJm6n0XyYiq1plK3MIt4zPPdvkcrX32X6I77xVV
TvrFVDNyg3FB8HfPhwH7sl04DOUodoPofMowc6IFcH/WdErUDzuP/likyoVL0YuuTr7AV0QNTnrS
kyFMSx0H4d0ATceyg18OEOOjND7P/pIc35oM7LYAfWrxpF4jbE77eNyGyyKO5HPA28lL2o96O+PD
lj52S7ba4kNZ8wuAXA6lPKZ2KSOl65eqmynsJYvsHtqEbRAltJYX1f5P2nksua0safiJEFEooGC2
9GxDsr3UG4RaBt4VPJ5+Pmo2ElvTHffO5oTONSrCVWX+LpvmIWJgDxNgJqjFbduGwL5TI4IvTljM
3oZKdA5WeVCB0OmGj33pzkUqbgvXmnbW3IQob6e2oOKOW2BmbkJqfHHdWdOApjEGmn6w7OC1hRfa
nQdKKGQbvM3TVom8QfWv0/HBMOx2WvYeyMdr0VqatqWqCeMj09YwSeJnUwbRSKe7PJgKFF+OZhaF
W+Ex2Vim1ONVzm73CCvjfdcKreM+85rutUZREa1qZfOhSdTGwy7Wbo5d2m2m/q5kZNF4I6OpiV5c
e4iGDbe5YEdsLeO5b2rXWSchW/Kyzlo1Xg1lGGgXpYdt3Qw4O3qkWdrC7hgr118AJsz9xk0D39n0
cVqe0ZnUf3Ur03srOjlWaIIL69HIdfPFrg0mujKQaUrWhRN007KLZ++uqdIkQi1Jb7zJnMQ0MLOH
5E0h56ggawsvtYID8sy4WbW9R2wZFYiqH+BWHPL2Suw1S3dwiJcXVQW83U65eO3sPjolTWSZi9qa
QByzjK7tIP250qsqjEe0MYNRkzRetJ5cnb0fNUDGqJ/lUEj8ItEUPA5DAIeqozgOOR3Y09Y0yPl1
7rYe55sdAkZTYmHJGEuRvRSian9g+0nH2zLVQDfu0Hfe2tCyjPYxT+Fnq6o0fbUFBhGgKTahVd8N
gBaW1pymfsW87VWjwqhdO1ETpt94gBFCbRrVbjVihycJl4M5XzmWnX6rOCmPYhDjK4rcVC29WaFm
qs1eNcu5Ec63brRqtWnZRGP6Q6c2nsz07JiDiObALsrAn94sDA3HtEJ59qZ1Mhr7Bo20WKHei+vr
hIzB+WEOITaXsZMALsD5AguvkzHNsz2gctD8oCKyxab1nFFepeNYVEfD1JotbpyHczc1QJYorS0T
3YMZpNZ1O6kmWCEX7ByyctrevlfVaBPxkbAf7FDAOgziCIcYZV4l+2ir52ZIN5Hd1NlONWHuXvWc
1sYeqBg6lEnIsPJM9GvNFQdlJDahVLDlId0Z0IcXtvdx49O0C2XXz0NUOdOicjz4XxMF1YPjt7G5
4lzMCFCVWNwRWkSQo23u1ezzs1MdqslAWe7ARPUbBNkmvzqYEMkzkWNEbjdbbBpQ432xrbVR2je8
jm64Hlva+WVogocvaiwX9pYtce6WOV5aY+cLE01fi0aM25tW3TIUg/FKoEP9kOlWd3d+k1n2uhxE
8OY06E/iTGXBaiiC6Ec42oG1CFsrjm9HdzLAZbBnRTeSeOQ3AA7/rS9dOuF0FMq7z2j6BcIT9G3p
NoU8Q3AMb9g9BD0ewnUW5Q2VqFIj3+LsBmLTxO3EyD2FGJh9SkQDQnarnjbZ0HjBjRAB9bEcPFmd
GJUSxatON2c1X+K4jfdqG7QNvKTZ9DKUbWpuTVO3hOAHlW/e9M4MCTQW82TdBjZymI3pypmag9C+
3q3WBZaLukPvkyF3AwwrxnNBHk+qQt5QmhWwgK1ckh7h6FjJQHJc5L5t3Jom6GzI12sqLMnQ0tVj
DgFZbHJwgXlZN4Fkb/Dz9EfM+xYtPbjn6lkrNyZMAFsEHYhIBuubSvo+eyxqWM1lxKQWyHRFKTYM
vX6rIMJ++pNdYCKUBBveG+NUhNGiMrwMBKOa9GOatMKnBjekUV63Ik3ZlrKwetGY3uCNelF+naux
f9Ri6qx7fwwZBQVvWXyROu/sZZ+3g1goxiE7X5gsUKEdjdHzLmQ05rx081CDIibUUnI5jGryNpZH
EAZGHXcuN+PUjNfS1nQ/CNXm6DgAUplrzx8JNupyY4i/29UMZtx6ZZsxiwoGMF83gzc/T5HvnXKc
SppyWSburQCpzBlqHrThTS/p+9fouOL01ha6CO9Gq5gtTfXkxzlaBqqrCQllOXp3EyLn/glq3Pza
CMihNRkeRraOWtQubM2Ry+E6O6RjhUVHbkhhquiRtLm03/UmOmsYnnHMj1Ygz44bnHcD/R+zMtZB
ZnBSBFmUfIdaFyB7yAY6/+RowuIeMo/AyCVvH2cKAmvva9sk+WPqQu/gpclzEFnaV3PTpL7DGxRE
rVwihW1vysGleW1KOz+ggD5bq8dGDgtpTuqrdsWcnyBAKZ5GgpbDlWs2+SuQlcXJBQ2J+qdTJd4J
E8y9dxKmf6s5dnBNFGeJs4jNwbtBkQDLlnVugz6KHiyDcY5Tn7O4gv0PFP/tL5DfMNw7QEnlJnYQ
K1FpILVn52rNeoXx08xvA+a7muuYghcZjJf1yCIzYeXDMaRgjPeDm8zdVohCvyYVbfzKma2pp+03
+3jhJlH9c1Sj8xqJumJrKMxkmfReeiqDwftiYgZ5dY1EI0UMTSyGpus1alV0JfZQbZbpqx46w7yO
lYlTAjF73K9l6Df7dGgVc7lRy6kbqx3i7kuiVRcs+GxdZnrAo+qV68RonDvbQP9b+RaJ/EmRWZDh
9ei9UFUzKNfBlkDKUxBiSkPzjyLSD6aRJ+R2wXh2bUzRgltPjcXMS1UvsX+3ghpdMWe2anJz+No1
FshglpdjuPPsysYz6p9td/BI1PNLA/YowgU55RJznKfvlO6tW8CKtgNezdrvxei5OG4UIChoE0aa
+Sc10vg8wrN1m7CqqEY3oYuCtljQSg0r6UQZKW+0d/Tedjp2WL4Cxk80dVnIVRBpjBaFHeUPpe9E
FeKR3NHLtk9qYvvN3ihRbATFHe5NXjZf9uKKOj3wVsKoowcmHNjG9SxzU6+SsQumQwPSR+mrK99e
+eD7IWWX0+QLPgrkHVqb7QujtBpn2bmQfQFRNT3knDe+BHEXDS/zOINDa+nEHeKu82s6hKn9E7SG
55BgwAx2gkm+lN581jylcbbkEt5Q8STtnqkiNtqslVvbBlkbwxnfCOZzeVSHFk7dxofQRFIfi+sp
9rG2yzy2H+uwrpnf6EmkOE4YNsBpoWF0DCTqukc43wJVToYLAeg/DoKVK/VwzXiYBGyUO3mkOU+P
ThtgKgKIKvOlQjXbrRkRL3BdNmeXtDIEbG6M39NewGjKa6CR7rVPzX5YjH0y3eb0fDGHXhCM26I/
izYhoMXdKLgph76FrNjDqPUVIYFN8R35fEWXrlRx4AYmIyAd6lYYkNjSG9NPSyiG3jaxGCFsxCVR
zvrUGF2VrcKspOE3fH7EWtna+2ZZHYYDkFB06LktO8rvkPBZJnfOeL75HPIaYcJZ3DkYOd2j8AqB
iReZ4BJU039xXN95K0RS8u8A2i9tJsQNXWw8L0sIp+cwoExe2sNcYh7ogvSuwcZmLjx0i0C9YHML
BOXAKxxKqH4rsObv7L51uEFLj2mQRzJamzEORnOhrGziew99osCpkDr3Np5FewpjYzpF0izECgVT
Xm+d3B9/5TWelEWiWqhDjw71CQqjesKExDHlWVmqdmaDDv9aQ1p+z9MA38KcWr1aR06U3hOr2tPx
11Z3UBUM/VkJ0MF3NHX+YI86k2tS0tBOhvOYXAXMacOTVwhyXZxKufT+phUUBVtwXPm37MEG8q9A
SQQ/sOpx9WqjSCIBB59Pk3yL0UQiWeSNyK9M26iHlVbKxzoSMm/hTgja8JNdF56+Yu/qf5E6YNc3
NFddtK1zVbyMTEFTKLySsnlMKrs0NnGReYcYeJKzNRY8WC4EWV0vQEaIErBQIVSJDZdHl9ra1yau
yBrDUzbawzovADKf51yFp2GE07sB6RT3qfAyfZ34DqB2a1VWfBjcRunroLDO0uzON6N1NlKxY0VK
5+94iKGO6G0oZmj94JzhiMOvXkO9xP8iUL8sF1h3YYgMu4HH/ycDC0N2uNPz4PnLIpPBkXCpuFv3
o9/cDQbTwvcKotj8EujAerTbpPk22+ZQI1TqqmhhZxVtKloFv3XRTuSpES261GcOoesi99lrkYn5
Gj9M6d1hsJ4erCJFCzEmdTeszsVYe9VUbjTyGDOMfvg9INLGLPGMVVLpGgllPFjBWoqcwwIlVbCD
KeifWllYLyAvCXODujYhWL1xPG8ZRqF+nT3PQubdi0kssH3E3/Tst1/9IjX4AEcbQ8qI/PSHpEKC
QWyAcZYIpMf+ZTDSDhavY1fcQAJZ9k1jjvTCuIramwz7KyY5P2Q7onFPV/5UjvYi9HJE0z04RMmZ
MMMOdpYt8E2QjulsbEFtf+cPg++fXHxD6PzcIbw3AA374+gMPuEMFu1MAehuILnF0hkQS2UU6Gly
bKrtUtSltna2FaFCS+kj3NUEp+cvaztsHotU9TjoOoxCkL5usO5tS9j7uikr0gAi6K1KG02z7fMM
N2vUddnK1LHjsHsHRY0+n3mClFvia9XPAiq6qErw1sTKdyZw79nIpvM1aIRq+H7GOV/2iaR362wZ
7YaMzeIKQ3yAwj1OjeEL1U5O7BKMV3xI0c60P2ndCkI0soBwoAUQaeZyrkfTocJH8DzIFvls0VJL
LCwph/phsn0bRd+MqpSf66nsOfbdLt6T7dX/SCMsSgu0SjX7Q+VaX1VhTIdUTLyEZVxW6aavu+pp
TMb8wY2zGRhiqKfXjsP6R49CxTlbpbpTEcVGtSKje5Lo+wW6Xtcb1YMKJlSESnvWSxZV561gcoN8
ie2uyHgelHrLoUJduYjrliSd1kYRtvL5ne5iYi96VmRNILbScfjcBlEaP1hIuaD+2Vezh1qO0VOa
e+OEWrHtToDDuuJVnLHTdKHw+h18EDi8CttcbYSJYXdRgT/+dCfqzFVjzcmhnQI8unMXNYhdMMc9
ZmTQBah0JdEtjBqdsNlMcfbazpUXLsrBQLDK0fhN8HnrFTLS4tUFfid9Cjdiv8LOQZBBMQh3CTs9
vJAQN9m4EZPkSF6/z/A9Txhi21Ji3iKLiF4QIqGpV9WcEK9KdMcLJq9eb4goDuttgOApRCrepPW3
mXOcGkyk1gO9pRctc6tA3S/iRt8hOxnjKyRLIf+xM4zF3iFcpryZs7zb1bPWvCUwSjHvru0ghYYX
eCG5n0fgNm1/SOfSftUS2enCBc8jRFcPIN2Gj6UHLZGDYApkuHm0acy/4/XI220eaPMX6R21XI/M
fpp2E/Q8UzP78Pw0OhmjsSdDau4g+MSssItUFVxvXcnSWrppNRGfzgUYB1fP5TOgmDwTf0PxwqZb
HEZqArEEpvWolpq40wvXjuLv7ACducAWNvo3E7EVePJk4l8BF+P3Rwybp/c2uQA9l1mCAOqu9SgT
/XS4dW2EWWx5FSmicU1JtYjTjA2nz1TjPPXkskXfMK6E0bZw+uQG5ZTlgymSbMRLiyyjAqQcdwAq
NVR11JGpoBL0k0tHJszUmmzhyuVcuQPuAFX4P87iqtseEkFs58YbFAV7PenrM5T8LZYMbUSd4FpP
qZI+0PmIW+xYmkNT30NW4TLLvXO4gRGnpj5kVtGm684t1Jc2CSdCh6nOjgHEE7U8mqcvlTlha+ll
MYe73oinghHHEy2y36c9BEAZZgVo0Vm2AQjPi8CnUGNyFL2m3nfryTwUzRweSe5JbjrTwYm9YIPT
6UOOcc8/OO5QmFRpbYL3eylsYZjiQBQLbcSmTGoVeEu0Kqp5m3Pm8ekViC162UXu2e4wbpj3SvjL
HYJ8szZP3tThsNqakYxzXD04AvPw3p/IWKivPQtVMJ0i/ZYVrh089crFooI/PN4zzc8zmNuszMyg
TtVR/c2pnFnQASJ4WqVxX2FNLxw32MQB43OKVamlJJY08ai+SYDqRfGrasIaUSak9TDcGqVv+w+o
1GdvLcthoPISMUEKVtm6waKzzOmnRYJLeTUHFBwwDHZVPA5xkFdXETshDT3TJ159wpvEqYHUP/u1
2eS9H0afD+FJupMPcePJ1Cehcoyzbp8a8PzbwhqY/3wOEwFsGcI8/DZPjs73UzVE1q4F5wxv/UEK
54rUP/ZM2cxRvhpE4o4PLd80g4gL13FwZ5CJ8Fx3MpmvGy9VwS0eIxxXkgYVHxeUKIoIk6+/lQu0
eBizFgVfl6JuxUSyBvnQxj3gCeadMYW/vTKI2BwXghAYvp6ZlAJyjDJ0OWHrT/y1MOn9gs57OIN7
NfMwh7xADeeb5okQ3xRtfTeaM2ZiH5YA8UXypHrtfJPYaDgvqsG/N6u5YKCxBOac4BexC2V5QmXD
uVPQiPuBWqRuMJ3sQNn9EX6KM4wv0n5qLI8RnCHf+KE3+p7IAx63f2Uo7X8fozp8S7kB8zpCGS4A
GkB21p12mu95NFA+DnYM+OnmkEiBNfB3xsE84J2z5fy1mkMj2Mm0MvQODm987gt32BSOI5tt2wRj
fyhGTe6Kh6jgofcB99BO4AXejUGF75QMoIF3xU1JP+15Aw9zyQl7Hblof9BNsjsQG5QEa9huvZvz
ua3XZVuX99P0+7yzzPGptmDiUNFHUJlYaApnGbGuu4wG3xxBx1WK26Tu7HEXlGn0QuxITNfQ5f4N
hlYyTwY7K9eZbSp3gdwCmWqsUKMvAG27csf2XrFn2T3xP3MU3QF2mXpB2w5E1wg6sDNwZVrrBi/m
Azw+/LRVZ8ZxiiLAWh3mmNeD3u9+DYPT0p7yAVXrBFEFrToYcQkwiDPtEGISDYh+KM1uP4KhXHtz
i2p6ZEY7A1QJ8ZHXnVV56KzDBgGFgJ+t+aDyMVlHVtVwaWHQzjfSBQDFnq6Dfjk04NEL2ZszDUlD
/PAp09YYb73Gi85GrboWN7LHWQBpYIDbVXrsx5XI6biW9L8CAcWUIMZyywZLSdgTtQAtlyzCRlrl
Sqbh8BPZDb1fgOKUkMzI7ext2bghVhLO621JtOi8Jh1M3Uc1qQkrsjv6OzF48NxdENA4IdDjPcsQ
vD21QW3DGPtNs3JtUGa0c0LfEQETg2eR1qBvXILGnqdyGINDydTZF09MepVK2fVfJwveGwR98hPq
Xkh7vm/IWgyzBIIicNS9v4DQEcWSmFAiXswEKHKN8ASRq0XIAKoLWjMTz6ZWL9W57VkFipxgfrFT
5XvfnoMnLVx8z7C36sGtxLTCXN4f615nmxmla4iQ3ml/YONHwINDBOSdnD6ajRnAV6zp4sWRwBn/
7FiGLF2AQKZ41jFxm2sDnxPhHQiREREinMBeWs2w7TLX2UuaD1lw7WWZMSLyzsQqTxwCA3zT489+
pUg5G9Qw39Y07d9LfAaY1Y0huY9mrSRmOuwxCyTInQVZibh4k5jQ/LxnfnNdCjOQTD7xdXFf2SE4
SiGK5ldh9tVbCTTML9CFR5MOYjC99SrXLjhsPR5zoK1hEReB5f90hAF5ZEHQb0Mz9RnfNJntAzES
TrXoIy+nK2qrIkcuUFtXo61hT5pCReG+dBpvXvmQT9Xa6yRzdTxk99fmOWpoPZVRf2Rj7dM1FBOC
NJPtwNieJ7dZhyrvpuEaKwCOiYEMEnNfx3jEfJpqhICiad469v7upoMTDU5lY8SKPmWWKwENkC2Q
dpIch9swMpKdk3eYwWLbjb5hGUiQBDf+0B6jcHQaHs+I3itpOmfTVthyjwS9y+FW9MEIVYKjJU43
iBk8XtwhxRpo4gL+HoMBfyNHp3sjErBJ1xQUvUtQkI/nkT/L8tbF22Ds6Vp6iT+4LbN1Df9UkgmB
kwZQIu6RGwXUUsbSZ8ZYutEZjRNfVgwfuIy1ZciVkwVecMUuR5KnsoyzkohwPfJo+nnoTpjzCTLn
xa88Qk3CGfFfu1Sx3VnHsDEKdCw4iuOBQy3CnKGXJpt1fg8GNOPRZPSY2gytH5Y7X6UYFKHZOmsz
k81pX08DdNsZCZbcHY7fFa3pHC3jzGx/DF1tnXKbXOts6XegPLcTgwYJoyocEbBlhlNbX6O0ye0v
JpES0L/KMIY7IKpIPyOXjEK87UgJ7FWC5gVJjIQYBBskWaV4jt3e+Z6x0SABseAo3Lm3YXoGh/BH
dG1utho0OnTk4FCum7xK22CfDWgot6T16GbrDxQsHIgIOfylSHRaIXZ2fBI1R510V2WR40qOem3d
jmMoQh+UOjKtt7mw9Y0sQPe/uKi6zFOLClEs9Ty13n1StXVw42OWBL2oDIOcdNSaw7bGeGt8Me2m
L5nny9/2kLng/Tu/1tD42F8kGjxs4qmdr2QQ1net0RZy34EteIQwSfmQyDgkCl5Iius6HZD3GGdL
ZG2GrbgyENqk+xHXdrhhQ0YS0GqTNtPXLWkDuetFr3SYY7MlN7M79dKtm3U8OF2PULk1wj3m4lAs
q76ccHVhQzCNaw/0ntyuwI+CuyCt5PekMsJ6X3l15aFN92lD8Pg6r+wpLRFDLTwdgU6h16egDa7l
wZs1CGPqL+XMCVhhpMuj9CqKEtG+eoKCG3AAK/y6jKfaOijy6aJdmSBCYEIFAVILBZLHhOAsCdMX
slqG8KzSVeK+rJuqPDIEmBkT2rKb5tT4NaK3mWcm9jiFQop2aSirfrS7yoGd7hpQj35I4nGVN5Gd
n8DNx/HKchD/GL3l4AVw7TLAztb1NqXiqIZbUqfnH7bXqxhhbpu8fZy0bL5PuJYkGaIlUUJy/sqL
dNW0z00P/VN7i3K4ix9klq9zlHgsiMRJLGYjfAznbNOV5t7btcslT+qT+GXzX/GknkRkJJgOwpiQ
i59QO4VbjT4/gbF2E3nX4ZoskRWSkNt8z8SKZbj5dLzAOZ3170xZrtqSTFhiSAh+xYtEVIPL6jM3
7G6HrJ7WvWYEikaIBRU8MF8QJwF6CkZ0btOx7jaG434tMK3tRR/JY4hJIfgk4/bd/AhT+mhKGXjv
CjJUL6PMVUegTlSW3S38x7qfdkn+0w+/kNT1ycN+nzV8Xoe0d2428T/exZ2eB7OTuJO6W+9ubB/L
5TTu3VtlrNulaz7Gxa1eWeE2J5FhWTLO8Zh/NovkH0/6r/UvQnNBQCJJzAIm1G+01FXLSFO1xtA3
/VC3wwZx+Q7qJDI3kf/JDTb/eeWgmD7jsSXXfnnlbswsPtF2DGCplnN3mAnOoNsJxZYQAp+TUlV4
Cn7Rd4I7r6uz8LjdT9YvORibqkw/eeXf3wcQOCHOj/s8avr3KPg/ZgzoFqNnT3jZLfTOMaw3cGi3
SX3/8dP+5yIm0xt4v13HvHypIGmtMcPCcGva+R2Kvmuru0/sh/9iEXpVeABKM3k5ezwtQqt17KC/
Jc322XfMn9jX77zI+iQl+/Ja+CyoQTAEuj7AovIuvlfH8BvhqYo4pfhFm/fSffLqT5a4fENYwhTo
ShzTVBSN5sXQNbPqfUaLy+SIGrVq1xpDqbPT2Q5hxce37PJjv1zo4lWkhlatR1l2TKq7Nr1Pg1/S
f9Pd8eNV/nHH/rqci08tZmjBnGkzOTb6TcY/PP84fzal67M7dpH4rKI0g6zkjmX2sumOFofXtEYG
7uhP9o3PruXi6VfGGERjbCVHN34K1CGwf9jlJ4MePnso55/wxxdJGtto+z23awhOKjzwUERyPzX/
4ddy+egv5rtEvYXNSrAKYYLLzCwJ/PliO3f/vyd/fmx/XEqMW4DiSyVHCxtKavz0EM3zkD5e5HzL
/zxA//dKqCwtU0i+nIsrQSBQGZVwkuM5jmwBc3YlWqy4Hy/yz4fiwcYrDkUHgdvfV0Inh6qZiSjH
qDp6hMompI6a8Q89VJ8s9O54OF+OVGwwlguSYlkXX4vbF6aIpjQ7xu0N8Ebc3GC0X8dIB+fq66SA
7SC6CMrczPIYuF9SEr6t3FuOUDMRskufPLCPL/0yTf3yB118W2M722T08oOiWa4zctBiJeF6w5U2
Kkx1TFN5+XjBf93rP+/AxTfGDIzAaUCFjr2/ld8KIiZzD2Lz0zt9fmaXL86f61x8aLNbg5qi/Tqm
BJnmKJfx2iEPIvfN35Kr52O+TMeNiwPi4+v7/UZeLuxZLqeeZSL2vnxjOy81Be6Q7OgXxhHrJGK6
Eyl7+AFI8DMe0nv3jVaxv8mvnJuc3CZw8M8GjfzrHnu2Byl3LvZs5+IeJ1akugnZ3rFaRd06Mhim
grdfFZ9d6vkEeXepynQkPgMlXeviHk+mF6A3bLNj3d6D+S6ITcvo0syvwcK9szcka6Hiy5af3ODL
oR6uZHQT5YwjKLAc6VxsCSkaLw3CNJ0k05oEjWxDLgQTmpP+3hkezfIaZDABsencrSffxjo7nZ8F
CpiJnLBqB9K4UX3+ya96d0Zd/KiLzbCN42kk+206dVgvp/ExJgrBJ2OsA74wy83Ht+DdpnhejNra
ImHHlwzP+Hu/qogBVXnAHXDDe6CfhdY///MFHP7+82wokpguOyUwSzRGqppOAzSeZZHVbXz9eIXf
Zc5f7w7X8OcSF9dg9KPyaM2nE/XQwvFuIvsH13yw0/VAfje8+J4QkL72P3lO/8e6dGKuqyjA/Itv
A9CXEMSin05pceirr+Qiroyzec8/Gh55SG9jR+7kZ+Pd3n2QXCy30WVEIJNOKGH/fmANhpYaUn8+
GaRKtzkGCb5JpCu3dvTJN/mvlZiNbdJtMiODySF/r+TVQaCHsBYnO5R093oZJHsCxFFKfTLC+rOF
Lu+jX4ypHWbi1JEvcMBmaoBXEqHLh5vt28n3Vh+/MP9cz5UA9L+bGe/ijJ4AF+iIR3GSTbrI2gef
+omE/Drff7zOuwNROmeMwJbS4dWX8uJRqRBxEsIXgQXePbYq3bb1Y1hrspVs+Bl56kvx8PGK8v3e
wZIutQ2oBE3H5YaW425v7GESJ7ckYDWzjbcmcLynfIbryQn+ula2VV418HZXdjObP2Q/Thun9T3y
ipPmkCdwWrOJV3gRhEl+PbYI3IlxU1dkiSy6tnptMbtgzlbtrieaYtHCfSyNwTjknkr2hHtGXzGZ
R598af+6kRYGGJKxeOOlungTUdOUeE+kOJnDQ/E1Id3SXM79qtWH6pNX8R/fNL0tYZHgLGyH5uUk
VuA/o2wqn8+L+PC0MjeV46zj+cryxmVFvs6IPWeYyXeap/XHz+79oztvIww199gkXQq7vz+3skkl
0zvG+eQ6xob8A/I/jE2fX0UI2Brr9ePFfk9D/HvP/Hu1i1uK0d/k5Ovnk/6OMr39Ov8wH8SVv0k2
wcrey30fEoW48L/lN+Fj91hd6c3HP+D3vJt3P0DSftO3KuX8njD3R8lvG4T3oEadT8NVeG8vERLb
C+Og7p3VvK2eD/EpZ7irv292yS2SrE8Wf1dtSK7etjzl+4p/yPMO8cfiKcFISITd+RQ2xDdhq7qO
HEYzJPkXM4f8JfCZkLj2rcQvjV1s1Vrzl//mF/gArbzX0gIk+PsXjFIhhyd55NQ0Bh+Xfga33Qfj
akjUHrv6K2ZpxPiOly466tqPF//Xm0bFw+xtZZ7jWS/2pS4O56SB9j9ZRfPoXTXu0i+Kh3z+5VXb
/9dKv9/CP+5zBO2OZ8X5/U6XCxvnPIT8VT5ne2PA3OQVzx+v935nP8NG1OoAnYrj8eK5Fha6Jz8N
xYkrvOqcYEMaNKkQ1b3Xf7LSPzcK4F9cvxzGHP4XSwE6R7MtcvakY+2UOD++J80jg+ESfG5GUC3q
TKzr0v1sf/rnFf6x7MV7Q8iglaeaZQ232eh+G7d6aTjVbZYEj0EgEZWvo7C5ZS44YdErcr46Y7iK
/XRdgc7rz+aPn6vyy4+Y0waE0lXEszkXb9Ioy74kqFWciiGLt34//mLq0IBjnpiAj5/sv95ZOiAl
fJN5RuryTcploZCzct02BFw6k9S8QzlZDU8KD/PHS/2GMi+v6s+1LtCuWY9VbWepOA2qw+rFcJkl
/PPONoonVBWHQVrGMrHHm7nWd7Ba1/lsP+TZfJOQZ7UkajpZNzlqaEXO/sL1SRIpTAsflziG5EVH
c3sXxiZBhoaeVyUIIgkXEDOB+SPy1Faib1zWMlg7/YAqWzafbPzvyBNGMrscog5iXwn66V9cnFsn
MfpTTVEiFdHGVnvo0u5FqDlZ5lnBtCereCMTeV/W9ivk4G3sRVeZLiU+YmuHMHv+5Gx/34DweyxO
AMBSpgj7F8UYpScIeNCJU0stsRiUTJaIa+1PVvnH5+pRICgPIQPtHljl3/tt1fmM3UoN81QuiHa9
GrblsE6OCIKTekPs3cdv0PuP9O/FLppZjZPfsKxQnjyNgaKSN7l7mJmxhnRb7D5e6t8XxuwAB17I
EtK/2BAswiCtCkfPCWPI4GySlfsaHYjiwjD/NP5XF6YsX0pB8eyLiwtDET3HHYg0Xwb9KHmKERGq
KA3w4nx8We83Fu4gJSw7uQ/jdVnxESuUzc7EQnPXkNoi63nbMttqG5ZW+EmV/s+lHMFL6BOb4shz
8fnHGWWYU151NEAnDQH+C89YvAzjofjuxM73jy/q/R7GRZ3bAbR+0hfe5aMimVr5ISsVKDLQbBC1
c+WcCPhknFn2CTVgngu4vzcxFvM95fmOZ9KIXGzNaWanDZNL5KmCPcLoi+LjiflSO9t9bN3XHBVB
HD9jfSRzdZdi7rSiT+azv/+w0Yo6dCFs1x4U4cW7UkRYCOuBWSHehJadEidfFSJ3/osXhS7O/R/S
vqu5edv5+hNxhr3cgkVdlmzJ5bnhuLL3zk//Hjr/+UWCOMKbJLnwTDzxEsBiG3bPkRHKCGjepKQA
3kzA03QnHhDU82iNkdFQKKam+Hj/6OZu9KUYytvLJabwwd0sHrIYRnDNBUfguqIZ7L4U4TYuxZ5N
IQxWBL2n33jzasw5F3B0h1D6HtAcyUWnGpCqabKM4m90LBE5Ab06mryP9wXP3YFLudQuDjnq75I2
iAcPD7hyIm+0binktXNfiiDO6OSlGGoXJTWXujERxEOaAc5AdyUQMaKjrSpR/Z/aQkHqUbcrZEHl
HnjewRrgk8ku0qJgOwCXgPE1kzDqgoCz3pBl+B64BZW6jXKdYta/87TDgNYd1BqQ+QJlh3ilJtlA
IW7s+4uf7hslztCQmxtwPzhZWpyLZxQ1kgEA2IZ/JACLo1Zmev1RzKGxNUZ7vGbjFxXjDt4KNXhM
2SuyrqK8hzQDH3Vh2zBL02KOLdIOQSEsuZSMT7F06AZhG4WPuro2VIa8mRMGTIVsIBSUkMjCr18L
lNywR1NlZxxEobELIIBUwbGIVsByBxxdSYoWbSfNWZYEU8PQL4wHY5dn8lp0KeuYyZwsH+LSSQUv
VmxghkYP5cE/Js27YjxgZpXI4UJAT1zUm0279HsgMGLLQXTAJUc0MI7DTsPYFAChCoCHNWoCasov
QykYNae5ndF0ZCWGJOkqcl5K9zOMTqOVR3APEWZu0EvFV4gf1+hMb9EZ74NaFYUhTBu/qk7A4mu+
6VaZHAFwwYUp00Y8RbO1t6NUo/XW845dIz7n5SqPzLpxUGAEEP5Oa3rbADhryQGEyhgXWbJTgoPA
Lb2gYly5GaeEBg4E8UjOELIgEr0+HYzfYEpKiLwjhiYtSXnmR1RVyqfsU0Tvxg4dvHzmmcDasbr8
TfMY7ve2inQtnHL0earULQAzvGOU6k4xAOkcSAuG/Ae472aOtj/BZdH+Ttp+feex2cDbl+CfeENW
qdsQDDzaYhXJOwLCCZOHAdraACVpLIGUwnqnmbnpU3CBa4fWQlmj32lA4TUO2qB5R3UHYEk5WKX9
XusMEquRnRVvnM64aCx51NLkEHQqYGvzjnkzPUYBUibdNuDqwzi/BRjR+7bztqwpofEEvUYo1iDf
RpR7rTdo5hNVgJ+Ex3HYe8tYXg3eTg5/WhxgFJ4aGa/sgMbPnUH19nGHErIp9J+hBWwmzhS5hcFt
KgAiu8BQLXLOLLoFRgV9YJrHYcBKNG7O/PpTJSqfAasiIPqjJjxmz/4bDlw/FN/FGXBxq3iNbrSz
i151xvbcRFqUSMrKd6COBYFhFx6r7k0Cp3fzfX/7bzwl9fcpmwpwOa1SXfx9uQXSiF6YmBQugve2
efvncnRRRZVXhX+U6JBVb8s6HcYhPNbdi1xWez2HSUrU4Rh4Hcc4p5tYHGvSZdwXBI7wyzx1TGmh
dDUXuViTlqQLvs9iwI8WyIHHPFtWQ9OuMPjJiLJuczUJ7UCINmAOYI1Ror9WY35AYgoAuXHXmKAz
sbsFtHOF4YeA2bZ2cz0hCcVVaUqoUaChw+JEwaRi0Hr8DhVrq19xe0z/OvwyYHi1W824FkM5tcHQ
/CTkQHrdrHsrWqJ5VWTlt7fKPYkw8KiBroopfrreMyPQEp6TA35Xr1CdtjC9RCrr0zuYa+BMbb/+
qQZeCaNfhlCvBHXeiG2Llr5lmOJWWN0XcKt21wKoqxpP8dHA/55LZwNvZov2AcaZiLcW6FoGdV0L
3gAuUufzO+0JgyEJplowgPPYb7F9L+5DYLpYWWcFBxS9992ncXRJt8IQiqNtG8Ylu/G4v1r4v7PT
peuzq8H+WyRdyO8q28C7gmEa68DSGOu9TZooKZMGXYR8HcZrKgCNQkOszgZqnaNb8icRCWpZjPXM
36q/10M5PaCdJU0bYj0YQNuEFmdqR3HJWSwxs3biQud16loBvhjjxilOsLLRzWOhIAg7kb63C5Y6
CqwToiwSgDGAKNxCkns0lo09XWIMmByjc74x9uJKMgtHfAH9l2FJDKfFuglUNAYee4CniZAsmr6Z
byTbY+8ja3WU7RiLNiow0MXvRsdwkn4pfSD8NtONTAQTcKWmujcOAGw1Gstjrm9eLVHRRECGZlZE
LddqWaShHCh+PKkloAjXsSWuCgt9JA7onxhW5Ta5mK7AhSzKrIiiCy5CkDXspkMc7GipLV0rXfpL
yc6s2L5vw2bty4Uwyr6kii6N0+TUbvW4ZHnI6f+9ipiphVAWo0TRqpDQCrBroYmBnUDvO6u3TeTl
VvByfx3z10xVNXSPoAiAl7DrEwIgTsJxacGjhzxaArLFzjfRId+5ZsiwG0xJlImSOaDR+xIkTRes
Iq4FALB1unZN1q1iSqJMlACwY76Y1tTZ7aoigY140JK35SJjNLjO2sKLzaNsVA5emtgb8slG9ZZs
Tu5SW2O4679uHW2h0mbIdAULAiTiql+FVk2EHxOIXo//URsogwRAEEMIJSyodADkQCpi7CNTMEEw
xVgSa+coq9SA9z51I6yogVeMMTSCGNCsjzxjQbPG7+8Doh9W3JxrJNXAenprcr7iCo/4JsvyzFhx
dAUiYBdg5PCWTZ0OWvXxPIoJZwjxzRBChm3yL67plQzqYMYQXLCN/qvSABqySE1ItuJWLK87s19X
YqhjyQ1QYGHQZDoWkPeaPJwf+CgYZ3/7/IZGu4sNUymv4AEEIRgDkHgXBPP7Zr0F1agVwlYHgB/H
MEls6iyR0q1NvRJJOQfQdMmy2GBh0oN6nOwqZ6ZAkieNxVvrH5ZdmPN7eA42kN2g5oGuMWofBYAD
hlmrTX6vX+Vv+abHLdLeAwvEfYyl3Vb7pt38Wxbdbd2BflTL619Zyb4FcvNjB2tUoRwBHrGt+OQ+
CGb2JZJ4zW/cR6axncw25a2uxFM7C5a+EsORv+Insx5baB/9vc2FA4YG00eexzBS01+8kYhmR3Rq
Yn/RGozfX8S6oqAKMTD6sLkBwYD5Jrdl0ptgfTcBbMyw8LO6imwVfaEoICqyQjn6ukL5va4iYZck
mLL2JyD8o4IU7HXsjoq3rpKjiA4l6QSWXNJh5lvjVNZ6ZxLMKWH+3ydMun2xXsEvgggAswLcmWjG
lrFPPzBh3b25S7yrmvqe27pm9sHzDLm/I4T0Pl/KpRz22CscMDEgt7K5ByCLl1Zg6ea47fbwq1vx
OTATQGiDuM5yH+p3gFJZFesBb8ZN4OHMUJH34in0phoC8BfsPXo9kVsroPe1/FPwGDxOVhZsS06y
BW8bWMf8x3RfkshiGarZq3UhnnYfXBWj4Ab20Z2/VR5qa1du5XW9DZaOI+wX4Od9B6PbzwjVSxcM
HZ+7VYqhyhjxxHADflJnrnSZyA8VzvzY2Mqy2vnw+e5yMiMiETfsPOG3Jndz2hcSKZPFq+3gSUEt
7ACuB6piuzO1p24xhTTpsjIHG4klCjaArdr0q24xJbLucjQNALp/glsRE/AOOz8SZ0JhtLr8bxsU
ylOEXIDh4hHbYCyVB/2I1/1jsx4dcMEg2AJTffpRfYKNfpGb4LVAQl8gsWCcxEykf/UJlH3r3CAE
OBo+obdiC9wEVrZzD+JqNMNlugM3tcmdWAHFXCpzJZMyOkjXKpUDRTaOIc9JtJR+E20MzVtoV+me
jCVjjdM23jl7utNAKyWlk/RS2P2RNj7i8h5KlpuGxRTEOk/KpNSgi09iHguTcJ2yfWVyJkBhTaCj
dBbotFeMdTFukUIlAiXQWNxxWldnT3m9iyAjWbdYXnJwYS+8f5WEXp0clREgz9LKJJxODpdlSkP7
bWVqj+lysNCbzoqimYpChZ4TP4zMuVBOf9tayR60Rr+n11kAI1rnLIfA2k7KKPX1BBWvwUQ0cETt
CmNqYGKzagtgVba4cpcujAB3VBBi56YG5QFNOGpdzFOddQoXRoGyVLoHHINSxamClPe3LgSYKbN9
mIyVbAHv2qwOkx0wLI5ZzJMmX3vnptChqwrWQiOZbqZ+dNfFHqbQBsvm3nupLbRJY9cfUOZ7QMvb
0gCzLGnX8bNaWqMJuvqWaOvGivfxHuSt/7IGeKl7KmWpwJSuG0oLZcjs58quUOM8LJQjT1hucTa6
RdewIaiY90BYTSk5puyjsIk6Yafuxk/t12KAsNgGR8iSWcidC/YuZVEaXnJNp1aAP/ktAwpPvdMt
2lVrTfY/XXqHmmiLeD+5xRAXGpgx5L4JmVT69rz/Xiql8gAPb0BvAPHNGkCYJgrHcHohq6GVtUhK
o0NVcgPgu8NOmYjczfQhOE5mEdwFD/8qE7rYUNqlwtYLAJmHLLy6o67anlyrnbwnjk8k8r9L9tBm
iZEFtMiiuYzSyliKUWAahL9ua7jVd6OF6qqNw1u1uA+649v3j2w2akPIqAKPQQaopUqdWdJpXpKC
1HEH4sSf3hKfpXp1KixhUWy5wQbe0jLfZY6/y5BocguFFbPOHSasE6AhNBHIfPQGNwNwkBLwqe0M
3AwdGoq+VxNgWRaidFZ2Mue4L2VRm1s0Oh/XAJ/aDQtk7DvD7B9rkq7/P/Kg6Z7RF+FSEhWSABWw
r+QQq9IegBb/3p60ZQiHqm/rn/I93ReOjEcA1xwe7x/mbdvGNJR3sZtU8gM7A9TcFisEMegx27eI
SZWNa5U/2tozpW+e1EAaYcicPUH00U1dUaD0pI2867pCVCqNCD/HkfYhW3s2TnGBOWl+828MjHEh
izpBARAyQTHW0Jbl9BgafFcrNLQzgtg5j3kphDq8VlFKIQIi4e+dn0wnwvqFggDv/saxxFBnpZRV
N9HATPsWofbergEHT9DFzbjgs/7ncjlTnHKREJdDLuLBuhXxsNs+VEdp49kZKlXtQn4JGPPyrCVR
EWQtdqI2gsD79w0ZtNqVBa5kaDvrhJhronxqAB+n4zlehE+d4n3Pnsxyb7pE2BUv949prj6OGau/
9ZvyqREYMzPBw6JKC8M2+8D28bzgLxG8/UeFoCxxlo5AWpqUG3j926kmNdl9LIplBqdTuDFOFwui
/GeWCZU6MUrCS08+LVrK78N+SlKBpmgBWt8as4Xx9d92UaNyU6l1hbryIXR6cuVRmEnMcQ0IP9Nl
2KPfMTBqeYBq4SWUqnXwAtA901oCCORYHkQ8E3b7aIlmhq1kfdboAugszIa/n3HR7OLpybOOR9bW
zgRAV7KpI6yArJlgMELcbV7zg2hHm5EAlNtsTQhWTMDX2okTL1h7O1mKeyumDrTWCikXe6x43OLZ
F4C5KN6D+2abHPq9iiBTOjEOc6bGdrlMutJTAdlOVGIsUyM7wfI2ufOwOtj5vjqcl1+MPZ2xKVey
KJMfjuh/lkMsrrFlVLICVGlD0iwVxuWbi4Ou5FBW3+j7AIC8WNMr0MPfeJNDW8C4Wn2j0Ze8vYkO
4DZB7gd1ZbWqyTOnJ/w2+agaOv3pNs8qiGrR6Atsptzsk6I8R3G0YBzYjI8WBXQvyZhWwLSbPH3D
hQ8I0PcjSEM1Xfm/nl2iXb6p99MrPbO5Yn49f8uinAAgviXgLE+yzN8SrE+AfT1FdlPpCW+ylsEx
k6w5hUSv6tQobaDfj6fW1wRD2TRCKe5CtcIIpM3xb1ryo2pM0Ik5QSKP1lh0TUoTrNr1RjZJEyVC
KIs7edEik8crJoprq0d0x9qig1qjxcOFMw5vzqhcyqQWp0QyKGBiyBQe3GPy2DynK96WrBMYk8zS
Tp/jfXKq95LdLe8LnjvIS7nUQSIVyThQDYk7wIyCscGplO/7AubCVcwF/b2blBsHZYynyREkcABj
nACRNcvNN7wLbpbMTtt91S7K/KNJuVWuvOiFVYICmNV/PmdfLr+Bcu9A0BTSGhMGO95019HmI7I9
m99N/gnonTCjnYVnDNBuotuEdfPnemmu1k+5i1ZswCTXSuIOhLF2tG9X0lbASHNLWhITgAgPlupI
dmnC3J0YW89SKspnyEIuYohg8lQfuw8g05LT42JxwMNAv3jqCOsVau515HKlv9b3wgAlGRQJ5DJI
vUx1MVofBXn4E1srYKLAOarwzOWUT2868vVfN/n30y5E+zWgqYUBmww2J7zTcmRcPZwWh6kK8g4C
JRRvj6yyAUOnfgv1FyLlUtR6PJ9O5raDyNABsiiq7awM4hbQCUCkQNuYMAAwaiTRSIdayQUgilIm
/QGVRLhtnQfnISDf36Vd2uBqevfMH4beTG6QjjUuRVJuUqoBhB542E281aK9IlsXKPPU6/JRXeYm
80Vr1gRdLJAyt2BEqxu/wAJ9HxVpZ3fyfq+G+Mp/KmvOyq37q2OJm35/cW6izGlBEkCcEmVk5Pdy
FjIk/Hrze/tHGVWjDUE74f6fNsqmbAd2ZuK8phsQL0vzB0REDJmzVx1TrAb41mQMF1AWjkOJBbgB
qrhLX70ExBZW/oK220KyQSF8f/9m9f5CEmXPoibrDKmAJAnkNKOpKqh5BPCJn81XwHLFs574QhZl
wHi1LEugAsM7Af59+9gBr5mRzTL2jU5ZqsobZYx0ijtwamLYZ4gIUIIM4gHTk2WkGBtHA3cqgRcr
mq9N+WyQkGoHRoh8IJJnDkuQUd4/pLmEFmZDVw0DwJzCzWCzFAOYOFNCaZeErtP6W0wUGW3quGMG
VrgvI9jrfG1JeeIw5M6lKZdyKdVXqy41Eh1yqwLv4irguz2zwFS7o+NflKwfQDLDUP25Jx8RfbE8
xsswQQckv+sbrYBcJxciX9p1g50sO3gaGVFT9Ql+axnQBzvjjSXyF3H04oZjPhDoZ5inURQFYzUY
s74WKQ1RJrdqnZ5VvOt8gBcu4w6YdwEADf8McLKC8N9VDiT5DiRF62hV+g5XOiOM6GffLzALo4VW
7NpjAjj6tReAZ2kdvYhb+RFzsWBxd/Ha+OMl9hhZfnf8Zyd08+mUpQBHSQR726RnXbW6PsHYC7gm
SQy8dcQgGy5cpQXJlt0DqzL7i55ys2faNMMqYcrhBtoliMCl5GlienZVUwOyPjlFsBytdQBynAmw
qmFRg++dFF/BojpPPDVgjqyRUX8CS7raBvKqURgpE/2Y/tdeXHwSra2q5vttj0+qHWuwZXv4dlbq
YZHCAX3mP/IS7i5xMBO0wJjW4/1zkCY/c287KBXyhVrzC2FMz+FKPUbvr/LPQ/CobdRVsg3McuOF
i9r+QXXNXCdPgaOs9hgMfUBjBf67I1qsqh5dbfvdCgPlFAygY/b1BpWK57KhHookO8tAjyxWIMkC
zD1IFZPXthX45zoAyaUlAVcc6bEYpE/NmPDPQGdPXjPJiD3z/u5Qhv+vr9FxlTEgjsCdDq4GH78D
b0F2bmp/dPgqS8HmnnxWNa88tSXPmrCedJ46C4AYA/pGllADxGz69XU2eg0E4ZWWnTGGLa/0QBCd
nC8ES+PAeCQVYEaMy1hmaB+dGUyLBFQ5Uky0ScpA8aaqHuIgRELe1NlZjC1VIWVo40qW2VJ6LNHZ
shCGR9kqdqW6kYSlhqaHEi8KrCiWDi//+gg8CsnAPtUkgP9cL10a/EFU8iY7c0tV2Ing9JVJsS2A
YDgQ7Dq6AVeVbKcgHmocYGjmn9rq/lHPaR6MKEZ4ALaIZzga4Ur2PVHzlSI7fyAvK8zkT3YCk7wT
fDDkzOgU5EzoqzLocXkaBC1PRWnkfazURXMFFlqNp8IHhzu0qYjAIAtfBUo3QQE6Kkea0jPH0Vae
IyC1FMo/nQf83Xa0bwlAQJiwgm4WDYLL2JNTnH3p1Nn6vH7irLW89Qlexb6eGeU1esD2L2kakF14
iVcBcTfZoouYt2z9oPeUITtHZAxItCs3JahCUlPZg3i1IVrq5BxhuWXqJe4voTAnwMoGbjdmjK+F
grSAExrwZ547Pu8srhg0IjaCvMzBske4LB2I1oI8K/b1U2d47mJseda71S9KB3Wxcblw2IaMab4b
OPpWKEIXNx/f4Lr8Sx943FfaS4ZkpSAsBLhAmQGgXY677sSNY/dZt6C2t9xUAVG7GykGKD7dNoqs
CEOtYJXrYw/s4EPThFuMhFWRlUZZ+Nrwo/8KllFMkvN+1WGyXAsEOA4tE7ZeF/MGMcTOf3ZzUXku
06pFl57GyWepTXPW+O2cQ8OEJKglgWKIAWO6SQ5RHyi9jYlpFR2Bqg0qNK0FnFBEQA5jcsWH+IbP
4daiRLJDV4AfSDDVj+61cFTX1AUTMGNE5WtWMDrj6gAzgO/BaDcG9mhodRGckWXjC955oq/R0DEX
iWgXVLVFD/qttYdZjg48ZnFvj9L+/qX/zXuuFQCTjgpQ3dEuCUDkX/N3oflF48l6BGrms/X6Z7DT
Fd7a6xVH/mTkDzaCPFQYoirMDA+A+gpOnxDzyfo5Hs01xt+s7Ra2EI9OMXkzzeUR/ywH8vSUmk+5
CT5y9PSs12vzacm4ObeGCrdGQjcJujvx7bTzA55iUoCI3j0JxRto10hVryL/4PcM/3Pr9K7FUGGz
72YKiO0594QCle3F+wrgG4DewazrRgIL+v2DoMcPYQ2upVEmyMsKeJ8I0rzOGsx8pRG0rPzk291u
54C/YfX9ORikX/cm2Y4/0YHVgzBzM67lU9ZIaOuyA9KTe7LUBbqkd85HZYKzh6zkw+GFd3KiIqoC
UZAJtHxGMDP9aVoHL8+TivR0MdK1aBINxj85/xGihwg8pPf39/aKXS9vOuwLPQcZjJfArLgnPz4X
TUGCmnGT6KLGXweoSBMQDYoMwCW5lsCBEKwbpYw7JUv38L3o1+16DyjIL7wDbxRrYOgLlZf/nzSE
5hA3sRlQe8YXqtdKZcOdADpF+no1sZYN4N8sPmr1pVMYVYDZE4JtmnyVBgIJ8XptrljKIze0kKag
X79aJNqzhEbq+0c0E+gYPMCxYARxuXnEttdShhEv53rKcafMjuxkoW91sv7x0C/LqjTMGRDsi4wO
cYA/INu6FqSi7U2repc79V7i9Pk6rCRSVbui/udxM1Z0IYjaN6mSM7CqQpCRdkjg0Hwg86Bg1UjA
f8YgvWds4JzFuhRHWayqauTKLQ3utAH9ImY6xCP6LAmS7E/BtFPbXKsbRrY8d60QlwKyBkEToLmo
nSylQopHGQuMjdZWwTOnIHm/v6oZ3UMUKKCcgKksRKaUiDyuahDQJt45VsuXMii3IHxtiB8k9n05
MzcKL5CgHcFykHf8VlEuLISuhV3YjpV3TqtsDciZB1eJXo00+JCKgRRJ6wgiz7hWM+GXcSWTOrBe
7n1f0jPvvHMegFKPMX386FG7XpHFisDZmuulu4+R2D4xQt7fGR/K6F6JpsyVUCpqVXcQ/frKm8+q
/dyZoEpcKsRynJVh4xM+UGj2CIoOJajTNrKlYvTJrBfHjlTLTW5ZP8v7BzCjvVdfNCnCxQFonGSE
Sl145yAwluoImm6F3xa9YCVlbVaVyNj8WXEwMlNqBTomldKrUMh1V0w87xyBj1i0g0YBmtUyqjd5
ljAu5pxzxcusIEsY8pUAOUgtTWyjqu5l3Ts360I3Kw8bKpFUJxjMfKgPqaW4ZuWC4R4O1sMUpUtk
9wTg1/euKEn25laM76ErgpP3uPoeynuA6BbA1JzonTFjLbzuQjQVOGCc+wnRb2O6DM9I1XVvhFGu
F+S0StSCEf5cjYvisd3ywuZdQTVJ2Q3/FLLpL1ko62L6CRgeKD1e6xDX13xSRLF/3iRkNxJBsIev
r81zjALVV7eUWMCOc1GbIFzIm4zKhc6Grq+0PDq8z124ausNwAKjjd86GsiKeRK4SxQJghEo8LEV
+5IlyZs2eBD418RYifUGPUAocXNrLbVBLm316TZyNUbc85tF0vf88gup0s3gx6PLt6F/xrQx6AEd
TOkCY5UgvPzy1uZe+CNOs8G1/X16eHAetxx6o82no/W62yyf5I/gIbBSc+naX5rVkY4sWZ1l81fj
7x2ke19TSctH2Y/8s6hsQpHULxW4UzGBrZqhtgaqc7YeAA8slivRio+DuitOlUD69/qRS81BO+b+
4b4Vmqk64W5cfBBlF1AgCYKuwpEqIApw3wROsBVjKbm51dXGWcmcDHirEgpQfAm063WVW6CmNb5L
fQeSdxK7zKeKGR8LMgGgsCJRF2UA1V/rGOBv+gIQkP6ZN/W1bFeL8UU8BCb/2lmJ5boYYeQZN3bO
FV5KpNzSkIpGUvuZf9bKpVqYQ4V563T4g/q8zypkzm83mNokUEFMMH/UDWpQ5m2VAdtdyI4E4ILE
kp/KvY9JQcPu9jFJLc1/qHi8CCxGMC6TGBNkJ8aRTzt4c0cUdWJQA20cQsLrHW4m0m7QZ+LI68Wo
luickdah997haUZEkTcNV4keLURXA9F6ZSouw/HNBb543wUEIMDOJLgiymoprQp25xTyh4VCih9w
u4cEpMuCaUYOw+/T7Sa/FhKbjYIPYPoBq0epdzuCU7ZIB/+MKVXHq55Btp24vtXyRzHYhOpEFW0G
YMIU34qceJzFa6aiPTM2fC6mu/wISqXH3Jgg3kb/3GhPjW4a+lJAn39P9MwajpF/HIbKErIAkGjO
sBKR4qulyPCBvy0P9KGjMxJkD3AXAEKjviHKRyEea3xDHhAniS2hJm8Yy9yn+/P5nDiRhYZ/8gOT
d/w3i5/KyUAeBhEmPX3dV4pee7wKi2cmtgZwJg4jIovWtt8V8yv7UBj141kfhSDnf/KoEw8qTS56
BfKaNdpAy1N6iOx6qy2znWr57+VS2o9rbrEHXwL4ptY+aT4whWWyjnzujuHpHbguyFcVwMpe37HS
KxsxiasA7KdPoIwOjlppgxZN9NaasU+irffFrSUWB9VslHsplfJ+ga8Aca+FVF8yndc/O/+zWVRm
RZzJD74iM09Xg6mhJ0YN7INKVDIEeFHbn/dgxCIlOT8NL5uGoXlz1lXHZDiYFKB4N6h8BjiBjURz
/XOQL/z6VDabVHzTMEbZZ4S165OlppV8Miqo7WkCKBuowBOkjfkYSzzKe50dEG897AKig9t1LxIN
DGv/xnfCsExMq5iEAIbq9SEbJVo3pYgLzlnj2Yr86WlEEu28ByqI4TTqgc/MAKPh2U8NdL9tElrg
vjZV2UzKRWywku9JGLV27C445WQdb6o3EGh4CyuKwBPDs1Ev1Hgp8MfOXYQKI8CaSSMwbq1oAgRM
EJ2UhvVSKEmgmg7Pbb3mJLOWrMge/IM+ft03G9PfoVYjAd5PhtIgEkB8e721otzoeq1w8Tlqcgt9
usBnJXKzCnaltAxEj6A/2LovcWb/JLwsyhjCAnQCUrNriYHQqn7UGzHs1EO9HhzmoM6Mcl4JoCxw
WYWDmzYQkO3HTWqJ3/kGrASI99CRa5y6D875NwtCpRuRFFrjaTjMIkUIUMuQJw+krV4UbZ+O6zB9
vy9FnNGIqTFWhW0HAsENv5WQJKVYFWFyxkhlVpLa0kh4qrftFjCmW+TUI3lsSW4fUuCxpKldPwso
kz8xYoqZoPHqI6iL7+dy6rUNPgJk67aMOaTM+7i/zhn1wEMh+u54xKYSLMy1enRiowldVURnoYfj
HlcBsES74ugxtHBmIXAaMmIVAJiC6oTS+zJ143zIsJCyTZ41vkaXTFnm9v21zEVgV1KoxQDDSPZl
sIWfY+OhbdfS1g1iE7w2sbAbsldpXFQ9uAtZsdjtCyCeuC/WRvnEpgQJ8Zj7CSL7SHtSxp9qPIbF
PvVOQoV8aBV2jFhgxoggwpVhRAAOiQ4TqsJaZgGanKIoOXcKaeqIhNHj0L+VtdOLaLnzj6x8/EZH
YBAhCHC+KBojc6EOr9VEMPKpWXoOhhDYsnGOt+MFCIYCM45EhqLcXDtKFnWEsl4mvRBG6VmoNCsE
pZ3POwmapwPQAzX8532FudFKCEMQPZUlAeCExV0rf5ZqQ6UFaBICy5DhtR9tWX3dl0DDyGDwerJR
6H5Ahz3eLuinynxCrBGENj0/o7vCx5tQ+/oqAGRNcbyDuNlwLGW8ickxMYDrhT4LELmBh5U6KykH
xQnoD3K8gcNgYWCaA5iXR75VzEuPAMpAMHx/hbepPyWROjE8xqt9xEn5eZP3mw8wKyxa9NF+h05L
QBNmHhvytTSjTytj3faZ05uKfnBqwOPjZTr0zwI3iEIvKM7Ibqw/xgYgPK5DPNF6rxdGaDHbr2+u
HRaKjgpgq8ORKkg2rrXFCzJVd/uuOMuLDI/dtu+AxWKMSP7dM4qaN7ElJWlyuZf1qMRAmVGDpCb4
ilXrqeHJ0zAwbhprOdP2XghRQk5M20lIQuTBTOWlapCz7lqMRIklhnZhKheJpSsU58KeWnZDFKIN
O/KJ8KacgsC5r4y3LSDTzgFlHY8M6AoFYu71ohAnKqCNVQuov/pH/+Mkf4xq36yAHopRgLhlqeBN
7ANxMt77eYwLy8D+pxan1n5V53JZnusY+ccmeC8yp5KtFzUlGMpTE+Z00G2hZZI4ER6jFxSNoCql
Grwr5xUQocszXtcGMiLbA9sNqGgeNFSt0J4vnzCcl1maa7bxU809xt8jK6K8rTtT30BpThuAw6wC
99YZcwjNBLlt5QmpfRPoFut1rzD0dNrDq5CZkkbtca5prVsYfXkuHaCfb1iAnnMW+mpHKYvJV74u
ZWpVnotghXtNrJ2jF4Sv3vrIWkoH7cRk/5tC7nsropQUY2WRmHlNeU6NnaIu2ldOhPaEybFw10aF
3lnCKgUy1YaKUUItV6JagtpI2U7grDFBD+qLbKMzOvzMMa6CYXfA1ydiYYLmC8wIXGRKb2iVUZhX
5iZawnFOs20T9yAqoQrlc+suQhsil1RnwXtMAK2kp0QT1qNr1gAc7I6jzXpjp8kWJxcMUAjkQGAe
wt3/raVdGDrE8EMTRG517svXCD1x5/hFQUkyWXUiCfc60XbpBnRj41p3JBSK7luk6Sypswa9EuwR
iNtkILtTd4XnWymMDaM6581r2JitpbZPSU50mSFnxmWARAwJLJ7dgYNHY+Oh4y/RhSypz2H4OEpL
7eyVOyhSR/yegXMhTReCXhKySbzLGHidAVsofn+xn6iJFODVk+ozbzeowXygz0hzvHVwPu3CErPJ
72sR1RfgsgCma+E9pKZpPz6V3xtMo2LujDXaNxd/gN8FtShwqAFshO6hGIvBUNxOrc9xY/rgzXSS
wk63wUbrf3CyS0A9LkZjE9UrZVyKPulQb+csea//xK9lxHAIt+VI6Nrlx1BX2xuDsO1KvYZTbb8w
ggfAPPS6EkAwIwzDiwchEfrSfFsjHbDcNqzSzaRN9NEoInQAgSb4Y3jqaIQqV1suH5pzqYIvyTWk
0UxyUEHf12lxxu2paHdEVjy1GyLAu9aAsksktwFO2bkcSwJuHfE5LlcTBSKpEjsE4OXSB+iRRrzR
lrtFgY7qCszpIWnf9e7F1zehvGkaM/Pf7n/Xb9X7evkCupoxKT+lmPhJuQok82GjJWJ/LgWiPrpg
Ul60pS19AiBoCZ670Vv4Mhlysyu2o2h1mS1ID3EIVvulllpdtEFHeLMYBCuvvlwLRMyyAUZL2x2/
InE073/rzB5efyu1h0kcZZHg8f25IjtoJQoMf/BqMHUOTIP2gX1KN/leMZ9iE5HEF0P4bVB2LZxS
U1QZAz0rxh4p65/Y3A02apYRyBI+puLpaWeQPy8BeXtXFoJ5Nvcv7wz5t+3YE2HZxGmA5GhKv6ii
FGfIfaoXSo8wDfj8kT0uE7QfRqWVAorfsxTSYTrd/X+kfVdz88iS7C9CBLx5bTiCXqQgSnpByMJ7
j1+/CW3c/UgQl4g9e+bMxMRoRoV21dVVWZnqgtl7x3VrdXI6Yk6pZF5QOrvq9r2A+CwqoUG5ipkl
ZBJ3fw5vLU2iNBYajrxfYnxGTIyD9t6rnVHrgzaQCvALXd0iS/0JMkMSm2h8Rq91QVR6o8Jbk6U8
9X1DymSux2+9ctdKEndizjidHb8kW+7Cg4B7WJ0imPLgj3K1woZzv5WAaE8oG4BPYuFmmjZp4f69
nYzJqRwYwI6YGh/g5t9MtUk8UvHbsOYJm7yFQTYCP0GmTRa2+L2PgtWxJWyUzAYh7yRJQvkuiDQZ
CsMmzJfhnY/vFvVVWYEhkuzjg5OAhnUOzp4jkUm7ZORzXPiA+xsZHwCJUaQjce3DI93Ou+D6CjvI
bm/DfB+RHbpZn8O1S04//Ld5sqKzmQwqenY/+f336hcktktF+fv2rXHiAU2CTi8aTAC9uv0CiooC
3onj3n7ZvB52/uYTyjX7A0pVPjllG9M09/q5J+v1R2nt7XWkewSg36fVy+OJGJd36pSvv2Ky/ExU
sanDRpgHcAcWF6kMCbjVFpZ77sBhObHiIysEcOG3QwX0IJOKMuttf9CdUtIjRtEfD2NuOa8tTI50
UTqp6BV5b5cxyNqEiHAcDm5ouoykCSGem/2ivvB97DiW7/8NarJ+TB90YCdOezvTXnY7FAtSsumf
Xl937556eM53z7jitYRRTx2xBmI5lkueuY0VqyYhum6nDLE9kEECvnpcnQOy1pP9OiD2b6J+a48n
Z86zcqOuGY+yxn2GkKfGAm2Mw9bGo4ztUzC8Z+gHjuWFZZ61A4g13g6Ay0JZ7HaZA2cYgng8Uxly
4WPqU0ZwRYsAUFS/j0c0t2vHwjr6aAD0glTiraXM4bKmV8Lexr/UEkFA16DItqRBBvT/ZOiOgKbF
3EXjIVXiN4fdVLTNMa+PTczO2r+x3Kket3kJkdegh4AzOJPdbYyHARNe3GypVrcwaVOAcVMLroLb
tLdrHsrycYJzmEDIMw896/GI5o771eook8MoVGlP9RIMOS3eVArq/Gn1H6wLlCMR4sJ1As08uT9q
meVTOip6uwlrjYkAHnX3QrCQrp2SL//djddWJpdEK0G9NU9gBamibTw+Tl53B1o/GMds1ZBTtzmd
wLjU6G8fPEs+aKKhP+PxVP7Vy6b++foTJq4T2InGgcTr6GVeNymRFLiZnWEcTriqzGF/5J4Ssv2A
lMp5BRxFpC64jrmlRPodypBoDgS+YXKkexbtg3/7v+4AEk8TIofvj0c4tyuvLYye/SoAKrNAdIMO
AyxDYBY8TXRfMmYJoff/Wcl/45g6DCFmpTKCFT9YxeRll47ohIN1EpARt0/t8YsnLWKPBvQIoCZR
x7lED8aCf1wY6l8odjVUqQ3QPy7jI6rRPyo/gh25xv9+NlHEw9sPXZQgYpicC6bp8lpye5wLtHCX
iWA4uWzlyhJefOYljWIhMD3geUJaA40lt6sWhQHP1WwzAO8Cxmjsyc5CB7pmhTuiQzjMVYu19JGp
q6Xmspns5o3haXUNMmiJCLHMweZI4Znihx9uynf6mDfEQaMcv1KO6efjKZ0LLRAkQqsW1ydqepMN
SjNFUHFpOdgxQEx9ovMABQT1Ce/k9zBYyN6M0zY97bCDhn70odJ4JN9Oa9JDH6ds2cGW+4TU0blm
Mi3jCP1KBU8Kl63jfKlnZ/axd21yspJBlaRpXHIDHnubHuzYgAup7uodtE+Ga5O4VhPgHpYwQ7Ov
DmTdwAIL8VH0Vo9H5eootGwSBnIjD/YQGkpk5B1NujDVYu7iU6Slt3Wto2XVerySM/UHBiHDP6vj
VXxl1a2VLlFyZ7AbyCOIJGl0gIglXm3qX0ZV4iO0ZcEDEL867Oqx5dl1vTI8caNF1OQ0m8Ewqxz9
NQPVj/CNTt88zizW8RJhyVxgej3KySZKJQfS9clozH1qIaYu/GSpGXVPS9iSKev23/U4IvtoeAEJ
MeTkng/RXevGnDDYu12pbgxkkVbNc25TuokuRtU3aM1m1K/e0D+eYriIepWZv4Feb54WLqnZAYPV
l0cjMw7q30vralmZ3OH8VlEGG5l6TjaqFeepUE9eqqzMLuKVmem8lmnNKz3MJNmuOfQ5aeEIErB8
yMpLBemPx1tmNgUlgjAZyCAE1KAEuN2sZc1AEDjzaJshlkXpJ1d/Pny+C2gaPXxa1skiVWm41CIu
+f7GlwBmQ8kMOTqUUafKY3ldJ3VdUY1ND6xNCZkqcEtejru/CEcbaCsFtQICRXqycdLC9fKiDlob
EQ1uYlFVPpkNbmKSHKyfZPV1gRw48HPrsiLnle0Qb/WxXrXkSdLcy8Is30fft58ymWUgDDIpcsPW
fuEIdwADCGEMPOAAIYrNUeKNtszLG3rk9uXh/JQv4VTvcUw4itczMfGDMgXG3D6Eedl+7X9BAKAe
GGKMxhHfiduvC38AK+R+X6k98d7B2fT9ePzzq/1vJSYecQj5UgwrrETWX+LqkEsLtfKZXXw7wInn
q9o2klweA8w0MJsbrwavDmP3VeWSo56gzLNdq6vVt6wvilqMm+j2Lr21PDmuck23UpFGLQLLklQx
jRepprharIRqBDYXqVwpkekxh0I4Rskmzha7jZc+YHKzDpVMD22IueXIa7h/RzHG0565lWURXjN1
2lhn6zM84lKUOROb3Qx8GgNK3tCFzGh30yA0MxItMp5/TsEFVPJr1dNX1HGFZtnH+2gmuX9rdPJU
iikpiNkURltVqAko2953n835OXx6TteWZQr6JULyOgEJ0xuCQ1IzYwm+JYvMajOX0u2HTB5MvdAm
qf/nW3J9PM6t/v5ePSukGRM0O1F9DrSTmWxIvN2+pYK+hw8n57HtBnS5C7f+0un+i0euLiZWqfM0
TbD5qdXLK0gvcsRWompYYEAGCf3pR9K3uoQufxBE2esnRXtaON2LHzAe/6sPqLumj2MPqzLS6MVk
jO5wf2ASfAJKRDNbHSlJvej6GjMQ7Z48c+EFfX8z3y7GxL31vSzEDQX7HtoLnXYjZzYDfhMnUYN8
4R35x+z44Lz/9Y5fjTWQlbpTRlea6zFKejteP1jQPznqzHqvsrhItKVNvzi9E+fGlVlW1xlMApUg
GIxmeWeXNGNcgHflCXCn7TbW4LjX6Oi/fD9x3+Jpqa9/Jo18O8UTNyeFDgWx2vG0g9RgMwIVgFag
18UWCz3SQnebUJXU4+UCUQdQSOhcT3Qo7CVgscsIIOpY+tVqYdmn1NiIDG8/auL6wiTO3aIZPwoa
PwfkGnG3I/15Mr8IHJ9/hM8HK/Y3Zz32Qn/Phgd74G+PXO2BQfGoOBztgkJvFxOt2u4MCb22jnY6
dactoZ6wFYCyw7t04agt7PQ/p3xl2QG9jhPSsMzluYV8ldFn6cavXDUIByNtWP3xSGdgEzczPIW7
FUWZenEGe4X2mn/suC3iQWK2Bkp0Rwzx7BrawqLOvNluTU6jNsVjqTCCyUxzdo4pGP7aWfEHZ9Mv
+c2F+PBve11NZhT/vxts7NXa7ZrtkJLDIQFVrkucrXlEyi0RCZiIz9hGi9oPS0s5cVqVAtZCZTxR
YmxWpemg4z6GiOFgUeFiHmU8nY827CT+CmUnywoFtnpTC3zyiisqJwbKTxiodTpK6pd8fkvhxzT7
9wn0BpuFbcvNfoAEViJIwIy6mJNFlfuoDIIEURIPKvkaqc1cNU7h7iQ/+60K6SYrfLI8o9pwJ1Qt
Uhwd31CTp/GyWsnDiNlbBHLOQEawz64+aXJp5a4vF1WAT+qf+BBEKDu4cmJJA/CjjvFF9kjRnVW8
BRamYnbZr8xOlh2tgXEec1gKcFRpoprJb7GfqU5uxoz6+PD+oajuVv3K1GTVU0lQokbBvQGm4Kfm
a3wc0wj+WfUzQRcolh5/MpvnArvAwqne71kNxd8UFUB06RrFy/bCAcZLgyyoIT9FRU6sdamNt2Av
rHWQBGlPaBMA1/VW7JcmaZz7R18+ufHYyGM7no9bu3bYfR3SNsVwS/X5mZr4uAGA5gWEiR5rpLdR
S+4kua/IY9iEjJQ0RizIRjk4/ZI+7IFIQ1eHjh6WVYLi2cb9XOWL7WP3e0GmWVoRJQ451LFh9fYL
hpwtG6lCwbKmIy2oKqt2qEKlnXjPyhJJaCnSHm8JZhzT7cTeWJwWmvKkYdrAS3pbo1gS/gQBdKT5
zROlYTMumLr3rremJtPbg6cqHDwMrlVpUzhsNrK62YELCzGLp+ULp+r+fQ1jKJLCw4z5rynCjmnS
qmg6jMvxVD8n6HfVFk7TDHpyNCGiDoTVApfhJOftl+j26wcUYkGvMTbdv7+7K9ASDOTSH+Sa7NWn
ITEez+GMjwJyHiRi4JRHfyHaLW83iIKaXRdU7oA5hCYnAGOfh9OwErXSAM43tYhqB3pLfoNFXeGZ
Wxhoeh6NEaAJGkluJyfQCfGioGqht4N63bd6JomgJtqXFSBdIH+Vqi8QNpAkW0oq3t8Tt2bHn19d
yQ3Leqyfwywypzp+O4Ugcxu4KrUQwt1zKQi3hiZHL8gLqfHQrW6/IMmWaAfkQ8LNM8jy0POnbEr1
szQPPmT0GGQbR1Xjg7XV2Q2E++yeVKadGuKqMdfrxoQc0LlS8f91apxpQpMevbdLQJa57Q2KI6TL
xi5jkI/cTotYBUOUCd5gM/052eS5rfhG2HoLW3zmoYFJuTIzuuWr2Wf4MleKFtuNXddPOY8ujq+I
mLq+HwtVv+dIV1eVsTqvPkItMh9v9TlXiHwgXDEvo9wjT3Y6m2dxFnPJYLuOq1bKweGARws2FBej
HVJeMDbzcBildRWWwRMCTInC5PWuOAGqkCnqAsmW2mQgycMWoPB4OEnqJ2p0FxmrCDnHHbInhbmE
hRq31tQHXxufLCbrlEVRR0jwutFKfMlEBDsSsrzsbwm3VeQIQKpF4ok5v39tc7KyjeIpjRtjwMy2
QwtvtpIk1adAglxwpEc19JJLT48XdM6DoAFJhBAeUBp4ikwCHaZNooaLmMaWLnD54DVOjZzXeGXX
2E5s4U5/bG9mVm/MTYKduoCuldvRjc2vAw09cSDeZGKVKo+uZzrVAqvGzG69MTb+/Oqg8NEgVFGJ
sfGqRBl9ouXFa36o3IU63ewcIjIYkbwo2aIx+daO0lQi+PWr1u7oKDqKQriT2zQnntMLep0XlNUG
MUN40FjHtaeYAt8viXgx486Y7FYcFAjZg19tRNROrnEgVCHQzCmN7XcaHZhCNjJZUuv4wp7Sz/yT
a0n8+XglxZnI4cbkZNSxLzJZ48AkT5tZ8VZ/Uswn76uZv6ETwuSaHxKfsbzujcYyd5qQ7fLkKQOZ
bWJ2yi5yXuL+UAFOKYD49idUoBKarGUIava71Dnx+K+VSBcRlWDxhKf+HdQFYmd4gxanKqjcfdmM
ErOGxvp5WHOoSlbfAahz1wmt5tXFi75E4StpT2Ktcq0llKUaO1sx0zvJ8td50IDjpFLB7ir2S8ou
M5cApgXOCk1N6O2bcr83XY0aSYGSCZ9thnPJqJRR84ewH1uqUm9dd2Bz1jkZBO3HBC3Yl24JizZz
Od98wMSJIPHQR1ziI+3RanxP4t/e+0WJOm7MWlzY+TP9BeBVgIzm2ByCoOtvj1ydMI7OKrbCZWSz
uSGQDALHGWTPjODQGIWRmJG1kT3VM4ZNbDvGECGtyKmOEeMJe5be/zSlwYNBLdwbczHgzVdNnEyU
dRS0V/BVoLd8FRyyA2x2hM9S+isFor7S39SeqWb2gi+dcTfg1KFlEZzlgghJzFs3EIuZCE7hqLOT
QcQWpdUE0uAJUso52vaC18fHb+bAc4yEblgU5UaygEkIhgKsHKVt3tlSRfkvDV6nhBc7Z2E3z5QP
ZI6RwdEHwkuwiEx7VQQl9VhHBkxfgtRLwfBGBFX5ztNA1ZQ1pJDsAeVVVOkdRLix5nMARbRq1Eoq
35/FYl2W4K4rqFXm6QxnPJ6Be/5PcLtJUJAF6g8XGEAut/MdyC7Th4PU2QG6oDqjiLe8kJGn3Pth
wYWBYiUYhfGWLjWHUvPcdGny+ANmnqa3HzAJEZo48OGQAR2PX8DwZby3+qvmfobk6XeFysoKvK65
q7JvDU3ifoN/spSDmznpYAEYAdOjiC16vm8ngM0bPLYKPKcKYNeRLXJaDcKUxmEg9EE8tFv/WFrB
erUw6pkr/MbqZOdV7QA+JxbApU1lREBMkHCfEw4aQM+n2PypyLY1tl+SClhra627na0ufMDc6/jm
AybnDHOB8JQfX8e4BxgDlD6N1n2wLiBaZ+3xYOdmGIVvHqQBaKcHKebtDPcpTYluTyMCRf+ZgEJF
95IMz0O86hVLkpcO28yNyqHXDkBiKHlgT088t4hQISk7ZrC9WOVe648QMAok345E1L4ul32joz0W
1Ik/5yLESJemdcn6+PMrXy55VC63EqxX+Q4cnPCbHBp/iOIMpOfUHKEMiF3CleSp7LOX75ckoWfw
OGBmAoZaHA/VqHpwaz8KQzHMqh7QKsnIdx5DZPcXQICNh5ds5Gxd4TA0KxeCfrT+v17kG8PTgRet
BL6mDu+pYMUya1ckrLyV+IakrOqlC6+3mfAAnTQQHAEoFZ3pyuRuUvKspuQCz4qK2zafvPJbdM+K
tDAiYeYq4tkxLSBLAihDpu+0HC9EplJwO3DkpYcgovAafIu/3ZYxQHmvCkZO3gej0Wgo4shm+8FA
48oEtGFQsw/c0vm20bdvaHNY6+Z2q3/0FqPzHlR1L4O6fVuvf5cUTGeOGc9LYORnQe4AVzZxpFLS
0G2Qsr0dZU+gq1RyTQnRaVNBdQZB8+PVnikLQU/kythknxVoaqUlH8Y2u4P4EWmgW7eJdKpWX6ap
oysaBJIUONfZS7vosGdc543pyU5rFK4GBJPpbdbMERb55NPYfL/sSnSRRS+Kuf6gLGHBg815yxub
kw3XllniVAJsxiR/kchrYO2YffYSLLiPucc6DwQ25I5AmQSg0sROxFclNTSY1hQJsERLVRFvDlBK
0xYesCXiL8eodPk11vIDZUnHb+EZtBfPS5o+M6UwrO7VZ0zuxMYJnN5r8RkgjGfA47uvMLnsenjV
+QNlN5/otezQvAfOV+vMoJ9QWNhe4+6ZPMQAQccfIlosQDcwWWLeKVPMAk5en/6Uwb6UT4+37x+Y
9t4AHhcsurPvEahDMKCY2pWdDTjHO7QbtWHLv8hrYPdFwAkiaJ+5ZqGHVl5okmmfURpRtN9RJADk
atSxQQNjBQkhqDySpVM8P/R/Xza5l/EEzum4qzrbl+hyE7qCvBfk6Px4/OP8PRj+H7b76paqWqXi
mKyAEYd9Y1m3fskTRJfoWkp2jy3NDgftboC6g4b9Lrfq9mhcqHNMtBd451xGrz23dOEvmRj94tVg
OKEUmsCpO/ul7tUYAhBY0kNm/GGCtrGF9kORU9/WZ9SoH49t9rQKV4ObrhXbUQPzZ/mVXe+MUYoz
NU++icBdyzX9DcJzZPWrWBGqKkuZtdkl/Gd7mi4XE05u8rrp7EYUVi39QiuftDjoj0c4d89eDVCa
RG50RXXgJ8JmdNOfytGk7sL4RuDF2n9gBi0nI7UIOgin9MddCQKfhus6O8tcVa4+Xc5osnOJp/dj
O3OPHcQL/wxNtko8hOBRYfvOlplSjxN0awtOQbCDUpKgcdsDcDiEJiETsL9cIKkZmPeaBuUpR+CN
XOosl+VflC5e2MGj1bvTePVVk23ECQDDKzSWckAR85kt5dDwogJAyQr4E8/Lw6e+4T8LSuYWoIRz
AY4goOqBHkL0bQrjybo6OTGkQRyBQld0mVVPLevref7UDy9Cwm5oZSnjPgOLR3UHrQYsXsBoD50m
oruEwqs/R17WKQGW8TWxIIkCxDgpoaQ3fPMVWvvW0aUCkwvoOrpfETLzHJgPF/KZs3f5SIwx1s9w
x05PjiA0CoRrgALOf2P31WF4LeL0tNkF3IfEG0EHER2o6gzK68LmG9P602UeSczGoprMo353O9ue
xzaQR3ZpgD1oNUWaeEftMxIfnYu3kEOZy6WCxhJ5MxESB8AgTMKIpO8aN2HjwdaYCwNSk0+zRrE7
IeWlXvCBM8EYblAI8aBIKCBOnljiQnEonAS1jMCqILWplUDAQf04Oi29bEAcfT9/QE+j41UACwOP
RPvt/NVhyVdhhqBfgWLJTukGR9TLCslgA/TGjEyivGI9NR8cvjMiVqI+8453Xvu0ayiTlpNOJO74
MCShhyOhppwngEa2Ean0p+O8KnyuE6gbokdC5l1CuwC/qxDQDpOTJLolQEdFjjyEH6VZtJUryRd1
MeOVVE9jZG+/ofvu0AYk5SgZCVY59VWZF+heK/iGTg6dFwuj7hg6lvWxpTQxkhpIVsJCkpfSFYhC
cMQN+97XutYNRKsdWuWJi5uIO6RS2kUbvk9Zd1d4fkFpokc5HIHqdUabQ4o6ygbECmxwiJNKKF6l
VGrSYxP4hWLlVJtRppuBWV4tG75h1HpoI95QuohjNmnW98WajUVnrCGwjriDDH2O5pTW4RgjiUr3
GT7Q685x70flzhMET1ILkJBD0k7IQTibFn6AV57Cg/RcEXm/OnZVANB+1VEpt+8jp2pUfsh6tGb0
MSTwfIcKwcTDRnStCw7LeSumkDsftE45HdopHzXJlyDEQLJDP5v3/U/Exz2IpUInpbw96gN89iTG
rcKvpA7E/E9SXnvoKesLjiJsxeapHpVS1GPqi84fVLmN0/g9AWOVqPtIGJRflcy6xRdf1rEL9qqh
pJJVnfJKu3YpSghewGjjBbqHLtjoOQ0DNsxJUaKTDooGcSDum0YSfBvyCy7a2FADQhO9EnYZ6j1F
oyAp77q1BEXsUkyYk5u29aBF+Pu8IrlQ46+ZkiR2qDBhpreZ27ibskBi5DdyGT9q12UTCd6eqmtR
eMOvyQCPiKW2ea+4qqqgYZcoz9EQ9T3poGjI6nkdR6nm5CBk1tk4VfBFSiB1+6qgoLZc9wErmm4a
+cG2ZhUPOmEs74TCFgkayt84hUMnOypCQsyEA5HxS9FhvuEGvqZI3DRpp/d+mkBKPXVKiK2WRSqE
qpyjHxj0V2XSF88uJA65AMopSpucsyyThm0i5RAcidguolSeQnvUiktCFkLFEiaJIRmSFS00atPK
tSqIrCZg604SRq+pgos3eUonmDyvrQRIpiKqYdD6VoVyR9AsqVCkKds4t+K4ZfIjGAgiCfDePu/7
leNTJX0W5A6QmUERC/ndbSUp+BzSIhNMt6fEEoUP0W/0xomUXmVZv/EMRnRDDkvFdfx+EMGSJPpF
na8ZrxdBWpFB2t2MyiJKwNiSM8oXlcQQRKDd2hW0AXpvPwpSPJ4BKUvXO3hF5lF7pkiYUI9iN690
Sva71GB8ls4K0tBUNGgumlHk3zZJKB10LcOlA7WPC9WjtvtZuGRmrnTQJaPiC6409IJMuZ/4oQlx
C6eD7VdQpw6UTRPYNG1Jvo0aJVGEXZe8N/JzHn4Cj0Nyz//tukxTnB8/Bs+r8rvwOTN33n8zX3Fg
cEPBe3I9FPGQAGgylrpdg6oIROsYE+lkmTCCJufmY2vjL5tcsKiqI/mHmhFGP22SThTGocC7StuJ
KMcGR8kvguwbCV0HWkD3S5rIM88OXHmQsULUAkYPYRIbc8UYgDdoYuwDIdeSynd14GbeHg9priSJ
EAXlAwBiQNXyBza8CtG4qpYD2kP7YkShwRzP8TrbMzWmr0JyXngWBjRiVAQPr0qPXFBqKIWWyrIm
LvanzsXOcLgsqMWwosodJghlbzcMGYRv8V58cceccb2Wik1qBIOFfiKg/qlWVbZhQfqlkv7cQ2ts
jB31VMGfgwf77dUvRVEkBnlN24370bHnNLr4FcSgK8IPH7EP9YP26JXh2gv5c+U3VkA5Zj7yrL3W
KFTFlSr7qxxot+oj91JNcH+FAdn9JbQ8O7P9IAKGjlYGgRDgWbcfOQxixIY8MqD8bveKQuv7xgHF
0FdnOBmJLsMpBdvPHqUMaBECqf2ysFFmThpksv/H+jQ66l2IccA3D3ZXrutTK5FYutCU0XFPfgnA
fLGkITPTNgy2aCzJSJjOjbmi2+EmqdxAQlhEON+RXgrUzlV0x3f0PtzT8Ni8t0ONb00/x6zOAtny
eLiTsBPJTfBB8pCBwKMFzGxTUr0SmCa+DkJuhyynHBGa1xKB+N/9c2B3wYKt6YPhv43hfQbeVYSf
YNW7HWnql3JUJxm3q39B4bdqVtSe23cv4XNoABj2Hwzsf2yB0ezWVtvUg9AqCUTPBYI9xDyLCA2f
3e9Ukz8fW5rcFJNRYSVvLVEuNFukFpZkWRUaAzSMv1mOC9x4bObvxrnyynd22Fs7IV+IbDjaoQi9
89/lYJQJAX9mo4bHflXY5adkYbuK9mO7szvkaiIn2fCyoB154GJu18Rq4Cd6zv3EEAlF6763pQJE
HJf/m73JW9oDrCRzIgwT3OnIKdCZIRUkPAanYk0d/2+mxofS1Z1A+0qUdwH2I3UOT2BY0h1wsj/3
NFliHF6aw8kRd6iGZtwq/RuT/MJcQDjs++j4YFyV4RY2/iQJgm0ClQCQUv/pLyBumWx8rx3CCLTH
yq6rZHR40CSKMp3NDhEgrhTE4918aWOOO+B2Y4IwF89x8AKMb+S/Y381jWEeZDLAtM5O8CACXFR6
7shWwoCpsK+1BOcOUJqwaAgVhFAUPtZQlekpfonIafKqHcd98xWT45FRQe2mQ+zsJPanD800Qcfo
Qly0ZGJyFCgWNDgU3mO7mmeNILLw4mn5pa6pWSPIJIGCG1EROAFuNyWjKD0ivcbZlW5JmuxY5dta
WajV3+9HwMLwP3BO8kgFTJ0jL/QUxG8Gby+Ha+GVOWScTgffpXKI0LtSFgtpuUmAh5W5tTZxkH0K
uTkAdry9y7mKWscJQ6iSL9THh3mKs4EZGZVqEVIBoLZHUupu43txkEl+sK+GxIrTs8+jUKumEcED
RwuyFzyICRQtdGUgxWC1HCBxUI0H5/khaDI9EBvd6Ze43MbFuj0at980GXrOZlQVIhWxD3hlnSdn
rlUsN3pqkqXdP61X/40e2p+gGQB/NTA4k20T1SONG1p697Jfabl0yRKINqORzvU05YlGWMn6pPtR
hAUXOmWvGe1CEhYgAZDlAeN+F70PPoRW0jra1+DMRNlAR/Ey0QLDNV2d0Si91GQN0CpSmDFqqICt
miK0lSrDZr7lhYTkFP919y0TFzAoQQXmjibaRyxpvCM6s/wKrb1cQ5J60zCfTJioyTcnmIEsqTK0
AfqKUNEKcDyWeq0g/P7ux5pcbyhKb3MiBJcoOceexgQBcQ9FrgX5oRdI9M4VVoiHPH1RFjVc788K
2P7RKgBhSkiU3z0OgiHs2bwQo30epd/g5UVg1J0fH5R7B3NrYrInvQy0J1UkRXsXyMi0sTpRQ/7q
sY257XgzjslS8FLjgiQTRtDGAc2loSJ0oHfJitsNuiKodUXYTIfi/WOzS0ObOGiu8YWe7WEVcooh
vSl9nWUXUv0zQSycDOL0sRA3pk8nboZuXVdwyjLdU0VulNKRKc58WKstIKJJr0WCpYDLuC1D06sX
TN8HmreWJwvntF3NDWmV7mP5/M6lhS5H6rh92yVttGnaezxIN2OcrF6JV2uSuXW6z0JDYjRX1vMA
OATSyma160nrLYQQsyODCqsso1lmdCW3d17GxXGgVClGxr9RFZI9EjKR2RuydcRnlwKkGZ8MWot/
xiaeku742GfiDIOrGzUIDlz9IaVmAQa1x5tx+rD771mUgL2FhBKKCFOXLAX5UIQ11strc7VkLNFb
I2iXANSngh3jnDvxCOiUNx7CBU84v4Ay0h0sdF6BYxmDxKuQTBmSmkmpPN07g1V4lAZhG5oUKXpG
bYk+Fs62CxYugmlVahwtMAZgd0adE6HYNEMFds6slT0x2/sfg5EcPym1PfIQEtRl+H12o9aryJaW
tTzuw91bs+PWuhopXfoy0rRStu/rD/4nbgCSciLEF3pJoTV3Jba688UGJi/v2kMfKnYjq133JkGt
WnT1xws+za7cTcFk1qvORWpd5LI9taJVzgiM0GbBbt1toFsRqVUAdZNBRYpHL0Ds0I7pHRqannp6
4RcVfu8jvNtpGX9+NS1DnwEomGE1AmsAdyvwGAyJ1WSF1sxXZZdvg9UvehSpo6wz1uNZmF0QlEFH
Lm10ltOTSQjYXKalJMn2aZaqvYDXae+qYWcE7Ip1ISmJJv//wKA46tuhtR99ORODbV+5Hl7l2b4U
XkFxr9LtLnBcDZWGMgXoZwlnO+M+wD6Ntw70yJEgnnbT59JAOX3NZvu49/ahk5iUk5MUb+NaWYpo
x6tkEj0KPBziKHiAHM1dqydHx4xf+PlI0OJooYnkDLHdA7sALZmL4a7tTCNnV+Q8ZghgpzGi5+p5
AN8+Q4IDpedaA+FvSkcwt0OeXnOMTv3oiXv2dHkVA1IPrcizYi3pXMwEQfgeBRqlAidLQBLcbl5a
TAI4rzjfF1mgpmmgtuXC1M5ZwMMHEkBwkdydRhub1UEncEm+L/2Y2XSS7OmBhALo4505bcX8cwhA
VY7qaKOm0lTlRUmzhinyKt9nFquOsORwReu8Lmw6snVVcTXo0SlT7XbERkXqUgf//CD/WZ9cdKlC
of7O1rAulwVQGhlzZD2/X/B6M3mpUVHvn5nJavFCGxd1gUGy6+SZevVXeN7RELMHBTy/lQ0fWrZv
C+/X2ZGxyNLiuONY/LGoX3m3ImkgJYpy5z4cwN0Ub/6LtC9bjhtZlvwimGHNBF4TS20kSBaLm15g
IkVhXxP7118HZ6ZPFQq3YKfHZC11t8wYyC0yMsLDHfXDFacyrxf8n6U7MzELSTRfK/U67kvX2Mr7
6AuUat4HsSqb30m2dyDQSF1rYVq8QcGu+M+oZus1ckkNc45RBTvtS3nHhL5GVvWZHcIdqsTGPjrq
TmBP2oi3t+lStID0L8AUyP8ShCqzFQz9KOSBgfOvZTlTuIlkkWeJ0MLaZP69hFeCHpUrB/B/sQnG
Zw29o7o0D/m0DOo5MdLPbg1hctl2HhOQm+7XCKeW55QgSsf4UGyZ1xKSHt3xytCVoGsnm3ibOIKN
SCjwTH6nQGikOSh/Ju78v9FqWn96a8ydN9z2/7P8MwHnexTkaak0wrL20FsVKI20I/AHD6P527Ca
A11Zw2k7XlhTwS8IPWEo5CACQ/7v0mVqRd4UHNQ2Lrp0crOiQbMlkNW2K7zErNvbZc6bBi3ZS1uz
CzfwJCPK/Lh00/6URn++h18BVLItoT4Mhs909YGnvlk8eSBFqZlWP0S/8OfwWfX79sXf8cFJfHlt
O62NfxbvdFXjS6WObyLKO+iAJboLpGch+CjHwBQDFu/aeBOBow/dnQOqXCaVVnz99bvwYlaQvLtc
AcVQeior+IK6++ttPe9vCm208mFUOouPDjS08/FVKtfI5ad1vVj3KeuCAiV6PRGKAK8+s1qIqNOR
pnGB0rAL8tRKe5lmZgIt4dr/c3vhr+YYOmUU17IMJwFlhDn9YkiVpiwJqdwyTd6L2HeyAkoUTfN6
28zk5mZDQoEbNBtQ1cVj8Oe+OTs4Wa91WgIZdpcPvp0rzyHaR7v8vhvWmh+WxnNuaOZvY46pTRsY
AmrnFOWFqafG/ajmK9O2MB7cj1NybGKZgDjy5RJRlRcA44QYT+EWkBHVgxdaOLmxRoOwsBWwERBn
IMhF+njuxaVQBfNxN1Tu8KomTDWrx1K1G8O5vToLk3ZhZXb4C9K1eq6OlUvFzOTRY2iPyBnftnF9
ljTsaRCLIp0oQpp9rkYEhp0COIGIuxIR0IDblgpYN6WqtfCusfJII2bMvdgs2rg0DdkvWc+F2G7r
eA2bsDSnBAcMnSvTb2TmVsS0rbpCU0pXpC1LNHUjhl+xmpkehTi9sZbEvfasGDeuDDAMoe0IUMDZ
VomyqJMT3a/csfgY/a+8lIH0sRQZhTb0xihdvhWKxyQPXvrCMX51tb+pQeImuYG41WSAxBqT0Aao
S5AfPRg9CAJur8ucxw65jOn7kJ4Ehy+KTPOtHFdxm4mdXrpNZWzrLDPJV6BMgha/pH3EzfhUUBYo
W0HcJ3Ho6Mqu6O95QDc6qtnqfQVN1uT19iep184CvQ1IlYKCAjRRunx5uJpmjOtep4hxh/KtNEKz
jtWVYHNhx1MZ8CjUShQDGmWzPYC+pqDPurJ2C2m05HDfoyUrJitOYmGjoWtZB40FZI2mM3w5jrDh
tBxjXrt5vJfGv6VhWFFkmHIwMqokK9nZBY90YWx2hpPcl0hGqtrVKt2Um4eg+GqL75CsADmmHzNz
5FgTXEuKivoObqjLMaHC0rdVkDcuqT8F4Mp0A00wPiTe5HtZfNFQirm9F66fW3gMgA0EaUQFFQls
iEuDSucXikq6xg30jVJHqD/4qaXx97qWmWK4fAfkVkjt4Ss/iYd4l59AF2DEe+xUlxy4ur39Odf7
RkXyDYEn9EYkoFSnrXt2jyVpMgiJGjZumj3W5FtP7yKar5zIJRtIL0IRC118qOXNtn+g5okABpTG
rYCuDCGZlyPP1P63eWcMYcp3YBGnvvp5K2SRiYRHTdG4o1PjfQAaP7Amghl07bl8vV8u7UyDPZsw
NH5rQCbDjj4geybaerSJ0k07Qqtl5Uhfe43JEs40nq2AofxspDNLgdKpBYpFjdsoJDBrqX+Qwcy6
sjYLw0EqWxIRLoMrDFzZl8Phpe+PgPC3bmY5sYlUM1NX0rzTfr48YJC9OLMwW/2GlEYEOHHrAuIC
cjyIv+1052ktXz5vLIfXh1ry1NcvypNk39wBhtTIq0aJWjdR0/vuRDpE8PXOqNA0GL6kwdPYFO9i
n+4G7u0TyHCCgbFXHU5UE9rz/ikAUBed+Ml9nplK+ZyH+R0ZEwfdRYJ3vH3kFtYVX0oRoMpAuF01
mupDI+FxUraup3NhVydtaLd8+L5tZA7g+7/z8R8rs4UtqqqvioG3bjreNz4EkM0kwP2s/g4e1bQ3
tQe/Q5+okT/2YvZa/CUBkH22Lycr/mVhsD9aRhDTAEpA+qE9PtvEbU68Qs/44AKkzIy2AZn+7YHO
6RamgcICfCoiShB7zfFabaZ0YpG2AxIS6DhX3uNjdGpe+7v6EQQmG2IlIPQMH/XACkab72T2h9i3
v2A68bMNrokImgHARRiIhqPLIyQEcRcLXB5cDqUHkgamlB8SXlu3rVxfhxgmGiRV9O7g6v2Jys4m
kiR5mo+9N7hS1m8J6Bs0MEZk2Zu8lpC7hihgQmWMZYJ1QIZZnZb0zFJXZ0SseTW6gzla/U45FM8+
eIB7s7Myezig1/fRN/9Gm/H59giX5vHc7vT3Z3bDFFL1olCO7rv1uPbynnb7fI3Of/Y0u2c/W5Wj
WkZPx+gaTN18tocaLHOa+RQ7q9yLVxmV2ezNYqShogKIEWBpMD/TTWTl9/pO3WXbccPfufWbb4eN
4BAXWWmoQFaWZ+crJ27hQCAsR6srqg1owIKDuRzrqI80K7tcdvuhi00g7ZknvEViyNRvTbQhSILi
pUk9EFYfc/m14k5eBU6cdQ+hB1Z3JCkLMm7b/A7y9vKawtn1dQMM1qTYh+oEnpk/b6qzdagCUCDJ
vgQgPoDyZj6iHWuUSbBN+gLUKGpKHIGIDcrwCtnc3l3LlhEjg0cAxGjzHATVc2Rokbx0K2BMOmAv
Mj1lYr/xdzl/D6EFfdvctd8DwEXR4eER8OA2mkV5OhUjYYwi1Q0rcq8JhQPKmZWIZyGSBN+FiHQa
AnJkt5XZVpMGmqKmaKhuHdjFY+SharsbdaZv0u/ETe8KVxZYLLPurkotRXVqyPhJj5ITWpLZrmYS
r/3T5cfMdl3kQYkz9nTVHZ5E0AOQgwQSKkRhoRn2O95sdQgXn8ZXCKcN9VZ2jGZ3e8Kvk6iQUwKs
ClUoNPmJCK4vt32ul90AdgfVLVUBgE9TkZ7Q/UKzlyKSGWn2SXAvN/tY32sSo6Nu6okTaZ8R0NOf
t7/kulL18yW4eqGognT1PGssaCUtyYhWRvqlJ5YClqH6GPsPghk+auFDClYQYZOW9+VB3gd71Y2e
yEO1T47jt+TZMpPfJLoF9MrYKroJQp5x5SK5jsfAfaTpKIIbuJRBwnk5T3HF5byI8HVD/dWAiLI2
nlLl718VSs6lgGf52+3ZuK5RYDbO7c1OggAOt46ksNe3G7rv7lwDhP0vv93nPysDU6aL9tLJwxKY
fTDnUEa9Qnn5aTLJIsWaqzxAdldHr8RjPzr+EU1nmoP+02TT6azrj8D3VTnzD+WrITnyffsx/qLt
veCMqi3XzkifNLLNhN4sIPBcOsImVNekLa6vussvnYUMdVzVLSWpBpBMy0gJdfZxr6lrYIfrSw9W
kA0BtBtuAk2olystB1LvU95prjeYcTUyQ8Ur4hiir6sPKqYGTFXRTBLHzlpEdA0qmdYcMS6YtqSp
+Xdm2UCL9ZAKreaG5Zd2ECYZTyvjVgvKy2Fbhw8DQOGNeBzDlSEvzuuZ3ZkP0AZPajRea/B8r1V4
yrDixb9aO13GvUr1KeicJQyquhOGOB81twlrd6TxttXrjaL1K6+/yXlfbeYzM7P4HcXCgBh9r7la
om20LiEmHYqvCknZxGhTO0yaYuXKWrghp4sKOXOsnYzE9uV2kdLSg66sqLlJ8RFX4N53eKwd0TTO
OiHcBr1g3/YMSyOEThKaJyd2VAgJX9rLSUyV0Sea2/UZU/03Te42kfecoYGxr9KVwU0rP5/OCXCL
FByCZ8i1XhpLQ3SJgjhVc8H4SJgwgj8ozzK64oIWcqMAtf7QbqNciNfd7EoOGkFDY7GsugQ0X5kO
PuX4mCavqhaia8Um2Ci9bUCqze7AwE/BEvUZZ05pTN3UaF4zlI8IYKsa7I9Naq8mFBYDBqJL+oRe
m7ppZpOgNeHYyDFR3SxK9nWpM8gnWwLWFw0aAZEZ+n9NDcxvnufl5vgbMgLoAJ3o2xXl5BvbQnsz
oK/9DDHttrlLwrXU2MLpRVxIKRgbAI7GN16uUVSh9Q7ATwKK8melOkbyLglXkhGLJjRUHpDtm1DI
sz3eZX2KNlaJuOr40PnPIxCDnX66va8XthpFLeUfG7NZNnyw96FhjbjF2H31Uv0l5Hzl6FzDGeBg
0aw70atPPYlzzEY1jLXS6Qh2wNnINMWUoUtc8a1ngd3zt2cBRN5ox/AR6rvWIL7wtRa9xaN7Zn42
xF5FahOOAWF8j0bSOgCPdhiVpcX9EHrkGgGKxBiUlUEvzCsBRh9CeRQwIyDIL7cHeDNpRwdc757M
+QapwAhcndA+vL16P51sc08BPS9ESHhvowFh5nhpgdaVuFMQVZ/wFrJtlR0N8+7oM+eXwZyvTcju
RRNa1A51Bcu07bv9m/3Nft/9fnluDuDH/hOAWf8ZLGAf2+3Tdvt++vv0DK5D62D57vth75mHpzVw
2dJynH/y7OAUetfWfMC5rsfa7KMXOhw6Wjqt9CAB2HJ7fhbjuXNjs7vdS/2R64OqugqaEYpqD2io
TF/UzJE+hdJRVTt9Ufb6XVQcPJDH3za+cHwn1bt/1mbaImfPx0mjm0cZ1kZJPlSkebvKQuf9bRs/
eqS3NsDMR/ieWBR1T1X3AH7I3plYhkD6BuooGeSsdNKgsmO7Z7oFVSAfXAR7fodEAmTSrbVkwlKo
rlPwrqFtAbnz+SmP1UZRkhg3sj/8yvttO0U0PqvHh5AfRM2psrVGy6UjhuoRuLhwTyJ0nO39stZL
YeJ5cEtPZBqazYKVasvPK2w+uUhnw3dJeIvhtXa5gsBeZAC8JcR1oMlo7k4j+yaWyr6oTc1vz/p+
DM3SIsyOgHd53tJd8v6aMqh8HP+stQxOPurWl8x8mD70qjy201i1w+B6Soe36i9ARla2088i3bIz
CwnAKREMGcWIUzbswTn6bkDr4JMzg1V375/Oaadb3z+6PJZhPn517xCWYgVDKh5Mfs7viXosdp4O
OWQ/Xxtzjepu6UCBpFOCYAoIsJGSvlyOsQz0LCwa8F2AZaQZ9q2yzdN25dQuzvSZkdkMCFpdQfqI
E7eHr9CBRQV9SwMW1Pz37ZO7uHvP7MwuCE6RV69rDKbxewiGUY6WmjIeViLJ5SlDf/50EaG3YvqK
Mx8kVnpmjG1PXHAf4Ul11w5bCZwkt4eyFIsbWBIg1CkySKp8aQRkJq0fZBlxBx3g0ld0bxQvtEdP
LdI4a/rMi8tzZmvm0GURfFdVlBLXNw7jlxhZRVmZEl97Xiw5M5DM/hTncXv/6FaczZvUNl1FghJh
EQjII2XHuWgOQWn1/RPCzh5lV8M43p7FhXsR64REAK5xA0iN2e7WwSTtF4lCXEMbhoMuBaVdh9Jm
LMg9Rz4N7EHhisWFLQiBW2h6q6BxmJDXl+tmDCpERAQ4FaUCF1OEXFjLT7cHtbBcFyZm+RQa5jJI
LuBPpFhlCgDQKhJMo5Omazo3CxudojMDzyVx+seYbfRkDP06lmCoLP8AQxOUIKruV7ou12xMf3+2
KcZapD6tYKOOf2EsDd1K/QpwfHG+kPZVNaSENARvlyYMMrRJPWB79wnohdpxOBGCZIgqgJcsRsPL
7dVZ2nJoi8MzRgOHBx5Zl9ZkP0shdd4RV5DzwG6DHDzbox4zjwdoMkvDYNPkwedtmz+a7bMr5uLh
NEtJNIUXNFKKh1MPUut7yih7jTavldVBrrKE+EdpPvgMYpmb4+Pjx6NuHdkAnbs7CTp3ZsdksBZ2
bC12WZyIs8fcbCJSAfDLJIGbLI36VIe9bsZ6AzkJlKwgAs1arVDZ7WkgMub2ahrOHl6zla4VsWqQ
yUdLxX7Yv3Ibb2qzxozgNY1fMaveodTU7N+hfO8gtDt956YwTRdIVRmaF3Lz+L07YlPsCBqCQhMq
MRB+9MBPhX+d6EFBGoWb+a01IVIksq1mPf2bSSMKEiKgnwAYZb5XW64O/ZBTvIA1X3VkPwGxU5q/
FwPZyY2cPhD0TFkrs7YwaciZQoYJwD/Qkc0mDdFnLHU0oa5GX4Zkh7g+h3aWnMf//bWJdn866Zyj
rx9045cHIx2aoaukkOJyRguDmCm5lbSovndc71Y2wtLW+48pFEsvTSWZVpWaJuCRz6vnSG1f1V5+
o6FUMxCTa2YAVVfn9iTO9YVQhJ5aQICkAcLrJ+d5adJPdNgMU+q+15DurfBMeEU6x0rMCK8HdHuZ
yQNn4Elxaku3O/NdtqFSTaotigG3v2TJoSJkgOI5sr7XjU2ZppV9olbUNYS9QJ5E8dvAjX7bxuL8
ApZC0MKN+GQu2iDQWBtaP6duGYyRiRrYI5TdkXDQkFNWHsdoc9vc4pCgt4Oa96QSNWe6BnBplEOv
pi6I2ZiGfrRc/12PL7eNyEvXBKqmyJOjEQYAwpm/okOgCuHQULeCvk7QHTrwV+E2Gv729aOYsFZ3
DB3NkeJjSZChUzfgzku8QzZylm1D4di3MUOdg/WCzwavu/eDgnmQ12oexTXo8XVXwrTZcIgAOwXg
74rLpevrilf1QF0vSAEVV5ygPnR4vvg7ubY0ySRozzC5bPyLdaBYBHXq9UK9cZrBs7u66hQdrB0K
daUOWtCU1k8CuNI2HhJ5K5XNn8rE3JOfm5p24IUp9AkIEUw1Zuv0+KWhWD6AWR+PcLQoAUV2zHY9
BJkN3G8PuNx6Fps+KNhH9C4m7NHffPs2uwsxCywwzGD/9NSYxr+IXShgH0B0AnskznOJSKBnWgIG
ETccyQlX+4lUtDS9XhZXzttP0HA1HQhhIZAC9CjE+i6nIxiTAqSKBnw0bqpkF7PWkpzB5uwBZayt
ZD2E7LtlXwm7y3cF6NZAEoGqr2TD1zEM/PZJ+Ymab33N7L0gTeTRhY+vScjA1MYywLr5R+g2Wr3x
sgNJ3SjgpkKQiTLQnwOJI8DvIYTCd0Nuq50MvtfeAckS9I4AyxYOhrIDbtkqyGHgWyU66BEeibFZ
1zGoet+lYJ/2IWviB944XABJL950JtGZ6IbQF1NTbnUEsgv+TisGk7Rrg8XM3hrrLAYWInBzjz2F
V2jRbAjKXLRu3p7OJb+DUjHq1dNLBZmty7XlcVzgjPu6S/vHegR7ZnjSFXARNitX1FIeAk1boFef
wEMAYMzOFIoWfhhkWLYK5yZn7+BksihiI9TkGG4l0GIY6P0jJjbTEdIR9veXzr6+VEZ+tA1q2xS/
pvBnYLr9FFt4XzMrMtcKKAvvXqiyQM9i0s0hCpm9n9pSrqkSRLqr+L/F4XfWc5b6v8vst6GVtqqn
K7flNRkHXOm5vVlUEpV9qdQF7FH9U/TvPcUpIV3HO5cGuLWLkomlmXZMTSzjEEZgvAO/W7YLEBSS
4amWY/DQ9GYi2cqgYANCnh2oe+QC02deWon0MUjmCNW/VGBFeUzaV719jj2mjfE2FtY6K5ZuMCA4
deBq0OGOau90j545Tb1JWiFvax0kKsDBVbLTpOOzildInTxHyoPs3UPjx4++6vSvppyibjd8jWDv
0XBLRR9iOJh9wcAqxyoZZP8dZ5L8p/5In/s1pY3F+2ta4KnbBOCVOea0b7rcL7VUd5Od3n94PnJ9
qIrt1G0LvXXV7VeKwksZa3pub+4+aUyMoIS9FuyqY56+acab2AQmedBy0zeeCh1XClgcxtAm8ZMi
gQB8XAlJ5xoLPwHi+TfMnWYARoWpbcLtvQcxML3sGczkLIQ0jWQZxgZtKrL6hFDLVKgzpuBG7W0q
/hbD6lgFkILymLTaXjzt7blvQ4EZHE6o1gAxPbvPazEQqzDG3u+wUV2lRAIm/yoKEzx+ib8toxVH
t9AvMwECUOvFMwPKifLsrJVQ1RByv9BdCEgo3NYeNYDkXL//KM065WwEUUm+u+1clyqe5zbnxXok
uQuP+DmmHVBtcA05gdlvBRssQ+xRZ28ZHBp428CY6LnoGLfSlSL+NcMM/MvZmOfpgIGUPOCTfa13
ak4ObdEDItpCYM8ifBMM3Kz5A7h10+ygyhbP1zpYJ6d+vcb/zPkPZObMJzS9H9VaB/ulUewV4V1X
TCruRAWNnkGwsscX9xNCdKiKoTyH5P6l/4nUQBt0r8KxHiQGmivT4FaC0DmiB4E8ykppxmu1mmVX
cmZzdj8nSgFmViCMXUWx1U1HIXGNyUXFGhANRuq34kXy/t7eU0vPEYAE8I4F9REaOGbD1LWoBNls
p7uhJlp19i4CNpTHp9tGFtcNqVLQG0NFDmiMy7kcqkZS80qnbhSlZihvvS6xqGfXKjeFNS3Onyf+
1SbBHgHJOhJkeJ5fGiNCC2A9hyNAm7oV7aKdCCV1HEjmMxVFGp+dDAQMAeiqUAQbLYF9ogi1JXeP
+V1nfUxgLo+lu7uXjv1JzAwxJ1hcUMSQnZc/t2dlcYfh0YkMCSbm6mEfCETmWQdHrgWZq3vYwUN8
iBsLzyUnHvpfcVWC9f39ttGlkARKJoBDA7cK6MgsbhKlvEE5GkZ1rrAsRth0l24aAxxxOYInaeUd
uri7zqzN1qKsqzgqNWxoApdYyJ+q/GfAs/L2kJZCBaCkkLQAxS/A3j9u68wtDEYaZ7IQwPULr2nD
WUI+W75rupPvvyf1NqlZAwSiGOI2uo8yN5W2vQaOWTEHaOUzMu6HidGgAV/WUNiVUrzVfr2pwk2h
b4pue/tbF4/4hOcDz5iExNhcbdeXxroshFZ3Jd8ONDvPN+mxqUwNyYAAcGbpyNduqqUVP7c4uxhp
qvpRFEwnPMT72h+FDz+L7dyr0Zf1VcXde4fb+fYo10zONlnj5U2UDDA5xLE9qojF61OfPOToLPaT
zlYFbaW7bs3g9PdnOyDF8Ebe9pPBvbdPeXgXe39K/wipAysL2+3t4S0d3ElgED4G18NVzUxrZIVX
yLq4KWQ+hOog6dtOYATIQ5De6u+NsBJrLObj0DU9MZ9NjXY/IeHZ8Lqqy1DHB7ZMBlhD3/d46fjb
4lFxwPbHfql2ych+yo5L7BSD8KhlJ26OFM9VO0tWlnbaLTPvqiOtZGDY6EkFycrlTEt+O0CuGzld
bGSb+p9ywbc11VmOEPv2LC9cGheWZmuaCEUCfgxYSrxftVix6f0i6Y2VxMhoCStLujgsFSqn6LjD
PTifYb8NfGgCB9RFGQTBROSoMkROSG5K4lo+9wdyczWFP00pQEKguDY5zbPVjIt29MsypBMOIox2
AO+PdEfyr9FqhY+4t+OgsOIX6BnUn4N0F/LBBHcDgBnNTulPA9nI8VptbMkrQY0QICzkf/CCmaOE
ytioMiFFwjftoFQ7vlTSUdXtgPwqhHRH80fFz18V5e1fLPCZUXk2D6gHkD6D0TYGUW3/DbShVeff
DXo7UElb2U1TiHE16bgbUPrD5Yds76UxUVBIFkKXwhXDVDaTBKg/ISnXeDoWt9GZldnpaMYwEdux
QBJN2g8pakKo4LToXO+ghD2sle6XniDgckH5YRKvBDpzFrt1Cgj8cIshdfVei9bnCA1sD0Q50Z1+
9F+TFazL4tAwdTgjeOyCw/xyAkepjJIs4kjFRx96DSeufnL+Jgtr8IqlhQI3O4j6gahBcnAeK9Iw
Udp0oG6vn8LR1euVqGvJrUyo2J/QEHrts3FUtPVqdDRQF/zJTCs/ehA3GNlrCeGcTvt9e4dPLmq+
6dAbM00X2meu2thLpYuiCK1p6OK0R7liufycjKibPHGknNc881JKDCDGf6yRWaEINYxEBuaZuhnX
d0p+L+Zgg4o+oD4vZb8DEGF5ZqXBswXJIUoCq6gk8PKM+z6pbMiZszF+6znU1vlOD15pnzLPePC6
pyCH/IgpgKG+R2I6PMTQGhF3U+vuyPfgitiBn1xvcXCPaOsFowfLBHR7ZHcgnm4GJqRH6odMHqzb
M7twBV+MdZZnBF2zF4KwgrpcDo5dvdGJYALGju6nA9p0ul0trZWJlvYlhC3Rm4l0I/zIbHY7I6kg
GIW1TKEXEGXivS4Uu9uDWjpiOu5VvMTw0BbnlSjDa5oB1JLUjXNVZW0iGyZV0LwvpkiuFL5PVy49
ZXIQV/vTQLEU6gAg55zjcqgYxGlTe9S9f9eYBdQFQIGvU1b+/df9Z2R9QtOaveN3n6GMbE65eBW/
NiQx25fbQ19o00SPC/qc8C5BsRhc3JfuJQg6dIjL+BS1t5UGAhBWSg5xsCXNThx3bR+bnVtzsHPv
RcCuxgAhvFMBMTKweo1yY8lDwMfhKYHUsoww7/JTYlUZgw6qT67PB0b6D9U7goaExd1jFa2x5/6M
a74EBtwDOn0Q3xnzskts0CHH1kKaAVUD5A7LbRBsRrodMLioD9DwiMswtmJU/FvWj/ifMvOjk9ad
VhZgijpufchsAQw9VHxJL3VXKLekDrdCaRMMfDjmoKE1Nsh3ZNFfTzErvK++wXoyrJXUl7JLuMv+
MxWzy7OUemh7DZiKIPmVU4fzZteGILbTHKqxtnuamlTG7yKJWZrv+jUs/dJKoPaFkjdKUyJwuZPL
OQvLGlWAslXJddcz3vE89FPPatFqqGfVvTakpq7GzIgOEGQJHhUjMwtvO4wW+mcsae1TFlyNAY4B
6KHAE6C/YXavt76UhkUn4T0LqRcQ+Sdreg9LkQMs4CeDDMEAA/BssQNfyQvCIc9a65sG+rBboX6S
tPuJT6Z8KojKSn4I1xggFnbYhdHZ+nZNyEsvU3XXyE6a8TkVumrFWdnGCy7NmHJMILKCrhGwhper
iGx/W+i5gMMrRpBXIc3IwFAtM6EQg00GX2e2QR85I1C9TIlrNC8bKT2IUaM/ESoQJhXGv8hawrMB
lYoVpSDBmD1kuFxmqVRjOWvhXio33qOgHRKkxtPj7bEvRBvIrwGpR5FaAJ/RbH55XUZqGWN+YyRb
RDwi5PjQ8C1KAT5Cw2DNYywt57m52bAGKR88DiEpsN/f1/LvIrzXwMf9/zek2Zk0hLhoxgFDihpk
1aG9VThSpTC5tOld9C+Cd3SYY5kkZSJaEmdbR5frJG7U3HBT9BPH0klpUCEU3ht5bUMsNRReWJqm
9szVqOC3yuMsAz2OXLwlaG0ZICpaqRvuObTjh9xgtPzNG7wLrXoNi7vo5yA9RFFXQ1oInUOXxqVc
4UYTloYrb9RxE8ePCdQDvMZU5IdYMlDa22nNsTb2hXISQOkbvSjotF6T3pwczOy2+UkTIB8si2AT
nS2sOqhKyDVuuC2a+msweowa6uSVb3J9JTW0cJsDaQAMo4YQHJS+M0tZLod1NAoG+mwyyGfdDWnD
6mgnhU9693p7ty6diP+YuqIjzCCF0But77mpuOceGArQMw5kwG0jC5ESHJuMSAENm2gOn6Pqci+M
BiHC5gmT51KzssTUmneJ43UR3vvdLgEUIdx16S8qALNT2gaIEZsNAHC1sKUrmJHrVUS+RELIhj9w
k8yzJgmQdnVLcGKSQvzIpfIdKBfI0dDOSRS+9oJfSFKgxRsNwMicTpK/8sy/iaWEPrROwkpKmgl6
qaKaAiUN8b4eFuaQOCJTC/v2bF8vKWyig2TSjZvMzl6LXYwcOpRBPbdGmOnXTgOV1m4FH7Q8sDMj
s/ue1/IghnrguTz5G0VHw8kyBsZMAmXhL0ERrWxce2RfXxUQU4CsDagjUAzQ51OJTvpB9FCacAMF
jYneRx4St/LVTRv8SbI7AFP++1mcVg38T8ATXnGwtGoRgPUhMlwRjZrDuC93YhmtFSensPzSpWBM
Z0ZmTpUroEGolMBwVa2xJeUuh0wDNdDRJG+y6Kk33oj3ZxCKlTO/EErBLO4LArFi5CvnxYcM9zGP
R5yBLnNzOdp7UHWDKAards2EE6JOF7Sbyg+t1c7MhbbJS9OzC8tI89rQhcpwK5QH+/jlqYe06La3
IAnlRZvM0v8YNZgDWofmtqCdbq/p/zJw5KRRcMe4536IqlABSIJpvqWsYVn3HQHSdK/I22zEbTYi
c2oqvv/CR3VlNy0wIyDlJQETqoIaEDf17FASrairMMPlAf2Y4wkMRQA7f1GTQPZGMHtU+qByZ/vs
18jwn8iHb6qjNRwMC2Arc9gCue3cnoql03T+PbPzG5WpAslqfA950Trwf0InkdgtMqmS/KGuEuJM
o5vvcxWU1SCpB9ABge7l/e2HwJ8RvcZh0iG0EALZEmqbUnzvPMOpqgAKwo6nwllJull5eENCIle5
p/2IZ5PGTeg0i80fsXJogkQU+C75hq7xFkz77voLwYmMdlOoUojTtXEW3uiSEvskGA0XotSPgRBA
Zbjyj7fn/Ppaxx5Q4H1B1g9ssD7b+7mU1LwbcBkY4JbmoPqI+iPPoQqLN+Mq0/HiAiMbMBV80ORH
ZyETOv5zHRI0OGhcMWNphyehD0StrueMyxmL0KasCA9ivAmFnglyb+pkkxcjOoFim+uUqfrJh/7x
7RlYuHzRTKUY4EVCjyNwrJezrCZVoNLQw3UInJt28JClkyB9weuV47ZmZ3btNnLFx1JEACU06j0P
sy263/Yq3m7RSjf7mqHZgyKsAvDPVjA09LZmsDrdBIG5hmFZ3JtnszYLB0MpTwuD464lbfxbD2Jg
ZyDQcntlFi/0s6XRZhkkFU8WsORjJKNneoDZqRsf++bli0aW3zwO1Lltb4GnAYdBRxcC/kBIOMfl
aDQSE2lIPTdmwrMI5GNw6q0J9HACBzqEZhndEFCE3dG924Kp5rb1pZMIyrqJ5UAFPcoPaOnstCdq
r074N8+lWsAyxH5ohlSyN5EDrNyudD8thWPntmaeFm3hktCmGcKxbkPVX2X6VGorJpbOOsI9lDkm
B6bOkfMh9xIPZRXPhXo8BRdwJLGmP3jKTlL2ZG3lpt0295ToVoEllHGgmz3bjaTMQBExcsC1UvEO
wYmJ1hVLCIRvgqx6pct3cvdVdSsvohWjc47YGuraBRkKz22GDLBl5FiNQyXi5Qd67HpM0NhLATKX
g7Wgc9EulA+RbAafORqCLh2WhyORx1XlAZij7usCB5yNg+lJFt9ra+/LxY1yZmt2STZqVqSRiIn1
s79FfNLVP6XwbwJOFIv/Gc/MAace9wU1wng0AlzvXt5V9v9w9l27kSvBkl9UAL15pWknNVteI70Q
YzS0RVu0X3+jtLt3u6uJJuYAM4ODI0DJcllZmZEREF8ap880O4J9soz0FY+/kDfAs+/MouCKVZWB
F1SBRSMcTz07ashHS1aE0swxKp8q5GrBsWvI9+NAN40S724f9IUELTcPCjAQgXPsirBbS2pU80Rh
3kJZy5ENf6K/KvmnGj3a1bNMdzZTHUl18uyQTapX/Icb/8z6t9M98zPzzCElFQuB8pGdGuAdfTR3
5uBRiAAbK3fe0i0Bun38AQcD4ixhq6aNVmRyhGcf6mSQMIi3t2dy8SSgtZtruBhg1BPuhwmOQO90
uLEE0ZxrstYbE910yz7c9r0//mClC52nFaMLiR8sH//V6PHAlIgBQzvUtlVRGbsnYW4JMlHUNMhu
nL0cqlFa/YNZmyp2k+gzQWvZJi3dun7v5FXN0MW5PfsMYRNLKFhnxoDPyDoVIk5OZzzPlR/500bf
jh6o7kIAWcD1V2NWyMoeWnLuUPtG5wmQ2jySu3RBrZVEY5nAuU/pjmUfELcCdtep8sZpZbfU1wgo
Fk/MtwyRyWNh5Pwu7aWxCXp5CQsNHIg7GvS11/a17Wqh4ZbFPWOJK4Gmt5Eyv0KNQwKzZvcfrjPe
u62g/xKsyyJkuKimVCIznD26Jl053djVFr0pYe0pyr1VrdwsS1733JgQJ1tK3w26zI3Nr7yFqzlC
J+y/OMFzI8rlnFr5PEWUwLUj3AibxsuUz1wFG7f8noTUlYdoR0G75HTDvKkKrxjztXPEF028tLF5
MJ8SdFlAvnn5AWGntnlMzTBIkbvMNRdoHg9NEIBAIeFG71i/6fJfVnUsEugYJRuTvP279zizL97f
IBNFq2RuhFDD9PMWj80xf6rdSdpUev8s4fGfrDVjLPQccPQZMJbYQ+BhEgPMSUpT0is2zs1gbGkW
6MrvuXlvwjupzLehNsB1mR709mT2q45SH9ycR8NezVzz7SNOPGJchA5gXEAGQLhwFSaxCqTXBG4T
HRbTc9ztrRqsY2AdjBi4JcfeMdEGX6tpUJby8+1ZX+h54DUB8LxAbRH8NYZwJyjWULfw6SRI77nc
4rgBmTbSLVgACGIE2dbaJz6hvjJsCrferb1blt4UFkINJLAB88e7VzhbcTe0TaZohG97I8+8ONlQ
7an3s5ONDjo/VB5WxruQT4NBsMuiHdCG8p7gK8fQpHmWKyRoTcllNfGBl+kmSNK3jhVuzeqvZA+u
unq6Fhb5wqzwCpSprFVYPRKU+fMoPygdWI1NCzBLB+QNG/BYIm5tvSZeo45fnmCg4FDzl0GvISaz
5TiJ1bnqcOeDUldOHDRK0dlnFlDZDrvrNNCurtH48Q0rbGhoCEF1BVgn1L3Fp1OCozZaDUxOBOTl
EMeKIewR6XcgVdjfXs2Fi89CzAYeB7DJG6Brv/RZrOwGIyW4dPvS2lvIUljJHaXWzjISV1bfTVCJ
3ja4eFw44wsoNwDEV8WqZ5WObT1pCtw0QRkEhSWwqqHxZzT2iUXRR/YIwXUXag2+XILezQSHM0By
GjI4iKq9VPlRRM9K9KquRQBLMTRYPDmjLhDjnHvrcibiSE8UtUhJ0OeQqiK+XuDvfarCceHNJxdO
O3XbqN0qdPDr8t+xJVBwObMurIMuR1HXdjEJzHCmTtsCq6QHRuXUvQ7+rzVc5+Kqg0JCQ70ECBOx
zJ/kjQLlmArWoAUap9jWtNtNaoIwA8j/vIIwkryah1+I79AaBuYAVBZ4wkx4ehWsIx3Wk6BxDxJ6
itJ5xclmmzI8FWHloP0AXLbIm8WgUC3vlPpU0LtyXLkiFwducHZMA40VkLS6XGQ1G/KOJAUJRmNr
1Wxj1olnomSM09yof6DWtbLbFwIfMHFA1xJcnFDp0YSQoDVAAD4i4wPxZkPy7AoFnITIhdeb5Rov
yKKfkjG5UCvHOUaa6XJsbJTCKIta2EKuwsVe3pFYGvc9sFyelZfHyEbTfpaX+mEo48mNgdFbGe3i
7KLWgacLkAYokF1+AZnifOpiiQQhdq6dI2sQo2R114EIJWUfcf6+4kqWbiJYkyE1hPZWlD0v7c32
MI0hxWq29C5MM6/9qxmuzvQTJB9MPXPw/JbWqo38dhNd87lNYUUzsCJ1qgybtHGMuXIqvwP+Kv8V
urcHtzSX0IqGH0IAjhUVxjY0fc+IbpOgMcKPoi43VQ4mSDD65J/oBNFYtFKyXbKHYjggInh74rIT
np5lJisdzbB2nemmLNmSU7uVO8WV6peR7m6PbckTnNsS9kmWJFJY8n0yjLOTdIDvr7nTpQv03IJw
zuuCmQWrJhK8xUzxDbdNiE+APL09Dr7W4l4AWAK3BRKcyNQJJ85oDCZTG6GXURvH0dpF44sV7qsa
BPRyjQvEjx9vG1wcFmBonAAeBbZv3OZZqkPXyrTloIWgmKFJRWyXhVCCUaWttKb/s+S4UFBHHwfS
HCok0C6PVt3JlVJQBHmV/jYY94X5I17rMFy8cc9tCEepzrEbGyRugxAE1qHfvs3WzsxcTGHhmF6i
ftlf1lpJbmVcprDNR4vl4dzDpq38zbu/ln2q+o/bi7ToiM/GJbpBQyVIpBjY3ip8kJTfyWBAVgMp
3CFf3HxF73OzRhi6dKDQigoUMvBk6NUUQnK7HljSWVJ0MvNB8mZVn5y5KNYoMZbqyoh/AZDXkTCA
WKxwg9MkVKKmqgDO8WondlFhBOuW6Vf+x2sF+kZpt2Zxab+fG+Q/P9vvdRtWoawC0lIXNgia/d7+
1Tcy6N3tlYO1ODQQvgBkjKw7MEHCDFpVzCwrMVCqtTsvQ8tWMv+sD2ihKAYg8qtD1hxjezPjkplk
ZODDeyP9oPPTys5ZulzOv0I4dXoZ2zOJTUCw6FcHnoYD+9HYr3h+AEA/OuBDlyAc4o1lMCZuqNzj
S0h3P2dr1AVL0865/SDzYygAKAoHM5dALD4oYxiARsipMuBA02M9206fsRUPupQIQxLqf02J144R
zRbNrRkQFwiMWuAiAy7hUBjpDu2hp8HukY56ygpQiVvyUdeemm4FY7N0cqAQwcl+uHCT+Jht06rV
iwLvn1Y6TiQGRcOKN1hYUhxMjjLjGDNcsJdbuDfM0rTmIjq1NvjGkggOAXde9hnXeNK1q0HgwtLZ
eMYBoA4SeAT2grm8ktuoU/P4RP9qBzQxn0A+caB+dhyf0JkRPkfgYU3Rcbu5vXP5jri4CaFxyoU2
ABySwJUlVgCiKU/VujfjE/jgR9XjqAOthSCIoyf3lbmph5VoZcXetws+dwzTXAyshD05KaBl+Rkr
uUOmk92+QQLRa4pDkz7cHuHVOnIVVyT3MD5bB++IcDQ7mUXlEGrRqW9zvy60XTNs8+yxtrXXkHi3
bV0tIrcF3BBXkP5uNbjcM7Su/q8toLAAldnW4B1jJtmuYkbWDAkO3RppF6WZFZ268KEeVNA3QqqY
Kk691ui/aAjPLWxIjkMW+ZAtZKgavBii09irXoqGI0t7SGd7Xyq/bk/dtUPhc4cjoOF+gs6fzg/8
2c7IUwmMskMcn8DQ1AzQnUwnD0kOT6PlYVSTuzwHtg09/ugLwh6Rys/VsS7tzfMvECaVd9eX3ZjF
J+AvxjDbk/7QGlAD1KiXtRAfzKknR1+3h700v1x2UsYTE9ULsXBkqlWbqzaNTxIel2Br0AawR4X7
1drmsh0TnPEA7OEs8J+fzW7fooNbH6v4pOU7KfrihCYghYj/mdEWi4jn+f+aEbxYWqPv1mAw00eT
XyWQ08tAjZa1bluD32Rtc14HbNwchxsDqoBUtthaWNUQhcYrDObY5MrwYR9pMjhhHERW7+uvE/mR
pfLKGb+GyXGjkNHD2wFP2CsEaTFNNcsneGrQhW3JbnhM7+N93Abq1lgrrXHfJHpny7CQoufKIMiQ
X65aXbF+jOUhBokuulTuIxyEY5i8EmUbr21Em795rmzxvQHuEA7JFZYuIrrVT6yPT3c/Pk2n9U8n
2TnZzp/N5rTfoJHstDk5T/4TlAWcp6fU23y9gOnQRTjpvXz5Dy+fD8H7FzgJnXsw1RwC9yPwH2Y3
iP0/fx/f7P3j3eTuTKdzDqB1/dg9P/4Befqj+/zo+oeVBVpy+DyP8v8GIjj8vEQXockHEgXaA3Oa
nebMawkTPvG3Jou7krPjlKlzovblCBtRitjH6AwEetFaUPAdRF2bwdWMuB0AcbEfGByJRpOBj/Qk
66ljlD97LXHiDOi76TfkoWctcRU6bvvKR16uHnZsblxQiLpS9tIYTwUUeAZSotFK9YD52t52XNwZ
3vo0YWuiBQZ4K9LAcR2gnfRzBYqxOL8g78RzWYNnFNN9BhnzJJXn+JSBsS/LQRWwErEvGUAPLFRl
eYCHG/tyAbsh0/qhtHGych2uvYariqem9m5P0oLX5ZqfeHNBdQcxqvBoNcoM8PbQQlD35DzorrIS
hC/tj4vfL+ZjwgT5PMZ/P1pY55iCvV72TXZCwcAxd1+V+WLJnpG8EZqDwdoZNa+anKzaS/LfOM8R
NfwHqCgqZudDVi4ntmedXlsTJrbvqXayKl3eq+Gw0rq+5PhRg0AlAuMD4YAtWIn7ok9Q5MJVncVo
HgJH4A7qsan6CIXszMGra601/xqizMd1ZlFIGQ2mauZyCIvzb8CRnRfLe/l1esjczG3dHwQNtXjm
Oezwfv/hj67/x3IPzs+dOq6cumtmHOEzhGMHVhSWxWoYn9TsXrIgwQAuvRmJTF5vqnMD2PCjNqVe
bnaO2Vl3shpvRyg0yHfE+sPk0tWnX5XyEUcvwwjGvW2fep0OCqw4ceEl4IFWgu+FC+xi1oRjltJh
6CODYIPWIB+UvBRQwg7UH3b+XuY1GtJL//aJW3D+FwaFOCejUStRDfODEt9DbIdeK93ZYeyRcmUL
LgSLMARBclScQLMhssWpQ6skcZdBK076qHtAMgtPlcHT1npUhRaa/qHPP24P7bpmz9ce+53LrfDW
J8GbaEZTpE2ZJye1+SFb8OwygyB2rGwVAqbw0N6D9su3ybg3kleNELdjD7MCYNCwxnm04DzR5iWj
0YsXhQA8ujzjbdJIbRlh7KMpx+CRnMAZSat/povhwz2zIuwdVkhTwaDYdOrTT22b6tsufmOFD87s
2/O6tJLgpYA19LGAA0eIF5IObxLWTemJzejyCsroEPYFmDP7XwWNHZvas4t3z22bS+fi3KYQP4RG
mBBKYNNG/IiuV1/zo+5YxroLrYF/NwWELbqPoQiIXmh+Ys5CFaOeErwQy/QkM7fnouM+kJq19hCy
I1lNCy26SV1BHgOd76iLGsLA+r6XwXrAYI1KPoGGY5/y2uDwQqptGMnHpIf4KqR0jUcSb2pgLBp0
RtnJy5hiyochqPuvgai/6S/tvm3dZvwJid86ee9QaBwR/KTtPjZ2Jkh02D5VPlNtjctnyX8AJIj5
QtSNp4PgPxJj7maS1ukpmdkWhTAA2Qx6T2VwQK5V8JdOEfh5ZGw50FsCeXS5MCFLspzYeXpSkj9I
MKdrafqlfW2gZAuE4HeaTPj9bZ1Mup1hKWwEpqSf9+l8rPN7SOo4wCQODMoK7J/FJ3GKkE5Ctz3q
0wh4hHs5NVtQhUG16FQYaBlSeydND0iMrpyexZk7syLcxRpeRKgJDZg5I7Udyqw/yNSvqf0tTt+Z
EcHJYdIKQ7a79CSVf0d61G1PLt4kaxcbmWOVH+la9/VSrAju4284B2D/3++zs3MqD+qEcA5TJ0de
nN3nUuqYGmiUijWu16Utfm5IGBgb9RZKkzCkmM+S3vqyifv/lJjtptC8275n0RTKUIibeApVxCqi
S3hMyNziNLHGU/onu0Ohl7h285aSr9umlp7loDEDeE/louJIf18eJwnEG5DsxFtJifQHOhU7q5Ec
LnETZpOfhbOn6mA2di3ymiRrOO6FtYNtE280xARwfMJVpeXakBMFtnv1qap2BZQG4NLXJMIXZvPC
iuCbjGgkNjL58amz5NKpgDw10nsVitXjbDxl2n5lQpfM8eFwsQY0p4naW6A01GQIMCcnfRjm7SjX
lRORPtzLoBJyFXnSvHzK2CY2zHCDXqoCdc2yfJsGPDVHaUIKoegAJczy2pNyE+T4VdH5kZSvsSQt
nFOoAKEMAG/NX1qCy4F+mRwiKEYgZkfbFpwXSLD/YRp1RoqmcDX05JZ9Qln95+3p4UsqvH9BU86b
HpC+Q+ZJXAwCaXNtxLU6jNVLltHnAjxzqroWzy69dMCJzonsOMhLFRPmutJGLDWz/ATOn2kLlv3a
6eYUoppRQAAnUFiE0K90IOvTIQat1kRwF4YJXT+cpv/D4CXeh72qqLSmfX5qQHufja7xMUO7+vZU
XteTDS4e+P+N8J145vqy2TQJs7v8NExOPYHxXSMOWD1rJ/1ZeqAk28T+bYsLWxsG0WuLrkvQAYl5
lVQqkjBEZ8ypaazMx2aRjq0l2wDPFfEPU27rh0ija8xAolEkKoFD5GTWgKHgmhQcVGxIIU1AgHEa
lB6I3q0ZBTrgaLVhblN1JX9ylU3nxtDIAh4otNVzkOnllKokNmamwlgkfVQd2KVl4igVxO1BdGOd
bNPr5Y8OCkxUckJTdjNjpTwn7htuX4cIiAGedw0ErsJgRyO0x6IJ85Ma5g7y2iMAI5n+X4xwHhYs
I+jaRRgHRRnEzoAdPzV66xj6+9gwh6wqii4O5cyKcF9GM5QtpCyhpwmVnAHzV3IWD1Bj396TV887
PmX4CxA6f4Zg+S6XbNSGNh2YnJ+yTN60FtT04uIVrU5auJMPpryV9GIvU2ujEQbRkBZEelClXjuK
4sPk+yNApgiEIScmFXHhstyQvrMwpcAyWh4LPZB3ucwFDt4hh+c/f/7S0wCMx+2hL50MLqqAQJWT
T4i1ZBRYI2rl2Cwli59AYIeUJ/ZnuJFzv5TWsD+LR4ML6eAFjTQ+LrbLeTYzJZbUhg9xhmhH5fUI
tJD+4+XyHOmJNhv3iT06NV4nM9QWqvgvBZPwfxixggc05zABaEv4BuiyhHUDeZyThDvEtQZFuosQ
KPmTiS7ksGpDJy/HZHfb6FW/EBYXwhp4AiK/jx5jsVwCTog5HCxY1cHLQsLPct4pY/mRK649gOUD
vPqDB6JQ1f4l6dRzJgYBDRS7VX0ld3K13rygDhgU1zy08NriPz/z91JXhnkM1OqjLkXSpoFWC9QF
vHmaI2SqdNBrlrTd3h47P6Tn1zWY2BCbAcaKyxo5m++G2zOTRI/JmKl28liyKfbaWJEBsFfmlXvl
em9xM2D0w3Wpgv9DxPNoDafm0mAGDC5s+GJV7aqTvClYsjEq8BUM7zW7i5MenJtBUgcsZysu8Sol
/D3Qsy8QHS+gbfrArOTRyEFZk3tkuuuze12rPlAW63rZQZ0xRwDXKr9HdDegwffQVaA9MxymHEm4
Q5+NuvZN/D12Mfnf+QdctAjPTMC0hd1ezWBwpx3We6ByuU/KdNhmuSwf1BCd2nXUqM6ctjLQrTID
KZ9uHLOqZB5rE2UjQfnzQYst3rTL2HCYmTw7dhbmLqkg+ijh7vYqyt5iXftFOujE13aS+nGMrNjt
DSSG+JypBt+PQiN8hq6IKwux0zqfjJwdOzns/EKTDK/HBbRNxxS6DNBI3d+2d3VYvw0CGQYvjJ4k
7JvLQ6LPcUwIq9kxRh2roE8We1IQHPXNU9+Mjtl/NoO8J8WwDd/b/RDfdfoveK85Nlfupe8E0fnq
8Q8BIQhYOWQU1eA6Lj8ksvvCGsqWHaGdsY/kAxveIQAEZes6dqMo8bUaIi3hnd1De5pAwKR/iGI/
fMi7X5Heb6roWGjGrmw+0IQY439EaOjp29P0ZhB5O6zRiF51zn9/LbQt8TF4soBU6PJrxwTJO5aP
7IjczmEsHbvTQMhsOlMOuUX2EmUdtGO/DHSfIE98UIvZb5nuQdyCGvuhOtCGU7cHcau7BbhqdftZ
n0bOlLqCg/l++oqziraBb6QW4npRZEZqGgYe2bw75iatZqcZ9OqxkLnorDLHHcBUkZTghdUYue10
kRnfKVOehE49QrRcSlDyttA7CwJDrVGSl7oCntoxOs06pHU4Fn5HGzlIsw7NnnWYFoBHEYv+ntMI
OPYq6tLfda0PEdi3m+o44j3xGWeNhCyu0qSjpxXMmjeFmqmACsx0jZVNjKfgIcGWj50N6lVU7kVg
1ZCFWR9adhVkmQ1KrZwajvEW5rqxuX2CxFCG7wQNCTYEFWgCQtPm5U7QtAQ8VzrSnC24V6sw8fT+
byF/sngCe8m9tdaaIV5q3+ZA3qKhKRSNwN9Xw9kNI89TZ0QmzAEfFtY4Ed7GwZ76xzGBoR33LfoB
ASOGQxJiUUMeQaQdl+QYJeGR5iF2eXMw9fkuI0ctY3iihfL7bZNXjg8mUcKUEeSChwJv3stpjOdI
bVBCJkcjPaC4vB/YccRLNNFeb9sRb2iEBCoWhI/MBLRClO+Tu6jvM+zQIHMda8WHXY8BCSg0oSHs
g/NGouByDN1og3Z+woOLzI2TW82uqQ8QePL7alqJsRY294UloSJLq6Fo2tyIgtmaXYXMkkMG9ocw
a6WwdrXbEGacj0hwc3lb9xFKU7CjdfeIZ72qiO70iKL3OP2dN2v1Cn5DX3grOFLEqpxdEEEk6LEu
J3CqtMyMKkxgdY+g6TiGHshc9Fc8QXr5X4+tYEoIYHq1VLu4g6k4Dw/Dk1r7YXfM6CcCSUQpK5v7
ykcIxoTIhMilqaFOimkskoMF1RAw+TsV1dHFDfBZOzugTb29zRcW7nwmxZSoEXUz2N9gUaPPSYaS
jBV6M/gW0O0bR39v21rY9he2hM3YGx3RssqOAglIkGRwtf6+wINmMlbebwub/sKOsBnHpDV7LYed
ufwAHAG83cpGrlb2xVWWCPfGhRXBESFmH0HiACsDeU8M670P6VsRKnfKS/5Yax6JkielQNOdPnfQ
XFxphL/2TpfGBcc7l5WtNnKIXWm+2sPXRP/xSfQ9OI40Ri8hIuRvjsiz28Mow3CgM4mC3AZXxCjr
yXNnKIMbyU216euqDOpuXEtbL60bWAwAowC+E0SpglvsKZmnIWFxMOTS4KSA0h+oORW4+qU1U0sO
BFkaHkQiUYPy2qUDgaR5gsdHGwdMq1PigwwDUXPZUgCN8Wh7yFsaNSC0rMtxW89154dS1K+RFi4c
B/4qg2Q0Ou009PpffgPN4VqiKcmCaBiSH2qC6CPvwsGXR0bcqWralcrrVe4WiwpBYBt4QbQZodgh
DLo0c3sebZYFYw/9PCUE2SQyqFBkjJrBz+Zsm4ah2xlJoIDl7fbRX7YNFB/aShApAOZ0Odi6nTR9
1uUsAKNy/pbapbSd1BoybraauSPg5iCnkIlf2+QHk4fBq+syWrkLF5wrngtIeiI5Dx0WsRjIzCpV
yKhmQWn3Nd2M86w/t30D4JFlx2WNyoEm5a5a1EXihUkWr7UMLdnHNQkFFHwGWjmF9WZmWBCjmNNA
mlSIr6V1vtW7tn+VlAhdL8gD3EkxYVvToMpaX8/CVkO3DYrIPLIHg5dwsupZmuSs6ygY7uXoVIIy
bmuzJvSK0tr0Ta1tb6/2kjm8rnG4QKYAynNho01pp7RmUxdBNBegP8OzuaSdW8MVo6FpTRH2KlGJ
bY2mTaifYn14/yaf9zNfVfSS1QzxXAYKszwz6pwhN/Zhkuwy5Uij2QWP0UAsp5MNl8rkpKG43VL1
rjPXroSFBYbwB9qZuEAL3mLCLGdtzGLNqKugRiKrMsFiEJdbO7MOVTN2bpp2TwpJ/NtTfVVnxOi/
aTNAN8NJ5cVkZcozEK3S1UFTWrs++knqx5q+m+HJhpAwIAp6ynbJ9Bwpa3T6C94aAHwTaXUFKw3a
1ctpt6YSfe5yUQeyVvxlZuSn+oBW1jRfuWgXIhRkGzg5CLauih7dSzspKs9QnS3rYGoTnzZoKUde
Th+SjZa/qPpKHLtwr1rIcKDpGerCQA7wnX22l6KkCwkaq5EKi2j5KJOi2EagwlwJUJaGhPSfzU8k
WiPFt0UJuHto2kkTVKoLKuadNcnbOo2Offs6SGtQwYXzgZ3BBbdxzfHrVRgTNhCxBxu6dFBk71qH
oD/+MHV4m7GTvqW+UX2G830BbVVqfqb22ja5HiteaWBDQIWJb1Gxj0KShnIy1LQK8h7N1NGnpEbI
Qe7hpD07UZ3bp+F6+S6NCbdMl5VkyqqsCgoGPZkGWP81BqKrBj90JnFSVNxkYOPFCgomSJMwavZW
FkB0blMe5DsQLn3pu9Ytgb0EBL13oMFdrxXrrj0qt4pyhIZWOrxJBY+aWcYAiWJYlaXcH8EllaH7
K23De2pWj7fn8PpcX5oS4toOqpFcRiQDi16bJp5lPmX5GqxpzYYQvpImJQ24RXN0RRZoru+rJAe5
P7U8o2Ts7fZ4FjbgxdQJC4ZKzkAryc4CGtXOXO7rHBvQupPU0p2tFTKsNVvCUUO6XS8SE8skPZbG
Rh/f2C+o2bo5XeusXHh9XK4S/5IzR6UDY1GlFJbQ4ljO7ghiFztHfnFS4+c4bryKPNP0fkANOwJW
bZDXgpnFkeK2A9YUqEtVFVbQZmEXo/iADTkUbhE172k7bKQpdvIIj/Hy9fYaXofrSDPhlsG+w7Mf
3aKXo2XmNBujlOVBXkNg89hVWy3zmL4j2TFsHzXpz21zi7N7bk94h5u5Uk5Uhz3wnTqSX3inp9+V
M/sU1Esrpvij9zKVcTE0TQgalLnN7SZDNxmLfKm8o/HfkUEvdXLBdo0mafR2MsdGerga+xXTS0uI
5B0AcnwB0eZ2OalZM1nqrAKK34zES5xICywLucjid7ZGArDoNM9NCecizmpTa0qYGuf3Ga0BMuRu
lX4TllCJ35XZtFVNL5oHUBtXoOip3STcGO3otJBDvj3dV9qI3H2ff4lwbuJQmzvdKOF59nUw+L0H
rkfmDX73VJyA1fqIjsMD80EwDpHArHLcYnQB57/9EYu7+Wzihd0MoZ86gkRuHmjRD9wf8w9QvYF3
qnuhv6ViJVGwZkvYyWGOrPZgVXlgRtsirtBVAjTLpq4d+gdks3q/RmtyXSfiE8z7gwD0QJOYSCPG
OVZC2ezyYCabedOiEYH8ogAN0nknz0+k+6Me+vmYGBDSpd7c+FO3MdbSgwuvTXgkvPGAhdJ5sljI
NLVQap9SAzNMaxDYbMc7+gPdqBT1ij/z6ERrufZle3BPMgSPoJgoJqUbQjJqspxCp6JRZQeP8DFy
ihR6Em6U9jJPAJk1Q5WsK/9SVD0gcSVJgPPWjVn/h+sOLSgIG/lT96qzsk3HkUk1NriutRuJ7hSc
6Sm/o+VpzMeVjbx0jZ/bEg5TLaUoMcDbBSgWRe1rTh6IvVKY4mdBdI/IAQAcwKMOLKngpFSj6roW
ntjOBg/i3kgLeLEFzjRQtI0fVrqWGFqyB9ZUzB+4+MBnKQRaBpO0uejrPAjnY8TFPL8MYx/1d5Px
Odi7235g8ZqB7ocJjnUVGHXxwZjEiVVOEoGx9m1KHQqxbPCYpf0IfmvZkYA6iwyX1LqvzL+ntRTi
0kjBtqii5gdib6SrL2e2VJsiifuMBkQCCzqNjyTaUBMilV3mEsuHVPXt0S7Z40U2QB4QNugilKeJ
VDUZ5RHd1Il00MkdoD1uGD5FmmcWIKDpQN9z2+CS6wMNET8HmFoIkVwOUMt7qe6oRnGJV0bqsPDx
a4rx329R+xKpaxCapeFZXKEDewfvR7E3djS7GcQpNoXfC50IzD1GBL6PwtUTZCCK5zIOV56qV9AK
rB3ykhB3B1klejLFbj4zjwCPakkRzDPgFUgcdqUaTPWr2t0x9aW3h8fcCo+D6lS66qN5xVXuIxTD
AS6s5h4d0Lo3J79Jcujeb8/7N2JJOLNo7EAjEgCwnMxBOLN2VM1hFOZlYBXpPun1u4bVv1S7+qMD
BQ12yQEbTkdTu9ZK25ooboOHaOxEMcJXWSs3YWO4UjM/kHSL3PPKty0EPZoJqBUSNCDDwkG/3BSq
0QyqMZIyMI2vMZxOs5I6FoQqytmLyFMBXpbm0Zgzr+tjZwx3mtW5BFlh0u/nEMofyEvf/iBuT5wr
SCyhmqkDiIn5uvyelDZaSIaIBqEVurqGHlnNLI7JkCpeFT3ftrU49jNbgrtu+kIywlnjsYBHui0K
lG6NiW9zj5prBNdr4xIOH42S3EKaEVeDGvsqOoKVZyKxTTGsvFaXrl5sf3S+AR2I5KbY4ZMiZ2SV
NtxYM0CHJ9MqAClKCEqCYCeT3C6TvDhXNzN67ky61vC/cP/BNnRFgY9EGl/M4INGYUppn9Ag6hq3
TMx9NjWv9io92BWMi590S0K1GPkbG2RagquWs56YbdjSQE3SY9OOvpQM91303Jm/8sj2mOHMhuYN
YbKL2uGnpr3mqxqD/MyK+xQUchKHfqM/2RQeC3XXqPMcFjQoJDlxuzFm7sSy/+CyUdDlVNLA9hiA
o1yehj5pAbBkGGg8G38kuX5uJwZFzJcJ+r7JJB31SPlQC31z+1ws7VXcgrgJAQHUroholarXtTqv
KXrtCtdkAOhAXilCx1AbTStOe2nHYKOCrIG3CqPuczlApVCxQgPjiB5JdqzOJmBYthVfDqe1vPii
qe+rAVLUyBmJMTB6Uwy0hHJThT9GKsLAtr1PkClY8anLhviyQZ0YHLPCmPB8rVliDjRIVA08ya/J
ADxytlK8WjKClh2ANNF+DyJM4ZmsonePljaiBwLGUb83lT9DU0qOwYw1yNbSTkdpVwEmCLhnINYv
lyikZSVVIcKGhgzIED2WybgyYQuBic6PMtrwJSihiarIet9b9liXRdDMfRke6MhQFAlRSdlWZGLh
PiYqHsgknOzUIyjnbXE7SdS/vekXJhTpZ9QOIHPFK3LCUQOH9dTErC8Ay3rSLKQyO8eG6vFtI0uh
AGggUUOWAdizkS+6nExa5rFloJYXJNR7t/3e+QKFtvsQvL776Px33joHRBIrV+pSwvvcqJhSsSuL
aimF0axtPLDhQ4FkhDrSVLZ+k+6Z7Y49mMj8UNtV2VuTHAjoim+PeyEYBCGLgqcnIMWKJE5uX+Zo
1FGzIgCMzdiYSRz6DdpzQPmMPixLrTaNAeG2Wa3Wsu1LVwXQSmjh5E1AgFYLh5EmY6nE+CfAdVX9
rCU27I1y1FyoIgz7hFl8R8nptpqSEU3SteEONsr6iZzSR/QXEjdXi3bFvS5NBoqe4HeHtDkAW9z9
nqUqR2g25hV0RYKaZNZdU9qy3yIYOihVLR2i2o78ZqgmT9di6en2MiztcTQKqVy3CEVfhf/8zLIU
Tz04qIsqIPr8P5ydV2/kSLKFfxEBevNKsoykZqmN2r4QbWboveevvx91gXtVLKKIHmCxO4sBlJXJ
yMgwJ845+mV/zmNnqsTT/VU2wipaRQsAigMnZVy5JtEK57Gdi+LS+Yeq+in356+D9u9uDXRrGaYD
gPThaKmsrL4sLdSR17HmGMuEr5jGxIuj+DDMynPRz5pL5WFv5H3DUdE4IrRZchpcxer2zlk4ZnlS
lKghKY9SzhA1tF6p4RWK5GrpuT+JKPrcP8yty/t2zTVMMi+VFpohmqjt8MkMvEj80Zsfu1R8yCjF
pcqzioZ0I7+fQaNm+UsdFKdyr7i+8QIs/bJlVgj2dJ6Aa7OxJF+omRouSaZmRxh/NMVe0CrzF1bR
FBIh0AnQLSbeWL8xIviWJK8GOsXJWYoPIlD8kkzx0PdfhvSLNHV2kL6kyWFPCXQj0gEvTixAqQrf
v56h7Cd99H2FlLFL5eaQqe1PBZEUJzEi0c5Ks3Tvf8wt+4HTZhkzo7xM1HN9kKKQFF02TQWBVTdX
th6JzGzC2PtB6mn69NZDleioGvVxhRyyIO7EWht+h0iVuA7wOzzh65mzgmq2EUcCnUcLRHgTOqgm
JemxVs6DkC+ueGeuYMNsmGMmDmKKBLXRNchC8aekV8qa5mP3VepaO97T1drYECVVaZnRZ6IDVNb1
ccYpyJAe6NclVtT6HEzQqxfaOL1vlDS5WIUMhEmQA/jIA2Onr7XhSJfyFDKIJu3HG/D/oIxDY9Zz
eYEojyKV1b7ru+kcz/+hf4uvYfIS8AgAsPVUAxD6ThqmhF7/PDphoNuBcrhvkls1NzALYEfpIy0t
6dVrBJVGVsgWeIkgFx5NnEw/t05luKZf20FffAyNBs4eo3eHyrT9Nj222Z5O/ZahyKR06IBLwIDW
s7qTrgYIZIOc8JOI3tlL0/1zf5N7C6wS/b4xZ+au0urS5E+j+HUs/D0vvZjayoGBvl7wNpwjQc4q
I9VKIVQynw+Vp8cc+dkHqG1Ut2jO8pFRLamyzb2mycbzZxBKEU5R9QLGtFoxD6ssjqagumQLVXUo
egZc7eqhUKCx3QlYto6PWallMgtDIeu4vmfZXIpmWTTVpTBq6VA0s+gEabTTmNnaD7GJBJJAJadf
G4EuJnLRlGp1Ucva6WbZFZGp0JvYhp7qA6yPOznHhucnbwejrcoG2LM15BwGy9Gc+qJGApqOVzA+
Gp16UvDQdrizsS1fwdmROC215ZveC5VkkawmqS9JbFYH1aqeh6Qrznm0Y+RbB7hojS1QnWUeaHlj
3wR3MxIBY9OpNcFdehyE8CKVJ+YV6e2XH3dpzDdMAs0jUhjgTqAJpNWN0ss6TGI9bRDGK77M1ujk
cbXT6dhagigLnA6MShTIV8FWkg3TQGMQIFfTQ1Zi+PGh79K9/saGHZiENeyCahKRx8r9WT7+L5VA
U8m1+dQbsS3MEDTpmdtHp/tOaGMlglUgMszYvXY4rr+PQJM1VRicu0CI4qrRn7b4IkJOuEslentu
DO4sOiDgw6hNrfFhspCVudqDSNZn0XweNXP4EVTUNO/v5jaUYRV6moBwqMThF653I0ZyPEgBoUwe
9u/UIc/hD0FZUgla68GPYT0YR7NEI7gRDmY7WYf7q9+eJa6WmBS0MA4DhPT16gySlwUvZnFphhIB
mTTWPqi+kbp+MY6PyBSGO7vdQBUuvp2aKvAOypjrQHGUoUYP1bK8KEMANncWWuldI8amnUqC8W5s
8vh5bggFzDoDM6w3vv5N70sEnHIGx473N3970fm4eHx+EYbEZ7jefKRnQ6j7ZHGRNH2BPfGdIn5H
qalrKscw9tzyRgLNavAUQS9M64Iw+Xq1tknCAVWbZRxMLjK3acrqOx5GG2y1T+UPY1FQ0BbyCgKe
XIjUb5BcqfK7gZnp0BmSGn5LpRcqtMJmo9x5dbesYJlSBmOKC6fmfP3TGqvPjKgSywuUP1PwoY0/
1JFTDzux3tZxI30G1gywNNns6rjjOtDiPvOJ9ZpGP09B4Z80P5IOaRJrruBHn+CjknfW3NwZ9VCu
MDh4c5309ZOYx2pMONHW4VEUhGzRSnw0qrh0Kr35ed+ebsPopfhKm574i0BdWX1hKWu1IpdZrCkm
e2mCWNAzIhQ7+YndJdaBMvfO47vlPAjXYUwh88Lxrj5cQfhMDIDTbZJPsvijlA6h8agE8DM26p9Y
3/Pxty8wG3yz3OoLDl1jifBegW+J2/cIJZ1H/TtQoj1Bsy1DgXJqIbY1GWFY17LVOCgrIyff4V+f
hjQ4NuPkjT35gZyCcY93rH9zOd77heiYUcN1Ta0bhagrJ6zfTKRTFALsnq3un1kxf4nT7xAukftW
sukCSbfwAsBZqJWvAs6FbrBWVam81O+S5N/OlY+16Sa/mw5NK0f6/Pn+clvfjE7u0luhk8s06vXd
TpJOaPpGLQF4Mk3dAFWHTMOa9ih8ty4a9GsQavGK8elWth8GfmUZ3UTqga5k3oilO2nB93FWPwmq
/uX+ljagQEwUM6XOvAEzLszZXO9Jagw/FBKZxajDool1DofiOMoOU4iR4swaKV55lKcvhvVJTFSE
ygjehmfR8KboeP+nbNkOXoU57EVe8qbYnbdjoaSVWV2q6SDrlyZ6auoXIzhr4s5Cm8/H25VWVpNo
qV/4oVFR+bV1w+kOhZ3+1iKbmeeHAi5wxDMbd97jUNvognLUUFhQ6yQvQ0Ph+qijdk5KwofqMqMD
K1H0hc/xIa2HB9HX7NSSaICOn+My/TyXe1WJDXDfwjxOMLl07ah+rNxNncFMl8ZzdelB9ZFcMD5T
V15bf88M1S5iL5U+avJPkany1n9KCiheM+E9+l47ecfGN15Gx4jPKHwTLKx+hhylFT0iTj5joFA6
wgk2cFMVdyc02rioOHHgAwuf4AK8uD5pVDjmNPSF6tLJxqUFJRjJT6i1vtw32OV7XefXOLk3q6zc
wVRUsxwxg3aJ0/RR1x34Qm1qL4c23zHYze1QhuDA6GMT8FxvZwiKSNOiqr6YfXcQzRT2DfmhVcY/
9/ezuYyhizoz8DC0rtMOoQuq0Z/ZTyooFnOzMgj2Km1PIbWFHce98dguecD/LbXYyZu8UBBRqYUM
tr6EPQaQeFocOGEsfIpaKGorK7aTCs4kf6+pt71DupMG9E/UyFYHGfWGXytaXF8sgtT0HP3291C0
mzYByJAOClSgoB2uN6b5BWF3FS4Jb2wzVnEoiH7V2Dokxc5V2lqJPi6KcWTwOM1lr2+OsKuaZpri
ur4EwCmiVHeV5JGJ5GPV/nPfLLb8FpIF5BdMwyBSsg5prQYh7jEY6otUSN2HpJjqo1RO869ck9tT
XRZIzEjqUx8Z83EW5cc2Kvb0E7bcxoLZfEU1gAlazuLNXmMYVmsGDusLpHaunqGyPL4EwjES1GPV
/YfL9natlWnqQuZ3Wdtz2U69/o/5bPS/7p/n1oej34XwHlkqw36r510oSsP3k7m+5MnnIEXn5QeA
TF/6fH+VxfmsndPrI8MMJQH0mjEjSLVyaBSpvsBJW5QnRfl+/+9vBOgMqgLTkuGZgVd65cl1qxH0
NiFIgTYuew7Z5/dMKB7FmP9XmZF5SNtUtNFO/fvBcVqUtEfAFzDUxt6ubSHoG2HUB6a/0u5QWt+1
8IPZ7DQltrzT2yVWV6vu0y4PNZH4IKXrkcNnJdKNzaePqtUeRPF9Kh7k6nT/PLdMfCnFkcsZFPHX
xauuoeLOv6su3KBe691e/VFZ9tx3jloHO3wCmzcaFm6CWNId4CCr+yT2QST1pl5f6lL+KUSidOwN
M3BqVatcxpiko6RAM1BkQe42ASi3Lh2sn3+/XxSPAXCQJ9N4Xv0EK+sDWJCoDLbNYxlZ70hgPgVR
dJIC6bnVd8p2ywdbXwbGIKl3ohKE6ayuXEyzpO6jqEXaN0UeS4PCKvWlnTdt616/XWTl+oMmBy0r
h+2lRXp9iE+z9V4Y7HL+D34f2Xlan3SXQKislhGgwQn9riRgt0bRk6XMySbjsYkt1Q0LJXbvf6at
TVnAZfVFoQeZ+5U39NucUQ9EnC+YQQVPCKz1rVQPbqpVZ19v253lNj4UXc+lL/eKd1lX9cXYoJed
+s2lbltsTzcrh1ZQAmwu3NPd2soCaNJbDCRjFOhurzMfxU+ssO7aixGWJdMW/+YxaO4oUBV3Gmfr
0jLOdDRnQT2nnagcGznLn4fQyI9hFpqAX8t+58tubJ5GA2wzC5kNUOiV26kic2qMMW545YCdBaat
9J2rKzuOZuvy06BhFHuprJCJrAodljxWXViH3UU/WdWjbx6i6qk1GhprD0VRHGUj4uY//LUZsSYM
1eTpZF5r1s3GMGKmg9PuAtuYSY/5khY//950qCuKpLFIOpJmrRxK7mcjbqbpX0PKTvtYSoodd6Lz
9xt5u8rqPjRpUCn1XPeXYbbL6UvXuoX0fqBTfn+ZDVPQiB8XPClZOV/p+pGTx9hP2zwaLnrxZwgf
Q8lR2t/3l9i42a8UuhDvg9gz1z4RYpJCpLcwXLLZi6PPJVhqP5EPFozL9xdSF4+08r6Uw0HfUJpf
ErJV1N1M4gj5ejNcFp6yx0hU/kxh+a6uvlIch1hRGTLGIpm2oVSdukV27qTY0dXxrMSfyvi9an3v
A6eT0Sb6hd/Whg8ZcvGlW+RwcAKM9p0s+VarlzJ2RfEQIYbanvT+sx7pTmBRNfmmvFc1bwjTgynO
T+30cn93W8cIPJB2E1KBSGysNhdl0FjMvjRcjCh2c8tFyMZutM+RHu3Y91ata6m+4vnxWoQCq4hr
mtIy1Y1uID1LKfEPiII+9ZXyMYiK9235L0Qz3qgYx8JUbDNKdrzGYnA335BMGppKir9QfF8b5DiL
45gkynCZTkH8MOjaiQJsrA92vTsffhtZIubHFdZgGaEXuo6Eoj4dRzGG603vgdjw1LRPsRuFvyvp
31L49/7XU2+2BREEqg3L16NpvY6SFaTZZ9pGpPDaaI+4/3GPrOD2JiOgCzTLpCpKBXZtH/Vc6UGT
LYXstJZd6m/2oKJ7Kql/q5KJ+THRhy4VzI8gM9YvddzMOnFjTGkl1VtbDBuQy+ZJjOBRTDJnTsXL
8Nwn6U4ouXGAFJS0pd/BLCEh5bVd+KORNvNEviuplQfz4A/Jynf8x4bhgwRZdFWV5RRvOFlGsTH1
JCJa7aCDcdNZMpzCyJ71Nkxdq4JwFomz2k1qmlxyaDbuOGeOD/XFzgXc2uorFpexGV5Pa3XTuzIt
zUKkCoN8+iER8oPq/7pvjctfuL5ktHyZoaN+ju0DILw+THoufh82VMfKsrSzSMlodfTUyGrfK1Wp
dQNT/deXgYOK1c6zdnu9yQLoqS0boy6yVucRek2jRGjUlyhIzxo1GT30ggX3lgTvFPXT/W3eukxg
e3CvwFFKp5RazPU2ZRUwNaO1/WUCF/lQKkhIyGYYu2HbTg+GUog7H25jcxwn6EjgkUQ92irQQ2Oh
kLK+YL2iPQM3+1r6kPcISBLZ6tQ/qol6vL/BWw/GBt8suLKUOpmyoJSr/pJbxllmxiusXANg1oyF
Jr58YvrsdH/F1ZESJwCfIxcmF4fy4ibBkdRAGUazKbwqluAt1cf8QRtS01GleH5KW22v173yaq/r
UURmnkYicmAO5PoToi9par5YlJ7BRKBK3zWiN1AZP+7vao0De10GFk5mPZdqMTDB62UMtTFTeo4s
ExccITfnESZdyOHjsnRmY1B+t1OafOwHOCalaTKefEkdXTkfhscp8rOdLHJlR8uvAWcEIBOVIgKm
dVXZKml1RrLceII6NUdpjj7nRvyia5C1WEGmPgg+FF33T2DjnHluARTQTOOc18WOPGsCVCOVxlOw
YIaVhRAq3XCAkWsOd0xoPQbwuj1eQArM6A3wjqwOWy0yBVZnGYmnUEqMI0JAPrDdjoFXK4kE8oNI
Z5ZIa+r6a1gkvXkQJOQ57EIRgt8+mq3fuqYXPiTdVJt21s015LJoYSsQpadFfajh8GKqO8/F0GYi
udwp2az7WK+/HtEtZZGR5b29CWcH3g2jMhuvltJysJMgrs6BMWduURjIGDb9INDaCPJj0+nFKRFG
8SdoyVa2w64SjkIVQ2EnCt1jHKErrfrQW/elX+98znXu9forlxbMwm5GsWf9PZNkDqcwNxrPgAcE
ooy4/tAIAbiyMZ2dwEyro9B0qaPpoUWHSEcjEHXGnQ/9emvePDP8iCW/phTyOnVLVnZ9q4rJh5WT
Opo3+wlaj5nsa4Erj/MyUOwbIylaETVfuN9+dwzBKXbHGlhpa+fTGPwael8Bmza0FZGZ1FfPZjZp
Tq1p8SMkLnlAq8WcStLXEdpgMwz1/Fc0jX3r5PDXk2L0gfICHy6hlqj483xIx85v4P0axZe/vToS
kCO49BSKnwuy+XqXdTRPejJMrVfIUnHI60ZijJmMo9es3Qr5EnqvT5R3hfgYD0zjZHWiXbXkt6LI
WrCWu36QygggNDESgpZvukXg+59HowB9KYTTuVY6LoI8f0fEOd4xsGWh9Q/BW0D4shCOQ1t1vemg
qKNS0LCvwhitAwRcL76eJud8iKgSxYjOxs3fPa6vxkQtm9nYRVMZQeXrFY1G1epEnVtPn0uYsw3C
rnZWEQGA2fiAnQ0nUHTtw/1vuwqU/ndRIJIkBzrMEesSRtQHyIXGUush6Vl/oOMYQYOUF65RddOB
aLA5dVKonsJpCh1/1vP/sjzhNvd4mWddgypEKJeyruNz6yXyzaqWDd/RZpBQ2FD/JFmTPeiq0DhJ
X8sOZd09oMq6l7vsnk4MsRov4gJkXyWCmkin3PSF3tPFJvqU6k1p16oI76w56qcIZsSDMkbTYeyK
zgmI3o9NWwkOYc5HBcyQ01ZyRfY8BF+Nvt1r7K1Cn9ffRpIPgBW0n0xp99ocxG5kqksaSi8IKFqY
LQMgvWo4ZCeSXVHz+2DSg3tfppayE8HevpS8kdSSGcNlZO6GIZw2VNnTVay9HlXA0a6DhjlRS9A7
8eSrXPwdE7gNuBglgiCSGhr1cD7F9T5nowuHmBEUrwA78SFVGRdT9WZyTK1kMCQptejrfZNf/uDq
ZjOhgWd8VeOAGPR6wSiIw3iOrNoT5Hg+CovhUTbfa7RtbmupO1GmoeS7Hpam3zOAYAsarxt9PXNa
qVfqxKHiVQrvIz+difQEXxnmnSxyY1n66NCuL0RVsM+sTlOPZuCDy+bk6YekgWADN54J8P4E7U6K
tWGfhFHaYp0gFW/UlY1SsmqyycarUJdrU80x9Pago37bAfUqjeLU5HvsARtRLEEJFQb6N8y3UTy5
/nTlUOdJ33W9h2eyvgZa+nXU0+JQppnmhhpKc9aopE5P2Gon6KE5lNLoqUaqhn5l7+9R3G8YEvIp
zDeTSuOv14OXY1yUfgOdtMcksPoxHIP5mPbNXiF/w0NTVYRjE6llwJXrIfGS3kQVRXLvJWr23Fn+
MTFEdxJgM5ofihoKMkN5GdRwJ0LfsCOqRgw5Aw7ltNeOeZTmPDeGuvfqoOvtECyP1GY/xCY8V+r5
/n3cCJeZqlh4zpCR4q1dcyZmBVl442u9J0pt9EnxhU4/Z0LcW07c+vGzHnf5x8Q3S8sOFfy0K5YN
kNO2rrI/SqAmx0EsDDvhGXsOymh8T938e5U00pkYt3moE0F63ytou97/1VsHhLgn1Vi0fJbJhmtT
DICWdWMZDF7LQM2gWT2Alf6nMlalU9bp6f5iG3eN4ueip0FMvpTzrhcr9UHJ6nx5p8a6d6Z6Nuw0
Tf+0gfwj7Fu3KcFzqu1e3Le1KpRSTLIygqKR8V+vGnd6Z3RlNHi1rn1qsndz9btPT4lPHNIeNEQw
7m9yw9DxWUvJ7XVYcJ0UmkNcCmNbDF7T6+cxMKAi/ZLDr1omB0vJT/kfH4G6+0uuO1fLI0uP4/W9
o39L2e96i+bEsFAipoNnzCZcOdlkPvSpjkwKpLenVhX7E6SyxTmIpsTNNPMbcWZ7kKh12pkVnrTJ
3Bsh3zCr5RHEzS3/uQHeS2hYBHHWDB5KUfETfKrtaaJWfZJxDA9COu8N/2ytBwEseBDuH2/iYgNv
8CBzN0pCxzPvSersFgDsbW7ez0ApvhGLtn9/ZwBGEs1QklswayuDylqr1VFPHL0uiL9XlHCs+d9S
mz4HerWDsH4lrlo98tTegLPSvyLjXxM2xjxCsWhFnTfp8vQC/+bnrom/i1VfumI8z0+BnFpuWCvG
CyMuhZMOTf2MBlhyMMQoQnc60uLMnsr8H73Tp4pxB6v81LCxo08F1w5jX7bjIhlPsK3Ix4Gqw86N
f+2ZXm+AN47+3jKUQBayjh+aQjDMukkGL1aNGLICoUsfSB3MT0GgHJO+j89B1tYf0sgMzqEB0bIk
A1gf9JxMN8qMYxkqI/SYuuK2NFJOdRVbx87S2nPR5xNya1KLlJ3u22JqfgyzWHBDqyPPYQjOyfBC
blKmj1HfA1zt2z0KjY2vg3g53ReT6Auoxhr+OzIKZtVZO3hVggQcmKToU9w3wUtEu+4wDH2d2WGj
fGYqeXLaWRmOuTGNB3mqY7fvhvnQTSBLx6ZvH6HC9h9NHJRT0xs7WVqgn/JJ8+1cjNCvUyrxEHeF
umPIty8/v38h4F74OfBZSwj95tbUopx0vqYNnj+XPpOvQgmrEwqk973T7d1kFQJIHn3cImz216uY
jKOLSY4vUFuhdfNEmt8FcjEcU0PsXWPs5J1d3fp7yvFgY5YaIeHMerRI0hulmedw9PSsl53ENIZ3
EF7Nthoq/cFIitBtW7NArkDbo23cWhl2KqooINCBpq3iuqSHU9kv8ULNWPqnSA4+xzMUr0OvwRgt
ytO7tlVOZTPu1bNvnxwaLsoyW0ztRmZW/PqE9azTBXOoZ69vT0RgLoxC4wdNbx4l4TSVTrPHmrYU
DVaXmvWgNnktRGrm8u/f2I1BU2nK42j2hnI4yVFkKxIKf8GHSlKdOd9jBtncHR0Q5JAIUXjlrleb
uuXAtW72IIbo3NqqgIBYgsJN1yxbmoyLAPbSnaql6qTr8441bVgvhXRmmJbsmjLiaq8jtRlwjJzt
IB+n8SEOvb7+Yf6nRciymBKHkGqNAGxLJS3yCYbNWmp/NFLmRumPQf8nRA3t/l3c+HLsxoKyDKJ7
IBGrQIGZN0MaxGb2mBQK62cxvmjdZzGZHBjF7q+0keQsEFE2w+kv0F75+rOFoy/oYmpNXlCTuyhA
lQ9R6MaJ01CEUJ32a9umdi2DqdTcnaWXe7ayz0UvHDQ5VrOMGF4v7ftF38rBPHt0WnuHMl07OLxB
5hFr0Z6sMaxsQYsozmlh5k4G3Eph1Uc7qce6S0lQRgQIrp/2AAwqN/xfqdrVY2PwK3LZVb76L1Q+
XN2WXdN2ADff3/LWd3271iqyDpouNCuVtbpodtXUnqnqSI9aGjq8MTtfdsPLkSZTJqK2yX1YU0LO
0iiPY6GKHnWXdzQAzIG4TuN/FUgC229yWe9E1LeVHOoq+LYFHc6RrnFZ1N7HIqkmyYu09EEga3hB
pzqyy1zYw3neHiMrIRWDpisIDj7dteHoZVg2zeBLXgP1rfzBrP70+qPY0s2agp1T3NoUzpqaIVEd
rZxVxCrXSm1YaSR76CK2T3ltgmQxBeXYla3w/b5x3D7zqMb871NIm+FGxrmtpNoItEnx4j4vD3R7
Omeczb0N3TpKIGrU1kGiLJd+PVAyGnmeiYMoe12vfpLR0BBry4602anTPaWS5TNc32+WwqUw4kWW
BZL4+jORWej6FBmyBwHbe0V0JfEdYinHYBJPcDScaqo2DMrvlKRuP9iCdiS1o6gIINdcPUNQRg2J
1fYKlPc+FKg0MwTkLHp4M3csYyObY6WFPZeHgFB4Da3J6zlI44ztlXoreVrf/uhb5gC7XC+PWRG8
l1RUYCsB3qfeQAEpkarZxv2E9jxXz1XU/iW3Go6MJgbwG3qcRDZUAq+Pm1JfPyi+qHhlktt19o/i
f7lvoBsF7Nc2yRJDc8Q3ciimFtTm3EgKKotiHNtSpzQQoviwjKsT/kts5PpLVEVD7pJnkNcoWp0C
QgZ81zpNJHTjYejaUXBCWStCJxVDKKOsrs12LtJGtw4qXPKZRX+KSZ/1iIVVjWEZj7riGWWj2mmS
GqcuqfunIrAqd2IGxNFmrF5RfARCK/NXJ3TTjhluXDP4yTBB2ktLS2flogYtMbqh7lQvNn8q3cLE
dc6t7Jj58o7X3bhkUCmhgcqlhndgXc6afGSu4q5R4e2fgLb0KK6mhqDbdZkWJ00s40NZjelRSNvw
1I/KLhv4rdciW6AsC4XNEnetCboCoYxrqR9Vj1mnJ7WI7FiM309tcx7F6ClI4D5QHtToZyRF9BFg
7NYkNHzf9+i23TfOjXsP7IywjHCGKaE1OMXwtbGj8qB6uGuGS6TMRgTmiRn0l/vrbH3YRU9sSR4W
qOcqXrKg0KxjudQ8C8Jsq5lPE6IhQx/Aab+z0uaO3qy0cp9yVJtFYBaal9Q1YLqvURY9NuLP+9u5
fUrJJ5nVpgNDD4bI9tpp1GVJE7kdNQ9Gc1RTh3FwUPz8DEcPdAQdw3GT1NX/4VPB/gJiWgNXfAOS
VXO/4R0xNW8cKO8OkwH0w0zVY9lWe/pGG1+L3gudRhJb5jfXLbc0VPSG/1K9oCzf6xZ4ulB8p9V/
Kri47x/kbbilLjEC3CKU55dZ4+uDnMootAqUdj3EbR8F47FUIjcUYaGXfin1P7l8vL/cRlGD9Sg6
QR9Jn5Slr9cDcteXXTtpXqbNYuf2RA4yJi9NJ6mbx9oZq9B6CiDv/WZmOcTnLU3JkyHkTP1PagWZ
0CBN2qWSrEi0ex01VifVlEUAiklCCLy0NvyjylkIhN9Ih8IWgll8NxlGqdtKbES/7u9mIwthN0Tg
bIkYnOLzaje+pKMZLmseCk1yFdmGP9mpkJxK5qdN0YklRFfE5w58/TSMNjvf+XobWcDiq6kXsjr/
sC4WqgrR11LY8YwgdtTC/zikjMc1X5UwvrRfDfEx6wa7bY9pKO9h+LaeKyqifEdiZjz4uvk/VgmA
O0ilPHn8Gc2aA27wR9K8h8iXViED6wqwanksmVw/3T/2jbeDrIoCMFh14uk1GixLlrEFrdI9vwdq
449BfwizVjjnvYWghCwWB7M2JWRayhG+dbpdh/vrb3g4nZIpoeGCwQbacv3VK1iPia96YlEYkN1g
LFJXA0DsVJHS7GRer3tZBaO8DTBJwk7BHNq6QOCHs6ZMIdFaPMcHGG/d2PpeRf5zAmTTV5wpbBj1
RN4u6I96/RKoCy35ecrPpXYpg3/S6WSFkS1BU95QRIF4lWLK0Wiht1Ae7h/KljksVQzqlMCoIXta
XPabso1vUD1S9FTxVOm7X0Vu1Vh/6ES6pvxuqTl0ZX+sR+XcJHtcohtYrKXD+DqrjIQAR7VaeS4E
MyZwIqINzrISnHz/zFf7Zpaj46fAwt6JVXpWE+1kKK3rd+cwas9+Ph5rLTynof7x/kncvk3LzyHS
5FXnR72Go28OImKwNQvTSWfM4TCYrnC5yNPXYk86YXMV7hL1D5pdt9VVI5m1ECZZD4XlwilnSPuT
uFYPJK/kKqB+qYSYf/20L2TLgDAXiTp8+CpJmZTYLH0/guyzmYeT3/ilG8tyZmf9FJ/vH+LtHV8o
r4jVRRjXSGFXUUQtlrpet6pOFGE5ZapAa9M4Q1Zc5lE5mkFH3qcTXbTv7y97+/CyrMJAwBL9csNX
V7sMtRAkm657Qv4y1e/D8XcaUG/de3U3d/dmmdW7IQt5OomBqXtKXByp8/8jgVdR8u45HtSLTyQK
z6E7CDsDX3ubW91QLm6edYQAHu9qch4Nz3g091riG2bJAcJ+T8zKmMO6pdSHXV0ZOnywVb0UbkI9
eArHsnpI0zxzTaFsD2YJ7eb9r3brkJev9v+Lrr5aCzO8ESYwXPYMMrq0iSjH98W3oPLbw/2VNrwc
SzG6Qd5MDfCmXJy3/qQNCXaZWz8jpEoM64xncuRUPOfyU1I/9uE5LPfsZXODb1aVrz1cVfYaIHZW
xZkDGibW7e1gDxWzuMnrp2bZ2jLqzJfDh69OsZR0IQwyTaez4UrzeVfiansT///3V0avlyqIpZ6/
T4pnp+1LIH3R/T1GoL1FVjYup3WTC91ys0bJrQ3d9mPtXan+dSrAUYHHo0crAYFfV/ICK9bhsrNw
vlYQHBqqh06X5X+o/vXH+wa3+VGINggwMTtS1usvH/TlWMlCaHixBrBSl+LKKQFr/IdVoGVcuo0U
H5jfv17FrMQ6WUiIvCGXigdzYN6Nak28c01vcw1YcGnYE/kvMEZlZWCJPgM09lvTy8UM2vWsEp3U
Sk3UwKzmEZae2R6K6lcKU85OmLy1MJBRuqjLg2ytqxoomUyTII6m5w8zWmd6ph8ZR8wQBo7mwxgb
6Vlq5eakJXlxuP/51tpyVLeW6TLm6AgJCI3WfEeKMoBAFwbT08qXWfyCGvAxi4bznEHnGP0YQeQm
0lnVhEOvPfZLXYcGKZPydqxOttUUZwaMHk24tCIxejSaBdS422deXu3VvUfz5jVko7YKqd71xw+y
NC6NSODet2n8D+wv5UsniD6Bm189q4JaOGalJC5lFPVU6jPFUIRF4PEMHdgOBdcMle5YSYP2TB9U
dOpYNT/H1sA4pK5XbicJv8ZsTj5GojDsWO3GK8pMCNSbJD+kQWvx7rIrVTOd8IrGLDnxpLli7hb9
11B8mIvfbfVe0r7f/5obl5GIhBCIZh3DGWsc8BRNVjn5OWRUmtAdpNT44beA6u4vsgFqIBfnqi+a
0dyTNRuxUfUFRLO+7qVT5RXWITOeKOS3WZjZyWwHVnicp1+6/08eh3YWPgcMGvntU6BfFNpuUj4c
I3N4akiHajsZDrX50pnnSn5XNMyLHpKQhmqv1ztx06tw1sqIOBRQJEAPmQpc86MLKq0NH6/oibNU
YNtp7X+S9Np6iVq9zZwxUcST3Bl9hmCbygVX5dAKwAbn07+dGjF5WdHnm48wnUXAGsKq+O7XVhTY
huyLsIQbaQ7KeYBJKjQSuXXlDLalUMva3+OszYiiDUmkuFIyq79jAByhKytRLjoNcXgDjanfM7BX
tF16EDRIVd0yjLsMnGm8SAHlk/VDqxrDtDUhqzwID8oEQK8PAYGcatB+tKU8pzSEp+aRmNH/iHSi
9E0NE58SRCNTvyi0ROr+h7Pz2o1by9b1ExFgDrckKylUSZZky74h7GWbOWc+/fmojYOtYhWK8O5u
9DLQaI+akzOMOcYfOMs8wbDbRIojB0VVa5eYvfrNn5Sqt61Bq96aIBUju+rq7FuCpUxj+3Xu82jR
rBaCrV/ELthNAB2eLPiOYIVcjnU61q079kjp3emdwfuyqijSbrQ218MdYlB6caibuv0hdoIkbwTE
cNSdro3lj5xa+Hfd79IMV3vN8x2jzaZ+j/WsodjJJGvFBinW7EVsaRWtnLfLJBAmBIYsqB1wRc6k
u8VNH9aG1Uy1QKUsFItdLqGHKhVD5Fp5592HvdxsvED818zzf4KCNKUagwWzsXgxiJUUinkX6o9j
vG+/mrnqTvlGqrdN+K/v/zkS8sLclpztEGsWw6vEAIqaUvBIsBTbC/SvVtkeKLT8Y7pOe5mzhocI
ZNSZoLy4lNOwUAsxFamvCOwAzZU9NL/6naKscSouqkhzJPYs5zOPO6i1i/QyyQpv6rpGexyj30Nd
n5So3PXdQ5ildtNpp8FUdmL23MTWz7hfU4xcHuLEnlWHYXqzVhjpIrZWWpMweaRS3jhLf0VbWpd2
lml3RlTZEpxJCdG8diUTmb/Q59NqGXSxVhQAUHEC8+5RCX4GyZuA91z4r4+SOQarn2lFx5M/LGIk
ll7HoOv0x7aM7KCJ3AqSho/hy8p1sby+iYPkEvhM6go8ypdIiLYNPEmuJPNRyjNzl9QmzGvg2A48
L2krt43s+onuO8hw1OBLzOm91utia3bWe2zI7f2Y9tLj6JF6JBUyvaPWKI+Cjjei0MTRQe1Quve0
TN96UrCmKLx0K4TWiCYVLVaU5tAyYO2dZx7hhDuhWkfeY5j4thJPmR0I6Vvni1vRe/DMXaneW5Xh
iLNaiCc89GO1yYoR1FrrFKmrCS9G728qX7IrQBaRufb7Lsq71FOpu6GRyE8DBCQvfl9Txb5Igdp7
lKQ/AR8xKrdS/Rxv1NJ3M3HCo4bqksJlIdUPebX2ZZfZxhwd9BymPHMlRFti2uUG8x2lTrzHFA6Z
nYeCaAeevpLSXB0jApgU4+c9eKHaL0iBUSDvy8Xdl38Vgw5+JO+9P4LnKMJj6NWvmt9vNV/aIgCM
ce0afHr5XmOQWIEo2IRR6kEYfPEmCHKZbgq54aOpZrYvplsRZnYNCeT2LlkLsziyFd0LfLMbhUcZ
xY5G2wnFbyk0VoJcFAfmwcxkABwJeB6SxZ2v5zrBxSH2LOGxMuOd3Hc2wrd6Tz9f+151iHQnqIeY
ReMkY7IGB7o8RlFGo4/DywqcPSTm89Bp1AgwOiL/6Elo5BmuoBp7omv6kydhy4eRxaRovxKlexHa
5gkL1P96tIYblZxnuJMznYrwU5g45vjl9sRfZLPznPCJyZb5B+/lxZwE1JxjvUz9Y1dv0PPAScNR
EOQp822iHQzI4/Bu/OxLiss3mv0NWoxy/mU29MERzZXSvQTMtY3eonxjWV/aaitH2aYY9lHUUdit
nLC4M2t1xVju2mRy5dIqmOfyQhIEfFekeHLBbxa2IwBpItFLakPkFSPDMUWmrjBhJsE8vj1bl/cS
ib84S9eQVtAPXk5WEKkalGj/aIXysTd6e0SdAVfETZwGh38N9dE4RRBNpmYOkvV8wSSS4UsJXr/H
0jNNtzGiba1K08bPfsCc2N6O9aGhcn7fzsGABZJoAG9ZshZAVSmCwEMTW/loamw99qvE9mrYa44s
R9Jgxy2ddQU1zsEWBHIdNbCSJ0OQ4RsEkzXe5yX6L+JkylulgwJhS53U/7aqxP+apnm9spkuvwLK
JpgWkpGg4EbFYjE1VC6kVJ0SXLWAJdDf2/uZd0evb+ZeruyPy6V2HmtRUjfkpCghNWGNPiYzg93r
3XwcXQspgm0WmO+RoE7bQIzDgy9G9f72d7k6UIvcEjwx7Zllnl56rH4qF8lRiB5Ef6vnD0kVula7
1sW6kmCC6J2LZRKkDVB98w/51BKhml2lVhqlR95mTusjAVy9FepfCg+biU5v0tl9sCszwdVyYyWL
vrxFNewmPugy85t6KRGumEPiWQ1muvyy5gU9YOk+1WLl+fZMLitMKBQhwM8ahymD3vCSBVQitWEa
A46zWueFdwMdOgd4bQGgaJBDBicqbyl1RJzvq8pb2V3XYs9SyxwXWAfRkTyfXMSlxWwQMEj10Kvq
cQ5Ty9gJBHRqULqKZeW5UIr3fx8uYGLKWqyd2XvqPGQptbJgtQomt7gxhxNrVtkZ0TvzvI3rBiry
19vxLh+UYFbouELg4bhCn/88nimPeaYMGk6zHcR3yh594AtukQ999lQNeSTvrNicqj1oo9j8fTv2
tQU0C2BhPcvqpYJ4HrsZ86Ss6wkT7xQe4TQ2dE8VNXP/PcoMQoVixIEAZeI8iowtGpgkEWPyJks5
ikXpZBXSuFKOvJLtgV0BWAtXEdA5V9t5GD/txTRuvPRIZ9E2tMBpeqhT3V6EQxAEw1bQ/E2j20Fq
vghe+5iYa4nYlZwf7g/gXnLqWbJ4uVpFgxaDpY04w0LTsEU9aralkR5FI/0pa623RXQpsOPc4Dga
Gs/J1OmnUTb7qBLHrYf7xC5rklfEwVIn5u1ozxhFx2/kdmMoqboNab3++0UJOoYSPHUF0N5LDmM5
VVkYI7FzbCxhizDUaSAhqaunalXM+dpdgDY+2xhKG9DMxRooRSu2SnWemmqrS3f1zt+E/V0Eq2+D
re3t9Xbt0ADvM/OD0ZcBx3C+EKLa4/0bY9Cr5m201eQS4zN4sy4upcOT3/XSqTAGJKDiZGU7XdvK
vPLZzGgIySg0ngc2WsXK9JTtJCZ/LCu2AQGlJCH9XeavuR1/uIgu0g7LAsfLM5M3+IVwgo56JrB1
gQnF8u857lCykX1J3Gu+lT4EEPfdroHXJqZCtbFSgeMaJV4X4Fm0i/Qq3ypKaj3wQokckMeKY/Rh
5yZ+JTynvg/rXqrN/Wg1hlvXgXbva2W8o4978stC2KhRVuz6SPHvRKUHl9+U3R/VDEae1Xni4NlZ
ItWqVIdRrnmg54a5pbznwaGMm/3/4UsDl4GGjgILWc35hHcJwFZqi/g7CtMfHi2vgejZkhRv2UyO
WvvOKALuvR3zWmKBwh2ynxp92QtXmlQwPbkaquyIZMB9JSGSKDyoQfZoNN9vB7pcTRxlHMy8kWGp
spDPBxc3TShgL4RNN9kTXvKplLgNp0g8Gae0m15vR7vcoNzuyMVCFqJUhfzPeTRv4i1s6UV2VPT/
OmM/U4XSyq76v6qf3ANa/4LN+u2IF3g5UE50j+A2zp6gpGiLAfpDE/aihKGKFuCgBnZ5bHI7FkLr
d4Mq0mTn8Gx5YCpWlTvUSiAT9Li5nZRgyL+Jca69yagUjbbRFVNrG7mutHYhxsphajL5e956xYsV
aOVPHzhJ50aJEjZ2munBX1Qf0Mm5PZhrHwt+ANCbD9DK8o7r/KwEHNdnR6GByFWINkVxwGrja2z2
jtZGa/GufS5enjT8mD7+tThqhsCvY56LOYgK/TBC0H70s3Gb4E8beOLeUmK4nmtetZfnKgwowKHo
seE5wX47XyJjp+NFPvrZUUc3rLC2mf6jNPM7sAl1EGwsCgC35/RKak3AmXoOgWVGcC5SazOVQwOY
NpbuotDQkEAk4D0FpX/n94X3BunF7JxUic2XAMi5TqKWUMIduhyNuEAbAD7f/j1Xx4+iB5sD/hcc
g/PxT1Ni8bgrs6PcxrGjRrQKg6zDkLGLM/qIVv7sq0h8YadrrUSez7Hzw56JmK1yOHYomi0jt7RK
RDFmc5qD6na64MTxTgnEfy4NMM1k+3SjmDrulPPxedKAw6A3Zsde2iOpYCfRl45+T59PjiH2kEPi
DaWYFVT+fK4sh0ZuD6EHvsa8lM+DylbcJeI4ce70iJWoJ1707u3Pdm3y0CucSZDQ26nHnkcoM9/y
fGu2n0cpIicBjB+T1f7/tf2vzJBtUAbgA5fv6sDwJIXELTv6eCjHEC1K4cvgvXjAkfzpy+0BXd5A
s0wCwkUzk4J3/CLRbfyhVMZBYcqUZDN1Kllu6yjZtJG7ek02cP7my88DKAwpLt6Q8z5cTF44Vk0w
G9rHQn7v+S9i8SaqturjA0Na83M0f9TWmrTbtSUBRG2+HhB6AQx7HhPucQ0kEoNx2pnetja0yY1Q
CNnensUrFU2KmSgisqXQPiBxPw8zdnAMFbnOj1JQ4M5C6/gpyErHG1+zPWbybmFqdryWPVxbjJA7
2cIwULhqF0dapzSxMcmQqFXjvkhfE+2uEtdKEtfOqc8xFncDxZysCzoM6OtoRL32MBUw4tEkR0NO
gdW4shqvrfzP0eZf86n+gVZuZSiVjy2almzaWHYyo7CV4mtUN3tNWbNqubY2wNiAGEJlnrthsZnF
vo0ioeORp2kgRqKGHA9597Wu4ZUdBkkOBWGLBAVM3WJMySCVzZTFxdHXs2xTT4ZSgn9v5d04pOE+
Q6NqZRKvDIsx8USGZQiBZcnLm6woKbKkLY5YmgRbn+a3jeTPP9pN05OihwaGeH4zmEAZFhtrMM0w
Gk38WNRB9k5di16TWQiGu7KxrqyImVAPkx95HCItwggg22OcDmZXFirJ/WsxBA+x+KpWPa/c4imh
W94o42H+J0JcGwWJkwD7Gxws7DzttrQfXC9QV2plH2iys5OMUiMlHYp+/Cj48ItvyuOz02rGfOyM
dviejHEYOUUE3dntRzXfN6USik5LKyNylTAW3C7S9J2qwKNzpTYtNRsreeNnDEDiZzN6OIv4ZSPb
rMKqdsZoVJ/RFKsgKlRWsPGwKzI2ahP0g1NWUJntUSsbWBIoB/8WWln1twKMct2hWdv/iVpzGLaJ
7vXtlzzTm35fFVWs2CUiRrVt9JYcbnyjm8uXmRfzR3/UAVUUKO+ufLn5yLuYI+pslOhZ9BdmX3Js
Fb1VBDpZbKkc9LQ4eGJKpb7uxUMGtNExpsYY7TAIatmuK4RIOkucjQn78MHElGBFxOUyAeTWnilJ
4G5A11E7OT9bcH/iHQr05shnauw8UQ552riKtZMSBQ1b/w4F6+0E48uPo+ep91YSoovD+iM8FS+e
lsBil2rHYZZIZmsk+rGv/W1W6hJvlNAJvDxcyXQvTuw5EBWD2Q+UbuFSXKAsozbqpkI/5mYGIgbh
maTiBZHaVQPzvnnovZU9uhLQWGxRq7QUsF65foTuYbeIeloIA9eFK2mqbcR/BOvrysqac5LFyuJC
B4YN7pzLdtkqC00jaHqR3Qc6vNtwUuX3Sqj+nVrIHTAKMH8M80l9rUtoC12m5Nui7/WdMDsH3f4l
174p0G0+KmchcRZLCrtutcN3C0RZJbmttVOlDRW7le95PQhwHT4qSe0ytSBBS3WUJfVjA7qxpitL
H59zf2W7rkVZvEdSi3KN72VEqe8aKptGtlO1lQTwcqGw9KmG09yk1sEfz3cgKq8IPOSqcvTgjUII
lKW9Fx8QOHOU5KsUmivr8qMtc75O2GlwTGilzLthWfQIRBx/Ki1Sj6RQqQMYeEKeetTETRo+y/HT
qH4X5a8idWpRzZyGmlXVjVucsB99FQ5RsnZjXhv+p5+zfBI1uj8ofs3PUZQH1UPrU39orK+NvB2i
+z5babRcZqRAq0g6gD7MNhjM9vlks/bjyNAEAwtxUX8Y4syw/QJMpEc2twVyWh3l1Ocu4Ep57rRi
dEpc07e398dFJsJvwMMJoRNagajaLYoyshLEwEMN45hwP9LucuP0/d8j0AbgDgY/hw7YPOefEkZz
1rOypto8FqKgOjGb3RWTYs1d5sqXo0QBxpR6DEJNyyO1zus2xyyXI7Xtt4LyBxTwgxA+qgeMM12e
6f98rFARoY0C2AR4nrIU9ulCjF87IWbaTPFOk6mjZ/i9qrm+5mh7uelp9fFw4b+BzwKkPZ89jJwL
ScbZAMfh7j6rmxBMQfgsedbKTrxIgSEAfI6z3PhyTbdCJE7cT7aJHEocfgWRvCnW/LevXPJzJGAy
dCD400df59N6CFniZjerEWUcCluzrRVb9P3EbgEku17iCYeumbw9ysTIm3mDsG3bTOP4yczN7YV5
IabAc1rFho/3habMSfjiVhRRmxQM38MwdxTsHtu2NP0ayJssVV89OKflzpjcshhOkZa9FMPwSpNw
Rr0mcbnySy6qezM9jMtyTj04BJfMCN0vgcXWsnXkjUJTWcrqQ5kY/X5UsnhD4t3BQPWkbdn4xsEb
ZelweyKuhYcNjvwvX0ShzHC+xgK9LCIrI7zQW+iq+rVbGKSBWWTgRW8dJhTH9QzvW21l2BcPhw8s
GEcghc0ZNbc4/+oqF7UI6ZJj+7OMbVAz3v2g2ulKxenq6JjT/x9lcW2GbP7Qn6OIz6LTPbVvXeTQ
I/lTrvVo5q24uMuAtv1voPmo/bSwUftp1HQikJLblAq/Jn9uf6bL6aIxwDOYAgawYPR9zv/+iIsZ
zofWHtXx5IXvGkXJcPpjZgdPW3k8XU6ZSn0OfRvgeigyLcGC3ijEyIhVw3Gy0NQVWsxUBkfwvlFi
LXuV2qfgIKC9kt5cnkAEndFm+OVhIr9ktoy9EvSaLw9HSfsCxo3sA6n/p0wfV5K1K9PIW3iORVsH
ocb5f//0mepWxFYrMIZjCQUTyR+7NTO4+uDzpRcpLFcSqo9D5HxVqNS2KHRS8KRJvey5o6HlxbQp
xmPncpp+N0t7MDnDnVK1W9WOdQdxGnv3/e2l/VbthLvkB1D8Zhdug8Eu/gx/iufiLnPWXn6XS5Uf
xUJCG4U630VZpfDFtvb6aDzCUnrogXUUAu5U2Zre+rWppnYJqUelU3LxnhvMqBJoS47HuobC3j8F
AQD+zG4Q4P53/YD5vf852OIGa01YGLi3jEdjCliejphXriX6j0qS/s3Un1X90AnFQ17sQ2FlRV2b
TZKOWUhjhiwuucSiIKqdFzfjMdAPoSEcstjWgSH98+4HUPG/QRa7f8pyiMRiOR6p3u4MNbSTfrxv
H/xgMwlr3+3KVgQxzn+oh83k70XKNkButIy4mo5KBFA3/K7UsiOKvwxlJem4kgEjnkEWgPEIkC2w
Iud7sTLYd5neTkehAhNn7Mx3sYHU5ubk+GiMb7JkJW+7RI2gqv054uKui3s5RiiEiEY7bU01/9I+
TSiyOdSj8F4e8ofBLPbZYMvdSuSPR+DiIJgl9oENor97+UiEkNOGotxPx/f3x9DePj7f5/aPU2if
LDu1Szu0HweXFN8OnNLxN4d4E89/sIPtr1+lXduSDWFq8/Tl28Nr/u6Ydrf57tlvgT3asl3teEDv
gg11bTt0Zft5z3ZzDfdlY3/ZPTzc/X2+D+y/v//eXpEfJMdbI1rcrJVlDkbdMyLNzu3T9v6+28qb
cQPo2bG2eKTcg3U5WRvvQXetH/UDkpuaE56aZ2ff23fA9e29Yq9c9te/76dZXlzCUVwNuu7Pv+nk
ZemmKnYppawttX09/lk9g82rpy9rKcb8ly4mAnsjdWa2IiZwkb8hPd+PpYRPXBRREw+FTVzEK1fy
x55bxkCSAjIz2DyoLYuBwTUVY0/LxaNk584vnIX4N+Z+TmJ/e/sZ2KJ9VL+sfN8rxwD0wP8NOZ97
n27KNFS7qbcIqSrfdSfeJ67g0FN3Xt/nBfsDMQ673qbvClN8dP6aR+UAaM/WNy3ajeIWkQ49t7lb
5O33fk1Y9cKJh9P+7LctTntpjOLQkPhtYqJsNKE4iqn5PM5s7P4rsnCuLLSOZ/RuG/y0kEiz9nUJ
Yka7r1BNm/ptawiAnkOSayC81hGBIhtIi03L25E5W8NQ3xRdt5LhXC6T2fCLy5BnI/C9j5fRp/ms
PNR947KcjrowpVszRIvBHJRwf/uzXX618yiLiyJPLZ02Bjugww7ywcD+YoOjF99NNoWD5an9yuvh
8uXNlwBcjgGWAnlnCSqjuKN2ABbFYx7dGV371OX7LD3U5q+yflRHb6VocpmafjhcQpSdrw1MEs7X
JJjUaqwiXzoiiVw3D1bR2WmBk7o7yp2TScrGqH/fns8rNSqI3gr2oUgKAAVY6nekk5o0UqwTcjdY
tjqldlRLTpx/q/8EjW8jWJTd6+2dOW0VD9sE6n8a2Y2X5isf9srLeWacQ8CiXD8Lii6OAEVrTQoM
mnTMHgRzP6kSnQvMasb/8CKAL9xkL6WebSRjc3sCLrO4OSyJIvA6upjLHmaUtFxqrSkdo5onWnwf
Cz8azKzDUyi83450uZTOIy1S866QGykaDGa6iez2p+i/yuLXrIzd4M5Dx/R2sCvJxxwNDA9CihTg
xPnXfNqOYmc0qL4zrnrcTCeLbY/CjqdhzBpJaKZ6CIf99jkfboe9Nkbmi04+PXaV+sN51NBCqU5T
M/loGjBgrW3QPBl4FHtOG/4UxJUJvTZG1iwghdk/BUWhxRFeiWE8RWYuH1P4CX3vhrWtQjkozU1K
ylE+Cl1sJ5iO3R7j5RE0qyPMGk9UkBVynfMxFk2gj1OUyMdSfASV28b1Jhtf/bZfSbyvzCVx5uGR
OtJeX1wCpQfIq9Qr+TgUtWPmPwMcHKOwAKLIzWhpd5jU3B7YlWtnHtn/Rlx8vSQbukkzar5eHttx
glFKbmfdOwgkQXHKodx1gqvWFm6qhk1J1BYCCyKQm/PHZviv1sp7z9o1qd2XuFyxzOrQ2GW+vktk
w9EUGEzB9vYvvroCwMRyXMwynKy682+RR6nc6m0pHwthG3mUWaLKzbbA96USHdjS9gxEEdaUj68d
VaT0uOVRdZnbL4ujKhilAvhPx7oLtN+4ujmDFW5ExS0oJoi/eeXjuFDZrYGgf2rtbw/58pqddSpY
7fQRoYMsycaSVvVTW7UyrxdTQ3CpzreTl8QrE3vlIsIgj0wexTjUgazFRdRX5WSmgcdKiLIXb5iO
5aQ4edi6gp4hJCHyORXaBvXKYXxtZme9bmqX4ET5nIvvqQdVXwm0FI559x9Crj0RRsFNNFvh+WDa
YWYrf2pBdm/P6dWwszrXxzYDWrXIKoKulIu6EmjUwGAaq20tjO6gpyQwB116L+LiTRe2cviAOOdK
Sn/tc36OvHhl5BBOYiP2tWM+lBVqCX3tgA6cVo6sa5+TawBdFTzxcBJeTKuShEoWeYF2jDygCjEy
B83fsTwIWEn4Xbfpn8vI2K3M6fy6PU/pSZnAnfDOJpcF/nS+NcVJo53Olj36tS1umvFFRqW3jHZ9
/iYmxrafYlt6uh3zcjJ5ZZvcddS8Z3XexWSOaEYION9Mx0SOlE3bhvqhFoxqJSW8FgXQDrnSLI15
sQPHQJ2UPCimozzxEBpDjPSQ2F+z47q8ZeiHAM6cXclgZi4xuIM1yYkXx9LRixT9R65Z41bqTC5S
zQsqG6BStLIJ5svy/HuRAn4opv5PMrjY8rO1aMVLj/QE5A3kDa8J4J2iDynkZbP2WJgX3HkwnABM
UmuY5SzIZYcpyAbAp3hiHqtUtI2RQsDAUz/6ovl/JvNeiVYW4+VknodbrP+hFPrUAmoOajJytGR0
WJpOrb1V/47xOA80b8RPWZdMM0ttfNEAEZf/lxTJQxBGk93KtmwEtmDcC4I2S1K3J9X73mPudnv9
z/fzxazOLRYUPXirLAWCDLPQrZiM8JgiI/B79A/69yL5EyNGeTvO5Q6gWDeTymChw/Fars2kDoNS
wCP2OFX+rxTeDVeCl67cBZfrkSAwXoFXUBCgqH0+lRJOpYOZp+bRStLQASvMmGhfQzlq+v/LeD6F
WuQ9epqZeoHAFR1pM7MNtcg24YDG9f9h1j5FWSzC3p+iLh8ZkOml26aZsNNdk5+7tgA+z9li+WEf
UGedz4dJDTcTisxJARe0xqupJ+g9RW+3B3RtV32KtuwwzjJDuQ49iZ5GUm+t1mtdf2peRst/iKtx
WlkPV3oNLAja4Mh1UGm8kLFVp7oKO6U0j+OYuTK6i15TP9aWtBEj0526O6tpd3irHlS5dcS7eEzs
sJV2Ut7+sCLvvfgSd8YfK/ZsZdopEs8Euo9BLJ1SRbdHzzWQUmMV7Ea4Pblqd3FH8vbl9oRdSVfn
hSxT4uIO5vJY5BlTFSJkD0LvOOSam4fKIazTbRxwG8puM7iqd2jrl7gRkpWl9wG5PD8ZTIO6DB1Q
kjleuYsVXiWRPiK9pBybsUKL6ltk7eHlp/lLWvwUkRXytWc1+C0Xf7OmeeyVL5310sXfDDO57wRt
W/+e4jsZJ/d275tQVSPxv9sTc3mggM9DnphEgeubbtL5Xq+FGe8uFMqxQ+/WpUFPwSoS14BpV6Yf
uocJh5r7eNbvX+QHfikIsARD/VgqhZ3V2C5veEcZX3HCrV77UxZUKwfy5Q6hCYeenYnsC4LuH7y3
T9eBlUM1870KfFaHOYVglt+KlMqOGH8XSqtbSSUvyftwAkjXkemg7c8sLg4YtY2R9Ap1AI+xvCmz
CViBnO1AnfFmtORfIDcjTNdNaoJdckg9dlDTxDuNRpwXHhS5UFCWSao7VerGu7HSft3+xlcqTVAW
sOOhOAh0lxzt/CObrQSbzwuMo29K972gP1SN94LkhJ1bX2WeFrjCu3rd7r062aKUnKoPmnJXS+ZG
6k7yGnT9Ixc83xHzr5mpysDvZ4jS+a/phaG3PA+Mi/x1IAUx0Y74biHf7kB21dpf4X9S71hPRru/
PQsXJzTijWDCmG/uYTR1Fid0q8dyjZqZdZy6bDMG73mKAFD+ZEyvCHDfDnW53M9jLc/nEgwpvSBi
Kcj7ffX+Vqchd2s3kHelaa/xm+bFdTafczA4Y2ANgL0AOTmfTxgcappFDcEUfVPnL/hw2AK27wmN
nfx9rXp/sbEW0RbJgSJ1fsE5bx0z/W8z1jbUUjQZvs8+xLcn8SILIRAWq5CKZ+UA1u35sKRKH4XE
Crxjoo92yYUtBz+sdk2H7dpw5koSEZg5wpxH0Xs/wv0i9I6G7MaWCw8gDe7NYiXNuboggOYC6fpQ
4V7yDSqG1ycGYSagDs/TvqlsP3Ui+mld4vgv/z5zVMlAdwFPB9KxWOli1KpRIUQeD5gKPSJXyn4p
6cqZcnFvUBab6SconpKG8iI7nzcZ8okuFr5w1PS0dnstF2yll9PD7ZF8qCQs1jZceJApMupSgIgW
n6eJEjVug0Q4em/Vk/SqSnTcnPbP5NvjuL3Tv2jdBiYyyvorcS+e0DIqFdR5pA8oNRIn58ODmVUJ
mSIKR7F6iIAXjJpm1/EPDLi7JrNVz5UL0H/SypK/PKJ4bZoc1DxaYXEs9eFx1hNCrVD8Ezx7u5t+
W01td+0vQ3rHLG0l1uWpQZODOioHBpPLWjkfYRl1USxkU3Dqsz9DKL2a7aMYty5QQAQlVbdfc2e+
pOnOsagw8f8GhQ/98DxgWwV1NWEbdlI5n9L6Z+vE4gnXNxhgSLtMD432X48sZtt+gaqFLS7UFaG5
R5xtF869mHeMn4wCIXWLDVPRmVhTNLoy+WAuKZrMyRov48VSm8ZJ96ywD0+m9xAXPkUnbSvUfwrv
HcvUlfPgQvOWjIuqKesKbQG2z5J712n0tz2MRE5Z9xJl373+bRofRiSrPb3e9BIr+ncp2CEvFZjw
2X9ZdZIRBFW/dYWCNtck2go2OM1M7vDX4OCXO5tskHU/iwFzY6iLhSE20L3GVIlOUghWu86oRieD
Z63ssAvXBmaAJc4hQvcAfPuyfjyNHsVTZFhOmsxmbho3EePD/N4sUDP0hacmLw9tIbrGN2/IbWou
cgD8BZBv6mMAlHwTU3DdvETGYjNG2+YDST4gQKW5abi2L+cD8/wUAsw8u4jAHZ5Fuhb5E5BRzwhG
MT61gVNnL2pebcvZUUL/1cr93ksxnFo5+K4sRsC/PFlp5tD6XBIrgkyWkskw41Nl3QXVq9Q+hf5d
Uz/ACFg5By6RDfRS5n+BlMRGl0TifF+iZ14iM+1lpyDvtmC27TAe7YqR9rJmF351otzAMvTcePwq
edljOXT/PFjmFtUF2jpAxqGwnP+CNoyNovdK7SgIlhOOID1q9N/oJMjJzlyBy1xOLMLBcw8JEtf8
Llh8Sl8f40o2Q+6tTGu2YSqAdBk0+cHLJWhkaq2e1HbVouR6UGRKyQBmKcfF82BKgikNzVg4hoWE
IYka9KaTWb60mRJoB+JY104Dl+rr7Uvs8oQHgQccAFwH2/lih0m53kmFPAjUisxqcrIi1HSHh75Z
ccLntWfXo2fRkQzFWtwANkvXfICvLC06JhCuKDcCQcbS6PzDUslKVamf+AWeH+T2kKBBA+o4eMgo
tztdxkbtkjRzBQSF7SyNUSrTqz2prLzTGuTjbs/HZUJpgv7EvAGwJK295SOtD8IsM0wxOQXiIG0y
QR4cYtJ1L9q1/OFKKMqrcHPp7APLWBLOsh4QRhVY8akeFMWNZ2DrUMGzK4dxTVHxUi2IMaGrBcob
RwIO1XnxfXrp5gII17CN0lMB0KSB0GaWNZK7ldPd6+QqnBvy8MY+fuAQ6UY3q4x9k6S7ot4aWm5X
1bAd0/JXDWVZXtlrly+92ZWH3AKZQFLfixmXlC4JgiZNT6JnYcfNVS/tujF1vQISzg+pah1D2yp4
Jza7xrhPUuGfvzgygebMhcWDivNlsdk5XdVGzo305Il3aqay5xI3XWu3XGxu2C2oyyKeY84+6x+p
/6f599WWPYD9FnmNeheostPWzxZ6OK12oqu7vb2GLx8Si2iLIWmq0Lb+6OenyewOZtnboncoBvct
QiAW5RztKCtrmeJlEj7HJA2fH0h8RGMRk3Ss7qyhyk81Mjl2IHX5JpKzZ0iuPyt1rLdcVuF91IVo
3Lfp6CpjDWLHMJCwFq3cLbxI+Blkwlov+Nq8U29HBwwFPlBbi3vL75SxGbsxP9GNYhWFBgz1pjMg
XEQ/gj4pN5O6riEqs5nOMgGmgucIqrMUzEjSF0ErM9LrvtbzU9ZjEaXVqnzwVYjqZZ/6lLJqf2/6
PreXIAiuHqfevZ4J33PJKA992Zh/VxbDnJJe/BrKKDM+Cg3c5eNVNPsetqWcn7QXY6/cRwVlJbuz
h78KavJ2eMgbG+LnGor3smc7TwKD1ynn0e77qIZ9WvGFiFS9Uar5aZjyfSnptv9cjYVbd7VtYQYZ
63ethZ2ai2Xe7QFf/eTz+wixGhHPr8V9YoUjqiqTX5zEtnmr2zHaeCUSHLI2qbsoEw2UZKfs1+2Y
F0c5g0X/kR1OIdS8IO9qAr1WYZryU0gJGQZYhMlp0QpOBf1sczvUReY9h6JpC+KN3I9HyPlJrk9j
Ta4lFSfD+6HIb7r1dvvvv0gIFn//Yh9LQqDpWaQWJ9lwva9Rg5OGXZVOluxYKLdDzftgsTKh5s3s
I16ZNOYWXyrBrz3yEqM4xX+LQ/EUx7bplq3Tvgb/j7Tz6o1bC7b0LyLAHF7JjkrdbUlOL4TtYzPn
zF8/H32BuWo20YRnzjFgwAJU3Kl27apVa6n/n5am9fuwGTsJhbLYUvKTZp0M85i1mzpy+urT8Cpo
G6le8b8LO/BqXNOJ/GAtkEe9i6dxqfGrFmwl7eL/8JK31QTEwlJNXYdESNzo09/Xdgqk7CLNHFgq
fTNAUtz9KYiYRO8VMlQn6ovN/eVa2HlX5qZhfxiWaQkDQSDmRjRtw7dmDR6wtB1AwgFNgTOBIEy5
/v2WYJppQOr/FMulLVRv+vAQuX/c4igVjo5CdQsRzP0R3cYepDV4zvPCJL0Hx/zMJFyRbe1FbHZw
k2P+HCAKBKnTE8nm/9w3eEwy8xhCf7DWbbQ0k+g3wflJqg9GzplZmaQl3Y5sEDN99AVvqyKnd39k
axamn39Yq8oXYaozsUA7o7BNIg+ys4Ek/n0rSxvwf1iIABYTvc18BdESUBEFK7BdSm+xelQqGhQP
4bBvmpUzNe3lua+gaK7DcE/8RErqekB6GA9WFGTFydN3Phz98UVOUrs3Vhpdlubto5nZyrTQ7WVV
NZlhI9Tpgy8f7k/ZkgH6vmhrgcAJJe1pSj8sTF/rQ86DpziZZuVIyXO6HutPUzGbKk4QuA2TVyQI
nplbiJF71chTlSejeUCMhUYv/dhtIkJ8xdiJwVmSD+3g9Nv+YFXvga9uZTuM7M4pm40m7SirJGsd
XwuLd/VFc8+RhkVS9QYFDqE+iJE47UU79f+04j/XA8iTwfnA8CG2oKl0tu89ISPQk4zq1O9C8z3u
nvK1muGCc7+yMLtKwqSpIc7GgtINjtj+0c3HgHhWCj3Ecy73N8v0u2YrSWcsz3JKlJAyzkWvelGP
izzJ61MDpbdDrtHn3RDGhzgEbfHvptiUtJDCdEQ5dBZWdHpL5OhX9WnsJEeVn6WQxMOwv29kYR/A
gzFF4uADOMSzzY/dwRyNuj4l0HNHCVQ8UfTDyIaHostXosDbtMKUMbUmISWyVeRRZ74p7CpcLLId
J6TCHqVqPxhsfvVVMV4N+h4TNdxFEJG7gnqoBH3vx2ts0rdjhdyA7DwdiAAlIde8Pugq5NiorxTV
iQ8B4/o7lt9cYdMrayK+t3uEdzNo179csGz52X5EtiQI0ZyuTpKAdkeaQQku74VsLQN46+ppHmFA
ZP8mrfc53XCNtIWctmN9StXQ7qS3LDzqozMoCGoMKf2kx/s7ZcEcGTB6VsGo89+8DtvXilKDh6gJ
qPXPQrOjj6StHLF5K52xENdKsbdnGlLA/7V2U4ntgdD6oVSfij/eBRUEw9+9t/EaymPhWX5tZrYl
JSiwEVkZ6pOe/hpCWnKNx7L4JiG36W6CgFDDVe06/O/+TC7sQwVdEnJZ/MWZmPneLqt6S0jU+qTu
oTH61DytwYxuwzZG9cHA7FBDF2o1UYgBGMsc3ZFsfaPss02wuz+OhX1+ZWb6jA8XpxvFZVKiy3wK
kOlV28cpF+XmKw5qYSNMuGZeyrDB0II+G4sUJ3k+ZG59inO4O2C66UiAuimI+Ytr5CvefWFlJlUa
VC/BoJD+mRmrW/K8ZtA1pyFM/xshewqBz5WjtNG6tTfxQqALE9vfzi8ARlN24nr26kHUO9WTm5N/
9F7yY/tLfEDlel8/RE/1H/druzKPS1v9yt7MK4mJK/ShKDWnelcfiTze1GO+pVfuCLHuP++LK0vT
LH/YF1InhnmtiFhS3y2v+Dla0ffe+3c8CtkjAGHkyElwkaudmWk0Pc4IY5pTFz674UlTvNdS2wrC
g17+0Tt4gzxKjpZ0CMcEWvvsU+od7o/zb7fMdTDAF8AbACsuvCXgBK4HOoou5NtN1pwsM4aB2O5E
xfa9Rznbudp5HDdjnDqlYQ8+7Nvnmhxcbj2tIVinLXnvG2bORJYzdxj7tuEWIFVbPzVK/GTW1aEq
CzpOxm+juCbIs3DsoYHQSaaByuEimPnMrJGrjobC5iQPB3/4nea+nWe7lamd7uKbYX0wMntctCkM
/mbUN6e4e2wNsJiS02sw0YiflH4fe8dS/xK83rc5rdaNSeC57CkAYTdBeiaHiZ5Agsu2DRwFfVDk
BdMvrrZWXlm0A6EvJJZkIwEF8x0fjseoW34S60pzCkLrR4eIo+kLP5Pwy6Cu0Vct+hgAEf/X1MzH
NKMRd+Crm1O+IyyoN7Vp5+Uuy3ZNZ/vxhpabst7039bEVxYiPQ6GrkxtMEBa0ZSZDbENpVHMGaIV
Zk9B9Fw36baALYRSzgY8zbYbKYfzDVLrwvTWv4tpdbq/mNPIbhbzwxfM9o9Q9aUeIN96itvyHMr1
u+avrePiOfhgYraOTWhaXQqk6oTaw7aSfNtqn1R9ZRx/A/B7A5ktYdIUA3SUWFEOwfcKav3/fvqS
TacyDPeFnQBEemwPMeljsqhfKclXh/x39jPtHZ0WX1Q2qQH3Tvh7FYeyNsGz60Rx/SDzGrbWIKeb
Vtoa3dr8Lu9eODtpGwP5i3LE9S6SICc0UNFDOl621Yj+9t7flMdfcr9rWjv8ER3lT/c3zeLJ/GBw
+vmHkxkoUC0F+jSmh/jY70SnU1bedLdVv+nS+mBi5q6bLhBRZbamK0N9i4vnwINvxkGhMa8fSN0f
tVh/SANHpdeI/qOXyNSePJ2m4r46ijl1fbW1VYGOYpQyzW4l07IQNl592yz6iQviuc5k+MU2rwvS
Exf9IkXv9CTavX4eSnnlRbHoJkD7knIxAKxI4mxv+1XUVIrgtaem/iQOAGOs4NkNJoSW/Dz2n1IS
9yM5wESs9qUmHno/X2McWVpx4gdgrXSAELTMnoQ6xHODLo/dSehKW/H2ldzZSvlLXdOGWfIVkzgY
AjW0JmlzHGFawT8UWVJHlEKahdT6z7EYVsKupUgA9UtoZ6BpmkgEr3evgpJLKRthfyrGYhuKT4a8
7etz37ubvN+uSTkv7RUaX2nl5JFGSW3mXxOrEVxZT/qTELVO54d7jZ5XPHpRp49taNgFFPXisLl/
PpfeAh+NzjxuKVCGj5Oo57X22492hgGm6queHXm43Tf0t84x87oElcikTWhCoJ+zndm10PlnOpaM
zHPKoHJSszw0Yv1GS/rGjX6q6be0tougOgW0k6ILvtelb3nwIxPa73pg7kcY5PQy3fZS7OSKuyuQ
dGte6wJpHzFZi+wXNjEYcZIBIHEM4+YlIWm+j6oQa5GIhybb6F/R1PT6rTXEThL/rLfJr4C+8t8Q
5vXuL7+w25XEzjQZ88n6aH/mpyHg7itAZ+yFUD4WhvBq9v/OdQBCGi4wHkr4CRLbM9dslIEUa0XR
n0YuASRdv5vKi67Vz0l28kfTrugMy5o/wOW3xqitTfC0mecDhJF+KlgD1yYbd32y4kZrVLgchlPc
WJ0jm8NBRHKW7mzFfROC9qeowJzl1cI+KORi64socjdGuOlHqVt5ciyccQ1GKSaDrDt5/tk0tAKv
njoJ+RJV/FZkv0WrOSPl7HQCPXLfRWutQWLBb4F2pEpPbYS0z/z1DfuypnZ1O1B6zB3J6w9qvm2N
zun92B59WFm9B6B9Q/4jUb+UhXUqfzSe+xCHa7Rpt60QDBm4N9oKU1XyRvDETCsz9qpxONXpKYSI
rvFtWXk02r1pbId61xrWPocAC/rz49QnKwY7EWJc6XeqeSu7fenWos0U3Ag1dLSzxJnra03Z8Bpx
GE5V9tjkxFb5xmrtEeDli9xujefR/Gp4a3Q/S1uQug3VA+J5IAOzM+YK4wAjZTKiXZVve6SW/QaR
HiSmRkoFgCtNEoyyHXmjnSNH7xrWWkJuYQVowJhI4pA8ZQXmeXw9yPrS0JTxVIRfIFV9qn4wRY9F
aBVO0UFT5eaOIDr5YNMuUwoHr4GjyvuvTdP//Ojnffd863CgPCR/DOUq60Bz7fV5NJUBTU1ZHE9N
D5xWL8YjbB1rFcFbr3ptZBapSVGq+WhPjKe4fsigjcqpcG1XmbiXrIBVh4wB/hYu7dmV5redppR1
KZ600HMyQ7bjxP4Tt2//PmE0RbNuYIS5r2eRnRkiuKoJhXjSh+Gxk43AVqBHum9jIcFEKzm3Ju9N
+ras+bkQSiCUdE+KJ795cPsDMm+B8FyHLzFqSyORm2J5jq+uNRAv7QUU/ahQA6Sb8uHXe0HOQ1SC
XKwixDnY3ThEWwOg+ErcvrRMMNRCIEG32EQWeW3FjwwtxjOJp4zfX0buHvjeKwroP3I/2N6fx8UB
fTA1G9BopbFYx5p4ktRx2w7PaCmsDGbNwvTzD88cE8FopShULIgD0MIisy0lXontby8Ocih/gfJU
rthzs8DaDwPZKLVEnDAxEXKCYvGcSePKQBYQTZOV/2l4phtyHhUEWZs0ucHpSVt48izeRI2tPMib
9KF+Tr/nK+Zu5428l0pKA+InED9znI/hV63EoOSThyhEXe5jZJzvr/3trPGriTPIaIK2AIZ6vTJW
JQhVWMXKSRzB6sXltqPDLwGfdd/M7W4mkuLBNRW8ucHmBYi+JEWb1aN6GnJYa8RjTXfTqD0E0Rqe
dsEQvoB+o4nijGfJzIcaQiK3XSSpp7QudqEenHPX/KNU9JLUyZf7Y1pYHB5xKNHBT0ujyrxayvst
TdBsMU7clLYvfs9xpPctLOw2AGxgoikfUvtFyeB6depB1dKxzsyTAU4veaqL4VK5El67s+wqbFKa
QIQfWtCBuOifLcSLVj7gdjZBp+CBaHeZfNG8AhfQBtmPamCd/Oq5aUSkRZ71khResIL/XbEzr731
Q+tVfutbJ8EPHTcI7Rasr2wd2/jn/Rm9jWanAaE+ymxSTp9Hl/0gyuXQRtYpt54H+YFEge3C9tuk
PyRPOtK6/um+vdt+32l7TA9wmjToETNmK5jpWhpBWiOcNL+GbFc+VNKDmHXn0hTtJmkdyGXg4KKr
/NkaL8D/7Ur4L+8UAhkYWYDQBv8e1l1/0LQUH1yxZdayEYumcJIvRWwLX7XaPrq1472lD+1z+Szs
7k/AwoSD5oLVhio8ehzzCVcgN5+K4/7ZyITNKPyIGuVQCsU2cAfauYDgrUK5b/YShuhonMTRKR1T
pr4eoKl1nit7xaQ08moNqLcIHinn1hD+dEjN3x/dsq3Jp/E0YkPJ17bqsikT3+z0l8bUhoegqt7N
CqnCsiiNXagp8cpkTs7r6lU4kb/QJABWnriY18C1uTJHlbcuNaj4203eoGeg79uyfVV197PeRmvW
bhIuU6/w1BNCaRI4qzhzpV6eq3UFn81LY3zVjS9t4T1qpV0bBbzspK5U01GbtQm9HSE2ia04odTX
WMfrEcalm5GOgRyjbEdIeIv6TGy5L1uXxHM8aI5m0WR2fw1vj+g0Tg7F1GBGbWnux7solfImqs2X
ooR/GpuHzNCrfeaJ0gFsx6PSuOGTHwn1PsrSbxkpBwdqt9zW/FF/zawCTcrqDBrJPbn6GG+KdpVy
6+aSVin1cZdN6w5X4BwyY3SCFcDTY76EQk03MDRfXpNAU5C8rkyFcrPBMAQFOpEt7sqaT0UiSC3q
qx4yAM+M9/NY7yHLbpHyrd9pibGDV+XPcCSnqNZrGY+by5QhTlxmPHDpFIaR4Xrhq9JS/bbJUQAI
424nlTQu0vVnrsSItw0KmOEpTXjIu4HpnIU7muXlbhmr1oshlvr3wWu4ayRftb4a8lj9LOoEJz10
nvV1hKGisBs3iDxbwNfku37o4DBpAt+ID/6YtfukNLs1EZGlaUC9B0FxhEpIB04//+CdTa8Sk2bS
lYJBdnxCeCuzfXno9ivrvGBG5wakLwHQMIWO2TToGTwUlezSZG7U+eNI8G/ZUhmBq0HE1tZHPdtH
xmBu1ajTXiQFqHSq555Td0mzFczQ2OaNHKPyHK3xKd74HICdEwv3lF2cONBmHq4q+jwSwyg5JbIc
X9TAl/aeG9cX15Mqxw/odaQzCF5Msxjoy4IZ4/7E3By0v+aRWp1ELoEfz6ffhyC7yX3akIzE2qSt
GGyj0Q1Iahb/DIfU8TYmkaNG8VdGl+Z6pYciiCENM/0zyjTdf3FCgN8GUnkYqlikfcZvftwf2u1j
GYPT5E5tA9OzdfYij/RUa+LAC8569Uvt3zrEnSGt3AXvuYxanF/sXMER1DXGspsbEq1lXBabjG4M
POxsp3k+KnJFZAbnVFHLg1zI3q4ca3Ub6VVuB0O6JoFxE2/M7M1u5A45u5xnO6M0HovuE6KoEU0g
GjlaJ0HR7f6c3lL2YI2oBtAzvR2wG8y9Vl37cUUm+tw5KNMdrG28aTeQ4m7MTbyBexMGdcHZdRRF
v8m/knMjOVrqdGuw6MnKVVhA9DHFO4SzdOUiQ3+9lQQJ5cuGBulzopGUS9EGDltoUlTtJ/ykPyPf
M1fikIVFJaQzps6eqZFwfkzkRlWFoonjsxI8SSNa4eP5faj6ldld2rFXZmbOQCoqFZmjJEa1wdvT
FWak3qPkBfss2mae68RUvxvFPOSSufLsvvFCTOjH8c2iEGTJ4t6IhOgsomqv9Y9hfCp6OPfO1KBs
FAH0MN/e30lLS/jR4mwjdUJUqxzO+FwOL4JVblAy9Z6FfFcicn/f0sLakdFGwp6UvsHjdTaphoAE
pRzIyVktSai3wT4JPitJ9zLK1ea+pYX145KBrnMiEiLGmpNUmGVo1aMcZechM2A50xzmMegd9MXC
JEReyUnpJtJCmuJWDE8b/vpAgGIGp/WXeIS4abZ+XZkFcmeMUPZU9feid4bRhoHdsHayv62ToxQX
dinupSA+6Ku8e7fze217tpJWXPfIWEnY7l99CAXj9JA0njN8WRnjDVyJjh8esNNG1agYzrmj0zCr
zTAqsrMgnSsN4tfK2/fuU2g9kjEmJwpTwlkTft23+vchfjuz/2t1Ojkf4pNhCHojzbLs3OLgovfy
VfsZXcJT+6huYH51sj2o6qdsJz7SunsanvKXcBvvx7P4Sf407Ouddlw7qrf+/moa/u7BDx+UTKmD
uqmys1QLGwFeHq1XnaQ8SiIqL2PpIHH67f4c3DqHa4uzG630+9ATRya+rS6eiJsfn9NqVwSboHtB
HJFWi/19gzdBCVEaWBQO0ZSwhwbkes7rJE9bIpbsDDeQ00rCxjPlQ5KuyAQtWeHy4H/uNDKB09Pg
w0RaVWFaRTbmZ8W1ibKE76v4ndts1hRusl9RqCSdBYTx2oTr9SnPdb84Cy7sSRQh2k2HmqutKJWy
rQv+reojcZP16L7GSp98od8ncSrPyI/3Z3ThjFLRhMSCXu+/j6rrD0kHNyBq0fJzoHa81yap1Qd6
SaBdXyOsWJhVsgPUjzWCDt7Ss7XLcgq1pOXyc9YMdir25xIcWkjjyP0BTTM3O5a8nUAKcx+T8pj3
iFhqEmljmxRnM43bXeGLkD8345qA+cLOp+GUoiy8deQE51YqfyyiMhiKM2XrneZ2D1BVXMJHIRi+
SYL5Y4jHfeGtnLbb2idBxkej00d92Jd+5w1NZlbFeRCyYxR+LkqyYuVDIrR2Wva2oTUAwY997qSC
8O6Vwfn+zC4tIE22bFlqCmDcZ8eilY3eT1qpOLu1tmv62mnbZlsL2cpduWhmyrGQGqdoNb+x3JGc
lpWrxdkXKOgW4OyE2twNuf7f/eEsuEuQy/9rZ3Y7mX6gdeAdirNmHOWipBn+TUqhQX/K4hN9+Svw
rum3zbelOVHNTc2p9LvN1s5rmiTytbI891VaX9Qs1D83WWQ5VA3RwsrkfBtK4RrJ3ZKbATTBg2Pq
FLyljzJiUq2FmpRnLfQPYs3hLmxN+kVuNVI+wc7F+6oZ070Qr3FXLkwuHNqUVQEoUfnUZpMrAVEw
c1iRzqOWIeJovrWFmW36NLpoNLQGtWk4lkAl9P6S3p79qTggY5R3CDmUaWt9OCARIIQkFqrqPBgl
iAkp9j9Xuh5e7ltZCOYmjVYCOo3sBKncmSdLi0QUgkRlcMkQHSp/0B+0wgo2iqB5UPGI1aes6PrP
odDQv603wi7i/XtY+Yjpbr3eUHwE+SFU8+DVpzJ2PVY9MusolqzqrJSFbCO8Ts6ttH5IEA8fxwFk
o9FO/CGuljhZ3GTb2CstsrHhPzdwTikkspO8pqnNANm6/o6sgv6dpEl1bshEbAGP1IcxTIqVi39p
ZT9amUUarVlStApILsJV2215s0C6NlT19v6k3h7SaSxcvJPgGkQNMysu3dxVkDCnUlM8KrUbQuWk
/wplf+95nub4erMC8bn1dRiEEAOTILY5L9eTJxdBoggWBjVxQFjdl37JkpvRsl4aK1719p7nQaxT
DJQBLk1ohGtLZDgNWhjL+lyV/7X9ZwWVz+S9dFd86sIEXlmZXiMfDmBK5rdXiqw+k7pD9QOGQttH
JxmWw0S2UzWiLSRF7On+qs33BuEIRWFKS9zHcM/PM3hDScef1WjlGdxMh5hhAWVw7KsrD+EbXzo3
MxubXOfp2BcmgHazggsKMiREubvfLgqmcnUx/N/DUB3pdMn+cY/M7c6u3bHL+5hUcXm29M9duK+H
9z78fH8GJ1/x0Zf8NTHNIZEopYa5Q/NUKsNx5VVnI/ouVyjfAydFCH5LOwus33TXqJqNaPTKuv2V
s56bxXMAVpk4Dkh5X++WYkzKPHcH3LW6C0/Bu/xNfwue2wf3Kf1jON5DRsZItQ2nOsbeQ9ivuJT5
XpVpzMBtUSEnWTSVda6tD0gduq5LWSWIbe1X2vnH0NQ3haRtdNVaCZ1ukOdzYzNvnce+7CeeVJ+t
mCTSToQpAB3BdKDtrEXRyh6FaHjoe7zTQU17Q98Kclr5Tt2UcIRqhuYGe1ey2ql7PZfjg1tUhunE
UUB3nB6gFr7J20ocD7Ieg/NRcr2KnWJsxz/398nciTAKAKCsFKhGqiJz1izelZ5ex2N7VoY23AuU
f/bR4D/ShBQe3KFM1+64hSWaDjZXLck8EAyzIxfkWackcdyd6QyUn4OkFt6rITGOetD5W1doK9xL
PpJYFKvWUaJc2OS5Ao+vHrYOzzvZyUb5EOY5uUZBkI8hxgi9ktWOm3kCgnmZCBl1uuyJsnDl11vJ
Ewa1h7q4O4eNa9m6nD1qVll9i0epfIqVULF70oTbQs+CI0070kOJ6McKMPL2CE/or6m8DvyLW3bm
39MuVfIsk7tz0KndA2mfFwEqha9qmdfbQOizUxO474anvEjrUnp/S5HXB3kqIeH5yabzqp2D32N5
iKmjK/059OTiVMZuv9NkZaB85I8OMYq4ixRaAhtJaJ+sEaVfPWn9AzDvfJt4efcjjMP0JaoV2Qk7
AXrOWOtIYKCipvSVYUcd2pGxX+Bn89J4QImugLWpjV6gP+yc2lJdmwcRJLOZqzm6OHzSg9HatWLr
HYRWfy2zonVo+NwKxId2l9QoO6VptvLsXLgeqMZC3wt18xTjzwF4qReVsS8G/dm3fjaZvPEGlGD9
z0hTHcxIPvcuaCx5RyD4yhfeP5YLx+TK9OyGoEiMxsuApG8qay9a5L6WuvS1t6KXqn2IBFLu983d
xL/Tdqf0PvW9UxGHm/56u1c53He9GPdnKQxR+lI3IaS+IGSdWFbsTKgdpc6OQg5sxVN3K7ZvL/tr
27N9rqZtY5RG2p9bY0Cxq6AxZ5Q3bbxvhB+Jaziy5W6GFP4OtYr2XbAzRNMBMq3Ea9DHpUn/+7qB
jZbOknnoZoXi2BZ9yXqHjU0Xqkgc0NLTN1R/QFysBB9Lo+aK4mPJAFCUns24MViVUrUjBywUqD26
mnTQSqv8930EzeOUo1F4P9Erc72upuInlhma/VlPtEvrI/ur0iD4n2pB/fK+so4L00cRTgXUib/C
d04//xApZoZXU0TSh3NQF4fA1+zS/FwMR5XGnKETbMkaH7TKOqXo8vnUnRnrYPl2Zhwq41cK8Dst
4/39T5rH4vhuHqokHShikZibz/HQl66WF8F49lyV12nTV7DmAj8OBi7i+6Zul3PCS9JPweC5vOev
YwvNTCUdk/GMiGxnBwT/WzdT0s19KwtBB1cR7gjuG4DyJAFmc9xqqeAFpXSOvLbexnFQH3NRzezc
VLt9NwjyZaBwDym05+28QjE29MQbG9h1zY3Wju1eil3jKUysbme6pfSUIL65N8TOcPyyQZHRlxrl
YkHkuxLwLsSFJEpwLRqpXros5twabR4PZmuGynnwkg0ZC3Xrbxrrj9rYer7ToF8bnNBGtw8ajGAD
wWL6dZzOXWnna8nEBVd3/SnTSn7YptTFDUFL+BT9QXfSnb85lz9CO9gVa6HOFMpcX6FofRBHA8qA
9POGHkWxuqiTlFQ5c/3ZybZ4kDbh7pfy4D6mTvR6f2Ms7HRs8eLDlUJ1O29nGJtM9HQJWzXxfZp/
RqS0tNbgS7ex4l/xkglSy/YDHHQ9c1Cktn4VJsq5jN7h79uFQ7WNO0Qa/bWpm9zSzdQRzmkIl09F
gZmlQFEKs9Yz5Rx/04WDsS32Q7hPyx05NeFhzJzuoEl2skY2vXCGyYNCcU2BAPTMnNQy7AI2aTBq
51LTH4ZiUB1Ni6ztP68UfnhS1JxQOuac8VyRu0Dto9I811Jbboyoju2hLJ/GOlhTtF/YE+y7v4o2
UB4RyV4vlyq3sdx7snkONSHYaEZQb9RGTTZWBq3N/UEtzBwdpyKAfajeaCebXWaiUtWJHxrmWShU
HSkT2UQBs1/TUFsc0OTLoaAEQTe3YgiVUue9YJ6TSimPLVFowC3ShF9qJE0u90d0Y4u4d9JmAW9A
GoXyxvXkGYKXx3kQW+dKFrNL5HqZshNkBNntkua8VSrRW3OAZajpKtAXT5tiFgMFtL+ZuWEIxPqx
bSGXY7nfDaVDLnffNYmtRON5KHYqfdp6Wdhe6e75p20rUJb0VtDKN2vJ/ufccV/SEQSKeLaWUmdp
QdXG3mXIoL1A8upPNHprIgMLRmAdh5SYFyD9BvO0nFkg6S5Ypn85bVd8x9pvnu16UbAkrn1+MxGH
s3aN3XjACQbz4bMnv/Xh7jDqJkvoa/QvQ/AFT3LU1JPwNYI/u4JTLkagWj1q0Vvuv6Te4MjlsyeL
j73ulKa1EjQvfQitBmwXXiagj2fbU5SSqgpxxpdaDQ9+ENNEU9Y5rbFGakfBWpf9gjXycPzhIUg5
ft5UJbiSEMPMEF6KdrQ5mIAK243oQ9u+vX/qFg0h1UIUzgUCRu16fvG5edSUbngxTeFxHLuDlYw/
QzNyDG+VDWGaoqs7RvkrdkNdQYHBjJfutS0tiVWTJtvwEoT+uc+/JeNebF+beN/2PzUCRVG3QwnZ
J1o5RnJmoEUpEdgl6uvhb12Iz/dHfkPOgLchAcNacotTDLdmQ0+TRhoqsY0uA8HfPqjCVLEtq8vt
vPMfrNBKP/U9yt2yRdY6lDJ6j7XIP3at1j0ylb7jadVqI/TNNcy1IYFXntoTJ+7fyWt93O5WjtBw
r0YXt4vfEAA9RWazHcTWlt+yUnGUbJ9SViZ6bE3Rh2t9tOO1Z9JtuDax6JGgEqk5UfqVZhEvogSx
X6MKdsn0R56wL2F0KaK9rx4z41jJbEMBnIsY2feXY8Ef8wYkQ0V/MrnMv3XbDyOHicszyapEF+Jn
O5iUAvI/jb+Gi1rwVdzQhBvUQQgG5mNrfU8sNaCSl0Aye6dIRZ6drSls7o/lBgLO1jImynKobVFU
Bvp8vYx5aKiuZnbxxZUTlLN3pUb63q+PqbZXhBSyocGJWxgzst6W6mBTmo9t/B9oy00JIEwVnhM3
WjnnN3Xvv58E5x2x3ZR1VGerqvtarrk1INjYj18t1zy2WflL63Zaav0q8tYZXNcWhsOg/Ebas46G
3f0pWZp4wtiJyHoqSc87zwShS/U285NL2oMDlnpElDQPDt77Vha8GfwUEzwM0UOSiLMjHYZq2klJ
nVwSxK2UIjgO49uYhK9C8v80HrAnNLEDgCVzd73CLbXL1ld1pjPNkI4+1l6/somWDgQ5SOg2KKYx
ltm1Gkhjp8hBkFxKOgecqtN/uX0D77iQrvXsLZ14wJf0uDF53ATzuDWKgR81RZ5ehr0IkUun76Lh
0OsXN/jUyGdheCvEfz/t0OEBYmF4oJHmZMWAX8ckAR5/iVpZQ7OzFWxLUI6i/H5/Q9xkdDnlyFBz
ZSNDIsnzDZFbmTdkapheVOWthknYEUkoWu81jIXlp1IuVoa1cMNdmZsFlW4ZGmM8pOlF1DLYPQal
3TR5/TsYIMWPW6t8UExP+Pc9j02SINRgUM1VZzb1tpJcacRmKP0em3inqbmjjZfgn6HQU3SOMh7n
imABCam5U3PdRFDjKr14gVOH1k4atv077WYpWQSRR/D9lfvLjTSLFjDHH5RreM+bs2qPm5ohcjVJ
dgnj0XtSAjXYunXUnuUq7TfiaFb7zhP7Te1RRSxzWd0VpSw7hqCjNOJF/U4lee1kGnJppaBUO6Sr
FBrtVcvpw1w/Fn0vTioR/kbudM0O/TB7FJNKOlhuB+Wdh95XqtfNrsRf7QKrH7Z5PkTHMszDp6oI
NLule+A9lkbDcZkU8J8dTtzz009RIcX7Muk9u20oNgpFvfEE2X8gtZ0/yKS3T9VYIshiNM3+/pRN
Lnw+YwpFd4RfRNIF1uSDP1yhpcxtww+zy6AmyV5xpXRHzN87mkGKuU9iadeWRvluxc3avr9N3LM3
VJGSFgHy1Cw72xv+aClVovJua6BtUCWnleS9OR674NJr+6gMN4U4XXf5jnbn4/1RL/h8bhSaW6C9
5Cl3c9cK5mgWdZhdOtOkfepzG+QXY/LJK+dsyZV8tDO7QGWtkTN02LOLW+yU6D09iapgG+5Xc6IM
b3/Wa6zhS77ko73Z/q/pb/cA32SXMvhutp86iOqthygm88juuT+FC1cNqR/AlJNowgTZvN44mRF5
oIms9FLIgXpszYDKi4nmchfXv+9bWpxEGGPJMUGlfaM+57ZJFqcJg1Lbp6zXHJNCuR760Ov9Is39
BdRYtZYJlZdGRzqeDihiPmjSZwsnWC2BZyvgIP2NlB+9wLfN8kegvnVyY2txuPWSg6lFOzNzMtff
dATcoa0deJXakfDgNQ5RthxsautpEOMHvUXrTQNeYr7dn5obLs7Jv5JmIfxnLagEzhx57ZuWH1o4
vHwzNes6AEiz0iHQ9rbisfpKfwvKb35p0+j7et/00qp8tCxfr7/RjGbgalF2SWvTyUd9V+XRZqT2
I5jdLneLrVj4n2mDWzlRSzuclrSJOZYiBv2u12bNIpF8Jcyzi0lbRNUmjp/+CaxfevwWWp/uj3DJ
NX4wNQ8/m/z/cPZlO24j27JfRIDz8MpJUk02q0p22S+E225zJjM5JJP8+hP0vWe3lOJRojfaQBsw
oMWc1xARq2v7XsfcWr3R42mAPp1Wz8+uDaCnsep9BHUMdBOvG5mSrGSMYtqFo+bUKkOHO5m3b6s9
+Yv2RCgJefFRV7/uD3J3GQ1c/FvUtjX/up7Pymin1WZ9l+Rp4RP6qQMDvPqkumWke8XLXD+rvSw9
s2fSxtoBwQeAM3pXXptEpKUTe6pIskIfH9Jp9NhaTeNrBjWDOufLo8eszEelXjnkfOXHMc+7mHro
gjEbK9RJ7eLXOntTOFBzPLoaq49tSthRxxOfankT3p+gvacCEkwo4wCkgHfSuP5a5qkpEop4pVLu
MZDwmubk1uAFZ52SQZqxlwGc926eLdyCxg8ImKDBCvbcldSr0pCExyce/Fvm/XZfXP66cGrXuuZG
keLXDXeItfmtar7V1ilNIcQDvcnD1P1gbhYSF0yV5P48/iFkiZ4GGpygnR2Q92ilLcRZE2m9BYeI
JONKorR6hFjT22h4gVm4EdWnt6n6Bbkcmz/w/pXWk+99XuvHxaoDhMrw9ufHXD0oFbrBzQ+QRIfk
9kNW+o0i07zZC3rxi0h+o6qB0oaoFpCbfPA8leM7WcYOec8RgtcgCqGJ2BqUvV4/5HiFfK5zehwt
a3nRy6U5FMbkhSjO6bIV29b7ZtpwNMFg2nLdIsTFnKg2VQohiUmyiGrHgfppdmqdh1YJ1lfDWdCP
8KX6KVmsbTFurIIkoaMeCHkRQ9gnyFct4+q2JFELLQbMvYNkRParzonvZtbfPeFNQLn7vWrjquW+
4mbP8zwHM1nxFisfGUTSTJodifJ7MNBMSSrlsneFgBoOBARiT0ikCZ9H0OfKVvlEkpnM3+E3eoEy
QMzBdJvxpBMIkxiVC7AWU8xImbpBkpf48/qLs4OVQCUFMlybEvf1GR3dqVXclhLohK4Q8KS8QQaw
dLPpm4fo42mmdrpxS1b0isTuPjJGIV3mMWM4jWWpE39xMvKomkP2lbQTiu7YUOyJ6yaZt1oW1Lwb
o/p2f0V3ve0/kHBcZSBPiKoGdqlmlJgq9pG+PHQWP9k09csWTuicRc2bYT/mabD2ZgAxKcmbvZcr
gKsPjSz4YxB/F4W4NGjYdRXXMV8f1WPtu/jPQCVZliD4P8b4jx3hMRsrXjmlBzt289tJn3N366vx
WpNva+8GQBNEnu1r7vDiyfzu20sbp2QTRd+EajC9wt1G64G2ToPjUgAcCAUcJ//VSDkFMiPCy+Dy
2kM2GXe3nmRr57P3IX3OZtdnPQnL8tjUZ+ObYz1V8P4A6wo7uISK5O3enubrjY9YDaAboFXARrlZ
SGrR1ByXGY+TWcdGw96ZKpPQ2tksiMvQhQAZOVTkcbivDxdkvVXG+4Ym2pIHFVgodWf6IHaciuYp
zyC35ywBVb90qWRst17Xtd3t3y8iYTWvZqAdYde2H9f+gWsH0zuUTmDIYFx764gc3QbpNEAPFQFr
TWe4Spu1NBksD5FMPqWBYhkU7NRMip2+vccxKDy6uA6RgEFzu+tB9VyZIFjb06RFS9ViNJ8JmrQ7
G7cuw3NFyZGUyqOeQkzWaz9LbpzNMxI3CwQ0ITkEtcINU3Rtm6brQjmoWokH8Cp4/nj2HTW3gQQs
fQ8MSU6XLhxsyOaWw1BHLS/6wF3m4dQNPbSC0VLbv/9Ftw49JgPXj4liBTAuYsIhxW1nLbNKE6PV
34BVfbVZi/l3fnbWcmrN9uhw2c23PUTiHGz5NRiFqi4Oz/UcWDqDcsTc0YQNZeTkaMlgk9MyJ0hq
63QJZzi6KIsEFfR12wWNOdNVMua9zQZC15Y03RhkpvABxgT2BmpB2Gz2BD+vtqGAb8NzQJs+2Vhv
PWWIOlyY2j7l4gCVY9OtlYYOJaxbv3NewlX4nc3174xoD6vTB70xPxW2F6jm4vOqeRyYGWS5A/9F
PSzWkRMZDmtv7CjbaKhMoQ5yI5I4VdSjlVPTBEImvlqrPuqijLSSGd4bNhRat1wqemYjQrgedmXW
aNiAzEtip+wwEN0fVO9vYpIjtAOi+xt4725ExgyAsm1BTVBkr22ZVDUKPnl94qZKRFUSqMxN6rH3
eYNc2cqU965TINtMq2c7j+8b37n7gQT3VBwfMGaAX7q2jRpA50CmsQfy7L2zfy6OxEPZmUdkXECr
0gHNwxO6/fvF9iG62nJ1nfoEfGZFB75ifdbr50wGH9rZFFdmhBsxN6eJWBrM9B9GaH6e3u/P0u7P
A5EOXAESY6gWX4+iHxZjWqe1T2pQYtQ6WiAUjnZb/4URuJ7IraPeC5XBayOD6hQ1AQY2Wc0+oDka
9qAgPv9bgtlGSQHY5T9WhM1Gp8zVlglW+tD0//2hufxtscaiFmxExwGsQtmw2KmVQDV+U/2Hm/83
m+qfMXiiz5SpBa1n2FnHk5tCRinrfa88kEp2z+4gA7bZAuYOzQRw14uJdKWdyrnsdBzNGlgESNkY
DNn8xi8UAIJ8D7rJULltD/A+8zNj7uH+jtg9PBfWhW1XF201U7QrTdAVJzAMJPxsSBIz8PQhC33f
1LbswpMGwgPedRB4kMARg5+Wm0XaDfWAzWersUGV+qDoDBrZAH/Us0agzKirWxf55tkGvCy6b33v
fBlQRgIeBM8pWmRdb32grzqtA0UnWfpXMF/impX+unQSKztJgI30CIDVnyZHwOddm1G0dph0mwwJ
LTSQESmLO0OP0UXr0dKn2MuUJ9IcIVh08uwpLFcjtizleH+kfyL7m4mG8ib6LYK2jGrW9TfoDsSl
NLcfEqh5fyPuswWUvaqo0eLVPpo9Tkh/kFYJrVn3dWdofarRJ2U1jnmfxcx613JZamR37hHgwGWF
bBdgMNcflKe223EoXCcgbq1W4TPQmfNVkvDYRnUz6gsjwsxn3QJmpsaGRFHWw2JT311ejP6Hm71q
KlRTJAstG9Lmw148Om5e6koNBF2ijARkyanyFztp9E52aPbO5xYb/u/UiW5YrSolfPEhGVPfbN89
d/VH/aOVXkPb63U7eyCaolEVNFtFf5+pxMwnEKETREnoNaRHWX6CAJM/aGa0WJLJ2x/UP8aEDVo0
ndVYGYy19m/P+5a5Z9SQDaRy7x+EvQtnKx1DLQPIVVvcdpx2cBr4MiYU8ZHa/mTWBwNwb+YHtXrX
s8eq+7hv8Pb0b3BHxJlAviDt64rhfGGwVbfQwhVeOw2KuQ0Hi/oUNAjA3T31WD2VEz1YVeFbwL38
W2oydHw3eMjGvQOWSxcJw+6SZUXVIbdVe2c4dGU/+gPT/+2cgjcDGXmQ3uBOQnZSWLpsXCx1tW0k
LKZXfspOkx076UFTHo2ahbkMR3pzygRrgidRV8pULapFgJpLtHQKZrPwqS6DN98WwzYziEA2BgNW
T3zsndZLy9RzSUIV5GGc2aZB7dAHnqmKjxjM/DwbJSgNCDSPjdt2B13RlcitJyPul/ERryX1keKZ
w3yrfd/fUrszAGzXFvUDHSd6bB7kOaucpSTJA7P61a/vtkwH7ubkb4O/sCDM8VKX6LlWwsJQIJ4k
bWzgvqwtH11fn41MMpzbTNu1NdF/m6iV9dMAazUBIRRi2mY5BmgNFlSd+6x2zO+RXRzL3MftQB3t
eH82b0IRwbrwECnjvNbj6pDEUlKIU9prGhQOkRXvtzNwdZfCCoBUKMXg6rEgcyW8DXByXJZijG5z
WMmxtI5MAY/x1KAQ50jO464tDfQ+ZCY0iLAJ75C6lnaXlwoyl86CJsE04Omzy54GVT3SrnwHpF8W
tu4uIRwLNICy4ejckMANspSTxyuaWJDRAPH8l9O/0VmLSIX+n2HvaNGwzONWc4sgXpHcX8HbSHab
XLQZwjsF5VvAMK4nt10gLNb0WMLcRE+T7jc4D2Fnju+51SW8VJ6ZYz5Ad+fVXmXynjev1h/LG88J
nGGkMgUPcu26RrOqjCYjVQ8jZLOUH/3gHSBId7o/xr0zD1CNhg5baOUGydfrIZZ5DzWiHqkXtUZH
84y6RpC7PWASqCZKzuPtgcBpBhkGSndbsxKxHsKmhZlup9GkXus14A614ceMsl7IMivCJu1axWJj
YdOE62Gq+JSG9ydsZ0siIfpHghBBJ+qUwolT6trGi+rQJH8fptLvuOvP9QHS70tuBHYacxq7zUut
fLlv96bbIKpcaH8JL39TBYNWh3B38tF0Sm0oED31OrAyORxti8NFK1SiHCD2oqMabZeg/VdzOEO+
BFxbdEMCMQL+CKvPAO5CkjHryath5jzqW/V9hTz1cUGX1GBW5yZuFBrTVIUfZqqvnZnlz9XiGBBZ
qmcoxZgsLnoXUp2O0ks2xvbl13fYNjIccBRcoakm8pjWlTLXqHMkbYw+Kvs8Arkl7iBF/hkZxwmd
rX19YtH96dzbJiiVezakVlFEFeMWC/SDym0IUiDoZBgwFToB46pSSZxwo3u6LRr01cH9ARIEMdL2
GReuu9L2HSSHuj7Rrccsr7/yZQiAk95E65FIOoykDG3Fg9DZHKro1Jxl60u+gr6IplFu8dOwG6wi
6GldQJD5repPZIZGAErMhH7cn4/bC2f7UBBP0QsCfrn4VlZGQ1B0b/qkqd5W/pidUzDmNAkN/vb5
hxF4J5sGLGQuRWo4gAR89Vxk5/T0Mx3Xp7JgwZSbD8g+h14u0Ty4vdlgbNPng6iNZqOlxvXUt6kH
RZaqR6rOAeSooke1TOFmyTo/7JpByRDE6K0QJBZK8hFHRx/UPhkhQBSunVug+GOoR6geyESXd6cP
MS3q7EBBInl3PaLegIQTN7U+GfSHwlMhmHXMwfGqs6/ZKJm8vSOJ6g/0PEArR1FGuOSKgtKshE5W
MhXKr2brsIAoevbVHqALDVlzlXxVqQzmuWsUhSDQg4BpBpfrenzd2mUgHyA/5EyHNIWaLCt8yK51
gQF/pnEO1fTr/qa/5RLjeOLN+/8WbTGGUle105XWxoY8aKdaCb8agRkvcRUyPw27gAeQ8Y/6g/Hm
BqnkAtpbzEvTwvZMZ3skzapgMZVUebM8+iPXxpD0tPGdZm4hfWG4kmLXrkk0mEDGCFcR3Mbr+e0d
mrXllquh1cmMalyuowa2xCFrpCTE7afEKx3qnxBbhijNtlmvTaETioYSIhIkC/9ewPEOSjPWKzvU
rFPuWjFVX71e1tHmRrN+u2zREWFTHcX9Amfj2ijJBmQ/i3xILC3svtNzd17O5af0pAROBG3bD10J
HZlu5d47AlgjImE44eiWIth0c300tI4OCRAYAN6MofZvZVT/jApXJrRjkEYHdel6VE2fda2p8QFO
6GvZfufDsQZrwcsjcLSjPGsDM5clnG4dfUwkFMFQKkICTReVfFylKs2lN5BDy6wH56PspoP2WkNt
GRIxXxA+St5/mbnt3y8eySGrJydNzSFRh8VP0dOFUYggVe2P3njW9EeCnMb9c79rEGVWlAJBn7hB
T9VZ5ygT0QZUqKw1ztwKvbfR0vxQtW1z9GY+Rt2IGlmKnn2Se3XvtYDvtiVtUGdFoH09VLc3SmgO
2pjZYdpcxXyIM6dswi4b6/D+IPd25kaH2gRBUNYVozWWU770aTEm9dLRaJz11ncyvBr3rez5DZdW
tq+4WDtDW7VK9coxsevUL0orMvPXLDubtJes2a4hPLIbzgsCsWLlzR6Z5Y3pNCa9SgNdyUODnQvt
6+jJDO3MG5rLehuVCyh1aH9dj6ggXl+NTs4SvSnXSK2m9sVJs0oC5NjZCHCyELmjheeGExYuSFan
c54xNGzAPX8GHihZc/TFtPLD/eXZMYME3UZPgywPmO5CNNTUrdcbxBkTVrQ+Suw+Zs3QmGRtdh4W
oHNBOkV7NGwGkdzJVDNdvKKZktxGK3dlasuAzMNvBuBj3IAe+ERme5BcGrsjQxIN3tuWqhJZ9VXZ
6BpVctgs/hrzT0bzohSSkGtny+ERQZ0Xgo/QGXG3YV/sbYjKDtwF+C0ZVBTF6tnSQ4UA2Tmh5WA4
AJ4mmcadnWcA8IFAHJVZiM8KewJQIm/Rc2tK2sGj8TLaK/SLIJB6f0vsLRbOEISJUTtFDVvYEla6
OqldzRMyRpDfSvunbrUC41WjJHbr9vW+sb1oGfQtXGk4SEgTi0/JQJiaZ4U1J16j8Zd8bKzQU3o9
AU/SOiqINIOcetDspIoe12qhPzDdZnFfQSPr/pfsDRv1KXCP4fxsqkzXi0nNEjVvp5wTbbTbg6kA
sd5rPLTH9l23q08Ltrdkh+5k6AG3Q14OJGywvSB3e23SG8gweKbCEnst8HYCrRr2WlHEHqlG1D1J
9zKNrRrCt1Be8N6QxybzkExQQedQHUXW53zHu776GuHpUZDm4Wy2WcJHlYRGl44Rsz0lgKxTG/LK
KB4mYoBhNw3Tg8YyGcpo580FwgjOBHDLmxSnYN6jY9E1TTMnLR5ap3e/O8Pz2NjBOv5e6XrMU1XW
QH53wBcWhYscFEkP7a9hsc7RpIp9o+cq7Y8bxwmSe87Tkn+9v8N2rgukYMGLRr4OVV/xwe3ABWhT
u+PJCqHdNpk97qcLsjKyVus7N5+J7BkIx6DT37LhDIdZFjpG8KSEcPmE3nSo0D202sf90exYQVnX
BKvIAiEIKpzXm9cFBq+v9XlJest5MhSwgDOzjpRxkKnY7Nx6eG3R+BZ4SlB1xVSnOo/ZCt22NSmZ
rTygA8YQUqJTieN1a2UDPXjYfXh18X/hLFJ7XihkYFmiFB3Amr1vyqBltxMGC8DWIngFaQS5jOsJ
o3mmZFmK7TYsNPIoOAuOUwbo7Cu7VrbI8Dq22gzBBwLEAL6dKhiq4JYyjY9zoi7PipE/0Q6SiWv5
uhX9dJ+s39r873T+Oc0yAe3bDY6K1RaHuOgIhgdRiHXMotbNtB54wtG1PmJAQE2hZkgewb1p3Hg+
NpLSWDBLOLVGxnINhFee9AtF7+wR9OIuGN3f93f3znYAKB8FEzRbgrKy2FRqYAo6haNpeaJmnwgp
/Wn9676B2+sOWwEcEvw6mscgzLjeDRpjZW+3mZr0TjdHpFRN5FBs/hlIv7BttraEaNEV8dlqJC/u
nmEXWU1Eb0Dg4eG5NuwMllZXa6EC9u/6/RLbHG3KlICrQcGAU6hlqtg764VaMFYKTFVkOkVuVuGm
1WyyfE0on3x1PtoV8/lyuD+b2+kUtjx4RsgZ4qLYWGDC6a2QosKd0KxJtxyb4a/cMIMKHbMRQVmd
xNTOJt86Q8Htgyo6pMKFvMxCWj4bXr+CteHGvGav62yHM9r4Ocp6uj+qnU1ookUl0s+YQKhUCy4J
8sG9W6hMTVhTe4EzqXnY91TWGnlngVA5A4EZZxZBvZhdT50aLVM8riZZMwdtnawZDRyZnta2nYUF
AhoeWrzY85AHE3tKV0WvjKliqAltomX9pFRugCZN6Cl+MAzoqzZppKs/7s/ezkJBAhDK8pALg5KQ
uFDAhadVZSlqMnELjZKGBkq/5bz6lU1PY+WpksXa2YIor0JpDaph6FQiSkmkGjVNalMtaV569Caj
jhOn2qMLbBNvZRoce7Ygk6NbuAKRKxABMt2ke2RIbS1BJr4oeDjwIiiq/BPRH+e3+7N4q+gCKQ7I
EKBNgOmhzCoq1RmLNpV9PegJUcxDyp9zJYMSX+/bkNAk6l/L4EPdHtItWmy23XPN0kjN22idyWnK
tReSsVhNva/3P2rnDrv8JlFsc7JAa+040ZOKFNFahDyNFfthNA+Ne57MUfag3iYrt/QasmtIGmJ1
RfYkz90VBddKTRT7WGeNnxrvRV+HUElzmpdKOaP8Cg5lfH+MO4cfzwPafW09VW87Vhddb86j02rJ
2Cy5PzuMg8yaGpLbbGcnXVnZDtFFCOs0JnPWodSSbVydBRaXNqIdzBpk+uIbpUTvbc8aEuqYRx2R
D1ic19YapLzyijItGTTIxJNAT59B2OVj2AySHbJz+Le4ytjCqk1uZbv0LsalWxVR08zUkqJ3Iqtk
FToJlAz654CztrUsnb2zH5E60XHbeBvwWywlUWtuZ2tJtcSbhzC1sxcoaZTWu8a+awq6z83J/a2x
EzjCfwS/CIKBqIbC47oe3dw7Vd3WwDPoSKhR9r52v412DFptOVlWxDsFkquQka6evMp7YqlM+36n
LLL5r0jk4rGFxyw+GaUz1rabUZy/5tdSZl8XiDCirclJGe0H4hj+AkhS1RsHeE5xqak/Br4Emc1O
tEsgPHgu4vyJvIILfn9abhVrce1iTjadK3T5wfpfT8tUo3ETdZA86MY+NGrYND/3bqLNce1+K8s8
QurfRaGq+nvy/Aw0ih6Q7frMoDU9qH9D+vypBN8s9WQftoMT2T4MgF/ADD1IJwnrVQNzkAE+hvlC
8LKg71KZLWFZEN9xpiibXH8xIb1SL4dB2vNs5xpx4Kogz4vyOeAigrui0bk2R3fWk2lCa1qmMAqU
uiKrcuwdN5CzINcEGZaNUHo98/NsaS2gTHpi0i98LkNrWJHKMOK0lemY7Vwh2+8Dog6c2O1dPJSF
kbtGoyftaoRVk4XAoUCEJ/MLyOIQN7q/pfatwUt2dbjMCHavx9Vk3IASCRauKV0nphbCmgy02JhD
GtTnSFn8Vua8/feeBPq8QmILhao/KPxro4VtV7njLDrgDl+s1gkBlY4m5Xkep4PdyrI+O3hDvC4I
SeE+b/GOKBJi9vk0ore8nmjKGnVo8DhB3cXOjGhVlxASB0Fqk6NdvGTFD4+UD9P8i2jH2YA4yDJL
DvDeLkJiBKIBiL9BRBVmm9uzRld91RN3OXnD15m9l87bIusLsWvFRMrCAVANL45wS2hs8Rw+Qr5a
LevPGuPPRt90B8sd/0o9WwYjucW/407aWE4Qw0Nd4oa+tdhl01W4sZJmQOa7P3hVDHR4bA3VA1eH
t6x4bdlP4kXjZPqrp0Z6PYZ14+DvTuhQGWtzZ+w4odCJBokZqQGx8dzazrwt29pMuubg8RnyPY1v
8XcoTN0/N7dEEiC4Lg0Jk5ylltHWvIIh81GZgVDJqnCZ0HTd409GW70t7isUR3rt1OpoM7XWX5pB
kfRM24lrQNeGo4F3GdGNGHiWDlsJIIdmsrZpFhVjx45p2atBZ4JacH+4O5fspSkRHIOG34VKS24m
Tac+Kbx+r6BveN/E3sptPBUg8QDlRNwpXAqQtidNYZqJ2o7W66CjxNvMnXLi6KYem/IqwJ49LCEy
SYgKwTUV7LXohGbNOD0JW9qot8bQds7EMsNslBS69ubu0tD2IReemjapVYn7AHNHod3SFv7sJven
bm8j4KgDxYgbDoSC7QsuLLhTXzOuD1aCYhBFm3AHEGoJcGnvmKMA8I8NYbrQvIk4atNbMMCjhQT5
cPKU6lFLh3hRT0QHrnglL14dTvyzZ7GHqf9EpvOsxj0IMPeHu7dyl58iTKi6CYs3QE/ghayjTh+C
bVILNEvxZK/+7sTikYIjj74HwMldT+xiDQtiRkxsXUOlq4VE01kvJXnZ3ZsEvgtScKiRQKdCMOLZ
lEIMwLGStBnr2q+0AX4msZDadHoWgmTNT7PrMtww+vg0qrVx0gCCNVJwVLrJIU+umct4B7szjNcZ
VFkICN/o51pea3QtS62ET4d2emTDk3WW7lqZEeExhLBculCoESadji5W62Oaf67TMvjvFvFiMEI+
sJgAtFOZZyV9Rfym/G5C0JApEpdmd6dcGBEyWUinNUWFDhnQtDjoHB07XtGA5/6237tHUIf9z6II
p7ybsjbLe4wDczWYP2dXhjXfWxCsOJqNeVAe0cT3JPWAs1G93k5y72evrcCEfluNCaHr7/sD2bGD
asqfOx66ljcaJym0rFhhtrCTQ1lqQLOhCO0Z+6irCvoMLplsXHsZni1lioIUuJ+A8wk7wCHD2Jdq
YSez+k0f0PvGeXHmx3ZoX+o8C2xo1VaL/bmwD6XtN5ZzdMcTO5sV5IyiVqbBvDt4JJk2FwXNccU8
4WR2a9lCki1JEcI13avSp6HTv3iLjPyxs13QXPcfQ8LxmvrJJUB5YLvYmY/yK9S2/73/gY2CzA2A
REi3i3X0ClV8dU23ddS5T0rk1gE8S1//i81yYUTY9dYGKs0zaie9/rQ4T07zCC2V+V/TzaH1C2AN
0rYojQOWIliBgPHopmSyt+OLWr2P8wtpccm7tQMFgJUtFFFRdrFv9CwZGXNrQcIjoXW5PM1WelYg
LxYyCsSXU7cqJO49qAAiZCInjbnuoVoraIEDmFXF92d157pCcKkDs4L3ZkObXj9sBiC7S8dqJ9G8
s2Ohr7YdU2m1bNfI1p0OOjRA7Yke1lLMfKbO6CDvfoIAlKE/psPn++PYO03gA/zHhDiOKSOV1sGE
ZyDNlms/JvIx1aCmaBIcu8zQFkdfuFi5lnNwXaiTGP23KnfDlZ2zKWGTrBYssyM6A0pqq+40wc5w
WmfrrcmWF1IUfzNV4pXKFkeIX6zWrVmfdg52PLiu3B9yF71nft9fHokRMWwo5rlOtY44Sami3gw+
MisemjS8b2SbkuvKCxKgqAIjCkIdB9v5emmcaUztevGQm0T70wj3nh7Y1WJEfbd6QQFSRV5k+TF3
R1lS9HZ0m5wI0KlQzIL/LiYJV2OsJ69rjQTNd4O8/OSg+Iy+xv9+dOC2Qi0ZkQq0NAXHwii54aRm
byTu/MMBSG5GOaJ4qtLTOEesk4EZb9NBiBfxQkIxAI1n4Ixez6U69JQ5OjcSFFDBxiyLSJ/qITIL
JyRojrCOTOLU3O53GMR9iz9bQC2KaHqc96hZaUYy86ickh58j7Z+yDxZw+3b13Czg4oSoAlI4Ika
+UYGwd0OxcGkBwoqQNQMbbNMk+H390fzjxXhUJFitsDo0A0IBzHfGg5brYFn0MZaJNfR3tZDKRiF
ewj/IRMsPO710NCyhNhZYipq0EA8tugsP7UlVvaH848VwW/KOKVWM2I4qKDFc/XSG2iZo/U+tSUx
kGw4wiZXcqQ5Oog8JNh9/tS+5vSL63y/f5D2doC9NaFAvgQvnqisty5rYY0GDtKArM1j2RTs0yYK
JCml7V1GSF5AghSZBbgIwsJ03jTX+jqayeS9udknCyTbVw/KSURnb5liUL/QOZfEHnuHFtjCLVLD
XaSK+CGDkqlk6DSTQAg3cvu/Iaa3NpCUZkuIftfx/Wnc2xOXxoQbwk35UJdEwZ7Qn0nxzSSnvA9S
S7Ih9oYEDsMWdEOTC4nM63tIYeO4oh2smehz+cXi0eqhu+mTZufHEZWX+yP6g9q5fEAQ16P6i6sV
2AoUfEQUQo0u4x0f0/VsfVonP00jF23R/PqtfmLH9UOhh+GLewJz47FxA/t5eC7NA+ehgwOXQSjm
YYR0Jom+5HEDsflkOt7/OnFD/fk4oMI2uoqDqo8wE1nHVacumHpOqd0HMwM6otMq2yckV3ydp8Sv
1kn1C65Qybzc6GdupvHmADkBviVqYcLx91ZaoefGrJ7z0teT1X3lEMf5sfzlPPTVwdPiAuJwvzmK
EoGBVswvxXteSF4H8V748wVAS6K4A6UpcCOvt4Gp076qCkc911Y9w+dqFl+nmhOQlOWSQ3TDndls
wR9GEQmIdHjGQgigWnTK+dCp57Dzv1P/+8cUfR8+iP9ADvdX9IbHKlraRn3hSw4TBB8MtVHPjc9C
y6/8zt/+NkVAGB7tg+eDrxpQ3wjjgvkPrf/ZOkyFP70v4e/7X7K7wpdjFua3qB10QrDwJR/dn494
1vzT4bO/BkP49FAGrbTn1/YAikft0qBwe5Axo2Nr/D+DY+j4IWN+SINtfCzKgiAAc1cWde1tokub
wgkqh0w3MvR0PD8+x3/95b0cHrIwUP23o8SjvknkiesqvP7F7EzTJoNyfmRxuD6S2DwFTciew0Sy
bOJTthkCPARw8o2naoktVqyyIS4DbubcwRcMvud91H9dX6vOt1M/WPx8Cn+Vf9+3uXcNbarQuAaA
N0Jp6XrP1mUK0ayBq+fYUgLtVVmDh0SXqXPJjAgrZesMp7CGkfrk+fwJspsMSjK+F94fy00+aJu/
y8EIC1Wj+SHXNdyp1Iy7r/U38+R+AQEl/wT5GCeqH7vOd4oA7QNGN8od3/xvNoqN/qIQe9y4iGLE
MnegpDTLrJ3DxkcWtzJ9avpLHbsfL+egkuU29nYLNGAdQFJArECR93rpkF52XbDXl7PSaRDtfNQa
Nb4/oTd9GLYJvTQh3GjUQUfkVTGW8/qWVv6X6sf3WPPjU//I/PUVAFbfe4a6Wuu/RMcjAKf+L4n9
7SUSr5VL+8I91lUKdArA2DtD26iPGj/8/l5E3cENi0M1P9iwjMvlqOBuSSPrl6zHhmyChbOhanxu
atdazqTmL67dHSdlkPXM2UZwb4TC0YBgpa0DFbOc9SzOhzFS1ZNLaDyk9P3+XO4a+sNNB6AVOD/h
bFh9bpmrUa5nLT+X6Jo3/u7W2JRpVPxRJhfHg6oxVI02croh+qxFXfCmc9Pl/MXw8Q5oH0vw0X+E
H580/537TaBl/uv8rQiiiPhB7i+Pb+fhcyC7sveehsuvEFYOsqNN2ZfKct4UTqxnxX6cZZJCe/N5
aUJYuLrQGtq0WDi00PEriCIb8+L309OqyxpL3qQXt1O4qa3rEKG3Nx3b64M+FgiieFus5/JkfTRH
7RGaVOVfzakhfo3Ge3/d3yi7bvOFOVFp1KKzm1cVJo9N/hQ8PvM85GHchqcuODjBUzSH0flb+unr
TzhsUfTjLYG+omSz3uCOhCGLcfDcFFljrvl61pdn6jA/J4nqounD6s+Thgj8B1L4SiVLJtxASmDW
NjQkEvAGo9OZKG9Y2mox5aOynqeHIfrgcdgth1qJIJYevIVs9mVCh39cbeG4XBkUNuq6QMnBhYjb
mVPLJwADjXPQsQ6CJyH/a4I+nVsHfQulQfYzy4BKe1G0T8rWpiHM7MNsHvoi8iak+TxI+Uoi3s30
zadtZQZQygDVM4S734bezKg0Iz5N87+70Dz8MVSSQsOuCUSB26w7KFkIJvoxLb2eTZvDDKmQ9eid
+Zf6fH8773nlNq67/xgR3pAKKKjR1mHE8vtQD7oAqcoDtrIdhPEak6f2ZD3Fsw3caGjg2T6MeLXf
8gf1sX0uYlnUdwOA/LPDQCZF3QqQXPB9r8+yoRGmZw5Rz5lj/iwn5OGGUz9XkVL/NtN3e45L5e+p
iB1t/h/SvrQ3dt3Y9q8E+a5czcPFTYBHaurJ7nZbnr4Itre35nnWr39LTnJPtyy0Xs7LQYDs+GyX
SBbJYtWqtUgq6benYimQRY0Cegy4BwBDm3ezKlnah8JYsE7XM6RvXgLCNiyFhmsUb5seqrVxR/yU
MzPIJzH5UxyuZPWXAjTk6Sb6UMDbge6buXsTj2B+87EWbnhu5Jc8P8lW86R61PdN8VE8Cz1UJCoW
YgFWBbo/qFo29+jQWnk5TOfl3LPBFDEp7+Ht+YPYBEuUy0Essw7kmgT2WDyVmh5sKl8XS738TzN6
04JjC01JDySooGtyveCKWo1iF3ucw6koPGIfCSJpqpXIc+EyujIyuyGGouD7sIURrbJ6+SksCTjm
k/ZlxX/mcPLZWOZtUlFbVLzIMPCfQaGK9lq3T0m48/2TKh3i3mi7jHCb2zYXbnK82tFMIqAOiWzh
bGRZr0BWefQ5R+AN7a71Vn69uDhzf/z++ZBqgLr7hs14B5lkcPZWrBicgKfPedNj5TiFcvgI5SNA
z8Z3risT8NYj40S8FgICeojgvCei1oLgUPSCQDO7IY+NUHL7mHQaXjxGxCvyDhcqRJHZGIJ7ZADT
FShY6gaRJASYoKTJqgVUjHO3hmpL0jHRL8j+NW8+AANAuZUj7gU85cGgDm3aVqDpWGs8hXJ2FAI4
2nGpxUltV1MgnJDbGhm8QGiaJ9I921ZJbSRCLD5lXKqK+oDujwplcODJrHwY0Vgij1IM8fSCeSm7
su/N2yu3dIdfLp0wO+qqNku0BK0Ujl4DU0QUO7GQvWxHiq6A1LptbOmlcmVseklc5F7YThgKpg05
p9xzulnRVo83oxnY6pfJ0/p+fOBJfTfsVZPV/V3zGJJ4JbP5A8P9vTkuPGmW627Aqy9LxeSp7FFl
DAZ899W9JOyL2MjHo8cafW6rEIKNS5MtXtBoq7dyqovuafDNqG6NVD1q8Rrx7XS6/DjqLj5qeuJc
TIsPMc0ik3EwoNiD84cdaew+86Swb0//0kV+sUvnscJQQVRqyGHGG0go7BXfaDVLwBM/qVY27A8d
q39OswryfaThwes1m2YNcmnQg8JCS0RqaYB02i54ajeNleBcDUmxZ/eiDU5DO96Gp+4jp3ExpfpW
s0+T9/6c2T++YzazUe6nGesmnJO0en2sIQ+3U/fpSAyqls+3Z3cxLJ2AO/BwcGqgO+R6FVk/7psh
SzmHHQzZ8mKbg0wqp2sn72Xrflb3+UiT88qSLkYql0ZnwZk7FskwyBnn+BsEZ2B1k6cpRgtApav3
rVPmZrymeL14GKMtA3WvqRtNm35+4a2850OCu845pBv4bQZu38rg/1OGnG//ubAxC0E8L6+SnIMN
RqDsSU4NNnUyPUMnw7AS3S5eXVPNCBoY4J+Tptv0YjRYs1SqwInhqLHlxh+SvGOzlULedPv9cEIV
1WM0dqKveD5hdQbB6R7cTU6WGWiXRz4/9Pa5TNgjFKYCaWXvrVmbTd3ge00sZLBWulavEP7end6f
UU3Pa52di+fJxbimY+1i6tixjjy+hSU11mtEwv6xCI22/QAW6fbWWjof0dU5sU+BuRhd+teG+HLw
/BrRkxP8jjxiynVAuPA1YyHyLv+Z+/DS1mxQGVISXdqUvDPes4gptIAw3KfQKVSDiul9uc3XnrNL
DnhpcFrPi1mUm0BSBg0GI7GF1pgtSC/x1+35W3KJCxPzXIE6cm0G8j7eaaiYGOP+rd2lTyqn+ytF
3sXT6NLQLJjIu74dQHrMO1IxbhhPhcLrk8sDiP8+Ys0K764Xz8258BvSB/KK3y9GMpfGZ8GF2mcg
NMpS3vG17ehCKgjgRjgISU8pDfKVPb061NkN52p9BcZxDLWCvkJNs3jj5Uem2ub7IHsY2Z7GtRk0
drXWoLR4zSB9LU9MlkBVfMdYF/4iVmKR8GiYdRKI2TBmL+iqAm4Mu8zv+0eolKebvvYMNdfBFCSb
41oTzVKlDpQCwOmhyg729XmzGV9ljIs9yjptTcv6nOZ00CGFbQjZlgstVt5X4qYXde2oBSvvp6W0
5ZXp2VZh+KGsa7xbHenTjGzJHDfYnuWeIaMemyZDXfRFg9abuhvlJNqZT+Itv+NZwuMfxmIscT+C
7xPZg9vba+lC/GNGgLa73sGhVCUdsoKsg4QtQd7rpKykBJb27wT0FBXAdKZ67LUBjyny3u1KzkFf
9GDlkFLOAbej3qNL1lhLF7MP0CFDUxGSMejCnJ1/QybVsSf2iEV17sPV72q6Rer+5NI1qb6lQeHy
QFkE/EQQqJxtIJDDxZHXcZyDkn8XoXlGy3S0URhdG000BCSoj3G+yok0TdX8LkaLBti0gLMCrGsW
vOSuwrZDruINbidQoAHy16iO0pNLkqMRnXfZbi22X8oLQwQQnKmImDSk2mcWWxAQjEOkcU5EduX+
0FmxQgqTerr4cNsNF08G1GEkyE9NILJ5og5aR5HvFy7nBMNbx3wxyqbzfsnVJjVyqwSCA7ROrFGW
NHgNu13BrVzSi+t5YX02TkasBs3NJuvyrsks8b3wniN1UwKGoxnumozl0gtDmbpwEbrhLQ/68Os9
0QcVfjQEvDMAp0t59MRopBhfhNSAeAKpIqSLjPKQRnbyWRXGGdxBGfJmWW5LGw6cCd7v1EOFfXy9
vQYL7gWsBPr+JgFRkKnNLsBqhJphpnKDM2URxgJcWxDpvW1iaYde2Zjdc82QtDKPXmwH9GVmxySm
yIh7uXK6xu7LQ+gdekb3oeWZZ52ZFfdc+f/9BbOtm5YD34wRCo7ZYARVa5WgjI4r0egRnUEeo3a9
XVsIBBRfpOp6U9SSTVGtgFMWZ5pDYgbVcODJ5hhqMBtUfdOzgzMI7VsPMnImDFcW8wd7Nl4hwH7+
YWMWd6oKwLPFiJkerMEK9/7G31TG271H8I8FbOEDckwb8V4mr9szFO/12wu9VHaAeQjzoWr8va+v
XTxsJK6Pe1Q2Xw5vHx7JKEMTq7YjaqGi6uDeJR2pbN86renHL1xol4bnPNlDjQI5xLsGpxmtSr5T
mvcufYnllZfXmpXZXlHBt9y1JbwI6ovQfCyaY5Wo9hgi58Y2jPmnJlObAKgoxYMr6Hoyc//fk9nQ
Wj8c7lOzskDuQR4IZvNVJc2mMM+nX2u9+Utuiocf4CAarm8IV1ybDXtWGiCoiYKuvI28B15ea6/5
PuhmNxreRP9rYR7cc0KPrlMRFhLSDVQ9yFYLDNX9I5wzJuGTdtAOPa3JZ0J7+G1AUp03+o1PH1Fd
+XomzLa2JMpRJNkpI5BuLY3/nfu99X2zZWbiWvLSAN8HlBPyi8j6xWZoZlZ2cI/uJqGWceeERmSW
VmJCCpCktCOMmVIEHbddYOkmvpqpmQskaqeh3jyODoBeIkXLwhsEgA/j3RD+GWe7XJPZASkrJVcV
Wj+tyZSUwaRjyOrGB6830BCvHkqVZ0SJ6IKyYnp7lN/B4K35njzy4n0Q4TRJNPnb9tsj5BlIAXyb
vwGtN/4XFr0nx8/GzI2W1PbX/hlSdOSMVC+FjKRe7VbhGYvXFeo46A7gwZ0LpPn194hiJQiuPw6Y
i/Ixi+zspOpdeScK54Tj9MBMwU8RDVTZ3J6HpecgqAP/sDvLjKWy1Kh1DLu8lQDhUH25GqGJaa+c
0qt2pmPuYr7boBM6DxLniO9qk93q6OehTkd+rQxn6bQEEwr4JFGOxLtrNpzWFQIeLIIszEif9/eP
hbWBXmuoj09ZinvAdu9WXluL2+XS4mxgo4dyD9fBYpEfU6kGSop2MdKJG0lv9/5Bk+7QL7oyyoXa
FfhekKRG7XPqDJ/duAwrypCBBwbt0OpI/b0FkeVBPpA0EV3j3lhcuEtbs5dOgLywykcDnm0NObx0
Kgj3lfGgG9IaScN3DWW+JSf2OPDGICREtHLtIqo/uFrRcQC3siptrELZg5vzyG2TjUUe0B5IzMqk
v9OD6pHYOu2Exyfx7knTswpH4dqqTtvt57cgDwmdDTD7zO/2sBrHlBMx6kP44p0Uym1pbYEAivzG
5l9x2m9evFvGZmd/p4Bm2iun5dyN5seb+dZYnaVuTbjuw4NGWxLvjo9fxrPxXtDn0uqdmNqxoene
ef29+YNVaIrmkIBl0UkOvgHwG12vQterUawxqAXUrZjuhijRSy2GBNo4ykYFSPMWqpW+ro19ds8y
Hi4rd1B2USpnT4GcshsJpTkrZEflrs2CGH8t7yxhFJX7Cv9Bs6qnrZxgi/HfpF6LtzGk0PHZ1x/M
jIGfjxB+Rl5Bdy2FJWJHXVYPbR13o7Y5ZR+/Gd3eSZuGqHQN9DLttPnSQVYAJIRT/PsD5Vqkuep3
GTLw1WiM3IfAPQ6M6RN0xq/s+TVDk8NenJ9qCIZuF8l+p1WcN7HJwRN5yjGhObdiaDGcvxzSbD5D
WcgwJKRRlJToLzvEIw0qwEb5iuY7yUBORQIc/Kjucsow5Jf9tHK2Le28qfN6qplA1n6+nEnZal6c
wHxeetDcO0jClxhGpAkCKjK/XcgasQwV2wIVR1LlW84zInF8vP0Riz6F/ACaT1G2BmpxdqjXae7G
alRzTupZ0W4k2vtzZVq1R46WYXivd9vtSXnFqQOJ2tuWuYULTJv2HgrY4GqHT83WOWEEZSzVCbUV
kQPSLp0xDpjvEgmmk3BsyEq4t7TcGpIuSLtMk/6D4r6P1FiEohDn7AQfMlnkufydAlyfkzuCUkhK
Nb3YpVTYPNn27aFOI5ltnYmGHg8NFTBAdDNcj7Tocf4IJc86aWdq6VvhfdbdHsrqDYDNQqi3/Fp9
ZHLcWwZnW0jiU0ntkWhzwk8uOyhcqcsqs7J+C9sUD200lUOaUZRxIF0PKuFZRs4K2Ejaw9AaIw1G
Pa3XeE7WrMzcU5SzKvcDWBkr6m3vg1Nks4ZAuE9eAwmkLtu4E+2ke2JzY8VdlvLaUyYBKToQgKEV
fXZXBbIP1ZgWp60KPhNPPWvcPkuMJDKALyn6Ri+hfNl/KRCNY2hcOdnHbadZQF3hcOC+ecemqHXO
3xzkIpe0Y8074oE/KZ8TFCMyLE65Y19AYmgDhVAZrjEeb5tdAERcm52t6yj6TKpmMAtZLHnwdD4F
tu6gmWpnly1R0TWcK6am4xMS/116YJHnkHRx3z5pkV6UK9HJzzMCH8NPPCzgA0XKY7ZzWq+rIrxl
eYR/m4D4u7WizfT3rzfK9e+fbRSk0IUubkYMFlRRsrIRA58itUilcZeWZ1EGX1910EK9GDbZeKjb
NR/7uVGv7c8mG0kIMGJN4wP7ZfbcHyvp0Y10N3mI3PfxPZLvlY4qvzIyEMBYby/0Qrh7bXu2tXJl
aIVCwtjjmKJm1VY5YbJj/1xUdglpFkOsVrA2yx4NTimoY6CzD/JE10dGw9dDJBXItQtRHQO0ybYg
HlOaGJ1rSieLZwaqbwmBEh4EILrUlwQSl5EsE7FggS6M/Lj1LcAAwsOYRHlOBr/rP6KxG94zNhl/
ZYoHst/bk/Tz+MEcXXzx7EkwDqAY12Sgg0oIbrKVbAvjQxb5O6mvINy6JnO04A1Aik/Q3Qnu+UMv
iuPqXM3QoeIE0rNYbNTwMWnM2wP6eRWB0GIS/wOcEzQec0xKE6udkA7thH9JAGiM6VBUG8aPdCV/
EmK9ixOaZWvpj5+BDlJdwK+Cwwa9+dBAv153RWu0pgG1vzNGZWj5Sfzet/6a8OxCPAErUG2cSM6h
x/P99riIG9NOTDw38HlHrgK7iLdVSQLx0ICNKYpds21BbleVo642ZpC8lLHVJKckLYgUfq7hqhYK
L/gUAZ3guD4g3DMnW/eqqAHteMI77iF/LGihS8Ym2Oa7SjdUMhqpSISVOG6h/AyTE+gbMoboRJun
AxhfHRpWQpluOGWkQl44oaLO3fX0LtKlPxG7IQONLlhUH1nwNM9JHPFgUpQArdVOE+MWAoQx/8W+
8zShAVU54vqkeZHxfz50z2vE3guvNlQiMbNAG/Fo1prPbTDI0KdD4OH4GUENayCBDfaFnXJXI3G7
q43tV7EB8t7Bs3Hl/TW56eyyuLT8fXNeOBh64ZLY43PB4VpQe+cW24ESD7BNY4x11185edbGyc/C
D4YfQbfHYJzs71wv7gR9420TihY89740RPTkuEge1lbkk2Ktlra4lS7m+PvRcDHSWh3FxI1gOz/2
NQHpmO7tBDQ6UdY3KOScmx3mlybPfyLdc7W480i5RvQOMSMYVnI9ehdpfC/1e4myjwgu4nAluFi6
AZFTAvUn0oLo0Jkra6U1Emuq1gOd0u/6lrYa+eVJZq7pgEd3/vtYrcFhlg74C4Nztil+5LTRb1tc
uQAWD6TnCY8Ydo++Ymnb7d/d522M98fay33N6syTkOTu66KH1T7ZsymtGquR/9TI0KsPpg4c8j8Y
opmOb+ooFIC14Z9qRtxAh02vuZBIvFMIRGU2Cau+cenvyjVj3uRDm3Htbk2Ca+Fyk0C+DbV43KIg
4Zx+fuG2sR9lORukgtPRfhN/NBvPxHyuxU38z2Pg0sp8EfOsj9H0BSviISHiW69DjPCteMk2KOGv
Je8XWsJx3+PROvUWg6Z2/jx3fcZPfBnGJNKbL3Vgyt22H9B+Qk+MzaHCbUQk1zPwnD7KKyfQwnF3
ZXoWrfXVKEWZBNMRGm9A3RMchS2E47sPf02Ie+nyujI1CxDCkmNjRoCpHeAep5NyhgI0dCQ/UdFc
hV8s7Ab0juBhBblfoAe/cQQXTtLwspdpQiY4pQmlLWom9kNgVTprGtkr1k+/HW8txbxX5qbPuTA3
CIOrDC6GpuulflBePKNKqbtn75uzLenSoz2eVywu+ifolRVkzCUwB04/v7DYNHlQJHmDAXopaQWD
Vw/hR3ACoQURj235wI77Ks30avXWWHQYDVlkHAKAPIgzh2lCJLm6qOMd/YXfjnhChPTOJ73TnZHQ
Oa0t5AL4a8od4YQG2RS4kcTZ261Wo2bw6xyAj8TIWT3SqNsEeszGBi9EhhereurGjpvs8xwkr3lG
fOHEKQiOfFA1DQ4X7/xxG2c8rTK7Bjgj30e8rvjnjqNiSeU3wcezT2fbXzHqG7G1skpLkzUxZIGe
HckF6D1cr5KfA83cSQ3vPOkjT1p7E9HWZnFw4eVVlHr6wO/0SkEeFwwjt00vtNZh4i5Mz3dbV0gg
Msd9MJxAE432ulp3T62uESkgwjNbGsYrcmJUDMjrq3XXHux0tdN3cccjSAdJGDjieYTt18PvPfRc
aTyuXoGEyK5k1OVITdGueVoVL1ja8JemZjMtuwHwuyNMPen6i7gtPBIxhDuwCJ5sW1xBoXwzWs+C
RDCpA9k16evhrTOzhqyY4pURrj3ppXpnn5Rdr7ePwl1kPCrU2nPg1ACD4Kl0zmfBcUpCjOfU3hPk
Wc8nz1w5fBayJ1ffMltopR9wpjIqYNLoAwVHjSmJWG5xLZOw5Mo88poiQHvQQZ03Y7VSoUSDOgpO
LT2EGklSyzN6hG2pEUTObd9dioqlS1uzWGZget4dMhaHm46mFe0s0vEjcBhjMPfpu0q2Wzunv+mK
1aWc2JXV2ZHaogpRhR0vOFNqfiDc3t3K2/aRyPrR2O9Lwpvv40h9W6LVr9sDXnJeEHzgxS6DmwIo
2+t9Erh1OjaRjFeAStvWI9057F5vm1jyEtDmIdHIA5IifT9mL+6Lcgy4gK8wuHgAWFYridDsw2Tr
r0TbC71e05MC7AKTyAyyPzNv5GtPVRIGQ+nQ5jU8ec/o7D1W6FBvbUKS/SccFM/Vz5Z8McaHUBF/
sLiV2ZSXpvPyG2YRYiWJvscFquBkUsag3SiqYslKhVF71gq/cOooGx49CMp8yeDmb/SscdHMLTK+
cui9ET16WtHWCbSLh5RD50YxCESKEGUQOY/YDz4RAZjJWhR7SFEwFVRMPcbHdg/dFG2xXBgjh+RJ
6Wcsi0lsym6iGCXTfIxoBbkb/CZvSVeOzStw8s1m5PoGenMaIzkKX8mPWZ7GRz4roadR1Hxe0HQA
uQ0VUllASAGkkYf/7Q+vYaaUyGFyeW4zYlKhNV3RAAT3Q/UQSUJs57ECcctc9n7xEmqxtBGljMZp
nXJkTNp6q6Y8s4nzVAlIzOVKS3M+biAWksZsZ6QluiRJ23KANKd++c5CmIklctc1LkUfbfSRYKoq
MinKrkn6Lt4YfyydPAdVd0GLjkvoWDjhY6ECfCydtQH8UxlhNv7ONTTP9PyVZNlCCeDSZREvXu++
QZWrIUUp1PH3MvXP96HunTiLozyJjdiSVjbiQi0O5lDZRX8zdvsPJD9aRVMtTF14p+Hv9dY8HCK7
AGAoIy/SPSih3rOcioUux5QymaWv3BbLowWFIQ5xZAfRqnc9WkkM3EHuE9ERW71lTmN2ip5ENPCU
hN3ApxQBDC7VoenvhjXM2vSb55fmRJ74L8vzG8TL+CQfpUB0tBc+pxERSovP9llrVe3xdPu0WzwB
EFuAmB9nKpRqrgeJXk0I2PepiMfwizYcmhbF/JWqwvJJd2FDvLaR5AMfSCxslOZhB/oykKj4+sOX
a3r7lhJja59/28rmSV19my4ODlBGkQPWGU/G6ecXRzkjjMzAeaPo7AKYuT1xU+DyY40ufvcsYmuQ
1lWE6XcPjrF1fADzbv/+5Q1+YWAWOSlSH8paDgNqaLuWD8DfS9ai1CaizKbkZBROWSMTLdt39UrQ
9h1t3hrb7GoqlAQOWMB0ZhwOb/cmUFSkK4DDAf3afl9s7u62PNHPSkg8fe1aXIqeJvjpv9dstut6
L8xDz2fFqR3gMPx+w3uEiAYadzYP8c7Kfz+/Jo93WwfIjpMt5ORPbfo/zM/RogyXs0IXYujtC7e/
nx4Arv6g0OH+XAOVaIUrXrR4yODBhrgf71OA32dT3Y9ZxXEBjtQIKMTDQKG/XRvD4/bs6b/cNYK7
pbm9NDabWyjOhN44SIJzEI1oq9D4weZeV9x2ugPmvoO1w4kyka6D/u16z6Vt5NVuE4vOAanDHWtS
+/TLbtbebNOx9MMKgDdIb01aVOw8AsW+UCUFJ2QAes/f5kdBUuhNkA9td795bQ3/QS31OypExGmd
SD/fHuNShAgAHjqNIGup4QuuhxgrTSIULS86ofxRDO9D9pgw78OaDvwCUBVviAszszEyAiR85ErA
6fUynZo+bY8hkEwF+Xj0iI/9IBKyZ07gm9/TGqTSYPMLzIEwuqaDzKhBNeD2sBe9B5gNoEa5SR5q
5j25zxcsPyiiw74x93Fnyc0GKvDobJBXau7LhmTI1Wp4NmJ5r+dX4QtOy1RfcmpdlU3hg3XtNDXa
yM6137eHJCz6EWpSkBqYRErnaD8oQjN5ksBUZlSGQpjzaI4CjTdvBxNqOGc00355Ux0lJpBo/G2k
JHoEt2ByRLdwoIPrzLn9PUuVBtSBQVM0iegBITN978WN5SaMxnk+XEs/dPRQ7jOCcjstn+Ndspe2
vkwburZj+aWb7NLm7HpWJWRVa0hH4wgSkP1QcBCBYbQ/m3AzYn2SvVEX1LAnTsqT/rQy4KUFQDMQ
YCVAIQHWOjsuqlqcGAhw3jLnPNZMIX5R/QcBLD59ahSuHvY5VQsL4RcD715LkC/esZfWZ3esGLRj
JqrDNPSDXh61Z4VFSy5RQ/obdGD2ylh/gndxXCAdOOF3kbueZ+hGsBNzTCCLToI2lXpTWF5JU1/R
o7BFv7aq96Fe+5+3jS7e5ZdGZzFQEwxplSO8Rcz+9OIeALEih/uKbL664/H4nO33Ar2jtk2f1o6L
BbdCLz9q94jfIVEvz3ZxVIRuKFeJ5PC/QR7SdVajg0qmZ6zbA1yI8a7MzHZMJnpxVPc5DgtpzK0x
VDGnTBDSwRXrteBgOuFmtw4g14hkIdYMttH5k92To1wa20JykIskE4Xkg3W0aEl8cgbOdGVrTNvu
yhguN1jDvpjEA5ChvD4KopGFdqTkdQ60EDzdbzCwpvMb4/b0/ayoTGYgPgN9xek6nfeJdZKaSqWn
tk5/H91xumAnB2TGv8CmZQVUOjzXhqhXutaeVob3ra7wY3wXhmd7TwqkMAXTTOd48p1b7phzvRGS
TeCbQJu29bvC/0oG6lN5j2aYzIx880N7j0UjwfNcg05ORSBb+1DowaFwhmYTBc/gjYh5Gu99q3RJ
1aJrotJRXGAM7zG7z2La7jWHC5/VhPp64pEyvu9zSypoFYCty87PcnEswYgPXdyBIaGdvhfgJqk0
0+PxzhXtHO232wDgzHCfcHrH6wmNUD8kKZB3kmp0AqAifE2iu37qqj+Am56gYQeF8Jp5BssI8gKi
4R/Ej7BabTmfttKtqZwu1ItbQ3MDFIpVpXUkNNo/VQUVavDD7jlw7eFjlJPEGJVvqA+3XefHNf3t
OSIP0OrEbKXO743IH1plWkDO9O8V5Kpcj6wxza3ZmJ1ebYbCe5nDxk600JWW7/i1Pf3jUJ6NYnYB
9X0+qIWHbQb2bj29rwEjeIrgIqTYue+3J+wnDmZma+by3VCkUstNtgia+KTMFmJDOt25JCccLcxu
x9Gzlqy0ES5OIeApeANPLPzzZEIyyEVVsxGM1lVjNi5E3AYu6o2s25QJ0EB93T+lPrvGJPWz0jcN
FsUM9CDjGAPO6dopkyxMlLTF0oXhGzuij4xHl8pdGnATzhfVNgGEkL0l/wr4ff7F3peqDp51IjYr
weSPM3v2GbM5B55xSNk07KZKfGoyKFGXGLJrBKjnFPeJIpi3F/m7YPpjM16Me7YZQykbxb7GfIuF
WftE0lCzDcJNKer1J2QwlBGM6hkY2ah8VAMj2USKnX1yX22n+3hiG+wvDgi/7Pn2V62uxix4r/yg
yZQgnlwvi+2oeZA46n94+aMGgQ4ibpqXDrotmJKUVLIeMbtgWDkuftbZsBIQhZ5CPSgZoL567RAp
n1RNkkudU8m7QEaO+JgeNYHWGY7cV8lNSW9LKYk3hQSyebRyhER74ILnXjAHFSe70aMpRUIut4Mw
uiV0B1ncSKsYmKWjdLoHJ35JBOHz7P+A6pjIpzI+siTyNuyxgPIpFTdybXm9FQfbSHqrtKMknFcW
aOm6BzXBxGAhKCxePtezI+BVWTFy3UPOYM8FD9XY0xGy3UIRHEPhrZdZUO1sS97k3NBgoJcma29l
s4JInT8F0HwIwnYVPXQcHl943s58N2JcpZIaND+9iNYLPEQNifqKh6WVWVAeayhQZIMNBV00Q7oP
QD3p8iEFzAOFe/xze0Km4+FiG/34lNl8MIB7AWU/sg4LuLkQdSRi7wCydpOVMc/fAHND3HRBXFye
AqgR2oiBoRLMgwH3q3ePapETcM4ZUimZdUKTndDUILF5G5p05bSYnU4/jM+CPC8YWzGrWNaps8fs
3U3OI7sNWjvgdK42ZWYluTa7Cn5Ym5z/Yqgcy6g1M2B5IxRz5EcIYEFHBBKK5X0SrfVcrM7rbLu7
scb2mYT2yHTDGl5lFqydNrQHEU5Ia5z+tmT0q7QX36s1dxvgLUB4wMngMPl+8F8OMSgHBRrWYKYF
Rly1oFdhhpCiBH0+kJHcxxrzzOIoJ6ohHBVQIgEE83pKm5AFZykg8k4oGlJMpdoON5pgF8MRQaQf
/640q8SNy7mft7fHvPL7vZa4XlmkDcESA2ztteExKpTQHdAWJjS++yQ3Q2f1PCpqWerxREj84W0I
2uSJUYVww7HKYGd82NG8LTJdLeMSvfDjIeKSzqoUMTvFQKvdjxmfGTgg3vMhzOzb37u0nVEOR5+R
AJEr6Itff26fsH4Wu/jcoDIb3Ik+Z2W6oK6Jns2TZt/TMsUbwJHILI+2/2s7betWHYoaoOssdVSL
aHgEh+YxOclG+KuzarB/M4Zk7BUz2EhWpycb1ixQMAP16CnStQ243BG1Byazcpp9v9bmfnn5XXM/
yTjeFQR8l8J/yUlst2ZdBUaP5I7nvSkdHjNCSv91hv7XZ//f3ld2/Ofvr/7xP/jzZ5YPJZTi6tkf
//F/GsiHvsfBe/oX0pRf781fst9/OdfvdVDVwWf1P9Mv+9+//I/rP+J3/cuW/l6/X/3BSOugHk7N
Vzk8fFVNXH9/Bb5q+jf/X3/4l6/v3/I45F9//+tn1qT19Nu8IEv/+q8fbX79/a/fnYD/dfn7//XD
u/cEf+/4Hr83P/79r/eqxl8VxL8BKzixGgABiWQx3LL7+udPuL9xyBsDkaJI6Lqf0hNpVtb+3/+q
/g2MS3jUALmpIgCYBJeqrJl+wv9N0zTwTCGWRq/y1Lfx139/1tVi/LE4f0mb5JgFaV3h98IV/3AJ
BOPodJ7IUyQe0fnEUTlzVb5wkyxThr0WJLXOhagU+0hGkZ4LMtLmQw0q9QHidsJaF8fka9eGkTRH
BhfJKOBh1LlhTYvkcEi6cp/yTUhbOZSpwPCpXfG4729v++uoZhojTAGJPyVYp76R2S3exoU/NF2K
RKarxRQEsbLZS/Ka3P2M4+PbDNr3AGGUUAsQsdrXUxl4ldewcdHsVZmpCFuqvlmxUuwog9xu64Dt
TCmKOd6oy141aj4sItLLoh+juUnr3gNIcxqdWMkysGdFaTEj7yKhDmnIjPCjwt8XQsOGlMv68Fcu
CGbB+woKDvUA1Fw7VM9RW3S/2sBnXhVGwLtuLDQJkldhe9eWTOYRrfeHhzDh0brWdMVr7XHKzvP7
D6kK2VOZpp3Og77ZI4PLIvx2haR/00aOyf7ztRDQvDfhTQTQvMxpy3muSnjoZdX7Ikgze2SC0XCb
PqG3V/z6oP9eCjB5TgUC/Pf/MndmvZEb2Zf/QsMG9+VlHshcmJJKtboWvxDlss19D5JBfvr5Ufbg
r6RyRKifBg00Gi533YxgxI27nHsOmu+bT2Fnqhn3k4sm95J8ZVjXGB6TdmrOhh31O07VuXG6VjZt
e31QGFzeKtX0QyxTq4n6h2hOT+2sBnpcHtrIOGVzUAy/4uzU6Jbv5Wiwo7IwW91pGMW5n1XfFQPP
4Ad9+Jmr2SVt679ihfLM5J5L773RS3/SH63eC/KCGtRkHKzyq2uVh6GFRGYZg8l40LoPyIWqPBz9
p0jN/ET93Uy/ZeNdv+JHAmWBDt4h8Mn1Y2Z0RNLDCWZnP1vOWgI7nf2tj95n9fwxh3nUix6gXfFl
9nG2/4rE13kBcJ9+wimdCu0uGsug0R5L1Dkm2iFufNTHif/50zGK926jE1Z96rJuZ3M33AT/fkjg
soQYTJUAVLq+U0NaVSPNyf6hTlINCazqZLuVesry6q8UXFAw51r6YMfLz7KtlbOzeN0hEWPyRcvz
x7Rq1NPaVziUSWTf113JbAjBXuXNxrm06yQoR+Yps15NP0QZMA4kXe6lkhZHkRhGoPWSwZlJ+7No
LEGCbI33Xj06ZHw9905ptUPXFtVnI7ebSy7Tic9TzWe9avZk1zYQlH83gZQV3T0KXcjcXW9Cnulq
kw22eLB61zg4UQri3LbmuwV8RmBWxvi3N0n8tlPATTqWxve4r/RLZUjVjyfPDsbIhqkPoueD1QEK
UhgZ8AEDeUFlZUMQ4WFCGfX8zUNeHk0z3/uKm3j4nwUAZVtryHBaINB+vQBlSKyEuQ7xgKKTGWQo
nAV97Nln0czmsXcnCHbcOUe1WiKSrQ3fnEyfz697hBvPDeEp/pmXZsXubw7SVJmjmuv58KC4VCMj
T8nulXyxzjSe9uTLb5riPdVxPGSw23egMpO27ZcBwJ5dkqQaCSLmLSICyTAmO/dj07n/Z2cJvmEJ
gGePZHl1Ts8yDVUTLrly0z8UjSoeS7ekgAVXw8dpFNM9m2H4ebJAnzF1+UOiMZDdDJ3pO0lrvZ+H
2j7FfdY/LnOyV+/b9BDXH4aGPC8hBP/8N7iX6x8WO/Ap967WPsRdpFP4tSdqGLBv+1nfuIwrGcPB
iV038ITxPWpT4wDgIaL0Mk2nSlvss11MS6gosAEWy6g+xtas77wRLyMftJt4qIGnMX0J7fP1LzSj
OLH12WgeELasP5VVB8Arl8WdvXTV2ZmT/AINi/2gGbuiyC9ejBVoyUFcYwSTyZxNBtzGqjY4SbXS
m/Tu0Znz5hAPbvTWl5aOF81rAh8E1YlLNlFPM3rkWTIz70u1kye1BG+cOdUeZduLl5aZSrRHV/Vy
8IzaVszVRtphKeZxuS9n7Ww0XRcOi6r5BK/tQZms09MtflMu8S791dV9/be4ThOuE5D//b75q/os
ur/+Eu9+Ntt/8yrd+P8jv1gr0//v9CJI0pVO+p9MZU1H1n/9n+xCse3/8CqQDzB9iSv6J7NQaAz+
B3ImXgzGvwwAxPwf/k0tFM35D39iQLphQXXKID9H49/kQrHs//AvkxozLaLBLetqb8kurl0hFcyV
mhHRWNDSgO/VrW6F4RRGpmhyue9nqRrgt9DYG37Xq7KGCz/O9ugZrgtZT6k2FK6E+GAXUObZ5hTm
3JTt4uVo057ev/eC82O3L4x47TZe2thcq0jHjWZ14d7l0XRo6rNTotqHBIitN76jAwQyyoPnhp7z
WavzQEXkWpFWEDHVLYAtG+ZdXnr+0Aw7L8HO0rf+lrjTGumquHfgJqANFP6jDl3cszP3b+74PFfU
1kDjf3K2F2vfjr/O9v/d3/748fu7Lx+yw4cl+KHuzoPtLWbjIL15NBvb4jvm/vffAYA8RP4e5G19
719byiamSqUVlxHzSHeOD1Xop28Pj593p6E2cc/L/dq8zq3ZFbM1s457KKcP4E1ZSHnY+yzXz8ma
ROlrPQsuWxy9rj31uJ/FAE0cLbL0HHGuHXM6ZrJ1L22sODstrM1VfrKCePaqNK25zDxsAqhGiXRZ
eK2ATssZfsg5FV8nbxI+sj97Q2u4puffBhVlqPOeECqOywSws/n8+WxmS25bZdgS+Z8WdbJ9axyI
onS9uit1J92JDTf1OlDVGFx3EQA7rUmAFdehQKRkLSTxOgYR2fH1zrSPZtXZQW3lDoGJO6PBO1hn
kSXeEY0D596yuibstcllNiNuT3Eupp9No9K1F5pGSN2s4jRpKpEkTuVyUGSUfVLs0vV7q/TeOVEM
WV6Z1mHcNS7t8VGsDL0wnXhaea9keXskgiAkGtr2lE259WjnhhbMTon+zVj++6he1eeeX+vt+dH5
qERBxGoMRdJ22VyFWpROWQ5g9Y0mUeFCLgqwDtN4et15vLACswW7vJKUoT7FtMH1Hs+KZUS5urSn
2S71YLKi8cScRbdjZXtKV30Q1gJnFsEV9PuboG7plFy35tI8CeF1Xxu3Uu6K1po+D4xJha8v6IYp
qMkNUEtMOwJu2kS4es6oSJJH5mmOneqQY5mhRzEcmdMfPr3dFE85A9QI+3FSN6uqy9mt4VsyT4sW
W0wiWtnBXCpAKnri7fj4F58Jusi13kgwgfyvtb0KmV4tDYQd9gmgjnVc3GY6iIKpnNcXtBban3lf
BNNX1T4ijPUooA+5KcRH/UBhePKG0Ik0/e+q0ZYk6CAC+7uIPHzY0jvNZ68fveLwut3N472mz5gG
PEoLmGrslt1N1RO1FeYYneM4rk3fHovue2HlU36q1DT9Jiyn+5ESU7XM2fT6nqjy1q/hZwi5kKMm
VMPlbP1aWepJM5o9mkO52sbBEteaFaKnvvIJdbn6SYd7bo/wfbvTNGV0hJzJfW2COihmrq+dW8qu
FJUC33Bbp6HOSNL3xp5KyIUc435xl/pIJVzsXI0XRqlzu4gp2FCRQKi5bSNndSudJamaUMjagTpJ
jE5yUsdxcY9K3NlaYESx8iNuaRO98fiuFXaPKi+TtIBNjC3w2yqjpTQstw6pxYBPVq36XUvpaKdd
u736T1Y80sa1jQQbxea9QOMzJj+M6rAVfYlYNBP4dmGJU97LPQadl6YczimFTG/NsMgar7/f4NaR
zHUhw0k1C/rBRnLvGmUaVMNU7ExcbK8+HwsXY6ErQcK+agRcm1oGRdSJZc+hGkXdoxUV3VltPLkT
ed2yQsnffmqHUIDYLEhxPTV2yn4OtRKuSjGlXai01R+v3/MbRqiGABGHKI60dBsSTcswRW6RT6FI
h5EntGY6Cg0k8efrZl6ec2yQZni4TF7RNY96Xn2pqVe1plZMocItfN9LF1TEWI10mdPsE5CuJSDv
mX+9bnT9S5/7Tj4TBD+rtsvKFQWS99qoZhVNjISZhGzOjD/auVCOmpF3flaW7aH1pvwgGqEf3Syy
L8JI93SybhxIR6PLAYkS5S3u+LX53MCxJdR+w95KlWPUpOgxTgkqT0Vrj7+9vtQbnxFaVYywUITZ
n6pfzyJbkpqyqEZtCuEmz0GMFeg1erGa7tGH3FoTs32YQJED5arNmqKmN7LM8OZQzmb1kx11evQF
eyrONcbqy+ur2rRhCbY4k7TwoIRaU2KO0PUW9ukgUsrmSgiVnuGeksJu3Q8rm+3XKlaUR7h/y/5H
VnruF06x+4nKlOEe20SF9r0eCi/b8WabWt36e6C/ZMhR5RchtrINAGNpZ2Y2qWoYsw+jr6cSyUHF
qZzipC8JSq6tmK3+mOpEpgeOhqqBhLVH5h4zvXHOeSRFdSosR0GVXFmy4pBkQvmqxen8QZcVZJpv
3j8LdgKiEzAPYEqfUAnPjoW0nYzhl2UOM0dz/qwiBYqGtFrKQLes+N2k03LxSrd/pyl6+yAjkXys
06l5FKYjj6//lBcOgJ1DL8A0IBBaz87GAThiQCy0bOdwNtrI1yvPDLRpTM9Q5nXfo9FMHyq2Yef8
3DIKlRoMZji4lVpnc3zarnGmltPqWQMJBolE5WczMlYeyzzWji6PQpqxtROzvbgkrPW52U2asAyL
kHqlzHRoMwG+N3NlEOd9zeyxVvXLzkN+0xqAFpt4jRNpbZ6JZsplN9LkCKsxHS8OfWkYKfrWQSBH
V/cuwE1jRNdA0AlW+KLXO5poRrI4vZzDpRYdAjVJMZx1YUQfjNRdGxZqFVLjPDWNk39T46l5b0r7
GFdGHlDchxBRjuk7jVyjCJQiFnr4+iF7ETay8QQbq2Ylvoni1vWvU1KHMriaqeFsCitIqn7+Ugwx
jF+KEB1F/mIv3bh1wAihVroYEgFt29GMnCx11alUQ6tgrDkvK+9da/T1b43ZxsehM8xzPe3Cwm4a
daE7IMxRyd02TlEtjFGxEn2BJXAq0IPLzO5ojXr7ufRm5UMyivnvrKkN5+2nmloDdRO+PlCdbW9N
tpBrI1WohunkNSZ8ll6vHItodP+0+bbfXv+SN9ZIBkwOQBVlLc2v790zx6VILypyBxhUkqsKh0gA
yrJSe3ickr468jsGP2qGt4nwPLl3JlkR8QJsgRzdE97ymVV7NOrC6OwlVKmqoSShmW0bqFPmxDve
8MVzvQp00kvhAaDPx6z89fLchLZpQbU3LDOVzrZp5GEh1T1ho1tW4N0C0r3mUDD1XFtR28iRmqi1
UCxdPR4gTKjUA68sLKWvf61tuXN9F9eBWA4GXZo1Drm2VNkw0Ue5ooW6MTjD0dAqtT9MbeIR10Vp
qRycckp/q710RiwD7UTIFTu9jwMl6ZwkEFOhOr7aWHkapm5qdTs/79Y+kBtQKDOIuXi5r39d5EVV
k0LJHmaFCz1eneVWfwJPsuyVBG54RzLH/zG0eeTIL4uIPplGd05WCCFULYLMjWyLT1rXUtR/fdfX
n30V3uKHKQ+pZCDQSNHzv15W24qhnvIK56MoThAnhvLNzoR+6aUsP5dW77xPO707eKVhpDum14Vs
TbMa5BrX2e8XLmiOpnwuHHzBXHrVF8tdhBp0KMR84lkwUX0QnvoQK9F8BysM8zlj0bwNqfR0VU2L
oottw2dCzLvZakevh9azezW0y6yofc5bPzHu0zfezjzGjcMDv9MTHIqsEu93vcvVXCx5lQsnhPvE
PBRFIw/9LMq3v1zkKlThcLD0grbw0N4YJuEh+xVGlmLTiykniVT3lJa/cERJHvRLZH5//fjcOKwO
iQlXdmV6gvnoemF6XidNmxSMMyiTc+hipz8agI3vhOijnUwWct6XB4YnEv0F3CtBirr6+2eelbqx
VapLZoelKvI/da9WvuWSR/kkNNF+VNTYtB81tTMqYAaNyACve13n51K3fokYPOBJz4XNlCA5o3W0
Uzf/CusA2NgeT1pfUlAQnS+KLnGPY2aIr1WVdgOcf5HO2O9oZkWgVkv0uda14hszneWjmsi+/W7A
6GuEXq7J96XtTMyu9hRKDiOlEfucxE3UnJQiA+Ey64o53Sd5K9xgMeGgCrxxhiDOckvtz64bxd+F
UNr6IdEtBUGoSc+/tlAfKnxI4TjHtOjrT9Ywmg5NfUVd/KbvnfHI/Jn5a/RcdK5QbxFwR1caWzLN
ivd98EoHGVJTgjHJrVFxT5ITMgWAkmQXlLkRvaeRMdafMphCooNjjN7iK1RxrJORtYwrmaRFml+2
rg7LemXK3zXB3PD7LB26d+NkMWtvJ1b3O/QNDr/Y0ZSffVSr7mUu02lGSsSav4qxGb40omLyx0AK
8IuRZspfc6ebvxLSoO6sFcry0faKRg9ymTWGv0S6Nx+inFyHOFtaxsdCs7v4MM569LFLVQXOKzO2
P0WNlam+VsXRr6QSqDqPWUTWoUajE7Km8bd6GKzovT3EeFELjFp7LAAlPQ6V1kAOTJlHBp0xKd1x
sqry90nlSTobvVv8JidLy49ROw1/mihjxuHA3wFXg9YnWmBFqvXLjbWJ9bQNqIKkFDCKOotsE0jc
csr5tjnoTC0M/KBTX8ZueyJdyoqPKvMNA9xgraZTC5X9ELiFoUYXpczmMRC6OukQ9I1A12KGtMK8
a2oVgLdXR0wZliCG4nZSQTGOucFUUbxOGWkaKsy5043lnas0kEqXg/xFKLVcZicH2VlpOiMOFghH
49S5MvojdtX6D9MQpXaqu6FQAydSlepYz67yXQFd0B/gg+o+NjynvKaDys/gnKGdq4pJ9S3FmHpO
iKQ9NBXw5BxjHou//9eYSyBRWWvwjPTrXz3bnefHc9rssYHeiM7JGGAIohcAY+C2qEue4mqF0Ex6
R0L8XuZx9cHwIgXqPggfK7+D+mnYSQBvPJE8DUAowfuvpbSN886MxmuVqDdDczK6xO8AnebHXMrk
Oyw60+DHVleFnWLEhJOjiHbz7zUU37yTEJYTgJGNwNazTUCtumtmTWMatdSXFq24eYHxOWlLZEK0
pL1fpqr5FLfx8LcpjKn0bQZaPtZjYdeH1339jUcM8MyqTAvAAaKCTcpQGkpUTSrYQwGR8GNHIfBQ
FsUexupG0E4jic4Yy12bPZsoUM6DgJm01EO9V8Ya8tO54PV31aFcfJVXtAgG5qb+SJwZ0MrrC7x1
tpDyWIkJKJTq21qpOdQx4YKjh3ORAfqsUms+94a6fLIa1znL3v7xur2XS7VVeIJpU6zMKUyAbd6z
JqoULZmscIlKkfvJqKhpgCaWrTykppniintrkadkUeK9fP+laWrcAFhAElGJgnHk2jRILS1tFZld
mry3l2DUtLn0s2GMGHGunWo4DgA+Jl9PEm9vIGnbpifApwZHlLLKTpGaba+wmBPbnO2svNjoi8Th
aLsJVG7gk1vfiAmzj8KkFOV3Stob4ewOxnQvxWJI31SrKn9z4YOASX8avqMWiVu53ohcSVtDFml+
aTuUNn2v77z7udesu7FL3Z+vf++X5wtbfG6qC5wxiLWvbTWx1cJ7gVhc5RrDMTHS/Eh/eHiXmJN3
stwx2VnbjY+8dhXXSiPV6xftt6m02zKiPRamuZ1CX9fBNx1Nw7ERjjwbGQiytM/3OmAvgzR4t9Di
ZUs52rQ3rxdpqBLYBNMXIW9V8UjoAq3sbC/HeFDVnfW9dEjOSptCZ9GGLY55g2tTHYhCR4DYDmur
0U+KOeR3Ipv3etw3vhp/ta6zg5x5OD6vrWjRQprQDGCM1Ezh0YyUz9Dnjsd0YsQgWbRkpy+0wR+v
WQmqAipXcAUS8sSty34W5mZyMSZJvkZ9WIfCwEhcnB6VDKO9l1MLBVhbTfZlEnlfBpMWRdE5S7Tk
fT91zodUMWu4xidJOy6LOuULem19fNB6oyzeZbpZWcwapMtw7kFZf8xUMUaPTjWbP0Q0e78tMcHf
6fVDf+s8MASCR2U4Czq2zQUbrD73lih3Q1QDOi9IatOsTtR4kw/tYgjr+GZr0FkTXwOSJAHajgKm
s07obokolMzoacBDojY5gpVzHH+OLZnvPIk3Fgdz73rO4UZ1oby9/lRK78LWpuRR2LQDUzxuVZXw
sBpt98UsynpPburGeWc4iVPB7CHzQ0+4mmcHo521TnESLQpF2RO+x6P9Y7DL7sPrW3jTCqd9BR5x
Erflfq/DQlHMUVjbSkKwlxvZ8Jsqceg7hl7GVWDrVyiru/ZbKTtfb17umGNrm00ULk7qLAfSEZ3o
2u2DjplxiFEjezo2rkweEMot94oPt74c333tqHHJKH9cGy/4I2Xs9ShUFZF+ocIg9O+Q91e/6Upn
Nl9e39JbxkBArBQywGVY7rWxuHcZDJCjEiqdUHxUWLzMr9tWvYyal+7ctxvuigkv6hm0lzmZW3e1
yKXKTW1WwrjwykMxCnFQY306MYb3x8z12PHBN94YWtcmoFNtLbVufbClCiG9UlNCE3TMe12Ft9te
7OKhz5EIq5pRuXRauUcW9rJyBFKNLj1xBCgLkNDX+8nEiZAECQo+pWRIPmbQNAryVuut42D3MjnY
5WR7vpFW009Fj9wz1DGzuTNYfWvlIC7A7Do6o4Hbjc4raZeWPSghBdJSC5M6AjQ2xhaQeqMYZ/Ww
eHHcB240d59fP063biipAG871R5opTbHiauYjENfKmHRLvZ9mS1KEFMu2FnfLSvEwnQpwSBia+O4
e4Vxl86t+bL5nDj+ROPPOFSD1zs7hm6dWMAjtEDgQQCrtIkY7NEz83VuKCwcqlaZJ5rAS8c/GSmL
gy4u90jzb11GMCQAIgBw8r5uzAkvzYqG0TIwK715MI26P0pHIGGXjf/F5Vi79kTYQNZWvP71OXUt
Wur6UEThkAugYwMDYR/VpIS/Ni+HEsSw2bC8rPW8tzsBZrZBYhDQolC0pelZao6+WFjjEAkR0rYt
4F5e7N8KBj8DirrV8fUTeWNP14o9ekj0ImhGbE6kVVC8Z2LdDQvNkr4eadlhThie6ue+36ka3ziW
zHnjaYCz8Z8txQzggcrQitYLm8xKHwu9Su4Ge9yVWFpzr+uke03MyLpXfA5YwM3LbisjTMSW8MK+
WMTil0KH62nQE3M5MrLZIfuqlGl7kS2TTpcy7kfGWSojhaq4lPOeUsKt7V05dVbMC/X6bWIaA42Y
GCYnIswLee/2mTjGrRb/5cGkfXj9S95AS7BwirlckVWsbHsbFcNLaxThvdBV1ObOpJp2krOeJf7o
lc19ISJU0eMBKGE/jn4DYuZbZyzx2cnaZafgeyM+ILDiEzNCRhPvCUfxLNwpqGCVnVwDkb7JaYy6
dXOuh268iymYBqkSF8e0Q56RgpjS7mzDrR2nz0N6sV5c3rbrm5uCNIPxE9s0l7rsYbIlcDCXb+1c
bEXKPWbv2+Y8nhMwk9R6No2I1EiboTIswlbFay6JLQ33QJ4wfZia2Yp3btCGF+gpwUD9glAS0gx0
GrajWBljzyZCJVEIoX9pBh41l/Yuj4fom5nnY+3TjWaCtas7isxJkbkQJxluo17s2R6+J+jzoXs+
FHbsuzLNNHy0BrmhKgbnbqbXgzRWNLXR8fVzeeORWLMIIihuI2w1m1rJFC3e5I4cy8UBn65JqfjE
i4YfAZaBWEv1djbplj2I6gizgZswSLl5/aoojaW6JFHoZV33V+MZ6Q81z+sfQPSK+VBlo7XHSvby
uK9aIFSdGCzAjT59tWfH3eFqWYlWuiE1W8pNjBKlXyIralUoM4RoDmTWTXUEAmR+Xvre03cW/NKv
gjb5B2DJY4yJ6xOfANQdVnmCEGI096wkRXUZhCl3rLw86FgBvk0rmbydGtu1lb4Aj5rXPVaQsjxp
y2jCRAO0GoSiPL9+Ym4uaO2NEykxFmqvf/5sP5O5HhJgxU5YROBYPOD8YaOPe6zENxfkqOswGDU8
dctlCjJVXfrZdsLE6VCj9bQ26EbVuDhK9/bAhb0jIiPmZPhUtzc+STdiK5XNRHeDByhgLns+Nl4C
ZdRc78mC31wVJV6GJld9+G3sV5XEvBSAnXBJ5DfNjCZw01N/dvNm2nHyL+8Zk28rXJrAj7rRFkGc
WkANF1s6QLpqcUm1ymV2MkcDyKt0ZreMvQLBDXsrOQXoXvaSCugmdYgSg5FxWiNhVdvqXa1Gud8W
S3+sjH4MNHt6ux9xVxjIuo2wKFNWvT6FVY4gBQAuN6TTp34Y6HJ/JJVqoS8oR+uXGtWZvpNW3/h2
GjtKl3T9RviUa4vxJLp8UBo3TJQB/qN6qn2a985hbubmza+ku5boScSI/oDkbp4tR9RCKKAlw6Va
3LvEEv2Brpc8VGY17pi6cZspGzKRsQYDJH6b25x7rWEL3p7QGCnTiq7PD7JTpp1s9tbpeG5l3dtn
PsPQMsC8c++G8MCAwPT0mTbnPH6Z3VSEsrT39OVu2qOVjQAjJW1e9Gt7E4HMTAObb1UjFmZWtQcb
hJz9WNbVyTQz9e1lD74YTSTor4HecTSvDSru6FDkq93QGaP46PTecLKB4tHYk3vDHy+TdDpm3DOq
A4hWvxhtGaysJy6o2MtO1QPR0BjLTU5kXi55sEyGGjYuDfeWctfByjr9z9fd/4ala41ysM940sp+
QttuW3QR9ZInhs3eTk5mNtCrxflfXrsM5iFPXQfpTt3u6w9zm3fT2e10pyUQMvrPpa33dw0dAxrs
U5KVO+f4xivPlC6ZxRp7ER1vvnjVzdnQScOhFGTNDTzqtfYu6yLn5zC0/RTQafd63zXG4W+thaN3
x/p6S66zGgK+J9UBql7wDW68Xwk+2m49oii7U/qDLGgLoLuuXF7f+lseiDhthaetUea2TpnEjilT
ZeGQ5e382A1VdsxGQFuubH69bukp7NssiBkjGMbWASOekU08IVDLWai5uCEoj/H9VNEiDTQrdu1A
QqT/w6z6DN5NL54uqkr+62kTDW6h7HWRbuzrSm2wwsLIGDlx19dqMCBsiurZCysvyR+HvBn9ca7e
jM+3XX0FzBP+8elA+Fxb6Wwz15Fr98KoytLoqWAxBcnsimInSntZ2sIQpNeEM2zti9GUpIxXKElM
uyhR6+hQ9IrRHiCQy78WRWSnd1NWtO8MDYbZnfN5wx/SYKbPQiYE8nZLHTV3gA2quuB8Quf2INjt
O+kk8Tsz7gRqT669EyPePD8aLxeoPnbV3uaYTq0TI+YahQvTGH/kbtS8s3vIqCODcn4yRfJopcSo
DKZ65z7PytOkib3Dc2vRFE8pj0AMRlV/4xKkKZalT2ljDZ2V/5BZDX+g7ZSZ5zcVVEhH/sGSH1+/
ODeuKCE45dqV7owHYfNyk/tPRunx0LnCGYJuSeDbrL3mlHXznvTuDY8HchSYHa+3QYFovTvP3lRV
nWRlzSQW9oDES6AQGP8YlqK/SGAclZ8ssfYByInr+DV4XRm+faHPrW8ePMOCv3OwEl5YYBxoDnsm
VHH1YvlJacV7/Je33AAZI9gU0LjU4DcXVKf5aAKfdkNFn+rH1MynB8D6+k7IfOvbkUNR2lvnSHB7
mw3NTdVuhhn3CrvV0TSgFZbzSjTeNm8jNXl6QzGxZsA4N8SEN7EkSnHLohZEXdGQtZc8WtKDWxlv
Iyn7x8rKiwF3D53cf3B/z06IENmkmlVuh0lRJuclL+vDkrbNzpG/MXezTtus5XoQ73SmN/eMmrJs
Fru0w7otGqbutP7TbCiezwWPeQZzO2iiOTk3ukwPfQNzlQJI9wG8HH1Ec1AOqjJpvuO03WOZxbUf
LZm182U3V8VeOdTwA9xJ0C/UizfbrXlK0w92Rx7UDyIYFM0LekurL0OmKSekLMWdJK/+2BbaG8MS
LAPGZxx/BZPb63t6fabgBqQoqGrzJS0LCgwRHSrv72Xuh+Sc51DOHJKya8ujNeaIUplFbu6BizZP
zr8/gJ9BJ3Dl8NzkSS0sl2riKPMlorqnfmkHWPneAZa1zynTfY9OPvXv56aOv7/uHja+dzWL+wfa
x2WltbqtrKY9TCFLbiyXeKqrQHXy9KCakm6HVTinebLfmMOv9pjQXZEvK7QJNMH1PjOOkLSQI6mX
xGQEIS1z60h4/JcYh71U5saGPre0BRdJyBvgyTPUiwDfzYSSB9qwHdsTz2t6AtdTniw5tzvv6cYB
/rM87haJBfk1ecb18kBfMO2dsDw9SpJgomx4NwI+3Ykvb1hh5wgRCOxp8W9r8209LvOUaM5FtFUW
MhIU3y9qtUfxso0N1sUwVcHHoOxCo22b3YoKst2S8dCLsBd5qbIu/TAQofxoR69ufEMXmoEOZDG8
Q0ITJKzetfW5F8O0s9oN6RhT3UxJMVpLePs0yL8N+yi6WLSsUvcSiZQnKzUT92SWuvnTbGf7c27O
xu+NZRXvOgAW79I0dk99rEMA5nRW8ns8VjI6Tmtlz686U/v55vuDXBOxGlHpCmLbeCzFTnVXDgpV
8Shqg8bSm5P0PHlfqd18r46VFbxu78anB/65Fr/Q01mr19cHzC5o+NaGdC5qygHTei2/n0s93vHD
69/yLKt42nGkmPCHABMoyG+O8WCotvAiDphSGF7hk+VGMoBK2XgkIMu/dm1S3ZtWMz4Uso0/D3W0
x/R84/I+TeDywrvuOnZ5vUwRi0oVDZ88azv1Y+fIRPrCRLo0ggw4AZloe1/mOhq+vr67m8jiad08
9bzFK6MHZHLXZqGVy3QB7u2y6LY4AGOf/CaW8rNUprdxQ/9zqCHEo0lJ9WMV/742pbaZDYpYZ4uJ
CfxIZYKntxTNV4vee6Squhz+i6VR+aOhBBKJYsu1PTduWqnEpnNxSMx88OPtnQsN+6faG/eKOrfO
KDeBMAPqRXosm6XVEODkutnDL8M4TcB8nfZoUUX69PqCXh4RxLNAv4GoWnkqt5kvMqV6O2rSvVgM
A9xnWayczCVx2EVBcOOpdTDpnNrXjb48ILDJgCjk+jE0w6N5vYv24pZpPo7uRUc/za/apT0S0oAp
a0bt+N+YorK4jt9Ty9lEayJr2kidOvdSz+gD1bE0YEoGkFtm0Z7G7VNB4vq+r8uiG4GLXZEcm3O/
xGXvdCC4LsyLiHeupGLkQ27Wf+x1hd8GndisEBioQm/9WtTNdCrVvDIueQUe3jciFR6RRrGXn6aT
N6ofxXNs+H2dafTSspSZjM5dUDRI6KgVRzfPujsgmAoqHFGNlJGnpzMaykP3wx5xRgjqJO4wHoB+
tOqxbyvvl8t8y11fOa0BoLI2VZ/ir1IHDLM0xtFYKo+hgGbyfr3+BV6e4zXs53LSuV/xquufPwvL
zb5JEzvGG7SJE9Hxk8u7xiza969beRmBYYWgd61tUNXYfmfH6ZV5HWq5FKU1qkd6VHEBDthy7gt7
ZfFn673Gf93mrWNMW5cgbJ0NpadyvbLOTrzaMTLvokvJIy51SpWBk8xKgEJVuwNvefmYcGOAPpJB
ka3TCbg2pvTt1KZzal3EIurf25UIM5xaEOZ+N8W6c5A0ez9KW8oBiGLCGI42Nlp5en3FN74lAIKV
nZApNBUkwfWPKBZHYQasM4kGteVI17YMZKzJw+tW9CeC4M1NAjwAadLqIP4PZ+exHDcSpesnQgS8
2QJlSYkyLb9BSC0pE97bp58PundiVCCiEOw1u5WViTTH/IbxViubozhLH9iyr3Uf58Mnox/c6Nvc
Ven43SnjOHtUwYkN54T/SPfbqMaAiR5nXFBdCtFaMlEBqq4CZLR5HVHGikEYTC2KXjzyybkoMhJ3
6k4lgkGS9zCYu7KMH2MvpWSzOLVhgYnzcHQoVcS8rg3btX8LxHvWAxu7s5+lGVr2UdLd1wNNhrPi
W6mm5X47TjXdyDTMk7NA6aB/mLTJ6N7i5J1ob2j7y/GDVw7KRzuKS1g+ACDEo9UD9/Q9DMR/h7aD
cplZOs18qLooeR+aNtDJeYjaLpjjPIrPNCjLp9gekTtOe6HOJz2N7DemjRGlb6N5+m+RIDhlWqH2
zq0y523ND37UB0+TByHh5fhhPdTNYZ4pPRyULo6rV7UILRxi4iz6pLWamwRSD2tK+WmrPw2tNsdf
EFQVke/YggphARLYwzo4q8tv4JDc+kebFqG5RLCefLREnk9Ps6rEn5A4l+GhohpdnCxpeudez432
X8/oo3/SLsuSs20343BxBUa2b9WC/OXfPHaQRJkHpRQoBsCo5Jqc9X/GukFeqhm6GCW1seyKt3EV
dnOgjpYbfdebtNAfGreG2aGwMGhAZ7WOdLqV92C6TTWMrnSR5xpTHF0+mEXZuic7qbXpoa9UxGxz
eF+4kiIwPwSdmidUmB1QDF/tMrYf2lY3y4MCMl5DBlLGXxSrbnoK7vhgfUjnErkpt3GE8SaMaA8c
MSrIksCZisj9NAinG17NVTfYn2wDSt53kcBL9nWnbi9GrbP9vEp1ICTEeiheKW0oBp/zy9U9yzI0
H+s5MuOLyIp6vJYNZEU/HUJFO+j5ZEdoxc9Vc5pGLY+D1K0hu6mxZZSf+yZyhs9EQQ3e6pWufxeV
IZtHnAZUtmUjzSoYSYbhy1ZKNwajkzIggr7FGwSGyFlBsTjqSTqFWpwKu+vfjVlTyQMfIq8xmbS9
qOE4adiZtzWgRD9u5/RBLbJsDmYi9299EoWxX88xytVmihFEYoYL6kWo3g9vTkJw5cIeXxdZMqHI
jSBaFySwNX8gX4TgNWCduHzMXW/8CUQwyo7xUPLZrdAcjcdSOpZyddqFZZLGkYxOs02x45hKB20+
SlBpE7SWoqcBHn4tglWgyX7UGMkox0qDeumHYeOpQUb0mx2EXqvRIUc6PLtoWadBfYvDIvej0os/
FWPRPdoWbd4gdEM4dxZsJdR5rFJ7sEyCv4fS0/AjcWYnvJIQJ8MbIoLoNQ0KtTing92CrMbwXkW1
eeqcIzL+mXilau1gXNJUHf5JRSj/RfKqHXwzHWs9mAGBysMw9KIkaICjegjtuksIGsrUOnuqnF9P
tVs9smosepdOWu9XuoYr2eSquXacY6/G0B79oO7TqLa18xM8Smcf3aYzcaICAEWTrNYphEwW9Je4
IWk5jASY+U/wtbb276ir/acxavO3WqprHy3ZhOIcyTS6wsnDtnAq2sp4rLqqrs/8E8a1dyO2WIGu
nfB7NdRf/qKT+hO2wzCilLUGM4UzTMYR5s/VlG18stJ5OKmDIQNrLMZjLSvt7f1XZ+Nto2JFZ4T6
jUrvYFUPXfSWe3MYnGtSlNnTjLBI0HeOu5MTbsTbaLpBPqZEBzR+LY3vpQbPeO85Vy5172vRoqju
g+IJurlxT27Ua5eolv1/iFQoF1HIAULq8Jyu0xZuzbTuTPuaQrA8RaUirtMkYl/3YCnfX8aNQIxW
LTrqi7a5ZuqrgBs23pB7uepdPWiqnj8oSfJbMZTxKZ1d9Vp2rrVDit8osPxpfJP8gVNYSo+3Qcko
KhaRxtmVB1W87ubE+al4ifGZI+99GJFBPMCZ5wox3TAI7bn6Ek9VXO5ERn/U41Yhy4Ikh25IKE8L
cZXsxwiVihmGJwFHY/0r8UblNCruDDg/Q1EiGbwp8R23UX+pipO8jbO+xzDUm6I3KsKp33VttuYP
mUziEOplFkrCSVh7T0WUFZnvRFPcBI0nInHwlL7VfVUokXZqW80Jg1qLVQNtOeFx0WSxMR97mFOv
GqAw7qHsUm3wGztVWl/akzsE/RQNyas+5Z2nvTio1qUUQvsAMNcbLpqCTPIxFb3xHqhO+Lm2i+h9
W+epTr/bAuRMKCPb85TqzbtZA5bit8OgJX5Lrjf76VSZkz8kYaP5fWSO/9hJB9k5KU11PIAP1N54
o2Jj1Whl6fs+l5kN0sPOP/SddOghuyVPURsqNuEHrPsyqMes7n2nap3mkCGNngWtggC+jw+KaEl2
lOh9p2p94rulrDu0+gHSEpyM+TsL/cDyoEFkrsA4paP+No/tIj9I08gbP07c6SG32+p3BmPjdycK
/VpOnoiPg+iyb0lSJp4/8pw0gWpE3Q9a6MaHOouyH9R3w69dLep/3TTSp4e4i+ePWtFq+cFlqrUv
ZOe+SjrLmRBuV9JTKhPsXCGja6YvtKRM/TQDNfkxUxx7z3Ni4wrzyBBAgcCkAK+wyhGwaXRTpZbe
FSBxdjS6YjppRfFClDblHaTBuUvo+3HM+d23561V4ZnCHHKuXtl1H5IhJvrWDdAfhKnVHsp0I8fi
qlzqIECQuJ5X18mgdLZXR551zXNrRow7jRy/jHKCuSrVX6hissyM6j1kBYdriv776iaJS2G2Qk3t
q0KsG3QgWr/085LFu62c3ppUS6uAnaq+igwkCneyyY2Pt/jRgKcBnQ1vefX+GGovcCVB/q9y9OYg
JjsJEHDbK1JsjUJRfdHhMah+rzvVWZ+FSCPG7tXtGhwZk9G4LMj1nblsfTU43tTHSFlpxay2SOGp
oS1G6rmRzMJgbB0uCOoLb+Jq2kP+bU6IJghIfriOz6ywotHJEdukvGCnGBUnZtwfZnQpdtiUmxP6
a5RVwZgsNK7wWGHZdLyPBBHCSYxh/yGWeX998QO61I8o18KXgeC8WrspkZoxgz25TrS4X3NNV8Tx
WtP/8KqG4rs3dof7A25UFhxkpBdE9LLz180rW3OKunYK8VDYpVMcMiceHmckM/pDrtnZJ0mbxAto
FyQYqOq56H0uu3IPUbZcTevnc1FKo85HI4229+2lYlpS1nL0lKvrzdF17Ef7bTGIMeijqb5Eshp9
khiMu+fS2Xm5lxvk+cjLhQluFGDB6tM6EnQZrQDl2mrqjCiIqmAe7ibK9BuZFk6GtGWxUxL78w2f
jbmANJBd5J5e95DVNqLyoZrK1UJ2mnDfyfzOtspzok3SV5Pm9TypLeY/4hPCZtrBaXu8f/pYCcI6
fAew/VtoxebONtjY4lyx+FAuiuqLM+TtF5g6BGe0rlOuRhF97ppI1nSuU/UI0TbaCbW3hmKPI0YN
WgWYwypWqgpA+DClOU1V3b2jZKM8Of1cXiPxUnWz5UqnA2MDdV6q9aBzbmeVjHTfdFe615Z0F/Pi
dnqCoWUE94/QxiUEvPlPUXuR3FoXtAnOEDDRZvfaT9p4VZy+f53Ckt75Qhs7FTKyo4ILQQDgmXCt
XcDuKAbHvZq9pnwpM0N9TaclxQEcSX95GAsXZbX7E9v6UgQTQLfpyvHgr76UKwetiuCZX4dGmw9J
n40Hsxv+NaB27Fx72yPRU1kYrsuXuv1QKMD3eZoj+kNKCkvHq9Iz+XgUgA7b04Df/Fqof/7vUKud
btpKatsYLCFQqcUXA++wg12GL29i88ByiHmXwI0CtLmdUJdXbtJLzyMB6KxjQxH5Z6M48Y8XfyCI
lZyVBW1Bi2O1v/WwT8q65WFClSI8xFargLPrRz80tXhnk29c0aCFIHKSSOI0s8ZWCDvnftYnSuyU
bpWgQT+UJgXyQIZPUAoOIedVkz7UM+NJo43x7v5MN3Y/cRGAY9S7AWuuLw1pOCGFWzpV0zBmvgI+
qgwGWZpXKibTh8Y0xOX+gBupOh+OJi1aNSSy64r7DJZPiykJX2VW4JbRWXaNUBGquW+UtB+PEy46
T01fh/8heFoI3outBa0/sMe3G2e2lTzqlkKEGw/zwzJp9zSFuv6GgrO5RxfaOAtUIzAnACsD3GIt
otxwzsLZKRzAQcI+1oaXPbmZvgfifn646YKzgks1ny+3jml6o5sR2mnCq0exFcql3fhdI4s3o4Me
0f2vtvG2Ut+AVIKWJXyCZ9rrRDkaNTIZXvOKntmBdH2Sh6UDFxE9GO5HQpgavKtw7OHQIIEwBkUW
NsI3S3PxPx7SrsLLvgQ0f1BkJT+r1lzsQdWeb63lN/L8qeChuCXWMQeiDoldRcoVbT38J/UYuSnG
BDmFbG3TmoE+iRqFbqU29gxPn59ihsaSUUPej7DPXv7+VztudItCi1QtvEbommWBpEne+3W0CO8r
oike+0E1Phe6kYYHilO7L+XWzBc8zPKEkX+sO0i6KOTUxxRrpKJSjmnd/hC1EKj72FQOGIuKD2Y5
5ntSwcuRuY23iAPom0FEgkLwbL3ruqoAJRThVTXKKOjNNlN9mw1/njq8kzsgyEcLp8VAL93hbSyb
9tSZQ/n+/s7cOgTIDOA2yvF+Lm/PV+kh3NXKVY4DMn7emJzCtM2Peu5YO8/281O9xLPkeEAHwGGs
8TQOakwCxo5CZzJV6S8Qyzt6ZhzvT2hrK/ESsI8XV26C9tut5Mxth3Kdu6xqPJ1U6NRnWlDxcUxU
GXRhnx4Q8zcOkYNB5P2Rt3YRZUxypEUFylhfkbID0BDOZngtI8smN7FhxdflcBbpOMM7Vbiic2Xc
q0VsrSrypuxaatLs4VWOEk8UrMJEeCBYI1c7FgjGQgBTq67Zu8OWCGS1X9EIJ24wmSGV29X9kJgN
qsDQxq+zS4WVelmW6N/mMhXVe6sHfHrKsy7/7LSt8XGuy1oEHNQiOuLhRw48R5m49mVmvUOUIN/D
bqwJMUTUUPYADEOi5dc9415i8DWneCYBKsKDJTv1Q5L8o9qx7vp2Z1Sf0LYrhlPZWPk3VfGE6Rut
yN8ZkYP869A58RxUSqntIf6XBVkvmAYTj5KzRQa7bhY0iYMrUe041zhS309d9qoAxHOOvMZ6mISW
HnNZ/uxcfT6ItEq/vHgzkjQtOgnArNAhW20LO9chCGHldRWa/brLk0Mi64AGTPqUFpJ2X4/o+/0R
N24SJCcAiJMkMuc1N6/o4kYRSeVRzreQgPXUnoqvJ37E02DuhOUbe56hAJrC717Ag6tYuSsnvSk1
hoocDKAMpe4OlY4YzH+YEJp5//9hMJcJ//UoJTDX247S95X2pKDT6+BsrOrF8BaCF9nAyweDx0WG
S5HNhsR2O5hYQI/hSPYpbHJreu75wclDy7f1cC9j2+hNcFDZFEhDQbelqng7limiyG0UDnKVIT14
bnt+lR+ORkwNW8ZjEah2pOFB0Lvin3bq7F9pHYvPk9fFH+9P+nn0vPwQsuqlaAtKYPn7XytMFdcl
zOOHqK4yH9wIAQp0s6pD4fQpIrHDtHNDb+0b9BuBxywnA+Oo2/FkNOratOSqXWMNr+m4mdimRXtI
ka1ZoRIHzwRANFWL1Qs09QptOzKjq5g8CEWW0Ip/ssjg5ldLJ+yOFAZfDr02NWxwqN2gNUUSuRpy
SPDu1QWPgDMYv3S1qV+V2Ry+pheStjtruHXM8Y8mjaR6QYy+SgQmBX+3gd16HUt1OPZ6k5xqukKB
Kmtxvr89NoYC7AUaejE3YbOutgcOb9IxJtu4SgdQ93EeaFTStLCU36Vs8Je+P9paHWR5Q1DrpolA
/Qt+5To+6SPXBbimA33jkTeDMBPpV6WXqfXg2HFdvDPqYZ6uCUZ7RIbeoPaHJNHrOCibOW+OlDmy
Pfvnjf2KWjyVG7KhBSe9uufisK2STMzWNTWV+vOsis+jlSvv7897YxCKDrybxKI8oM8oNxJtJ9Q6
7atW6iLQeLKvyjQnO0ix54digVHjx7BwiBap1duj14SV1iG2REqH1Mk7xe48JOWiCLmLao6/R5Mw
dy7U53EgA8JEpVpNqwCB/9sBk5i6UaPFzrUB+vGutc0MzkPcfAaPQSFT9l/mJssDL7aanWb65kwd
aAIU3ZYOwBIm/nWpNVrYGrGKmIoDvuEMwLOk6WvYgW4kHYgBIz699Pv9KZMT9RBqIMO2nKK/xpsS
zwapiVNnGPbjuRhD7VL3KCncH+X5WaQISyUH/gqzYqfcjtLpM61Y2k7XWlBmn1RDvMrr+Yen93uu
UBvrx1wIIJZND398+bB/zcd0uh4qKOhpkc36k955IELaZvDrWtFw8ARseH9mz8P2pUiqOYsHFriO
tcx77fSxtGODykZXdEFsR/VxLK0+6JVwfNCqwTvSW47/w3KivkSWjS8NxdnVSwTA1tPnpgT7UHv2
ISpEdQC3UB6hSxYf78/v+fkmCAT9SwcD/AiOdrfrCTayoxc2or9jR/Jd3wz11S214YUyPyzcMgxv
K1QrWl7r7GAyWru0hYGikWsqZaBoWnHQAZJ1B1VP9uxBNnYjtT6q6BiG0xxZy+zqWmFyM2bhZVLt
9Nx0SKurdhVeJMTynXvkD0D6Joo3EIgHQI0UH8KDRIO366flVuNmdi0fFIieoS+nBsF6tUv0xK8n
s/13ysphPBRWU9m+WqcFGGerzb/nsxfnR+FYuenPmLt9zq0i+zXkJHGnbsZ1jfpGWvyQBEHUWsDR
hoFpdXD347mCmzAaruK8MQTfTPeFMMGApXOMPn6hRF0aFEh84BWgW315mLtEhAeauNNnrKOqX8OU
xKVfgYPtAiOjFcjFPuEs3buyCYxcUfjjnA+URjt6OEE5hNUbS5mpr2WzkKCSZyP7zH/gJj7+9f3v
ORb1BXy4pR1k7mkd2N4uBeuGYvX7cXZBAL5wwy4LjuUjxwJIMcnc7YJXFFpzQGTiAbClE7TR7F36
Su61aJ9tIYDfnEDqECRdnPzl2Px1zcB4aqw6HZVrLk3lPa8eWBByik8JbYudLfTsBP4ZCp/QZatS
IVhNyJWlnC1rACRYN9HR6Gv9EV+28aXvwDIK2dcinwrZdB0DzmnX2cKaaZUNqXfWJiz1cqC7O3N5
dlviHvX/YmcsSFFRM26XrZy9Ou4xVLjSmtOPodPiHDEqSuB1OWX22NXjQzV686f7W2LjY7ETFnFY
qjrPzUxoYKHkXUbioU8KJagb1TmHxN++lP1udvTs/WGGlDfoXtDCIPZafa1Cm3QM8mj6hvokJUPU
Qxi0lbDfjSW3BF4VXTqA7Eab3m+k3T7kViXex3o8vtfzUf1ntIxW+rC9lc4vCj12jxzc/Aeon3qv
m7O5LBwSFJwXrtGa29FhE4A7t6FcB1vp3inAhr5ItdYO9RhVx/tf4E9OfXsNkqtBnoKaTS8Mvejb
D4/CiIItowew1FUiQFAS2VceZoMEY6rBCl+SfnRnHzcjRQSTCFGEFYCm2ouute73LPIM+c7AlLA/
ZEpvfbFkCWJUogdgXLCPqSefFl7rHBHWLsRjn+BhEVjSquU7DddSK+DA2LHf4ghinYmrmpzLKh6k
r4nZ/cczpyY+5glcxaPldFhdSwTnCsrsCHn7qj4DdtJFUvf/3l+U1WFYZFiW9MSioo9qGyqft2sS
9ks4IXHe9WK9C4Abp3izH9VcqseRxNe/P9o6b3823LId/rqycMHNIlUI+1L2vfY9hCTwk1pmjCvp
6FQq0CAdkw/Hmr84RpVajwP0O3NpwIJdvv9LVvvuzw8hhSbTXLSogSjc/pDC1Cce+96+KEPcfvGk
FgWWXok3iZXLnX23ujv/DIWYjEuMS4sO0brboWCzSzt3JwfTWsUAIKxSLQNVt3Orrc78n1FIgqhM
8ykJ2Ve3Gq5QQ+Si03CRkhRFNq5+MDDAQLqtyN9WZi93FnBj43BqIelgCWeRQ682Dnl12ZZeaCNV
NHePIR3ZYz1nyhMIYMDvlpXjhNHsiVVsfDWsqFhLArQlN1qVffTEg3+uMKjRpqGf5KV+GAbFuuid
Fe3AXzeH4goFvoMyLMC126+Wqt0c93HsXIhfUOePdP3JKWhqeWO1F0lvfDqSu/8barUXpZz7NqFQ
cBnAyAcgl6JDD5f+LN0mCTBCfWFVcNkqhLc2p30R0OSxvZ1aCTWhwzaJ4KuMM1/gXPRmqJThY2GH
h/unbGtm7BLEaigB0DFZFvmv4w49vKkwqhDXoYh6P4yG6lg3bvs4D24cxMj6n++Pt/zyv274PzOj
RQHDnZ49B3t1CHps6AzKb+JqULNOr23Y5x/jnDg+SApj+Obao5celyaE8FET1x/bpI+v93/Cxmlf
pPKIebmayYxWp72Vo4qmiCuuXdloR6tE0IpQp9o57cuWWE+UagfvGMElKturWoQFPSmtKkOg0tKW
r4xS9q9tCpGvndq2X4mwLaDPWE4rfKf1xPv7M9wam94Qak4InMA1XS1yl9SGUVoejyMph/QdXXFO
YSfl2zSa2wdPxcTATRr16EzZHgh+61DSvF9skD08Ktdg8NApwtRtR+WiZupw8FChOIcZpfqkGHd5
/VvTXGQMKH/SC0OH4nbvtiixZcqYS0p3hQe3Z8IkDEXbzDVfdc2AH5ZW0fINSLRrDKz6RoYPVtoj
G03xtCRxDDvzXI+2OZ/sPq1nv3JjpzsPiusmB8tdmkuztthqOYNZ7fm+bZ0DMj6ScqjEFHBWn8jh
0KlZDuAv72TinSuE5ecgqcu0/WaHhv7N7Q3t66iYCN1H0gRXraHqtMMz2fpWXJ3WolGlLg2I2/Uz
Uq+tzaiTV1cbo6Pn1uFxcsS/zST3yON/ZElXp4HcHaLoIjhtUQe8HYrOWUSMYPGp6lZmPyuRaNEj
ZKS2883EiBQ/MnThPUytl4/nTnXIMIpusDCEQgI8vgq68vFncKgSXnFNjfQxzPvuSQ6R3Qat0ZdW
MM0xwHOI/d30AKqgrN9HCMzYvxQOWesPWTnyOctJ7FWSNl5ZQnlKLIvewXKl3M4sTmIBziLCmgBQ
uO3LCC5EEHVKPQcyg3Dj97bXDseogsS3c8Vs3N0IC6F8hQDVYnW8epX0YbkB+ka5GMiNdq+z3l04
sX2BRFvB3943puyqlz+6CwcXTBwx+iJKdTvdUUY6LLFEueBk9TGt2vyjmmYfM9AMO5tza11hTVNZ
5ZjQglttztSxkO/RixDSWD0CDYXuJWdMdx+qwelrv0ecPT+ODmS6nRdx41QAEiFZZ7OaAL5WW3WC
qta10A0vRdpK95CUSg5f3NYAezlj/XKN7sW0mOhs0REzMCW4Xc+E2j9XgRuiMa8ryzoiWagNJWRQ
Gp3F+Krjfy8uphsX9bWah175dP+p2LiHuD/hZaEDsxAbVnsIfUVy0TqWV2g5Tv8Ty71WPhRsOMDk
OlCsoHSdOMchDzqL3+HUtmAum3JPCPUPTnR9QSCPhe4qcSkQ8NW+KnI3TWbFUS51ZSvitVcaQj3R
/6VU1E+GeS2cosRAtVMaXN6lrWbNZy8T8UizVKA0VPVZHZ8d/F4fLCoF3eOgKNPTCGrU3qm8b20P
Kp2Em5T9SRhWjw6uI9WUlHhHKGMjHlO3gyORdvheOiL7D2fNpUmESgUdb9Aet3vDyoZS9WqhXNxo
6Cy/KxPxTen7mrZRUhemf38nbN0mf3SH6A8DWFtPLEtCPQkTMmqZU/VTrKqwfNOVswGdvBTfI6iK
0+n+kBuR2CK/RgjGLcZdspogbaJ21IUaXc0Jwn4DBv80D7Z+fPkovLRU3xA8IqheHWhbUxrok3Z0
hTEG0rqyy0CmeGTcH2Xd2VsiWwoW9EUXnwYUdlYX1mBqY8JtHV1L1BDCq4GR5wiOnCqQX00wrF53
sVrWgR56gjR6bphsZsHXP5l1lX7Tq9jcI/VsbFXWdOmogDkDGrKaOMgvt69tN7pmjhU/qMSjbxNo
BGcnyrWv92e/9SUJ+5ZuFM87e/Z2q84Zpc56ZvI0iMfziMh6oIGq39miG28Cu4Q6CCEtEJz1l0zV
KkGmyoqubYd/k+KwcD6kfsxzS3w3S1NvXwtNljspy+bcWEhEGAFnk43dzi2deyOvWnapDvcu873J
VOJDUbnpzhpuHEAaNSrLxzW86EHfjiOquRzNRCynoSYv8XQzqLKqfMprNbzkbSsv97/Z5ni088FE
YL9D+/d2PDzcRUmvX14p6cWnGfudizmXoNYmOX1Wx3iP5rXx1Cy9DZVjSNROJHg7Xji4TWGLNL5y
1dT6SYrEgHMez3EbgJEySj9L8nA8e6EblU8IpvYfzayKX27vhH00InmAzCiLgP69/RUtxRIsxyrB
r2gW/nxs+UMc5eewjMaLWuV778XGKjMeFw+FGDrTa9hnjE6NSRgjro45192xb0IDoQcPyuSJUHh0
vtMrMXlb73/bjaNPVxNsFg42GBS6y0n6K613jEGkaLFCdu5rBO7btDxN3LUnLID37Pa2h6KpSVAI
K3IdhRLYUyKtEiaYI/Y812PxplJL7VoO0Z5u3eZQNB4YjFoo2KLbWc1jrKF4QV4LVDdHF6RJH8NK
uA/ARYaX0d6W2xz9XgggfDGus/VVk+AfiPA8MhpDZQEyxFfzAq0duYc0U/ZejmXLrWIf6j2UyxYl
HXzwVgdDMVEsR3fZW8x/9Keorkxir2LBvYgiyCpQKQNg7WMVRtGhqqUaVHAwD/c3zEYuDbZnkdzS
OaNAtm6XtmncoY7VepFGLvvfRTH2DzjYm4fQnc1gMqPhvWtlv8K46j/fH3jjduXhXPDYOKnAWFp/
U2kVUTSiyZz0YXsJJ8N+64yD95/WmC9K6Yj3g57L7fwmVxZFQwxziRM6KVh/K2Z4mMDeyRPw4Pqr
p0/x52w0tNHPBFYKV2WWiX02ExNR3/sz3lxqys3gHOg3EXXf/hSng4Tj2Fjj1CNgmLPXOnSA3And
jksRW3Vxhsxs/5JOKv7JAaZPO0uxdSEt7l1IDIEh9lTjdvhUgy2KoDfGTDUsy8gR82/bE/O5GGDg
lVNYfnnxdBd4DDRmausA/1crLwc0YmwbCdyhpnXh2b8dLXoja/s13a7PtWZ8L3KaNPfHXP7N1Yla
MirOLsAHKkTLpvvr+msG7LvqZMTsRhjF1yaE16i6rQ6HxaHSOZc/1cQ2X35jwFgBhguVGv7Fuolg
G4irUF7AFs2Lv1KsaQOwP0hQ13O9c1Y3HlLqa4SaSwgEqWQ1O7u27MJiY166yOyjQGl1yigNWmaj
X1VgJ/zCbq3+AAS3+iHquQkDL6uVt/eXeOMuBvC70HSQOONQrXZxUadKH1XsYq1UdHQaEtV+ahzk
l4IedYFiZ9NujkarlDIL9z6S6rcftI+UXoxZH16iJs7PVad8Ncp4OE1aMuyczr2RVveR1Yxzb5qk
/8MCgdCsQnxCBjQOIqOvdpZw4yQCCIKdCTaIivj6TsoG4DRx2OFulwERKHWpviJEkCcXwZnAHRvz
/B8+Gfwq7j88QyGh3C5iaRgUbVIQLAZE28gvskntjjpMoF+GhizWfziDFFI4CvQWOBarcBbRpUpt
Wpsb17YgGbVjlMVPiBVayUGfppI6Qqxr6PNgyrOnVL31DSF/IEhPlEwhZ3XFecZoD4jRcfzduD/i
A+A+5UWmBgaInuPL1xQg9UK7UrlR10A8ZLdQFpE4FFaFmE8drcqgMYV60Tp3r4i6NSsK6wsGl0oJ
UfTt52tlr5YjeJZLUgzp20zVBGdvcgL4w7viExtvFFfYArFfUMxQOW/HEmaizENmkVnJMESNuArz
7jSTnP9S0W/6XcmyR6lhSI3PBAjpnsvG1kzpfBEUUZpeUNS3o3t0oRDZ9pyLk03Zmzazx1PpNrYP
wtT6/PLvx2NIWknNiaxrdZc6RSUji5blpcC7/VQjIXOo+ih5UBv9PzgngdgkSlwGWko6t7My9ImW
n8JQjefOr0rb6IMW64lAVvHo90m9t182ngnaogjyUF7EW3kNlsMO3goxEcE5KdKtBkcGa/5Ywf6r
KbYX4ivsjUYGkKPi3xQPigcv7Kaf9xd3WbzVM8w1gwD0QlfC6HV1l06irWejQM5fLy0HRE2bHvrM
2eveb+wWSi502pgk79GanGS4Y5tCRHEv3eg6p6EyJbo3+niO68TeudM2bmyISSQghG00MtbqyVPd
z3G3fEKqDEowDHF5VYxY8zMkWq7I/O1hs7emxtfjxl601QFX3m6ZiIAitAZsQa1Bdd4VHlJtbYm6
fq96v+5/qq2RiM0MD8AFbNU1fKztlaiqZimu0jKT4uR0uQCnnQi3OelRnO8ZPSwneL0zlmhcpz+5
pKeriU0V3V/uOuXSgZQ4kcmKD9Y0LvJE0j7EpmkeUDwddr7e5hwXQjqFbrpe6xepsuuqAXdG76If
misfL3zSvcJ+g8Fse7y/nJvzIxmmMbPAi9fiPY0zmtPQ1Bgsz9iUHZK4iVP6vTVY9LjtZvVN1aCx
cYjhHlSX+0P/AQes15YQiVoSGTk/YHWlZVHtGG3cUkrngZ3+6by8+EY/wyl9s048UKTa5HFY4Pyk
j3OkxK9ES1Xbj7vE/lKARO0Da67AkoeuI4eDM49g7lQLCASWb4oZv4uE7eVBNFpO5Cuyqz9WKdKR
wdC0qupbbaJkQQ4y8Dsd1/gTMUCunBa89wNEsVT6A6KfjyhvvpSesmTsXK6EhhoYMuTQVlsK/+Ns
skdKZaUcxEf8X/BZmGv3U6bozU40utWtIIQihcOPhY7mWjFPs5JKtxApuRZznFRn2Eei80fXK342
stUfE5SyCwC4VWgc8Oma0qDFBdM+OXDAn1yj7st3Vdc5rzrbKM2jbcXRk4ASLz/d3wkb+31hB1Hs
gndOFLTaCCPXiqLZunLx1OxjkhjeuYToAqYW6aP7I21c9Atvf0Ey0hyk/n17T7V9rHu4eHOcF725
sMymQ13AN74/yhY2DVfmPyMQcj0rsRdlaXp1ZrKzUVh7VRUGXulWgZabhxpkEKPC8ANBR2i4dvJl
6GV0FJ326/5v2HgB+AkLd47eIBSTVWipdVSeck/hDsEi+qKYCTDNIirnI7AO7YQsnNjpg25+xKVD
7yA6vDQwbpcWBdpkSNFwviQYLPk53OLA9JTo3Cmhe7g/t82vSBjLnQwZD9DK7VDVDDvP6gzlYgkn
v0S2nC6DV1s7sLStFYR7sdxOQMTAet6OQik97xfoxnVIRf4+ysbhqbFG1GzNMPmQmRkSFy+fFvt/
wfs4ICnX+ioROG8J/ly5NP/D2XntyG107fqKCDCHU5IdOKM0yvIJYUkWYzHnq/8fzgY21Byiifl8
YsOGVV3FCiu8IdJnr23wglI7bGvuj7Jz46/sMfgxVDlQ41qn/VfJYXJG0eWw+IM5m+LrjKOpN/RN
eiLgWigJTP1F0+gbvH7QtV1KEWl91bawipqGhdCjkQ5hjIZFJEvhg6a0xVuk9+rrEBX1R7Wvu/P9
QXfiytUCj2hrRYC/IGE0bZ0gto2vfRQn1VcljrVT1NWAxxYt8SepEY8TMn9ePPGAK8X/4va1Mkws
gOhcOEApbxdaTma1igwkjQpaNm+Lrip8xan+C23KV6vB68ESvzwU3PQAknHLAFxPOnQ7XKp0MBvU
FtrHYqmfoQrG3uQU88EpX3/0zZtNIQBlSkaAHkSXcP0Vf+2eWa27uhuH/upUrf3UDE31HqRt6/d5
b72rhWZ5y1gBFgN88erwmaGpzFGCIGhYBVpvh4ZpGaaIEPbXaYh72V3MuP6nDRcEwazCCI9ckncm
uiZaECDXKEzewjrStDPlKC0GRiucxc2AMItTxPjf0rq3v9toCujnqNWs0Z1jwzl6uXeGpzC4enMA
UOV3bDZPv8TaMNL9vRIlaV7ZUR9AGwVRliJLhjdtAfKrynPrQe3FQaK5N7KqrVIwFpk1me3tMjtQ
Elda1MjlGjZ4sVf5o1zoqLvpohgvyoJaedPUvQ+oNQzuH9itMIxOXZ/zCs5j5RiREm4u9tBuwwGZ
pvGaLtbwkDWdnvlzEaq+OsTLZVJa6U2V9toPByMBGg6oOyOrimOB2S74g5tgUSoj/tWHhXNwlbx8
0ddf5vDUsOkJWbeiwNFs6wv2vuMVXANXSN2XUu5Gc7pE7wdrqk1fqVhMgPlVNru1UuUoAqpjgdSF
YaTpAd7ixRXOj4HrzznnHHAWNp+o1DDhjVN1uPajZH61C9Nxi2qxLmDDl8+NE2tfej0fv9z/OOsf
ujn5vBhr38WmpEHp+HZf1BLVQVDS/XVMe2s4SaGTBrM8p58nvRi1U6OKtjh4ql5caWDVMH8i6+Iv
8qB1Hf66bNIxY8mjarg6RdUBqk/mk0zF83R/YvujAHw1uNagwW+utBax8qS0W066kzs/NYfQt1OX
6GgHrWXE7frRN6IEzfNHP2UzmapOYK3jBX3VR8u+9GoZNX4RmsqHXLP4RyQdO9kd28J4tyRl+aEW
fWn7RGwaqrt5p4/+62dN5QrgK211IuLNBVPruV00WLxcm9E2LuiRlWc6e0fl8L21XdVaKa0o6/u/
2aktMummSGcysgqqUoXArzfbzREN68XWpHRDvd0y8X+nd72V9ygt/KItqNOrEXamulrR4XLZ5XKJ
44JTqhIZz/TqktE6Jo0xvPvoFXFL3+7NripjZPzD5SoRiH7o9a59J6pwPNibuzNj/1PnWL0Mt6bp
dpkYBirNCyFMtHil7vTXtE/qj/Qh1YuSxM4rRT4pqTAWMhjQY9FUo/94Oy200wBdK8Z8RVstPTng
UN9YRZN+mrS4ciclsi7QTetrhEHZa9tS68hrtsSDtxKQN/kDhhtYT2JDe5WkusL2TEue9JkCNfYB
MMjub/41dL85i+tYvK6AiomzuWBuZ0lma1tdJS1XcJn6qQmd+U2HV8ynsdHFkbPmy6eDwVY0MTcL
fcwXO2Wi7WR1prpcx1yqv2mjGj8Sj9rJWYzN4LiD3iaK2+Hm9GuMHP2dPTjT+zSdnPbg1XhxFqnN
PaOn+SGwd7dIAUlKwTHrg3YtpCz29Zj+vN63RzyNl0vLKLgjP/PA0FXZnIu1mgQ+qNauXRrXiKTl
ozdqU/Up6fXiIFx4eThoZEDdoYEKzArSy+1X5GXUJhxeNRrEfXaZl9Y+dUIkPmpyzoPWGc6rDyOV
zecaMd6dJNab8XgUhhwHCP2qmnlnQGdMF19EVZSc0tyJahfIl3yQg+6tJkwsQgdCeoVG8e0Uy75s
UL9FgQ/AVeyDKhm8XKElVUqafPAgrL/+9kwA6qCmCiiOtBqH5NuhRsspsgVnzmul99aHWoqWoA91
+Sl3ykK4pTUrb2GMtYFEdPhjhCciHRzK3R/grNh7HmI+6WauhiOUpIqhSY1q0vybJ5lVP+C8CrBW
q0Sp8v63knHJG2F51HegKgNX+nX/Xnim1LxYBDYO4EBk4KBr3C5CLJA9MFAIuA69zNtojMmK/eoI
V3/WcT4634jsKGfALs6b/yKpM94sk568QzJEq74uegWAXh8qa3w3aqM0nceunvOv0jhYTZB1s6V4
0lBG4q1QYvGprKgwuGnTLO/Moe0lbx6bbHkzVAq0WcDdzUmarKW/LHM4/3bSaoi9JGxV7ayOc+33
GJwX3jjz1AVlrkTGCj9WKGcROsYP8xi6DeHMd8Ua5wmFESombt3FtezGrRgUv0ja/JOytJiytAqG
ub7aOuWfVse1xM2qlnArFYWKA42ZdP9KZa2GfhP1NPHtuo0/mojzT25lZpzpyDGS5HEth/xCkXA1
9utTIhnEHOvxpIjKIAaubP1d6sxp9q2EpykfnMtNOEzThx4cqFHqJpSeeLtuP9oIkA/UbFcFcP8l
v+2HOcjtqj+NpS78XqicT6i5Bydzc5uug65QKCDpxkqa3zZzxrTESCkdymCMZO2shX3pOtP4SmTs
8yhACdaqGqefQsbt1LRqkKh/hUUQK7nuZklVXSoNUf1KkoaDVdybEHUKDBtJ61XacbdDTSKO+kWZ
GWqYil+1OnYwenA99O4fsd1hCDNYMZieiKPdDtNPbVbPyLUGWd02T9GYWUE42NLBZbZzb5I/rloY
z4HTtksUqmOb40FgXZdQkdzesSpPz0LlZNvpdHnVhJgKwhsy3TZGw6h7W7zGQ4uDEmE2vZRafIFT
ZvoL9YSDr7Pz1rFkvKugJHFb2IK2ISEaYqDOS1xWW9wRBgb1ldH7wP+rywi9/igQ3PlO7LgVloAd
DTXQzaGyuPpRXBtz9GBn+40RCiJqPT7Kq3dGQSiYC5+C8dqm3Ny3ON5oztzmOayOrMANNGn8pbSP
aIY7FwTiKlAIaXJxXrdNPAt5lKyiuxHoStG7eZ8pJ3zpf1qDstBrmjGmcSOev9e9Z+vZXYHYoALo
VRJmrnP/K3vtu06BCNbkwWgkxWfU+tuHIdTS1B2LFNudMsNlyA37BECxYkTahwzjgvR/+Q3of64n
ASbUNoOWNH2edH3KUT2X7Y8U9qb3U2hZbh2FqWcmS/NWkpzaNedUfM/1pvpy/2zsLTwabCDNWHws
TzYxBY5GTj6UTRnw3ileM4/aj9Aya7erhs5TJbV4G1lwdA4mvTMqOu/rBU2THdTS5tJcxmZqnbku
gwVK0lPUyeqlNqf2aytP9tu0yv5LwFB8vz/TnY0Mh5WQwcI1iqrZ+pv++thKWeTd0gxF4JS19r4u
pdpFPje/3h9lEyKtW4oyNkVllTIUgInNHT1EK+qrlooAkIH9j12naXYa6zGrrpj6QcjCILko3SGN
EC/MSsdoTlUbNsnT/V+xuVyffwWVSQpPkBtY4s36jp3t9IqRl0GBWdv3UB9+zcVsuEjxqJ/vj7S3
qgzHZBF8A8qwOUKxUi1Lh71SUIdhd3byyDgv2pRd7o+yOx9gHzwVYOpfQKjj1UhBb5YiaFOSbDrN
jVtqoUVOJh3FuOvr9ld8+bx0K6Ob4wizQNtSJ1rDKNMirkVgWZP6ddTQLvcx1Va1t6Y0GW2QqOVg
BlEap5VPARiljvtTfSENu+4ggG6rhAS4ceq8t/sUPkPYGpFcBEaXdLXbyrFqPCa1Jj7gXqyb5wqU
85u27hTivXCxh0cVOqx0qvQaLeRxUqbYw1fykAaw86Epiq3J3Ep8ekHLcZDRjqR2aQJKqdpnySjH
B8Xp1YPYY0t9WpefBANIKjmVDDJGvZ09VfUR1yTRBJGky18cqQnfVw3yOVKjtF6V6ZSouljyhmHp
znmnOJ6aTfVnQxLZQS6+s+VQ2AAbRqoFBGALJk+mvlG7OGoCuv/Fu8E0im8UIWrX1qLhYHfvLe3a
BeYEwRJg093OOa2SZVJSsw56OianoUBFgKDrlQ0+bgJ4KiRt1DZZYxTrbkeB8xhKpLFZIFvFWLo5
9zKzGZ2hdROuLPlMYbT9EKmYqJ7ub+kX82Nk7l0iFdpswEU3AWVeUKVLcdkNqIZFH7UOniNstf6A
Tfncrbs5uQzDc05pjMsXD7lNpBJWRatacZsGRTVrE7mFzLs16xHOWtYE3u8ki3AOqqZcLDe2U+eX
xrMbrgYxcvoYxsnaueiyzEWRiFhtMrX2hzJDZDhj1RV/bpsqKxDoyJIjhPne8kDrQXp1fZ7oC95+
mNBpusJWsjRoTQvZM0hibjHXR1H9y5O1Lg/4EjRcgJpQ7LodRuRRQjgTJkE01ETzswDw7RqNcKp3
yBeN4Rc17hb5YRzVVjsP8pAAHBbId54oRC8Z8tlOmqrB/Z3x4pDxmwh51tiDygn/ePub9B77uiHV
sgBVhOkxNQtci8o8fGpy4Rxkg7tDEf2jOEvJCyT/7VCSQwtSYJ0aaHqWXZcWmbqpzKxrsuRfXj+p
5+ubQjcAW3nzPbGardIh6lIOmkChWGu6IEetGMpzLh2crOekYrvnV/F2yH4E6Ih3385qaFqk1OU0
C3jf1d+lThcGho/mfJEgvsxu3uXin5qF/ydN5Sx9MCHB2WhQ9fIPuEBN7tVNr2v0yjKpf2tUg/HU
UTeTTlaeWKU3qXbxUw5xQXGHdtK+lvYQLq6aC4oMY6TNR7PZ+0Rr5xgZCypc6IDfTkatAR/TwEtR
BS5zD9wlBRG5qb2Bsv3BK7t35nhhVzrWaq62vZKiaYwLsJ5poCeKfkXeMHkDBOioo7Q3CoxZrKBo
SAI+3uw56jCdk1tWGpipY4PQQwakTGbTv7/f9kZZC4IgEQmNYJndLluLJhNKJH0SGGI2fOAH2tnW
7fb1K0b9FlbVCkt5WU1JgNjH5cyKjZkafZjsrvUNsxcHl/jOXBhlFcCg5s/fNys2S+ZYaH3EKPLc
nGBpZGc9xOjh/ortbDRqUatQ0XPysR2lkZxyTsk4A9i4s3WyoqwtERS3sbg3MVc9Urx9EVISGVP6
WrvB6I0iMHP7gTIRI7zWLWlAu3m+9niVC1fJIRI5g7N8m5S4PSVyqv0r5+lRNLv+0Zv7AdVDMBLE
5yinb/mA+Wp0GdZdFsTyIC7a1HIFrbzzj52SFp8wSk3Uh1pvX1mpXmMNSlQEM9SbV2zN5l43QyMr
isbJgqEQ+GcS7NkNuMS8x2HQybLobarWzVMLmKo/zfOiaeeZAscRan3nMz/LcaPBiJ00vZXbdZdK
eywd6jCBORraDAi1qA0XnwsLVCk15Nc/MJBWgS1SvuWV2XbHSs1qrdgoiqCsR1l1lUVvPtZ2Hf2e
0AQ/Cql2vuvNYOs5+iuZxQ28NowmJEvpM/Eo2WnkG10ru236RUrl72VolOf7Z2Y9eZudRHa3ho7E
cDo98tsR+6Qba6fSs8DIm2xwszwdP7eFAFYjcEK3V40RMR1ZzqzR/nZQIvBVlA0sLvpGt4OWLSJ6
QxVngbDr5cmplwhVnGm+or2k+ZFZjOchrzN/Sk3liu/O4KVR3ZwACjY/27k4guy/yO3Z1SZ9F0pU
oPNeSLC2sWWuFaE0KJ1G8xstqiWYTwrtrcmWy7dKPI1fC+CAfzoJ++RaNn7f/wR7H50XixgeuRx0
Lja5Ebs3mVrVJrAwUhZcHvqHybGrN30Up35I3nTu1aycX3/xU55acxNyFAA/m1fZkOWsMKUyC8JO
LE9dCdipliX75/257W0vVOPItQCvUf9bz/JfG7pRl2nsOgKZJbalcyGF7Rmgc/2pobf9MUv6I+Lj
3t1AwR7txPW8Ir9yO57ZEeW2jsRaatT4hmUqT0bU2xfAEMK/P7XdoQDur3L1bD1zc1blyZykyhZZ
YDaq4Rr19LPSlQXvIkM5eNfWP2l7XHgzue/W7jEslttJpW0iSTlw+CDu0+KNbEnjQ0g943p/PjvP
Ga7InEdeNa74Fzo/ctP21ki+oqdiGd4X+H5N7uQkS31K+iJtAjOJNNV3wqm2Hoq4jP/cH/85IdpM
UyfcJWUg9KUkvcmXFx1F63YhlM8KG/25QY7noCytwvJzbO6fOA7SHKy+D9WjpiRW/q2oyyLzbGqa
o5tIs4iolDtW+WVOUhRH0yptWm/BDBSJ6aXIzLNTOcqR3vjOt+FHrxqM6+dBtvD22wBoLbS44Ri1
LQkOFszikTrHwSnaG4RPT/nKWh+iLS3TLhRLAhYSBbbo2ksYZ73bJUjf3/8AO2d1bQas7GSCGXb0
7VQskGxSLIYokMqy9hG8Vi/dFM1vMUX5odHkP90fbgvPWKMJan8AvWEugb2WNxUxqlsJ6CB0NuRw
Ncyuo+haTJr+fjCRijCcafmD4JNsuokci3e5huSWj16i+XT/Z+wcY7oskAhX3fi1k3Q761ItdDsy
Uogasz6fUBsfofRqmh927ezfH2pvgdGEAt6JlMpLj9IcEfCR7hzKh5MiXXqzCz/V7VD8Y/VIwSWZ
pOYHd/z+gPD4uXrp7m9xGiGrpYuol66j0lt+VGrvIkUn+9Lb4WFZpOpgfnvblDwPQv1KEiPQv13K
RWRyP8iwA0JZbv1EMyK/Kpfi4J7aGwVgFmhInmy6ppuIBXYQsqE2Eh8tos+eLmXiYpXIs9z/VjuP
8qrR9P9H2ZzrKjXyRcf5GAtUvfKqaFR/GkOtPLaiaT/Oc0vAX7dHYf3u1KjjUVTja5HJ3C6gaS5T
PKwnIsqbxs04ohc6CunB1HYueuI9Th06TIQAWxmvPImnXMHPMQgtrfOKTJFOUEuTMygD9WG1GLhE
di7jBjYnBxj2vf34nDgAgyJ4t9f5/xUN9Kj3Q7PgrPU4O8KziLJLOeSK62RMdxzEkWnCC7Vw9iHN
BRS0nhvEQM5uB6xCu1HHcoiDTtQ455hLrLsqKhaGD3qo+KSM4VC+tUPZBCXCz72O/TLQT9HH+cGc
F9U4az0ern6BSKzxb5oKTYCuSuPZNzuB7bQ8Y3ngdWkx6V4/qQrAZEWLo5PpJFpGG8HWKMLCnZPc
QqSK5JXMGM3cVXjnnMuiPDtWKjUPdWhrndtMear5IrWa7Es0OqV1bpSpTPxX7+tnTVFqxvh8vYBS
OeBaSVktJJ30WXrSW2wgMoqkZ5zgag+FiBzozXxkpbBzmGD34zFJMxbVqq2KW0cvLE8NOw5GRQ1P
2bgMXt/ERoDghuUPpdFdHaqYB5ffzsVONE3JiSIs8LutxK3V4sQhSS0sIt7Pd1VmdoTyVv9VGhzt
fH9Rd4eieILGI2EAIfztNkOHwxzs9X0usDQ792aYu0IS0Tu7Hn7/DyNR5F+BvSvsdrOh08IRhqhQ
bbKNuu49Jcn1yk3qUvwQfTgegWB3bgpYLcQEMNLpMWylC6KqtuoyRz43UWq2ZhZ3V+I+6b2Y6oFh
ldL20PzhJg775nR/onvRAfgecsMVHPdS+mKeorjqsjgO2q7v3+i2lJ0tPReaa9uR+akdkQA7GWJZ
hKeHrf6PXmr1m3oR4qhxt3NnrUERWRKIY/wYNlEKLIJiNCZUmtush8GZWr+Fprao1GQGuaJp/Q+7
FqkPiuc8AGhLbT5wXo66GpZoLGKUvqDQMvUJrLQu/tmBzj1Sy9t5b3gBaCg/h924Wtzu26lc6ios
K+maiHH04IU1D3Mmy8H9T7l3Ouj/ARelS4Wd0rrL/rr1Z1GbvZFDMp2qpB18vGKM65xBKnIHotgf
9wfbu2ogSYAxhsDN3ln/+1+DxaNs4nYB323A+Vtyo7KILk3ZTV4bKnOgkGH7UQ+T5+Cz7Q0LxJh2
D4xuA4Lk7bCVbk2gQGBzk9ho9QPAKisQQx//a5VKjYZCVTuGZ+TCkl+fG3JIVtg4eoCkvZv51pXE
U5/3EeaeKUdB6A5gdfNolL3pOaAruHnWb7gt/IVwXMhKSA2aQuppk5taUl8aaFxne9C6x45+Re4u
Wmxc7n/Nna2DGiccdWCGSLVsv6YzUgaLC5kNaqTKQxzj45ppo+WGJA8HX/CZfrlJP1fWF706yn3U
FTfBCTpay+ykQxIMcSTkiyqwvfNFgQW4149qI30NR6M2z5pQRXItTEOqvbBowS2oSwhwQU5l+5Ns
A/Q8I1tYXrNeDF9y0abmOTVCQz4IpfZW5u9fu/73v/Z5I81p3rUCCCoISIDXA8pcY6e6wCyGgy22
8/G5gEkKV4GJl/yAvE3ZgHSzqRQtw2d5Wkp8n2gya1Jbvy97bAjbrusPvvx6z22/BoqIzqpKAjBk
KwyCdndTlw0hg1U46VM3KrOLIynWyZmmeraZSz6lGf0Hn0f2h94RB1nhzq3Paeb6XauiGr/hdnmH
Mja7MY3iwFQLrfCjJqe7bBudUC/RhHA/1nNWf5Qf7jy3qwAaSc0aT4LvuR1UoLYETA61dUdSk0el
L9uzMY7YX0m5wiaiGKxk1QCQK34lBWRNxYkl6FKTGHAItlCFKarSTAUhF0hVaL4vLbmiNRjj+Z02
1sGH3VtZDheeiCtUiuN2O0lrNkFSYZoTIGy1Jjm1plyEmakXs6LGGcn1cnBS9laV6ippwIqOIPG+
HTDtRaqB30qDOBqib2ObVSCH6/TUGMpsPSRt75QuV6ZzJtSXxMHgz9PZ7mNnVav+f4Km2xvM6JWQ
/nfNyvZx2kOnlPTazwuKWw9ai1r4KUrLgc7oEMW+1nVdeaKHKatuo9kYdcft+CVqJECLWaS2xXuI
mI1BNqqEDxYFkewpDJPuqa7y4lvdtIvsVpVdLefGNsri4ETsxApUuajNsU9Wcc1trNDEtY62YxzU
VTq9N+ZKwWEOi5rz/Rt/bxhE3Kip8YpyGjbBAvSbDCW3PA6KQZrf2D3Y+0K34oNRdm5PUh8IgWzB
Z/u+2z1htsbSm6MpgsrQh8XXospBtleqgHrrFJD/uT+nnR0ICoKnE5bVigbdLF2d5GozOTXQr8HJ
NLfg+TF9TfSpcu4iHOWgzUySmw5SeilVWyin+8M/N9g3e3CF6TDdVbThhSv5gOcNcvF0lUKttaNz
2FbT4DKO+ikR+th7ZlwVkcsp6TiFyujofgSxNMgqUvK3mPuly5lVTHJ/Tuf+t4ae1+Lpk9rkV6u0
+P8nIWGg0Dt22F7KJZqeRvg443tdxpzrU2eaUebpBZL8Xl+HkfSAQGnNezn0+aMe9cWTEdtL/foP
jGHFWpRFvBiO0ubQI/wheqvXRDAoad7QFwzFNYymvAEQ2+qHscMa3m1XeFUA4J0EYkjX/nY/LXnR
DUsCujBMBsX24GHkitfjvyzcwsijnuqenNHLW5xCdc3ISmQPoGFru9LQ4GRocAmie7OIqvbvf/ud
jU7Qxp0OrwAq6LYkV8iKWKYBAHaR2nxzuerPErZlrpHnr9QOXN+QZwkSZMTBewOSuV2DTi/jGCeG
PEB4UjlD0+l+hSIsPDxbiz+vnxVFMuDNNMChYWxysmhtvVfonARyV9rnOdNMv6OY7JlZ8fn+SHtH
l1cRQ/m1xeNs8+0xzPpsaUUeUBL7JxeJfXJQ83NlKtNPujMOHnqsmT8qVfrj/sA79+CqNceIiJYB
I9+sZtiBFRU4Q9IB6aqTNs/W2xmA1+ub2wRYBBxAZoDn2JsoMm/1vGiblu2Bg9R1yaTqFE9YEEm9
cqRyvRNFMhThFGXHVZ9zcyKTTg6FIqdMyI7ih1iMhdeYpINJPyu8eVLs5ZV8ZDq7s/0dYik6WkwR
GNUmLQs7+jbGAJcimZsWpFYbPqYKHlKllRwgXPbqFXwvdOfXuIa2xuaDdYnqNNTAAJ8scSoH+rLo
GFP0tvzdwQe1hP01zZVXaxPQ/yUtp+ndACbW/BRFthoeROx7ucwqNUMrh/eNNGH9GH9lB93cCDkq
Zdgdsp78CiXqi1dEZ9LPipnngI8tU3yGPU1xrE77tPkozRUsjIaA23R7Q0/eq11ulpcBVswjYDTb
IrnA/dXNw0G8UghtvTf4raCDQQjTdtxGvYmlD32a0fbDFSG8CHUy3VLOlmtpaIuXC9KLMJmGA87z
zrkm3F1VacldSCw3F7ZdlaMcWkMWYHWr/UA3U/88R/Pio7LRXcLcaB4FvTjeN/nI53lvZBQtyKTW
TWltn4pYqecCB/gsUK05Lt25nOVAwSrA8XOEtWuflkSek1H1KOoNsd03B3tj70isVX+K4itLY9tj
YEfmA0c0D0RkSZZrkgZ9TyK9Vs9D2EjZ6dXX2MoDIXskjecm24Q+5PUiLiveH2CJlt/2LUqIyMr5
90fZmxPVbIBQK52Jm/p2u0fEKJQLe0bJFesJ4InmxvKM7THP4sGE1h+8eelRi0aEgzov0L8tKg+n
sKyWOhNGkxFml1YIK/G0Kba+TdkYa/Rs+uLLaye3ksfppwE+olK39QGDGQxd3UlFUAB3Lrwplugk
wPGkUdEQVx6MtnN1UOpVgTSQosF326rQFDolSCnk6rAHG5HmvkxXad5ijN9HIKiniy5au/Y6CGPV
k1OOceSGoQO0fW4Mab6YvMOzm1j9Ep7GyinTk1nreDzXhdqFrjC0Wn/1B6EmsYrA0sGlkbw9yWqL
gkaBzmZggMw6Jc5kPBhZVV05R9n7zumWg/GMFxsA0DtVPKQnoJIgZnC718D6VVR6yjQIm1TziDoa
L7VR5i+04cjsfgcRwf1E2rpiQIngX+zrrsZlSenygAWYW18iuFY9ekvFpWpAquF2LIsMj9+2Li+L
1SSE8lHTgdoo8wxFxqKuMrjHIjYfYzSEMlfUtLp9NRrHyKfeb47+kI68wfc37A4kfa0RQnZB2ZKn
fgvkmFC0HJuKp1DIKZjIMeQ2hO2nLqbXhIb+H9mpA2dYOFw6maWnn0SWifmNWeSrzC058FEJ4OWh
hUHAAVqJBCsdblNzYAl7LKn4QaNSVp+VRDJdbXSc0wAh+0vVT9/uL8DOcAAKqKisURVt6k14mkjy
OOZDkkOeGsZLjO7zuz5dwFc5JpUjfUmPMryXbwqnlfyDFiX9CNQVb/dkqneFJmUGUKSkSz6OMRBx
JZtDH1qVc0or3HAXs06+oBqdHoQ96598ex2Cs+ZaR2xtvd23twXkjBLadzYEVSbXp8Vuc68pVCu4
v6CkyOuDvB2IdjWpHFcgcP/NmpoiCeUhy52gjRotPpswa6J3xWwZJ0eZpdgVozQq3ohdyg+lG8v2
FBtTa/loYgyzK2xp+I1/BskXTG7zezcZ0fsqzMGVGHWL7V+jiKF+Qxeqa72xmOYSXAHW0mCL1AjA
zRwiNlZH3TR8aMciB5Ky9AV5bxbm+KByCBuEwy3n30bOpe96bYgPIuvMiIKhGn63oyheXDMngvKB
Ykp/FpTFZr9YhvKdIqLu33mecvHGWabpl6EMQwpTxRgKT8ugbHhMJc5dNOZQyQPE1n5tnEmO3YkC
rHGuOyOevcWx5uwDSmH5Z7kQ2XcrVcvvyrSkzSVW8/ZrbFNBPynJsixu3oxjJ9w+zLL/EEWJy6Cn
CiW5tpPHo1sZuEt+GsOiw4cBjlymX8bRpF3jSP1c/RslGtXIea6Nj5Jc2j+T0amNU4JC0HhRcc3K
0MnIuuZNJtGTfSOgcEV+b0x59tgLaZYfAbJr2s8hd3BzhPEzLr8GucrQl6pzFQi9shShlzhzTs3B
lGj0NVwiH/IirD8JQwqjAfLO5Mi/l6l2iquk1qP2NtVKyrjYdU6yypVsSQUpPpa7gHV/q3bcmx6A
sGIitNWM3/QwCvORZH2+ZPNSt14PGtS6TlMTD9fcHvLfcaj23+lME6EIkB5fehlNiCtlg3hwQZ6O
hZ92szq5aApaeL7AA6iw64rH2gM6Ff2xi0rTPSQC0sXtC5H/U87RCMlXRCPtkdq2P6IorORA00T8
De3tqob21uQ/OtRKc0+1W8LvWSO/AHcHmPCEh4OoXUAGyuKKJefdz5vCyVwD5vTvMEJwzFMUIDdQ
BKI58sHOOblPoDR9DedYeUcLufsBtqErTnHVZs1pyKOxIWqwh941kW3PPdtB2ddrjKX9QxPG8Afw
NE9z6xSJm8yd+UYqehv4n0WzU5RKpng0ajIvDSuz9wYnTp6ktkHk10DIuHehe/ePWWrnJYZ3ZfM1
qrP8MTV4rqRCVD9nzRTORc1mpfJb+GS556A5/JR0JZbqUqEOk8f2z1IcPalQu81iWP8pgxZ+X7AM
eyjTKZlOMH0wKirkXMv9Tl5C7U1c1yqEl6zSH2Iq46UrV2P72CdoX7mZFYVPyiIn352eLBCdjyT6
VGZh+lk26uWfWErbxTOSWJk9rOOjX5jYxBiNqkOeeBlSCZEr4Yk0+2FmFfa1Urrpq6bW2genAo7m
JmWUfZ2yxfjiRHo/eks9m+96AdrVjxN7/FXq0qy6/VBSKW1su4whZ/UaFPC2SlHOtnBR9+NymHvX
KZdB4t/33NZE/CGC/WX6HvBbpDCzxKpTv29Lo/a1uU3mX1AJOcqtkxixXy62nl+lrtbfCJpz75cw
dnwBUxmpGvxRZxf8o7546O8OpV9SSxGuQK3OE3k7fpQ0s8EVrbf19/KUpT/QpQ9T38mLvMbPsQsl
d8Am9btVW9kfVJ6J9aKVVocVTWR17MICV/IZ02vPmJP+WxzlbeTVUyQWFxsJDsjQTB060EZR/8wM
/IrckMtM+G1NqfDcxab51ZTT8U9r2vlXreiz6dSZQ2d4TmvGHwwUzKILGHvISXNR95Ef542xltKI
z30CfUchuInC1h0jSb3obSais1bSrnKHqG3eTpkqZ9x0YvwSqio1r0IvWbbSSrVfiZxE8Wlu6rk9
Z9lsU9Ghz/NDW4o09m0qZPhIwor+0kpx2HsiMY1v1PKa7pRKUVO6cEWXP1LRlSurcLIXd1Gk+Rv+
xUXjOZEkro1O/uz9H0dn1h2nrgXhX8RaIOZXoLttx1M8xfELKyeOmUEggQS//n6+r2dI2m1pa++q
2lVm7jxMB3Ai7YqIM5NmniPHR1YO23eUHCjxNqU3m6Wpqz+qqpzJoBkn908EEvurR9TBKrsS3Ucf
7tF8qjCOi7LUaHwX44a/K2+b5luqzgZcmLVlI79Mg3yrWMKoHU7bZuM4nxO3fxCsSPz02BexubZ1
rfOorf03LPmAHt1mTeRrqd1Iowvcxj/Ht5KF6+g5y+moRtLVREzkW+AN2i0wtdZLjuu3fZNsDqmC
V9YJCc0ZSZTtaM/xxcBWx8uORWBcycYRrrbReBzxKXFMjNgndpBMIJjFNjQIJAJftwzLi5rk9wJm
HDR8KcLCLeRh1wknx/fQG06tccQbSMA0ZwjIkEmu0+R/qiFN79iIYvsz3tm7yeZhWkdC/vr9p283
eRt2tYqzoFoQlvFEdg+7WPbXYOqO16mfOasV2RxfSUkzd5oOumhqRydubNvhctovVTKfA4tDd5bK
Ve+ovbDjzJx2CPpbf96C66aC4K8mygIBcXXd5Xu7za8q8Ovu3G7sCmwQCtMN3krHDNEUqGtLnvgf
ktCwet8kf8KK83hDmV/d6jQusfmS2+FjF+0FLKCPg6IMumpK71j8KKtiX/f44olRzblfhtGY47mp
/4UjeEV2SLeuz+2u44FbVqVfsA4LacdUEyc7Jl7LnETroyZvsiETEbZ7+FqbaDvoLeoJCHrqA7pG
VAw696ql6jPPjOlDXdWYZ7h7aPO9JyMoC/y5fd/6tf43SWG2ooyHZAfMdqKfle9O3P/QCUa4rT6k
wcBVFCUUD2s383vOgnVUD0ciVpXvcHVPhE+s+1lR+6/XyJZpYYeSDlnyEgkgwn1N0HU3uHuyPsir
G0Xl8ksEkzhYTqm6l2U/iIIfJ3R5Gfk/yYPEomcrYltyJiehrbrq2KD754/O+Ng5oz9kIfbRJq+S
RHa5adPNFnv3XbVgLPaftpqa6KoVbXOHDxlWSoqktTAfw2V77Ihu2C/7hFPPmSrhPiYEOFuaAm8/
Tesg03vc9dqfWC219WkJ5ngoxnBHU7c738IM3pudinxUvTy5DbaSmaxcnh2Cr+oYY5TebW4dpwIn
1MvUy9ywAML7uFnJFaXa/xsP3T4easf+zAtqwjOxyTrE1aFH+5l6a3VR0Rim3BdtX6Zon37Uu69f
XHfgGcRgvzXZOKu5zCZBhc0JchhMNgQuj7/TddhlJDEKh2gx0e8+ablh7rH4N2U7JJqfAMAzKxeK
cu71Ro5Z4NTblFViiu4Y6BqbxRjIyiJo/dU9Hd0kBDDFTF1cfBuGBcIgpEs9XgeCK5ImDwiPiMSI
y7rsMsfs5cjxq51bhY/TkEk00fzLZksfph4Ej3cmHpysNKkxl03DTsLU9TReLRkB/6QI1wa3AJpY
pKwDWY29EpyVcl+7T4JAbYkdbO09D4OsXp1wTd9jrBcQBvXU9LW1oXsxdV0u5+XQAxY1SLMWgGnp
TPmibORw4EcH5iQap/ctdTeZ93ACVwRw1uNVbxv/ZVjW3mf+8Bo/k4tAPJmuizee3dkJ0JmGqEEK
7P81b4UZy4cgOWKb1QGcNLNuiLkjE1a/ZHIXtTnXMDQakzln/u52Y3fNcH/t/lvFeCxXY1A7T8Pg
YlajkOi/et9SlDxccMfL2ghVa4YOQ1yNRN7D1eExSoKTNetz2sjZzTsSuD+U61W3dcy1I0re7+cr
LOy9NmfNg5fEYdjpaA+H4H4JyrHNuqT2bszueOYyILJTWZ+Y9QW7jJBP7YY9eUl75H50sm1vTFSa
Lh9j7DlzPUv7a0aip7PaU5EhEdW3Nq/XZdMZzlGlJJ/YdPXJW2nE83Rksik4qt6YwyAtf+su2HCt
SZu4zXhlHPfOc5Cc/GA4iPtMtIJm19/E8DQ3zaQyLGDEX1wAQlqQdMQsOp7lcDLtyCELSEgxmZuO
82OFdnLKcEMo//NXT78dclhsYWk+Rr6n70lgwUttKba9+zboSGy3ZCUEJTqfeW6eVXukD8gaeP+P
aF/MWR3JEGTtnFZ/9eyXf6A4vSEPk9nd8qgMJH8txrn3E/TR5xKEdNi1Gz0NuEEu2egs3X0lXUla
/RjaPzjc4YWeelYkeTBJZYo9Xcf/2A1ffn07TTlnQz/y7hze+sWM/I36WJBcivSw66yje/kz9Bs/
nlD71uY98uT7kjV2cxZO3/xlRLNfvexrBfbfc0SDQS4d08Q2m6ytA4pwaUM+sDEePmc9M8agxO+y
9PUd2okwyLtR9n8JAVr+BlXKq9EHGH1lc62OptCtE7wHK7NZjmTevDPQUsgoWIhEE8rzbVcNQZPv
XrPVBW2e/P5+BjhwffT7R2ijWWbk5jBbhuLwP9i3o/Nxmk3bogtT6Ns93ab3pmzMZ7gOiEbagdEp
QwbjPNCxh4yv69yXl20ePJOtq7b8mvtwbk7EUiuEq2g7Na+i3X8PDWZkmY4X18l54NubkuwTqs3S
7f85pmp+TMKq9ufoITqanCF6q1le787S7CkrIZNM/R8YkDeySNRQXZISkWFB3ymRynj7Ji/DhvNC
Zpfdr+izy2lE4CJWJuchEFzrwfa5W0bfQPFQ8YwTxLL8Ix8k6TKzHw0zYKXn/vT9aH8cTmB1FiFC
6gpqdHlvZ7/5iiIdtEWonP5pE24zFt+H+sdEcspC2x+5c852h7j10ZGDtimNTs/QPT4newSVoIyx
bo74xOH5c7r1sysPtJCpcxDlzZBrr8Y2nb2M1mp5rZI9sXncYi6ROcvi/Ol5NP4rbTR9dH51pJnp
05XaH04hE3FE1+UF1ksof9JJ87aX6tfex2GTLY5d4jPv/v7culPzB0HO/BMfnuFjiQ4vvtjNm3UO
u8agpKJd8mIM4zrl9THElP8B8W82MOEwHHd18GddF33vN/y9WUPaxaeV3dAzdR+mxNug9XlqeKvD
3J2teez5d09946TOJRq8/Xc5DOlTuek2LUoHiRc3YV54mQOA+wxRFh1XjYThemvLo86dfvURniVH
KApjxua1o/e9pEOSfpgjCqjj6diG1Dts4tHelOk/jPvmLqMZXJZTupRBf8arIWlzP6kpqHtphl90
jd6twTF8zQIZegxgsafUeXLn5I8t2/0jMELfhN63VxkJmPsn5ZqzkuiQvzAd1pEqiTaxyjwggE+9
h8nDGh/zkftR2/xHf5QG2Z444w37KjoGpVgRGoAHzOV1LQ9wJDW7h7m0qWmB6t2W1yM6ljhloPWH
S8tkbq8WTC8dFvVDxzvVqld3KGT2PW900kw8TDMQFMmj/Pbx5F/6TImx5znzd5P8cKRxX9d6WR/Y
nKUZOoKhvqVpZlzbawI9UESobcj2TQDYNYfj0xeiKeyzWuJ/fxpCUf10Scq4GoWYnsyhlEN8A5Eq
WekldipMWccywyHJjJhWJEmT1/XO7VhZZwEu28R+SoK6/+/YvPTDdfTSkp+WenCv85Gu2ZbsgnTX
BGw8X1fpv/juNn20OrUkOC6JMVltlXSvmRtXQ8dqliYnpcz18hp0ucrCxMrnKpDMG9E21/eukzIt
09HVzpllSVgOdjPDp7aOvLHoBRE/HKsZc8/Ai/CfaWM7fUb9plVWbfHBW58m6q1rbflkrF8S+ARx
8U/x09x3qWCxMfb65KdttOUzDu33hraIP0rEX0PWtQxlmSpBtrNgSas/Glu/Kh+mWfLCVHUyn6R0
/H/CN0ldYJw98azozT+yUPqsqk6pSO9Lf+BNnQFo1NnbZdLf6GPeHpy+HWqUhzp9lNGyUqAd9wDY
iBdfFw5o63g6wsnhMJDz6WXucIibaZ2igA9cRu9Y67BkA9U4/HQCr74jEANeN1ns9CveVxXkbtTY
F9OKiu+r2qMbZ5mc+IbVxMSDUFori4NxFUc3ZGHbL4lHF7ELKPW+ZLADy1SBi4HzEKYUzkX36+e4
JR3jWzmoOzqzfb0M30uOWdqA8eR2lPZhoY39GNNoxTYI3v01JaetZiBX7YQv4Jp8yDHtXzayDXgq
LL63KC4TZrHumLbHFCarZtKehHcKhmOIWGyL3WeIQGe5HvHsmrO0FNF9H5b+TczFFVmyVeuHrcLh
Pzo48eUPO4RATRwrqXDSx6NHljEkjdaHt1zKsXF/sMwqFyTc5WSLxFTyT+OvewJ1llYKY4k0Uid9
VMvbBtYmaN6rTp7oBYAWodsaldVDPX/1LnlaUD/l8HdbKspnD2abFCaZHG7eYYdH1Xn1F8IcZmwx
r9vL4Sn7sAe1+c358J9YQw7+I6dWdJlV6FCxSCznjwEPi7uqmipxObqt+rPTMSb50u5gQmnMMJYd
nZh+VWYbfx+d575voyefF6yb3p1BLdHFoFR8wMMg/tM0VSlPUu1dW8wgcGNxOPCKSNBcQTKmEv8O
9Oa/Ff5E7/1oB5vjYsTgSqcqPocdnL/A3SrizK1ckjXxO7xmXa97iYISx9lOlGhJAt5/N0vx3U6z
fejTJQ9da+0lXUBYaFsm/QZhLX62cTo9r2E9/fDmJu6u9OC6ddHhVxLkhsfEZrr2XVJIBJa92W6C
6qV05r3KbCzaXyatHcqmNa5/mqYl/Dc68Q6cCu/zfjQrzot138gAaLtz5Qnix9zIyNgYgUOs37xK
1DNFrfLjy4g/eJJxLhFX89Nhv7Cv7i2FiPLWlFMJ4yq97QvRIlXF3WsMjWGYJufM9/VN8nHMX3YZ
W+YFzZRz7UtrQsQF8IeZTDubZLQe28fMksKYYVSXgMW19LJZDyswZrNsAoJFNBUmG5B6N1AmKwfL
r0T/TwEwgGd7LrLPRfnjOUBG6OWBXn3G53ppgRMQsFXZ7PSMxIfE6SULR4knMosXfFd92fePazeT
/FubIZp4c6c0zat2Xm6MwHKOj9hubTGQA33Xz0Ma5cQTuW+lXaIvBX3xPFYbPYbuOJ8rfsQLOGE4
BZQn5aSF3yN/FdpglGqbuHndVn/zXwlSCZ5mFGRyPCcSsvsXXLX6t87CocarZCXh8qJ468ILDvjy
rhOwqbk/D8ut16DduGIHaxtO+zaVHyu145rO0A7nVsZhn/eRnj6DpmyP01T2yYKPZwT0TLBdyug8
bevrrEwNykrNri9brNe7VGuW0gnT3r7q2XxPbAyIP8O9k49748Uj7guLb2j+2+HOSE88dpt1m9PM
JliTJZPav9oh8n9Mdby/hJCrvwZOaYjj7Wwed+svf6Z2jt5GCHYQtCZi3Bz9dn3tEXZPtzG5NQsT
UW8YK2dB87wNXgsktG0hswSFtJnvJejq4l31U+JvHSBMuIc+0L67T5pAeXTrQwRYsKjqBCswxnQ5
7U7n7iJB7k714pXMXJ7f3EjS/vjHIxFhmZNYzy0W6utr63T+YwJySruB6uafcYX4tXbKeV/4LF42
umm5wwspj9VQpvXPWPus3gpGZJjuybQ3GkxLFrWS3zggVeYeg9F+YgVNmPnUlnwcWA0b3bCEMQZn
t/ZT77P3WKLMgnZZ9TmJyo1OJqWhxCWMiZ7igPpMx2tWRk15H9rAtfm2D+nzaGY7XwksW/fLNuD2
+Q0uuPJKGIa4UygGu516f6x+jQ6aWOCLBUinP0wd5S72n21R7/Whf7hR1ZYn6x9xWoxjlOisUZiU
F9O3kT9tiR6f2A3Z22zBgxDRd2z4Irp0Mc8AEZPK27R3k8/a7UNYwaRe3Bu1ekeYxbyeda6kT3um
k7LvuEy06ReIoeNKqJXBYY7kPBTzMMw7+ClLIiffG10GwAYdB9DSjrDjjH+59R5Zw9hQbPLG/RJ7
mST46ITfMmQZ+IN7IkbEvm3xqlOSCmPNHnkElZWRPWOOB359s8h1BONW6C2RP3i0h/dtMf5V2vbz
344XrL7aVDd258TsQ3uO5jl9GDY1dAWXBQihFfH3hlQbdelp8lhLzZo1pEFsANjl+ft59K4r00zx
Xcug8LfsA4wB5s3/Pel6n4q298YxszjWTHnasxWDCeDhfYVjQGeTAYfp6OLFUujHPWzW4x3Qw6q7
Awg8OgW0MTX6CVP9Y4Wx2i8e1N3wYyDkh5FgrePhbWIpSpy9GReDAlAwmK/9Kmir8xYv9XQf7LK0
WWWOeLw2wOkLk2hA4DL3giYYNLrZbwY/UN47ZYuJJpXsOzRZY5Y1yvqGN/jeun0TPjopZix+5qS7
1Se2VPsXuqoyuhbA+NVDNG8Mdl0S7qIY3On4nBqgwD/r95boRXPQNFfehbirG9c7+ZS89tRUCf3w
pkmepuqOg3dG/LEym3J+oFI9g7Fcg4Ws5r+cyuAGh6xI/0CfLKZXkjIS+7ftnVVxgyk+Wcf4yPel
GmXv+yBZKW2T2y54tva+fxdbGzU3TLtDl7s8jHRixtRI3Ute/OjvFIUyvQDlD1XeJwp+pA6rdDvB
TaRv9Z46yP7mQ/z190DZp76M1HqaTNelsKqjVncm2FinrtNgdi99LYR3hye7412ctoHUcxZK75k6
N39Z31lc8n1LDCs0XOi5PzzzKasWHKQrd2toXlLva+MP326B4Obu7ANi6le8z8Y+68gCsLd12G5+
LlmDoLnFlcjP+aHn7R3LovXWw6Fi+eQhSUwO0zR6j045J35eJzJ1HgMaNnn212Pd7tPSJFCS3Hfz
05vWxdyBTcfBu4cTSXxSVgUwK9MuzE27J0bfceY9nTNVSrxCNRegCKYkFtm2qdD968FrL0XSAMVf
+6bv5TUwLp4OaOt5NHSYCEWd4nG4WkIt6yKMGqMuYkU2lJFYs4uXHjhIZUNnXMAcF+g8n/fJjndj
rKj9PXOrKswyokO3+OcMWY8DcJ8hjHB/uN7WAjI1/rLnQgapZhTCpPUmBWj7POQOp8xyotInBtXS
P1dziRshKwRmux3TmXMDpX3YQtPqTM8tvgCCt6nBmseudnWKiTSDjo+5lm16QgMQ2byc9PYhumML
cpZrgiPjgOnoqurjVp9Vd0RMDSk54ycxbqPOl4Bo2kKRwbefShxHRFHrYN5/dckgXMjJYI1eQiW9
+CaFS2UoxFsx952RD07SnH5dZluKXBKRMOWb5/MBFCHKR9H020a0rd61tjfffs57YY+gaU/s6wh+
rOhgU6d2FjPdp2YMn/jDeRAnfrg3pY3yikOvKaYi8PifTE6KcHtR7VcLl/0tavCJzoi2SNxbt7au
OcvU0EmEhv4Shs6hraujapA3baV5B7vaOaICxccB242uWe45sOns35DSEzwHjLOo7FqNyV4GONmN
jAnlerwhL52HDO1QUkInjEY8TOlalmcXyat8hXhQ/GK2dqh+AFzA+qtGazBl+Kzo1Nva4w73SkFd
V723vQG719X5sCXGodilRXMhE5aTb+ow0fZ+XGPnLkROkVwDH0Qyc6TbeD9CsI5XXqNyKzS4AvUd
DOlZ8C2AxAVdQARQPELRud2arHkl1GxudFxFQ9Y2jI038ggxJCZ+z3sCgmWWEHvKAouKHNYu+R20
H3XgTUcxmaMp8yE6JFHm8xQ0RTsi1Pkth4EW14eHarPYh9y+WqZGuQ9px1rmediGxL1zSeyiVG9g
A5CXECK0N0j//fCEYWqLZyY0V39K7Mii2rootoXqtgfN9ZDzOvd+ibz8Z/htgPKr03Vdw/pu0LIn
2ZYMuAFq6vBZRo27FeuGu/Fnq8tkhhWgYPY04gA1oLAuJxx3sXK+BAvY5P0hvLYpHJSt/kmHJtVX
YxWo9ZwiV66f18Uu9A1IssazdUjZkP22T1fGKP0yIF/8sSxtshSi0Qf0IYKOwq+9cLyN/XaS1zxn
Q3kV2QYspNEKRnBp/I3cFL8Z3gG2yihv5qSss6QM16/h0FGD5UC/BteyWnCE2lj1+JTSUw8Glusd
Txj7f4DEBfHXevfPYMKOuK4a4Y3PfG0aSksF8VwI2TplFh70vhYHZtgtZAT+eRyxWnvBOwMZekzM
3r92Vfa4Gal+5uSYJkHuQa3D+FzCzxjumXhCaDFNbj504Nz/pt707QUzkG7IFwjruBBjHG3nOYCP
Z1PNOus8ZTFhzARsu+62ybvK2cYNr2SwmFtErc12jtpp/uCM0sthg2LZ7sBRlDwXryLqXIlDwIBs
x/KLgWHYHpYwrW9ZUV6qS73sm3+ewIEBArYOalalhzeipBn9spCi66Jswb4dAU+0gPupmZXXLGTF
bcis45u7Blo+vTSG+pF7ClYwDwcr9isxLwxsq6Oa9Tx2s7xo9FRV7vdsGdwKeLGhKFfWj68SfLkQ
2O5jtxfsUa8yn8TuHYWuwmnNoRF4lHnJGx/qOviOvAnj6s4SF4Xz+GgSwLu0q+81Uk3EQvUa8oM1
3nGKGk/7lz0dl9/tuFT3GyvQyF0aPreHBfNwPhiV3up6ju53PveYpyVBPsCWzfTL2F78wVuhewrC
Xn5UpTcgrtiO4Hj8Ftckd56/gasiT1K4BYFryxz8aToyg3Hth9+JuDsvPWFAvYum8HJYZ/znNdzl
c29LPZ5J0QvDC/dPJydRx1t/xgMCAZSe9l1ehBN19hKhFlC5aqo4PLPjo8qXbWUQLpYg+C7+o3Z/
8Yd5y62mGfX+kKCahpdpcjxRTLU56rNMIpWe95bAiqe13JrXoA24rc20lL87UplAJ2zgf0DloNFq
l8486x0w8GQrE34sFUsh2czwBg9MQ8Itpxa9KfC0Oi/rZf7CD8odigbe5x60r0MyE+n4EZeBBeFC
Em7tGebc7iADdelmrj81aImm1R0xR6wiUO/BHV/ryaav7R7JL4TAQX8X7G6DIHlggUFsUz/k8VSD
n4Uu4Wfs4PHJnnU4T/UVsiyS+uwGKv2yxt+EBF30+jMy8/6fh85mwFwzYR5NyCH6hHxrm1si/njc
yyhSwQ9/10q9G7SQ8bnshAouS01JudnHaW4u3TgQtTsrf0MPI8zAImvJ0NICF9nrtYn1M1bAnE3H
ieTHwHrafwY19U8nxTk6HyucakCEyUa+ai2mA0UUG2le/Wrc0E75a7Nf1TuZThdnm+3TZg1sD0A+
zjIa9j0tRLLDC1VOz058UjfbXkjJ6IpQw+zqCpHSagr+V/cRz3qQsImVRAxNmWXrM0rp4d+0JRbi
aY8hmmekDvOPQwg95RHBbU/Dqo/PstzsfI2ojy+CxkFmiiiI4Zx0+9iqDGhsH95gsVFHqKRbuMTJ
BFedsd4x4cQshapPK9Bqe9dNbfNWm67vinliGf40xnMyvfe9X7+zZDCiW1uitEUfOKxevpdeSS3H
wkJfuZ4ODOZNg/ufLg36HLT24YFyymz/Ke0c2DPMzaoxpWjJGYjDkAStxBC+UsSiCx/cuF7MZ0+k
apCtPixcblzFSnI/OvWUz6AvzbkOviXcKbYvGAP6Ur4Zgcn2eTELQbXUpc4/dX6/oyk63LTPVeRx
tNU8aNJ5y0jq23701ggBp0AmMNqp8jjtgpBWN3WiG2+sJntH/fpuO3H7xCMjDlF9VOypg5BWboms
CBZlvB5JQ5uLbUwqwFEtlrqYPREN+Bap7whamQDx7VM6owQGDkJPiJt1mK2S/S+4eQjcwm41RA9q
SRcZAwWYcMrKHqI41j5erhro8T+HagDAYtDfjc6s6uggmnp+2bYm3a5tbb1/kaqj8rSAYP9sD4VM
iDewvoZNjaNvgnFYT8jXI5ZBbB0UMILhy4wgJjqxjFD+w+EQdQ3r997jEYmhvaxNGcXXNbmcqHh9
5QteADkz04aHiwqIibw+VzSCySXkd/rlxjPLW1Wr4+bSIzXu/6gF//2MXgJWma2LUVwB7Fc3bNE7
63UgwrT7VrIcMo8Gy4QuABHnpykCD8/EmADTqTbx7A+qY2vyMJXJKfle9Mo0nIB3FWJHO1wYdWrW
9Kqu7m/QHncWWWWoWGKPwcrOnOaxu/OQiA7cM3CKE8v95c247MtdraOSbjFa3Wfor+2J5Y30Y0FD
sXwTefXkgjC7dZDZw7hfzZI6XaahJusCKsfzz11qoSfA0Xs0XRYoe52b5Sk2gWsK8k8su5jrKJNM
I30zSI+VESdw8w7azmsECnBQ9uZHR5AXt2/xdAUVDzL1Ho/+5Nw2vlybIp0hcvPA7bD9E7Vwjp+o
LsDO9FymUWF6N7zrUXHVT/vEJ25Jgh7UmqMrae56bb3xwT/MAk2n9jq9+E7TfEcTKO/JZYES1y+n
EfbnnE6VySJX6n920q35YUFxpwd6jf3b/yApaXRHd3IvkKd0G0GkZ/EItjSBBKBIIEBL2Pl2UqYL
Mr/EBPflAMGlT+oq0N2SRsH55c2zs93uxNGNqL1SJ7wHwOq3M1b/YfDqTP3hFwizLOBv1PjJ99xh
WMFAdlQXio61yTrTaoevSaaPLSMXADTUpnuFJDn97aPfbs96DTg3adpbxIi+v/9dt3TnpetmyOMK
LQyHqtTVl8NyyvZU+Q5sW1J2g/8Y1MmODhS4xzwe/rp9IIntFkSpaO+yeTui4RJo5EykxKeOKvxj
VyqfbLw9HmsrNjrUcvqt6XMq1kgm5zfhtnSBfSjwckj9YTMvBF6k+m8ErIsYPDCa/ZbpkPb5wK3L
fdRAPogexBoE81VjNp6hCk3bTxHvQQCSEaa/Rq93/8zpEr/5aO3X78lt/j1UfZs+i7JF/s1SS5ve
GldW/aM9/G/MKWmS+SIqn11vUB20b1JA1/48GrCh22WZ5/TWkzEMQaC37jlkPzS6d/Qq2gsNTilO
ooMKIXMm3RyQKqdcmFWjqrG3bQiidDJrtP1NeVC3XNVSUoXV5I6El84M76XnKdB73PMeWlSFQxY1
ckVAMTLbPu5AQFOBLdhYZvQTgz4H8ui3DGHrgrMn4WKg7/bb+YCBaqM3kQdZvYtOEN/p4Ch1Hi/7
BJg1idXPK753DK/W2Uz0EFEic/bVlu8OlY3OYiJcUQHNo4K8KbmCab43oJB5Nw/JRJci5zHH3JlP
mKTSXb4O2/qi/lY4r/uJLaZQ5B7A9u+mM73J2KD1xWmN6zi4U/g2VUWgsKS+wwMDEbRMhVQvPSjr
cd5JPvk+jSmwGrsVbZ8fkRr7c4DYZEdMydjS4vqBqskHDKDuR+G7J4GKchpZb7h0jpLLD7N1zYu3
yEHlm2p3p1gtOls4VR/VcQAC/XAQj+GciZ8b/NMoq0reGG9u6x9BIjf6UX9DZclXQ5c5Nma/H7E4
wBhs7id7UbadWqZJNSo663S/YaOj7d9ZVY6vsCJcn2ayfVsAeSn/mDDuv2ATkxcybwC1V1EioD/E
cccWYvfQs7L8aMaJbEoL14BGc93FU0+7C2sNYf0UbDxCsJLYJdEBmUXnZf8/0s5kuW1kW9cvdBAB
ZAJIYEoSJEH1siTLniAkuYy+7/H054Mn16YVUvjcPaiJalcSQObK1fyNAMCs9+2wH4tWupc0Gg21
652o/c5pqKddTlHPcNsY8YooyTW/5c4wQHeYGwBtc2g5P8PJFaGXxG06bYG2tdXRjWr5M9cAqHp2
BiyCChH3NFR466SymSin02sPiP/r1HJHrFNpu92bS53qN8ZMnN8yiBCNL+M+WA6pGcpv4JygMYg5
dx4M3HqbmwqYXUcTShkjnRMnKG96ZyZIt86A4t0wOdZLFKeJOtC8YN5Vhm18kmp2oSUg5Z0dudQ7
wKMq1D1lqSb3QKUCf2uzxrhYqoUZQ4J2aXTKUca8K7u2PAZFCSRJ1AEPNcdj0HlBqZsnR+VEWdmU
7bch14S+V1FCfKcgJ8jyI6mB0jiz6xeDC+Vxiuy22UZI6UhPtyLpHPOYNN6Dz2RWYE0KCx2pICwV
zJUKbFhij/nblDn913nW6v6kKX3EqjQczPvKsKrZ3AR5L36ESjEfMwtBM39EfOzbsAj6eDWK0Np+
IXyhiYuzFaxaJMb2S29RZNGDnaJ8b2iTEUNFGPvbSNOKH6h0UO7Out58L+MsKfdArsAdJ8NAi77E
J9wiFy/0r1hhtdEDfJrxkWoEgtzkzO5uXrg9QT9IHZZMw208k5a/Yl03ThATe8IZ1s7ArHTpAGPO
qSOvE7CTj8hQMjYz66h+g0uQdhsnRcBZyRL/Zyfo6dW0Sxpf0NlgFyGoObVbB2us71heJ09z7MRq
0zL4iDbNDFxjE+fxMmzMLIrBU61DwEsHS5/JM4IWjIXqDBDfA4PIejtKTdAgaWf0wjqEMB7MJQ+Z
P4B3eFM9bGVfDeOS+am+2M1eCQDf20CfZH2QJGvBOp934+3AQMKrtYgcDHX+8i3mOEanroB+RpNQ
iGynjZIw22ulSTeKB0ou85zRBIj8GowIyECA8IXoh8XLWkdrvcoNp2u0lkb7deFNoo1C3qhfVMrM
YTslvRj2Uez20rNHOafHTE1mzfuyiBTZknUwd4ZoineUMGjzbybSSbaDzkyDZntVfketC/IWn0LG
O2acK3Co0t1XvQJBtQEBnsXXi95mtafZDhgt8hLT5OWaBRG6qIeg3zeQXtqjo9E8ZyS7gH5tOoM9
14JhbXfwPUsX5MwMVDeuJE0uN0S/xkMtXABRibrrlErtSqmuDXcq6kJ1acvZeJUT0qhMSIfRPNA3
muZDG7tj9ZK2qhXbeADrflpRX9XOAEJZHejgOcPO1kLYWiQYjnNsjTFJrpbaKN8ohOd7oloaH2DE
xFdaa/e4cU5hbF0A9nYfELSK39TYgexvGVCPV6SpcUTZjhr4JlcDVzO4qCL2pgjg6Ba6AIQiBrAh
3aOSYnCPuhoetnUsuZqB0lnLYUyGzryFGmXE+0B0ySX6rkvntaS66XVLhbEveolGl6vVDdESM7uf
WAOZyQno4PDsmkF8LQZGe7s2t/o3EL7u90iBSrjU+mQcTvkEwvkly7u8BTvg1DbETRdcshJQQHaU
hIPLFZVNysdoq/iPsGc8TgZqwQzrisDccs0v6Ya7r0d8lGKpRcXXKMyDNvamtoNnUNzTjI5/ltqg
vVVA8IoN9QvYrSbq8xctL8gNkQ2olyPzHjv2rChLSZySKfJwx1zHVY6MAReRx142dAyKXa0Dsd04
pkxNLzWUZtGBX9RrMUUM3owBlg95S50uu6mAIeplKgYLOCDWJo+2BvrjkPSL+KZ60FA7A1B1dtBt
Fbza2CvfN33Qw2ZmlnYD4wOYVD8BaVkFbMDhdHkxd75FH3uf2vNUg1Zg/+SQ2Yrma5QMmjgCQUSn
sJHWOB1q2pk1gSB3XiAByzugEeKVeD7YKw4qDff0D+voixHpfQUun9u5u4vSsWQaA0I08JJ8mkcu
HitOj4YIBRm2PVNWUtwX5U6j1f1c1pHZH+RMkcU8Kizzq0jgIwEvLyj7Wz2yqnY31PNwmQ5pAVYU
YCNFk2SKdwVpotSBtMYLg/tcVhgpm13cT0fNoGO9oWlqHEWV2ToYrQlmDoSLNtmh4VNcWElRmzd4
aETN3tbWNks7uPEtP6j4DkaY97NZmHGRqc1GRJ8At9zqiwwmBhjoHHdAdNHFh9EylnN7SlTp5h4y
aup7ClcOHD36x86BuKYPRy0CfAqwwW2JiPS/HwCXz2TOVi3Cq7Dpi+56dJelp0eh2IXwTUMKoQbj
7UPbQ48/5E0QqHt+VEFLFtpNsB0DXT4GJUPZbWXEFLoqitwAIF1BAHYj4H6z3sMbHxj9XwZCs9S+
gLBwkaZs+julY5x0pEIHXE91BQDOrg0teM7SqafRWZTjTwsQweJTcDXTQWNEK09A3Ukx7SKVe2Dq
GRspidOrvjRGkKXg2x/M9UBsl4JYdEfa6b4BV0zh/Kqwr7fQsQS1aleG0YNdR+ELGCE17ytUPy1q
CLz+YFuZSuzr/FfBiZ6e5NzRRn8TY9WMG7CwydWw0LY84RyRD9spT9ufk4hoXKeKtiQxfcUzaHXB
145J2Ze9bvXVcio5yiEuCHF8G4d5ArtCcZSfuJELcPxM9cOrCKSzcwIUHstdn0IlBejICHYXzF19
kWcyCbZ06JyvNWo56QHeHzlMn6NM46vGSKOTIeJy3NK0zyDXMC5CYzOk37cJA2bW2yYz2+rrWKac
MiESpC/RIsVLwSr0rvNoYzvZDSBbPALsaYZZMosqvMGFr+SmHbLJo69vBl6ejPSuK006j0UINokn
xS79ikMGPGIt477ooWn0x2xxyFYC5RAibAuSkQ1R19m1Rst178qqtC/7SUEZUDQACLvGqK7G1F6e
48YC69bSbXe3uQyYoLmpTjUjkmG+zVmHtwLLIOYAV9QgdJiLeKsz+rc8iZPH6OUSTp9XGKamk1j2
JXGnASWFrIIw0wNQmtTZi9jJzcOkMfhERqtoDroTA42t21nGR9MOYnM/xJFcsV9WctN1Y1CCT0vt
6mbJm7i44/yWth8Y2jj5kCBoB2dmfxMpWLDbsooGwJ68RLJwFKeEXhn9FUI+k3Nyq6a4DrGkD3x3
RikE6Eq6UD3EswNyJUh+LrBUG59RJYUTzSg31m9zzXKqDVJoqcluS5Zsl3eRVe4aRqKvbc4Y3lOt
VjbbWtE9Iq1awrsWTP/0UncS94yYLC31AoAd9qEaGGAdq6FRZIuIWP6UXI7wMxTGTzvdFklxGHpz
GG87o0xtiHnZ/KRGnBBYws4dyAayuXDKKdQPegdmddMvIXMHNBsI7EUI15AOVM3Nk6fAWDZTahv8
0CBhoEFbLgNqrGv2DzdSYcOQcIrirdPMteHl6F77k0v43IKURAzVIkNuuL+mpn1sh3CxN2OLW1RJ
omRCrwr7+bFNA+cuZHZjkC4Ax9/pZocvswGoCKxyGUFZLpB7hpGRWe24sQJVvzDjYATvFq6kejUj
YIK8nJhuBblgegQIbqSekGqhSWP3ZsxgC0Kwh+RNqPZGQ3Pfn4HB0K4qgI6SdqV6SxsQaNyuVmOs
bZO05W4L0Ic0/WkBDH60ptz5wUwBIpUWQATw5FRP0lvKfH7kFDMhhEg5bxxjLo2DLFCsRQxhMB9q
sIPlZemOc3cKa2t44oCvjn9DH3q5W5Y/ZCfnn0BtY9hftTaD53JImGltC4jSkEX3XLN57Olu2TG9
hhDnHrSpXZrtFAbB4jXY696VbPfbEnzTTwbi7g783sojot3cPC/zsCT8OJv8d6TEgBYyhPUN06ea
lHACr+KTrY8OuXjTOJsyWIh60kWeYQttpig9rEcssCtrkbObIrTjNySy89fBtbovsjbab1Ou5mOG
tFB8qttMXChs4lcC6ghxJsONBQyuwjeBblaQXNbg155F1DgF6WRpVECoCdxseVVPHtJTAb1MPFvU
0Rk1J93NMoLW446mc4gcgAuHCpAecgxa7YAucMLiFvu1+huiuNF9PKfaN6MvGNzkitvkEgmrTHq0
KAdrC2jduVTJBAkEBx8TEJOOSaBMFWCHPBDjcZ1rMrMDMD9u0DeXV605Va86RsCj108mIgKIIcD3
Vk4Z2ocJSwCXeQpwoftutl2KOu6eDQWS+9SCo4vhvAS9vXPhhj5YIJGTA/2D6YG8sP5qmyk2WtIo
o5eOqDd5Wa6r11oDrbUBIBxOB6Tr9Re2BPqilCY6tZAapxvEIcxV5G6xTKwJmjT1Wrdv29ui7hoA
0XIx3uyaC3MDCR8kb6lQ396Fi6q+xPjYSK+u+vA2RvbpB5e5sndan8GJpzBFJwHaVvZaMImbgI/X
ilpmGU0QcjJlZNUMJVCgRc6A0Cv4puBandQ6KkFBto3AzNM2Eig1M6hFW2IrjIgxhTmFLvoSMRJE
HeCt/pCG5RBwzY/2MwqdI9wUmVs3oQqpf4zElc9DoAQT/VJNd0mchdmFDQjlp62G+LnVKs5yztn6
1Rxd+h0idbnaImcUPamyTIZjHS9wLVSo3KPmSjFew+3Ct2xwpx4spIjlfHJsEKMkjwN9kDLFE3WT
dpP9bR4nJv9T73bBIe2pWgwId/G+wn9GJzVq14YxZEbzsGjLfNnX3dj7Avqcu7NTClXYgqOrLpiC
tjmHsOZXaH1JCxqOZZIy40QPYmcZXVJdF2GAPAW7V39MiRbFAbgV3lGaTOf2PrX75DZt5+XNgKng
TwaMSKZu/QyVcCjrEOfv2VogFjm0qt3AdsXWrMgC/MKuTR1YiYY0nBlHaXiw0FVgzm6ZZbibTPLL
A734yPg+tdP4UJqD1u4hJNpXSxfmzcFGzuFb3FNZ0Fit8nvAmMW4GS1eHNvALegxEv8zyB72cl9m
vTVvaB7MIG8bzSErMWyQKb0202Oiwp/DY0h30hP6FLN949wwSVyG+kcnHIqEDrRAt+lGezKpdpbg
Lu9zqe0l4P83nTGb7ZujkP/1S2XltFNs/TZY0hy4fOn0z6sldQvWq6lIFczCtU4LIMnYS1D8uCnQ
mzIh6YdsrVXQ5KZ2gd97M5aryx7OeAHgFVLMxsKy7GWEB0/n3LHaF9fOI83v6bF9qaEZJBuYzfF1
Bxg42RmyMm8N+uFsuFkyEBBzGQdX0Ahj6Jpp4960RpZNB+iVWBuLdSwDPqb+ohkd3Sm9EG7kWV1W
c5K0putv3DGcQm8eM1zKWqTiyyORiuTLzQ1sktmZGcYkk5NmbC2FJEhcgAyJQkZkBKXOkYdKmBZ8
yF8NonwleNLa4MbaztC0L6xyGth8OeAkcqiIcQxSLD0IP4PB1WvaRO5Nwk2HyAt3yncbllZziqMg
FJ42KdoP9CNG6SmkQuIdDFp1L4LFALkuqyjH3qJRt11UE/DbnnxPy2tIrijbVIRylA1dRgN408vd
kgYVTTZRqb3OcAroUhFJa9szgKEJqevlPfkaOd1Y6gaMtZaIdVgsOd9kBuF0M8zM0kYriddsuqHp
vAx2QmOsjKNtPAHn3QwBVi0XstKzdmWVkFW+Ut4ohbCHJW54z1wrlqXjQMaseL4z0dX6GpR1i4ZC
JIHTLzHBZD/pbtecdIqZ+3BU0EtNq4oBAMGLGjZlAqr8it4DfbCwbM2nwEmD2y5cgiudcU1wYZb2
orZIZ2ij57qjkW+W2bDniyo0kT+bOj3/ibFi9U2L+uBpBgO6+Ku61k8mIDEGaQVoh43TLQMy4nVE
a8wI3PyybVZWmTSH6BVZokgdsA3CB3Kes9mmwkXdwNdUVd8EUW3QhrepwTyrYd7HZ4gK6EiWHcij
0sDCQ6uHR7ZzmrpZo5wtNh0Eo5NZ5GBXcW+z8FKKGVoAg0mCnbkoB2AaqGVMRNKsL+7hL/S3c9IP
dzIvW8I24PQWZH00fW3MtV6BCzKc0FUAGeakuRoviHmB/oUtCSnCnmUxAEdDmtMLAwe9BtWATdtQ
qK5y/Xo3XgTOBA7S0ixELhnj5VvbCQ093KSYVv1XM0Zf8Wiwhje074dvveGA5qZuae6jrgJ+j7LN
RQkQyvKCmWEcGkwh3LJAhvGPsO6NaQf8GxmXVf9CbBYgHsHeog/TQf6X7lcrENETAu/ll3SKOT2x
WXTH2S51nYFMZF5AtgnFJmHnYBhA/pN4VipRiJhj3T2UbiIvmc92BUbnNLxvij4DfEPL2nroXGdo
N1UvG04DOJ+A9kLIDWqSTrbXSxDX7iZEeMratkaxMrJD8hxPC43k2W6TetnXjFz6W37qdN9wWSHn
T2+KLqptyc5boA6AleQus3ldFrPO3FzaJ+SbmANlmVO9te6gmo0R2g5XR9bDwgC0AUbEbDqt24Sr
pcI2kUEeHxp9qpgX9A3WH3SHZHstFjd+oOlvW9fsxgypT2H3gWfUFnccYwCG6GEPcprGpVWHnp6O
qLvwfx1qDwVjNAgStTT81aXBseXdwp+inUTzFZkGleyaYeySfWspN6LgioZrIQZ9FQRwoqtlkZrz
JQzM+SFfTyTtioSqtypd+0FvaGYCkarSi7BxMolajts+D4w/p0MOX/4654LAsanAfDdkAFVyVfTj
905Lxv9QPzAvTS03kSlSTuBsQxNA9AlWmo4Ic1VOPkpD1qlpsHTcQFIJu+1CpsV+pe63vhs0Rb8a
oC9Jo8AY0dQEMqm+2CKTlTc0g41qDRf0toUw5CMqMdQH/halm3acGBRkwq70nYQlBBLF7OfvmRrp
bi9D5IY7QUWcf6cx63jQddcWjwR5cKTc0+QRzGB/GuRAX0lzaosTrCz3hTmayCDUG9F6SSDwDPch
G+UDqmr6l6kV2ZvGPvnW5lN5FZnhvFJAAsKoFczFG6R7fWUbG7TPXFTp/otyDb8sJjH2tJm5xC5c
dvp8kZl5dqulSWptFzC/ycZSgA6eUbkIYa5hzQrTDIVlevcLlSOXDWPnXTdV4/2UJEt3XzK4gwPl
Nt1TTo8S9KdlWs9gLUbnAFxM1qB+CsIlQqXK2tQ1hehx1Eut/c6IXC+2Yozr6pI+R3kqybeWQwP2
RXiRHmrQE4BsIbiTT9Hdqt793QgDstFiAUACHrsD7LboSd0hjYNfxKZmwlTSYJZVclgWd4YdVmQk
05Wtu+y5qDBJmwmA0352gfZseyOau1u3MNNriDFNcjlWmeWlSs8BWaWhLEACJ2boWXSVK1LKYZ2I
1oEy71A0g4ZuGbFT+IBlbLkFhxW8oKYVJrdVbzXJHgMNUXiNcEdwl46or/G0reuNEev8akgzQpyE
A7QbBLaTHTIjz6ITDdOSPA57I0DwRTvrz51TaT+ozgve7liqu9nOTdCVc9LYGxQg+/hLHS7tXobT
3HuZmOgALGJowbjKoNyDoktuDVSLkH0qy2q5jutaYmsLbQb3PgC2YX79P0AAba2Lu9G3nSE6IbFZ
qatBxIG7WdQ8Gbv/EYFsTHCvub8EA/ZaRl5UBfI5ZpF5I2K+0x6EuV7yn1qAJ5RJNR+rZi6Ul/Vc
W3PPh4MEkY7Hj4UJ3xEDtW2FGixSusIw5Zm+NGPQmWFP1fvasOhbwyolCBEguoK68xPdXmMVqTxX
QITQgfPCKnYKUY+//6bpnEyIEcPO6f0eyYNdgICRF9vCuZ4RetnSMVLftWChvnBJBpluA3kuyc4h
9SXyE9Xw90QflcTQgNGQwqThTF1aY0vTPtN7v1VLt+8RuDxFbTwcPn6363/lr+eVNPYE/ito158J
rWohbd2ZssTvg+YLHzD8KiNqR106mk8/gaKqziBXf7zo+2/ZXK8vaeOGa549WwGdcQxoQvrjMBi3
ABqcA/+2tjVVxh4LNFSIQNp4eWsvu2qEc9ypxd1WY/mZ6e97W0v99kNWzc/fPjfKSY1qbF7ykOco
6QG4chwjvoD6OXzi+/ru5wRQhw02IqnQaP9cSdmTnSmz6X2bGfJBsvWu7Wpx7j9+s+9+TprLPJLE
T02dHRXZhTZIqan3K6jHPp4Poecwx/mK3lVxShpwjGRjw/9lp/626JnM9wA8pjdaSe2MsS0tMtM6
lmNjeR8/2jufCv1yZ5We1pWhy7NVXLJcGo9m7yu0DT1m9911n44BQmxQ+D5e6p1vhVw6HhM2wCVX
mGd62j3CSSBDkt7HcU/AhWXAuQcxyQD9X9cRutQdG/FhwzDV+TGICsI5cBZ2X9LK63IR4EGXKfxk
T/wtlMsqMBQk/k74h8kzXV6EFwGAW+y8AOnEvVPW4jFwJ206LXEifPqCgfjEev5vpVxcrHR0m9cv
BfzjbEWBRYlCW6j1SRH6p8iizNCSLPWmwg77TbNK9Kd2iZJbIMQnIra/1Jr/DGjMTaTDC4V4qrNj
/jxnyABJSF7x4neDZht+GhRQZBg1uFTBVSFKf1AgEP2mJx87MiWwa8oUwzr1PTSEfaq7NcVVAD+Y
OT0aLFam5nwL6yGwjgXUWIAEOZqeTF4dNzzlymISX7VIu2XQ63MPE6kOFVH0S8AM4m37oJpFVp+E
z7+3J0rVHG8T7Axa/nL9+29By3CzMo5jMYNpTe0HRJ/AMiyRfvfx5vz7vK2rYIuBKjYq0+c3YZNq
qcmMY2Z0hWRApI3dVhsi4Y/V0n5yCb37QC6tStdcbZTPHRJ1aKeLEyqWGgKm3Cad2hVE+Mmpfu+B
cKq1XG5TsJXy/NLRGrdpXHP2V+zTdm4tZAwWijo4Cv9uVIiwnm5wcUP/xGjyLFbR3Uzy3qwnn56F
RksvZ35ajgDmKPsv6lpPdrYsq09umHdOnWMYNLkMnJltLOb/3BZAqwuIkM7kh1Rl5SbLRwSm+nHV
REIBUUSX6LRGL6Pbg/oVmTZHn0Szd96vYyAGggeScNC/PVu/Cqo4UV0z+4kWZ6fIHjNPNf3oSSRs
/v1TOmjDE2FMXZji3DAmtBOE4FP2ZmJOzwB3ewhczH4JgfknK/19ofIl/99K5yrjXa0hB9Pns9+R
hN6D37KvC7ecocKIwa9RLGFG69j7fz56Dgdb4N68+kecm28DVxPSjjMGbsKuUWnItV0EamaPk8z/
5fk44UQTYCcGudifmwZ2HbW6A1ekBTfyKkFevOUVdVIUJ91d1znG15mh7+u/P59DGQgqzzWE+uWO
8FsAQ0eaEnWsJn80EfgezRqyUTz810+j+8lN9M7nw3rEoT1IEON/Z1lXPZtlMRj26Cft0N2iCCr3
c7+Uj4x660snCAEyxvrbx0/37pqmcCGX6QjG/zIK++3p4pm2orGOSwcAwjlT4Da7yNCM38UTIkjw
/XWkfGZw5ebx44X/vuilsVYL+FiA4SFF+vNbgocrUjSOai49K4IazfA9M4fsR5n35X8SwZHwk8Px
d9xmQUn+7kBDRTHpLKI2HLwxgkmKLr3WUjOiC5encfvJN3x3Fdx1hM7kQ/3l+WO0BUqNU1f7eTkB
J3EB8N+5iS0+eZi/wxcPQ3bukHoLG0PKP9+eQevUHIKu8ZsRbTLQPO1ysOknjrsIJeKfH3+qdxZb
HYxImgmVOP2d5elMu2ZVx1HnI56jXXSYFu6jKcivZ736zDPp72tB2qunqG2DJMJe9kzT3x0ti6lC
0Po2PbQZWRB9QssdoUGw0wODyOFUIM15i+lQRpVrcM1//KjvfD7EjPAdQjqRrPpXLfjbcUDJcQlS
2qm+FUT9pd71QF+gHD19vMp7L5TzTbDmDoRys56N31Zx4qXEHKrs/SgX0T5Y8heIubmnTDDHH6/0
zinjXBNQWE63TOcsuWW6MEbGpBrfThb90E9OmNC/RtSZ+fPQH5BO7f7drpp6kFtOt3WD73juJlSV
mCJIJAd8vdGmW8Iz6kD24l4IeLf7j5/OWLfDn/mzpHuvWIftwpk7i5iw+iIwMYgbmfA889PqN9cw
PYeks4FbYZ5aqyn/g/86vmAqIDxioP4gkOv+JJa98z3ZMLpFHJOkuOemLCCbJ1GLFcMApvcBDVpG
lk7casc5B2T/8TO/80VdbmlJMq3z5Kb8c+8olWd2H8e9H4P0utDGynoM6j6H0dfSN0HOEYuX3b8u
aQIjZx+Z/NPlXPy5JKidosjipPWxikChwbI95rDtTke+fFuMENI/Xu7vM8hyNlk88siAloyzW34Z
aUxGndP4kRH1PkIWMDp51k9W+fubsYrC/RJGCkaw56tk4IrNYAwaP+7c5RrZHOeQhS7g6lWy5eMH
Ol+KL0UXmY0K5MmmObg+8G/HXatNFPh7jWE64qqntpQtqFVV7kMr/lcrr19Lka1Ih34K/zwL1Qxf
QJQ1me7jCFIcSVieoQ+OKzcr/OT9nX+l85XO9qExSzdNuxKjiaga92Mf2DtTQ5bj41e3HuDfD/i6
CncOhFsaHH83N4ZkNgwgfYZvkImgnGrZT7RelU++rjx0ExIPdUf3Cu+T1pvQKvzssJ3fR6xPXY4U
mM4vEK599j6BNcm4VZHE6DoM5/1UNbG4s3pMri4QBkYgBtmm/kLoSv9RoG4ANw4ZEACpbfqAxJ3+
4JrcV9smT2qgkcjjF9EWSLCCVITWFkT9tjOaXRJ0zhPoReaZRiSKnwv18pehoubbB8gnahdIQQZv
dkZ/fKNZUfhI97HMLx0Qt84m6ZUwcMZA92nrDIH9lvWpJQ/4yaRvymKIDwdTs/5DyVW+NQi73aC7
6bx2cLdwtIlW7Y10EBXCeLVqD5Fb9eqB/iViKCnQhOG+nbKkuEih998thTWm+2Colh8o7DW4p5YQ
wHfzyFaDplGLh5GJK3sbteNyS8QojP00piiFYCk5yk3I/PktS4No8Mo56UCj4Hp7leLpoG9hpII2
0Kx0GiB8du5rChnmDvxEE/1jgvbri1L6saVs2yVD+/Mwpvhl4y2FmqcAU3MqNKc/xit/5ON9ex6l
11UMynfCi8MpPLcgQ2fNNmMuC79ILaQFcgjGsb6MWPzE7tbCqecfTZfW9aCZENEERm3uL6+k30JM
v2gkt4Gm+8x59WEL7j95bhqFVODHz/VOKMNEfS2+WIgh9dmpHwBzzVphC2hJPZD+ALk75K86+vKQ
p9Cl+GS5d4IMDTJhrH61a/F1FjmtsoYWAKWELogFu6xOkkuc8dQnbbhfM5mzKENgRrKeg4o34bk1
sOjshN4IIEvCQOs+xWUR0a8yy/ahrjQgfg6GezEtsjDaF2Y7Y0xSC0EGtSBgCjx5EFsNF5Ro3zm9
ivehqzdHwpXRbhty3IA2acTJ7bkpURVgPHtXNkWn7dA+sm8XoFh04jJNmnt7TGP3G5rZc/s9qsQA
vB6iiGDGiQfNaQpQw0HXaSGGYKCkQw0A0Dt/klK994EdTgWbV3eVo69//20jTaFAIghBWT/SncRf
IJJuEi0radNwyD/eS++cEbrglrTxszN1WlB/LpUkCJAg9b/4+hQNXxXmQj48w3HXm3313zQP/2i5
zRGRtJbJSgXAPmmepRVOM/bForMczolIQC1h/hO7T+cxxERkiy6xuEGTBfvvHCuZjx/UWE/F2f4i
OyRro3HOLXIeDfIsTNq6Bk1Hqz60LqrCjJ+Bt7j3g+ZYq/utg9xg1Ic3zOHrhxGt/hO0DfuhDkrx
deyG/GagA+x9/Kve+dIMJ2g30PejsjvvPeeTYYRxai5Uda11xCSwPaHXUj4CkEw+eQHvL0XIJQ3i
mJ3foq65ID+h2XzpTkfOs2xAYFlxcVVqgIb+D08lyJCFpUhZnbNNlQ+iTnAN1HEXraGjoV/e7TIt
iu6REuhuP15LvvtcNIGpial3EIv5cwfbIc+kw1L3S20SFQTx2HxpXMwY/E7VTnPANFQ5ewxz0tgb
mzSColyDZAcnNVnPI9zn4gYAeSpQeI5hJgSlOTq7CuMkbObgCKf7FuqmfizrIXnM0Sla1S6C1a8b
GFkLNF6gIg6odnlMUAMEZDBbNkAw4Cfm9y6EU7mFZNC9Ld2yQP12mPHvgMPXD/OYKJRSnXoCZtuj
SnWBAIbExOPj13PeWuLArXoSpLLueuqM9e39Fkpc1P4gIuSTb8L7jeAa64YGMDLHeQ7dvRTJ5mhZ
LpN2Tl4+XvidwCINNhppMJ1z7vg/F65navukdRYfGM6SPoWW0h8nMDtXfYa81psQs/ZZnvjOATeU
qdPglSjCn7fQIy2PQyMtFt8YK4WoBSqsgE0xR+pDxh1Z+JmH+zuvlluYgTSR06Jle7bx2kGrVJ12
s59GodhNAprxUIFaBAWVA9AO33RX2v9Y5K7xk+ki7qM2xQXv9s+36kbAp/PQ4mIsVHkPBgsCNcj7
Qzlm8f/nUmfXflcCEwmRyfEXdnjsFfh13OUpELyNluli/mSfvlNjULJLupCMGx26aX8+GAoAfeHU
vMwZed8TsKB5bxZMzeJF9VsGJvnTyl45hktVPXFYxZePd+t7QUQoKl2YncTj8+RjhcJWI80u34L1
dz2hznnoKDMOax/lkyzxnWpGClhYBi0eRDr0syuwQ7830eaCpUDlbutcAfpzZ3Rxp8I9mpPR/xii
FihNY5fFJ2n3Z0ufdWqStkHdoXAnxDkEA8mwrI/Qkg3o0SlCfiOpMXZ24aYAfP/Jyr8q+fPbV3Ll
c+xs4q171vitrWoA8ZLOvjs0TUmu1QUDOOI5HnZobCfONu4Ds96NOQBNNLaB7W1QpHOMjQ7vJto6
hRmiCo8cQYf8g2k9WYiAY0jeW1BDIacYj2guuuFVPyKs5f373mA+xfUsCGOMPf7cmnmUB8aMhKBf
Z062H11N7VDtyMjvdeeTU/Be0LTW5hWZNopK551XfUAf3RyXxR+aet6HZdQe8Zoqd3o4L5co88yH
jx/tvRC2jtxxxGVB+pNnj0ZnKwxRTvYHN3DF3uxlfwWYLAhvB1kKx8+DVdDFSNvu/uOF39mJJpeR
SXPZ/nUK/ly4wgMkGjpt9EGLtq8cd/UC/S79waAe8nwkkfcDZ2mgTN5GA22uj1dfQ9fZZjRp+aLw
wHY0sY3+c3UUIOUQIOfvhzkuGCg48/Qb2LnRZ7fvO9+TFhDzdtNyJZnAWQxtQoYOU8NjzqYKSA0M
wPIdJ2D/v5yd147cSNK2r4gAyaQ9LdusNpK6ZUY6IVpm6H3SXv33sH/gh4pNFDG7uwfCzEJZTBMZ
GfEaUxmGl051N6Z1JYwhTIdgmEE3EDjKIrZMfdxYqklDVUenHX8NKxrdI55Hojt2uqlvtG/Xvs5A
W5mci0BG1L6eRgMNpLGCzeZVcmqRlpIoqxqRog8HW07IxVgowG+cxbV9Y6owknSemFRCF0M6RRhI
EVYTMDB0Sh9lMnO0rTCxwJlmryiPPtq5LYZ97kh/I26vfS0wEcxEHMOyydivv3aI88ZCwmDgGUx4
2qP1nlIUSsL+B/SDOD01bRtVp9sbdeVWNHAlEapm0yfnbroeE5m7XG14uHpkoNUdQSc9ZhIkZu0Y
sYcNsHFn4TV2yOtYmXZlV9UbK7y2nyzXAh5ADkfFd/HNHKGMtF3jm2X+ycH/ycOl4ueEdc5GIHqD
GiyPJG8FnqAEPzoXi0iU5BVkmqoaKSpCUobQiAHnMzQTJT8gzETrC9EuhyoeHj35j6qp8juAeM5X
NcsFSFPYrD/JdCvrEoFNkh7sBb/cKFC8FfWXP5FbgFInLVpwNIvcS9E1vBhR3/Q0roD07HdZW94D
eg8uLU5L0Ma7vhawnLT43sbSFNWtIJ++U0kv8HkdEthF0Bfys2pHUC5su9Z+Nyq4ejSqdYFdzKTb
co+ym5Kf0U2C5cOLENM0Pxth3MSuG9s/LaVBLhhxbVW/5zmXjndOU2Ffjdt70qMUm9noL5dyLA9R
lJRYGUiC50M3jvHPgTLjJyMKgn/10srkwe9nw9iOrQ40FkM7+ANdV19EgD/sIVOsMcdrqNcvQm2y
/PvtXb0SfoH2U0oy9Ln17C4OMYguabvZMHlGCPNZbyUa+A0c/tujmPNfs1gvlAmBT/Let22g5deH
hwgS+0VKcZymQFKfZQd7BxGTFhtcSqnqiMyopT9NeOe9uHGIIGhhOOM3SO44mQBD8OFeOo5vHYNp
chwYzyUeVKjC9RBDetmEu3Kqhmg3un2tHUA5l/Wx6ZE43Dc4g1lnJymGWS1ggvkWCF/7N3NRV4Kw
FIw2Foul/aKVuIXtJjD6T36rmf8mtqaEJ3OAUusJ6rafiwA3tl2HSwObu2lf3B5g1cmlYgW9RZoK
zvX1iMhqZ2NNApvFSjyENKDamnTcPAtp0v7fIoS44dGQwnEKZSMzP9QQqfy9hs71gHlLBrl4H1Sh
ZW6Eyzd46mL63+B0bB7mnwNzPf2onBa0rB3L6xG4V/YQmM0nAfbP2BuV7n5uIz3+l3czhqpa5Y7l
bj4cOKHVfW5BaqPMuOutwC5PIB2V4oxFRK9hzhrEyalzWvhMCJjVziFwrbL+2GdSbw/abNjxMUdy
RPkwThONCB7hM+WcrjqcHvo//d6eLMdDKxgzgDJOxC/K663+6/bO01Z23nxB2PPbd+7DLvLsFMVp
pFkCk6oOn/nLMNyy/9MiKvYNNYew+agajSEeqyx0hzsoRchLtwPqwzm16nBPcXf814aHkh1u/6yV
YA6ckwMBUsEFoLeIX46GZm5aaYYnCog1u8DUvlB5Mj5iVTpsPKdW7kqGmlFdvMXpjy5OuOrWeV+U
Jla8Ch1GdCNlhW5XbGNJHkio6s90M8ONQtBKLktpj54CIYuscglaDaZIj3AKEQjQZJZ1x3XsRqde
x7LqH6t3SkhYEaaFJAvB8Pv2xK6OPKcFlMmBsS0L5GEzAmeYNOFlAgUJAUfqXFuYh+DZkH2DLNKf
MrX8dHvMlUTI0SAbkL/CUiOWXZ8uhypfJ/PQAENjg3ZHYE1v9r2T9R9rThNa/x1V1GBK7hFgCLbo
FSsB3DHBBgOp5hoELHI9OI80FD9wagUDj9Y/7Epk+3Bk2Lpw+VsWAYTZpNRB65G+yhIV1Ue4LiHa
a3lJa/a42trpIQ61eCNOrZwK8IcUKqm0g4Fflg9jabq+QZ7uDRhnHFw0BDFplMpRFGAVbq/ZfOyX
H0SHA5wEDSlyiHla/6rF2chgoQ7dWLz8i9E9IcDgdicFQb7oQ1MbrrIjgNl3moWEIJIANvpk6BLG
/laqNW+N5c9w2axMrQsfe9mmgnuEegEW817d2ShsWJn5YDgyOkaKOd3Zo83FaGTyH6PtxCFUnPgw
iU5srO1KgJhRdpxSboYZ1Hc9FRa8KxT1YtszoVp+S2NTYtKg+afC6c1vY4ODxUY28HYgFl/NfiUa
mcBUBJ2A6xGdJuWigCo/P8Xyz2puQhGccmjqrlke6KHjOzpi75X0A0rTQdRjLjvZGxF49at5db6F
YZWH9/VvSEZ1HMJUtREmdo1TgjLBHrcvdPqAUh0KYcdbVZeVgwqACowFpVhDOMt6AuIfqRX7re3B
84wdRJLc5FihKXeQDtZMdmm0e9rX0TNgLxq/jtrsXZum2GjG9a6jL3Kgke6cI3S4vt4+CishkzPH
6SZ2ob20pCqZCLdlkRpZnppowZFr8ofjSv3b0BuvHfLjl6aXYuOgr83F30Mu3sZagYtHryomQcsx
nslDsDBtu2BjysXaGvP+5r1EYQOg3uKWxWoDkoPD3V/WWavsSltp61ORDyV2Tjia7yQ2VHATU7K8
D3kTNvAzS0TWHvW4zcVDosruO1LV4x0uXX73PUoVA/8aPUeEbEQtCqEk0KkIzKJTEOzrvk+efavH
jS3RO2vPhTErhijp8JVGp4KDaxA0Ju6iZmMf/Ip0+CBwLYdgjSMJbld1rPkHTJVM/9nxB2CYhZjr
uwHMo+DQ9Ejb7BrLNLZQKyshl26jTldAAOll/a+PgRu12uwRZXkTza9jbAWYKcY6VoBupm6cuJVr
kqGobHHk8T2x59X6K+QmZgKRkXKz1wVR+DuBRblzcNQ8ZkE9PkKtHe5alE8uZHLmRsBZ227Alckt
uSddAKKLkbOqcuNxsrxmQmIyN/VubwzRVvt2bSrhQNAiVoE5ABC9HgWp1zGJ+HqvnwasVQMtI47E
4hui2F9un9i1kVydhy9VLNpsywI9Xjs4SomM2xiC7C5JouJ1Lpo+RhLQ1u2h1oIDQYvSOPBdCgKL
9ELJ0TEtS/ZHNtjiEphK9dnKMv0hosL0oA8YONhWvZFPrX4eXTLwdTTM3kXKIB5EEkdMpC2C1j4q
0KIy2npdeUTRKf5++wPXBzNAD1IKBzs1//u/dqVRu1WG2ZfpRbmYD2MxOyJo8R2icsbGAXg/lAZ6
i7YG+QaN77enyl9DjSS9mLYTaF09ne55LyKN75vTSzmFW8Xr9zueoYClcKjnm9Za7EUUZhJCmG56
JnIe6C9wpWZIq55uz907JiiYDRrlc9OWtwV930X0iKSq4tmRCA9+WOS/lnMVcqdWIcEK63PNeOxK
0QMDSWKsUkPLTVHpp9aLHD/CpSh+OKVbb9xmK9UrIMQq9DGNT5+7+dcLOmDYkEiwRV5dxJ+sMpmQ
oYkRzMOkeqgfndGWRy1EtYig/oc+h3sIjTBGEUsIej9KctBjOXzemKc5wFwnPCDtDVzw5jSPhGeR
Yk1Zgd5pWuiekY5tgpQN1tMPUY5GDEA1N/jGS9hw74Y8MtRdgyJ/vM9cdVIuUMVkesmY1/hkRBn2
pxs/7P0NSdMUdqHmqGTDsFWuJwvjPqDPY4GaWlgUHaJ5fhkf07Gv3MfRVdvXSXGTcdc1iVPsURtV
5R4bMIzUdgYWdV/1TA7qnYIUmTjw9ExLVEqkfAVeMH4oI637ffvXrmxqnh6kaoD8YSY6i91m4huL
224taCpn6kuCGe6wHwU6oxuzMq/GYrV0ilU8YHkf8LJbpA1dCy/QCVXhqX3ufk+7ANMQcMUfBFkE
0ksYJGVoj/foYw1NiiYXl3mubTTQ38ddLNjmu3K+TAAMLL5VQYoAFauKA8wfXvj1DgLGmY4EDlYG
AWrLo3uXgtTdSJnWpnjeDYInCb3fZTSMSkTGGjlRLZk6HXfnLL7AFdM3zuhKICTj4OFFLYpHgLk4
Dn6KsAS8JcOjP4InDbVA91frlsEnA9B+vBWkVqaSNytcHvg8cLKWfCW1ieLah9XjiR73jwMH3cpf
+qSs23snVwYoTEPoZvt0KNvPHcLGDTJyKkLxQAoi+T2EU9ofpIJE3R29FfQDVfib1X0V97Y4jkqP
aJmGvuxWf3hlJfjVJBNkrxSI9MX7hDyxG3JE5r2izExvJM59mmQcbDQVVkehqwGSnRIRdMfr81/1
Th6jRS08Uqfg4vMI3rEXq6fbB3dtBThPVJkhQQD8Xqx3PknbF33VE/6o/n3K0TwaUDvRreQAR8dA
WbYhejzmtKM3Rl6Jb/Q2bV7WXINEjPn7/7py88kaHLuoBi9U7Ors4GaIAGceP+hKHnhjgbnl7S99
y4cWsWN+b4DsgsYFVH8xoY3AyT0aROd1CfY/j5legVHE64JuGDCy+iPzg+cb7rty1mUO6FwjpGce
A7MJy9l1AYpbX4ZY8URZFmuHAKHS4MOAFMCXPpqAC7VGmj7aaZVjBJKEpfY5DLjXdwNEeGzIEy6K
V4ERUfK9pIjxqshQK+4SAl1zahALsU99mqC/nJFCBs+p02XWLiy2Oc4rBxwzQAIIfC9KgEtqWYhd
UincWHoIrUKyRE0GF5AhH4Pv6Og3+ofbk76yvXi3koA41C8w15g3wV+LbIeg34xKSi+OxfjiK2jw
RyC2K8AxUj8NXHs4G2lV/3x72LW9BZyZdiD9Xd6RixAd5hUqjAbEEw3m48c0wLzAxI50D0/d+QSw
QG5cS+/fTxqvWIr39CDp0y9TcSj7LTkpDJBoCM1Pfa41v1DfC/dInaAeXMvpl8W+mqWZ841dvRIl
ZlI+8G0YfLDeFjmyWepN6WOz47UG1gG0DOTZDMzhfHs+3wLx4uxQX4RPMwcjXV0G6mpy4r4qLYil
UYvOkDR9tbmzYk33rJL+A8ejSCbaPo6iHFK0w6Z7s2FPvLS4ACe7rhW+/D2kmlWcWhyA64++Xutg
hwql/6LjB29s/N6VbWcSnSnboWwDsHIxK7gDYR5exzRkYbiA6bPKj2Oa4p3RSZG0u6j2U68YZOoe
bs/T2rgOJHEqzrA2KW1cb/cyFqg94dHhKYVd3qWtjD4ZdYEpd5doH0gmGlSV6+jr7UFXNjsdFCxL
iG1gMMxFoth1A1YIM+lXOFOJzKmKEZvTOcehLb76GMF5t4db2XHEbPqEZCGg+JdNizpPVKPDS9Zr
mha9HrtzcVExynQLFLL2ggEERReZG4L/LK+myazoIuMq65kg3qdDH4jo1a4gIiEDYZjyNIS14WmI
cHeACpLoRVVCQz93RmU+IO1ljK+3v3tlbW1eL5ircF1p2PBer+3g5wqi0Grj8QathotjNBUFQZ2O
aasX9wnagPpRS8Piv9cu5jAGoQACLV11scg2piRRIyr70IA71Px9H1fTNAmau44s5Hj7E1ey65k4
awMRJrfloXb9iaM7AuSNysYrplDbm4Gl7apadfdqHDHdovTPmq/KU8RZOoVYXX6+Pfza1SQM0ir6
gZTdxWIjD1CH0EiF5jbgu36wXGDlO4MssD40XVGrG/t4pdQNDBaE+wwSnXPQRT4QT/AlIr2UHho+
k3/Q7RbVshw3k4+Fz/nel3bmR6fK5o46iig1KErGWvBNDREL37g/Vo4wuTbASliZ5HtLXZyskmDx
ZQMpsy9A/cmwveMx2u5cLLAO+Fzk/7XIS65joTwCwY9ojhjC9UIrZqyZQYUU+xQbIXy1arwIv0Ld
8D8u6DwMWj+zOAhHeVmD6Bq9N3Nk3bzKUPJfrSnCR+BASM5aUWdtibe82z0MBo2QrYPcFrt4UQ7T
Og6o2qe+l8ZdckJsVEckLs0ezHTqNs7J+60zj4VHAIU+RDJQIrmeP3cYOiyYQ99zaKzTgGfRsL1y
jqM6dQ8NaJGzgt0tNWPE1nsrdVGVbYuNNXx3WPkNmFP9v+YiT+F5T/2VWuV1Blc/GVwvIlXEbXJE
Xxp7oeEAxw1hdBwLj7qFt1vXW+ZD022CMN/dA4wPk1infs8hYn2vx++1CU5627ge/i2I3mFqtse5
IDvd3kLvou48CrGACoglaBrPq/7XVyYTUm217ruegMH4ZajQDkjxdvkep5Fzpyj9a93bWypVazsJ
PpFOiZN6FbCD6zGVwg0nOO4+FboJ/eBa4G3YdfLoJGV+vv15q0Mhvzd32+adtLhUUMGkkDFvWt+p
k4dcV/P7vGrtE6qZxv72UCvrxXalzAVUDtW7pbTL6A/UoREJv9DTar5WeAXtYDx0G1WKd5nwXJ6g
E00bQed/y/q3hb3IOBg8WLEXSv4N9K4/d6kNFljYjQh2k5YJeyfMPDxnSelvbJa1T6QjRSUC5IYg
tl0vnJ0ojiN5ylxKEM9nVbSixxohSrrD7alcO//A/Ci7w2lwqOTOu/avXWmBuw0aTN4vBebPHYKv
dlPug6gRmNvbfZbM6tSReda0rpT7ZqxMxNLLPHs2cNLNNoLsfM6uUnNm3EGyimIURTEqKde/xZVT
kpvdFFymMhiwfovupqw7upEc7kDWbfHrV9aX2EpORpVIA0K+mOJRjJGhh0F0gYRTHdPUdk/orVvg
La34i6j0ysPnt/5H9oG+cVRWIgESVnMjftZBYtqvvxNvIpfKH+4zqdVhsIf22lmmafLZGIW4T6f6
34w4sVGDWR0TvDd1+hnQuCxYV7hitCiPhxeERBL9RzZpUsOrDumPXZMFuIr0s8Xbfoh5Rm/s5flz
FssKbQb8AxeoRWK/iAxTo0Q0xrIQZ6M2lecUd2280JrAMJ9RsK8fNcPqsYHCBzns8lZ/oPir11v7
fL7Hlj+CZZ5rjnQSeE1dzzkaAxrCgVl0MaqmVb6mpvDDE7JJWNI3Rd27+FrZ07RXoIf+BChpfmll
SSGa/dPgUlzZ3UuFY5TYAbksvNtn8E3rbvnb2Ac23pWIqHEZX/+2Cf1Y5s1VPNdB+O4SFfhD4qlX
2LNHn5Jj1iLMMtiDNja1T2ZZGMpeJJzHXYMHPeL/s/zxLtHjDDf5OBle/GAy+l3TaKj7DpTTL63W
GIjY85QqdjoAwezkvhksxUGe4uGCww2+9y3dk9EqVdwR1ST6lUijZSNO1s+sncSzWYyQyTU5KBiq
NEg/HRN9cCxUoRWzOTSpExVHra0sHQQBh/uEkuHwtagFJhFdjy1AUZi9xB5MU39UZeT/yUrfekI0
HbwjcHrrMxhX8VMDhm15MndL997PJ8CtZV82/gl/ne57PSFyhU1vVHSHNEDh+Zi1VH2RLCuDcVf0
vYIpDDAbDCClkpwmamTemKTqb8fP7X6nIIP9M6s6pPoKbJKC4wD+Nd2xXyPtESv54auGDJOLtGjk
mIc+xlVlYw+unQPwWwAF5w0IZ+V6mY02D/QSazzsr2L7gGXUgLPc6D8h3q2B+rUgkil5jgTUUB/w
p/F/3d5mc/Rc7jKqorz8KCURBxbR1R87FDfdLLggfTw7Cozmg58Wwefbo6ykAbQDaQuiL8UVvcyl
RifuHCuQjBKk7hkDr2aGPgSnvpq2wuj6UHOXn1cWRN9FmgwdorF9N+G6SHT3KNvB+CRirT9gD1kd
/5evgkTLZ5HjLGE1ZdCSX8VBcImzHpGuSMWEBROJXdu1ycYuWbuRZySJRtEFJMO7Nl7dp2FeQJXx
0jyx7tOgzY+KL8zPQsG9dogK6UUqVvQqxceTHDRgIsJPv97+3veAVhqtbNK5DUYDl7rj9V6twLoj
CkqK1Wqj/Z1uYoTVSVWXHxo1jZsTHqRtdh4SI0REO+H6eBy1vpgOBdjH74WhYbWsW8gxbMzN2iVG
fd8iT5mfCUsyuZpkk02UDi5E0e4nMhoD0thpoH6xfdncU60De6z3vbWRl7yBkxZHh1wQJqbhstfe
1aVgJaGt7ijRBVgr+iEV0KWfhWFmr8Uwqt/xFK2eu9FO82f8zTAa9isV9+tgtOIRtHmtALKS0n4e
8Bf5MtEPwBcSN89XaCtdvs+nVvssEM7HFDOvqm6nil4x9shzaO3BscIRy3elrE9dYeiP1NsbuasI
ioj7t7H9AoIhNS+iah3AoEgmO3tkPpsfQPjz9B435/S3Q+n/R6andnmEo5C4uwE7rHafwizlz2Ma
P8djVf1W4tl2rmhEgXQJIpC4JmVhLPAqLPyGxG8sXhtHKzR8PsYKPHssso+ugY3TP41jFve97zbi
JZiG5JgZzdTcV3gu/6pwXvsTBWH/+/b2XDn5V+uxSKCI986YCHZnbyavehfZaPHb+G8ayXT3n0ea
kyUxSyPRk1rKarUjj7leRniHGkC5zA5kbd539iGPBvPj7aGM9/EZWCQZmosuJ7Di+d//lYnnTUUT
CfH1S1e4xb2c/AFkeF1sHKGVqYPS8qbmjfSou6xM2X5HR0gM8cWq/Pab4ScRYpUUh3KQZRsp51ut
Z3FsyExoGlLWJ+N6V4TLLLyt7DS9WL5V4jqoGwplKTy0mp3dO+1wrMwxDE/kq51+9getwXy1zqL8
gPZ88C1FdwR3AvocvxqnxjOnM6K8PFKuBk2uuy2uCQ2mHjvR8U7bNYYSnDFaht2Chqvp8II31Q9l
Mzbd/SScZrrHvNiXO5Iq9Loiuty/nWysv1uKG3ld2db67DgRPVVxEfxjoQ/yjx+o/b8RMnTFLqgc
wDMhHcVfrqKn33PwosHRopwVPpmoAP6QiWk8S5pnT7jytDwOJ9XCCwtZ9M+3N8n7UjINKBDvqg0o
i5zanN9Qf+0SHxHLsDKD+NIrbvWqQoH6QbF4+sdEH/djW8r+Az4V2atWdVF5F6lhD66zFy2WBYbj
/7j9Y1bCMbkMUHfKN8h5LWtHIT4obVdF0YUSe/2Eo4210wGnkftZ9tEsYkzszNTaOCZrGxiNgTkS
g/knCl5PQA95SubRFF5GmemXvvGpqQZ+eZnwVNg4K6vfN6tZgFkl8Vzm5Wph4ozIB17iKKKiOLex
XwItt/ljGvnfM44o3vTUHMXGhTMf9eXB4a02d7FnaucSLynVTpO6zcTmIO//KBgnqHllb+SD7/VR
2Eoz8472KTUUvvB6JkeI4NLWx/Cii1G8IK6saJCvU1q50sc20S4DzEDom/yqch/x165EWdNqYGEe
+wwnMynVWDtVU1f9Dys8owFJftjlbPXr3xXoSZfVbchTVdeSp16x+3PvO+5DMiVbglErEz130Cl9
otnPqVqcJuw2Kietq/Ay6G72ate6OBVxq2zgA1b2Ea07eEEUc9GNWJ5ZZEYqF3+64FLpxKtBTAe4
7/tRjce9n/BGayFObWzdlVMCF4v/Ut2d4SiLVks/sHNMCVMxx57nYFh4fVoaVkmWnoX//YoExQTg
cAZTzliS6+UisQ/hyrfRpbfs8hOC8bgApqmhydME5DvZqP3Nm3JxNAClzj0kKlYUARcflkhwaloW
czSqvPhU8YJ5aWxnvIfWpl5CXrH3poW7+x4fMi063o53a5NKERdFHVaSOV18aaAWIwozVngp48o9
utho8k50KY6Nzv+yMRkCUjfnkwtwsTHHRFeBUnA2C1o0HyzVeVXrrt+ou6/t/rnASfdTzCyqxUED
HtmLafZ50RrU5obGb8JjKIxaPd+et7X9P4N/ZgYRPLRl5bvR4Q7FQc8py0W/61DkuSiwpMqd7NVy
7yYSYypXxf3z9rBry8XThfcCxQb+sPg8K4f+B+2AOKIY/kfIrRiTa2Ac4dtt0abf40F5GpDkALyl
n8yBm8tPf13LcRqKJrDK9JJzKfgnvW2q+ENah8F4tAcZGAdBKZlysWU0f1xdCe1DTdP3SxP64pca
BO1Lnsqm22W5WWKS5Jb21hvm/VqbyGHSz0dXkexyWXzQoggJtWxMLyXJEDIavnaE2lpunM61UXgu
smNnKUwi6/U0OG7LGwFTz4vV59EhnpA6QXup/M/ncE42bNpxoJwpZi4WtmxDSjyySi/qZKUndnd6
rvGl8pLa6jf20NoHob6D/QZJOdF7sa5V7cR60/fxhcK/eSjTpjzW+I//V2yRoEnN7YO8HyoV7xry
2SjxCZVxfMFoTe93uqwmiW+2lT62MhC8pctBq4+dawzmxoKtVBvQR53f+ghM24SaRXG2brB8ys08
vmhOYaaHKAmNX3Ft+ciPF0qS7FR37B5SkCA/uyalWDojZn/pAc5vG7/k/WnlhzAJtsFRov25iHgx
jiDQuPToUuYyPqew3Y96geN5YSfuRtx7H48YakY8ItzIpC+B0iU2j70iBtzfK6XFINGxftLOwNLU
7uqXuqqQ9MQsdWMnzb//+uJiUMD/vIRmXdMlGRcxHE1UVC8v+qRrd804u5gWSPHUg67g/DBsRb/3
FyUvIcTKSQLAzr+ruldxiOC630UX7D5zf9/5Y/CZ4n5634x99mBJtfIMvW7Vw4zT/R/WksllW/HJ
cwJyHQbgHFij3jM2xsLuPlY7G4OL3tiZKC5uDLV2QGdsOWdnFhdd4uMSpSIJz1hLX53q4+Dk5V3h
ZnIj4qwsHhwEqIviTcFGW3xQOoopSicruegK5WMcH88+DY0dojYjvnDDRr74ZoOx2CsMZwIPNxkR
jM71/FkUhnBXj7KLjh0uDaqx0Z19p7f1cCjBaoa7WJsMt8flkST8qLZucq9aJZT6wOqm3za7/mee
TmVHetLC/Zt4Fhv7Hpr8ryqTGi6xVRBAIQbiFTy4eKtibasq7h8evMMHU1Via186vfHBcMPoudIs
me0g8NeoaxeZwF1TaimsI8m5wS8Wu8tDjx7aeAbMkI975gnciYlVfbqvh8aosQzUMolHvMLlnzaZ
Ee2LUjW+TqIwgLG5uMTv4mKkomWktQNa2uQf384E3kTvlhPKPqbyTfsLhNliQjF1SBSzaONLoLfo
TiCAYp1G2gIfo7w30tM8/HAwg6Y1j/jwjZBEq0R56LIeF6AoSve5gnDvnSmyzNnbhVvdx2qQbYDx
39kSzTklvG6SaFglUCTnCPlXDoFlNg7aQ8u1FqBJcZ6a0Op3Pqa1IHQlJsMPWopax7Fqy/ZD4A8G
Vr66wC0iasv0szZO6Z+kjqR+b2GWA6JflcPOTGsDoiWmK8dZGSg+qF3kDOxgtSy8lAqicnHtLu32
jjNDg330D4dj5ltNclHiuNuCI6wcVuIfrDyb9yaI6UV6YFG3iMaWZdByN/1sZIa7E7FRbtyma3ca
letZWs7h2WUvSwSjFQIfdGrXq5tB3xmhmh0yvMg91zXUJ7eJC9p8Mn/MFNmi7FFNe9tut6jfb7Xo
5ZazYH2TW0NoN5Z44SbQRZb0I5JaUSaMoxt0YXmoUCStn6yocPFRp1Cb3CcYCMfnTHL77adYSSIE
2oYa12/p9u657aU/noTo43+azK6Q4g5kbu5M6t3OA72Isf2jaiz6Xs8saskZHbkvams2KZLYU9gf
m6Du0v2gdBgvl63TladCJv3PLLXTeGfzSCseHWdyH60JRYNDHVr1x9hU4n9wmjSJMqmRZPzfhoZf
LrNx3CuN3cc7RRfNd+Hz1r2bQiPrny2BzORu9Mc6v3RouVGWiXD1pZGpDocUT9gPqpgAkNsuF+DG
BbCSN8xwQkQRuFx5EYrrU2P4vj2kQT4f1FE+IG8iP89cW0+3uuTudhhZHcoli57RWfPldj2UJntK
NW2ieCV91z+m3bzS/EwiOvhYyN8eauXCoU8PNQPy2+yPsPgq4KKqgcGY6yEyOSARYubGodfqYK8k
GBCSTCqfbg+4UlgkJNCZpWUKgJDX/PXH+RjaBWiQOJAY0HqMLQAnfZKhYFq29LnaIt07WePv0cql
90Qf895GJvwsmlHfyM5WEhegYFQUgWKBS1um3HY4ZjFNEX6IPwhcZ5PpCYUxeWQDmE+yVYcTkpj2
yTS3ypkry8vAvE/hqdGJX2qU25R6XVHOJ1Z185PfxHjOVtD21S4Q543ZXh0LtsgbQ5M+ySLbrU1U
LyWe257OqI9GHqHzHDv9iH2wmOgOW1kyfYqjzkh3dqXS44zE0Eaf216ZfmQq+qPcU34/fhG+DeWQ
+9QaDxDiomJjH65EbK4kFf1RcFCUCefv+OtOGoegp2scup6j1OkxibLpglRf5t2ejpWEHJQsfzsF
7ZlEtbiebWFm2Uhu5/l6qge7QR+Lf8fErWfAQetehjaxkdw3w2gre3xL3BZRmpQO3WKSXMhDS2oS
hcYeP6uCIz0Rx0CT0jo247ShF69lxsPU+MGnVKd3Vhaaej/4gY76HNoLuCYpxhPVn3TfKJ3ywRWD
cpqcVn0JsCS/A1Kj/COMZjiHqZJszNYb/nP5o+nNzjgC3sA0pa8XJU7RCHBh+3iOGXfPssiMAs2/
Zkzo2bkmPROnt40dSlGliQNzN/4czGj4w60gn7H4oneMN4sGKTQUErFAzTcrUhsdQWTfLrtvyBnr
9CrtWDnJ0dY9LqUwuHPKMWg34ulKkEMuiXua9J2kYFlPa108zd1QKCgGp6kXT1l47ksj+xMPQ/I5
yhTt+fY2Wzl0FFh48M1lAxAKi3kLkwpdLsl4OpyaX6kViGpfdG39MaCekGycnNXBgCcibT/T2peD
ST8kTQ4txRuHNj5QewkPAQpYd5M5mafb37VySBlnrpiTQQK7XrxOiqR3CwUvFdw7IatqE8pYxWhu
dUNWVwswIlsEf/l3jmyOqQLGCeeLNgWqUlZTejSojZwDYDSHsECJ+/ZXrU0gPcO5xkvHHVea612u
TG1SlzGA0iGz2oMJLueodDpvnKbQ/4e1gl3z/y/2RfwZQHeEQxCzEfU8ONERknvftaIvgR9px//+
VThtucRTZBzeaXLZtD17qBk+toQq/Id2FPVer6LhrjNkt3G+VsIqRSWXNw+ot1kVYzGDtdRj0Bqu
l6GIfWyMKX7CfTc+2Ob0o2rDP0aj9RsX28qiXQ25uNf6fMJMxJxcD7m5UuzQ2xteio43Bhlqs9Wc
n/f1Ig7iKQdyG1YNZItlm6zSyP7VsfA9dM7yJ8Xx0/ukaoz7TIuBmnWOucs75bPdZeO3oZ3sjTxl
7VOBOFm6MT81MDW5nl3+4SSb1ndgSKnJxQpb6nT48+Iv1G/dwitHb+Z7oiI1G5OiRHk91Aj7SmuQ
3fCKTpGHqUSgpRcSTT8jiva85ayNTbo2Hqg76PouzlPvCLstDP22yysXIa4uPmEHP/3uG/O7IaV+
iazO3XiwrcwkOAGqf7C8gcQur/9Ii1CwqWc4RximD8RTuKORzM8tGMiNI7E6FHIVb1cOz+zlSS+i
JMtK8iniVf8gcnN8oixgfWwdITfi1wqGalZoQfSG0Tjry88yrTQQk+UTlsk8TmOB628TJcl5oE1/
VjR7JKOfUPF0wvKpFqX8mvVJvte1UrkP0Cf77+8kSvJvqsQzJ2pJKhHVmEEHwNZ4sp3mOOYZoGoX
U4CAuuQG8GMl7qA2xsGYbwpeMYvHS1eTmtrdoHgyLcYHrI+DOy1S1FONTc6xbsyPg1LEP27H1ZU7
kDHRFgTkO+MiFrcFoqVpqk+j4sVNjr7UmCefKJHVGzWate3z9yiL7VOqWWEhRql4nRVHvM5R3NzF
bhXtqqgDH3T7k9bqGDRqqBU7QJDeYz3a2R1aTtSg4JXYr3aSx8cKk/uDAWFv3Eu3xD1Xi6YPWpUY
9j6aBECtyt+SNlidWR5XlOVnOMLS20PUvOhjQSJTjmp6QTo2vbiYXWycltWZnY8/cAv0cZYlT0WN
7SDOyuDSCBNKYlqJnWOG8sl1s/+hp8N0cghot+CtsJSU7sHrxVUFRNUZQgCOupvfpV32cnvxVs8A
WQvnHsgt5bzrkC1F7NaOP8sd4Mq7G+0RVVIrMQ5K3Fb7/+PszHbltpl2fUUCNA+navWwtLw8O7Fz
ItjO91PzPF/9fuiT7dYSWnByEAQxYDYpsliseocxT7rTkMXfH4+5t4Y0kjBsgsNEt1V+yd8ea2BV
tNlBjDI0F9EF06hXSNaymlmUH1E1dof6pdsMrEEavN4PVRE581SwKSgoiNOyZEhbdGrxFCmiuzye
lfyrNrc8olpUC2HBU4Lfgj55B7WVimLSU6+t+XUYXPXJmYbsMnVaGhTInn3j3WV96VExOAiZeztf
Io0oVPJkAMx8P8lppkYxecSUKK69a2UWWeAkw3JU7d+ZHw18WeeXoNZtzzQTsTZZLqccWK/9pLXY
iWF3cYSb2PtgBONf6RKP+a1/uq6v8axZhP9yVJdwddv8p1fqxtl2Zu0/bH2SB7DS9AKpJ22WTVvU
lr5+rjyJqnADiVDxE1sdrkiKj5cMgU+/qKoj5cO980azCxi2zCK4B+6/FWgxL24RhQqVaBpPVaHN
FH7L8ZxZygfbXYDVQyM6CNB7a4q4jHy6ErVABm/GpFgR6xBpQ0cT5qesapOTaZTtz8VZv/3xGfgl
LcLppp33iqFYpKtWdykIIqXUhYAEYbbPBuY3b6XQQeknaN59snuzXq/o2f+x+Cs5mUxx6a5RZn2V
DTpp30ww5UVozYBEfa1VAcOlBcJijye5c9yQnQD3Dmube2Yro2JWkR03nSXCsc1qcCLWhJIILOof
j4fZiSeSKQyXlwoA4IHNazkuan1ZzZGSWo4hID3S4UwzL/FpU0Zhy9Ph5Al4dkleHz0z9ybI7Djk
PP94rmz2qF4ri93hfvrUDsX4ERpOAy0C67XH83utcMH3opzGIZDqSvYrua1Bo8vnmdGT0lor5i56
3FCcd8zYOqNRnUQSfKt/5OzSv2tXba6DtlvG9lrkqyWrvPNY+/SDei9g9YCl61qpJRc7IjxD4Cn0
o+bqXumZiISqCpaNPK63Fd+oTBtUt2CpxnFqd37RdgO67QoOp75SLyulv6msnXORekXkw/lA0xH2
1kTDZDUG52S0pVEfpLB7nwo8IDEfPUJezvLPf7tKK3cWVlp50VNhqsvbTvFmoPbzUU6+90TggKKJ
Cq/c4R25CZUV9qY5OrXeU8kMcSzEynHW2zp0SzxghA2BwsgVHYBgId7SD559hFNH/Nw8tGb0VFwP
do5MXzdXraxWgVH0aNO9csybrEEZCTXuU64sGZdrDF4A1reVNEFpL459a0U9/KMqarP4kc4b5Vxr
pdVeDPr6rp8p9pQ+Pf5JOyFWhjvWR1oSw9C+/w6E3qJdrCx6ypYkv7S0jN8Y6axdKJj3/+GTI1zA
wwVaMYbB8qf89smLtYpGb0o4nY4an62+Sc/K3BzRe+QX3S4xVlC4SgA/gVCwyQvnpYwMXAmVJzuj
px83tbiNqpaBdWkjXIbSn3++fhS3JZ1IJjDb967HOxpHBAd6vz2bJ7W1+1tdjqmvj1l+wJfeuYEx
LOH5zrfCsX4L26U00aiYCylPypJE187oUsU37bZ+M3arZZCJxpqBlXC8/vV4irvjcjsSO5glmnr3
363CranPaotXErH32g5KG7rOIp6jFDMpBK+NcO6Mo5j1WoKLICuzQmq74BrokNyPGtfQ2jXowyFl
jdS4dBW1+FOC4TR8LLyrnBM01CEcXDEbfmrE7c8BV9KfroN9jj8aaUR6omamEkDxcJZbD2g/8wf4
xlLHql2Gsxvn04dl9RRwCW02T76WDEhaClzTap+mI35hVQG+9tJXVvc1qiHVntrRbr+pPcSO9503
jk99BY7rltYtelEjgUwc5Md7N6lMS6gqkCKj2HO/Bg4ROmnqmgqtElezn8xO9qZZau/SOCmFWo2e
9rVvc/P7bNXJQazaC9BUbMkXXDTNabTfj51b8LVLrYmQOdWT89AY/bVIoiMY9d5ppVpLW/DXvbSt
ZFQFnXZ14sZWmjS/WWqrgmds22tUWwOaZkZ2UFPce/KTG/z/ATfxrq3jfIhHFQMPB2eBNumKk1Gt
4p2YgcLxX55vLkoc5GD2fD3SKh4kNBYeH6jdScsEjPuI/vOWtlPHDioq0L4IUbhxzKSkVxPx65M6
mt2LQMjlIMa/PsDgZhmLNJosGpDV/aesUiAhXkq+AqlvPVW2p7ysxTqdvGVwT3TTjLe4bI4fH0/y
9cVyP+gmd4e0BpyLHjJa2dp04jBD64S5cxqH/EiuTyaU9yGfobDcBXLIrUrkv5+fjdJ2LnD+obPe
ig9z5CWnol6Q5msLWE253VUfMkHlz1O6KtDt6UjjZW+qkk3K/YmuFn2O+/FZXTAe/QBsfW2tT/G8
lm/coanXp35EkengFt0dDPKaLXv3XKSbj2npE5QrRDHCuvbq0Fmt6qY40fyeCoF+sG/2htLlRQoW
g0LOFvo3m2Ix0zYHxml7ddCnbh1oULTOXWbmB5FubygGwTfIdWnmbd0i1basVdFDPMW/UHleNCX/
tzPGPnAW40jG9/Xpg8ssc3eKC1T6vU0EyIdCWaTOYhjzZFY6rgvLmMQli6YsQKp7PT8+BzvJN+PJ
Y87DDrmTrTVe26VLIiY7CU0AGZ/xHoowyo3A3SqFdh6HAanlzjYuQyqWQChJ9qauByBFmWYc1EFe
3yY2iC2Ivb8Aeq8oD3Y+xWM98kOiqU/fe5XlnQybJ7WBrv3JnBfLTxoFJGI5Wh8O1kBuyu0J/X1o
GaF+S/1QOMqtcViysFlV7Nf8oat766xaWfayulPU+HW7JqNPPx5+Lo7rRjjw7KrDIY9U3IKToWf1
GqM5uON2bgPk8uFq4gxJ6uZsH4zzUNpSLwzMcLnEQYkf3bVX1uSS4q+MMEtePxtjlwb9iGbzvLbx
Na0m9T9sfdI65kbh23glttOZWqcr7JEw6y3nFJWt+k0bhv5kF6lx8B32tr4LLpDXOYRbNuX9ZxhV
0fC8hF+T1evfKBWU6slF+CVQOsyzSgogB7Fqd31JYBgJsUsIMJvIaMTm2JA5xmGUDvlFjzUevslS
GL4Ue0RXPzLPVtunz5Wuxe+shqLtKG3DHu++vVmTyUg8AgksOeX9rDuwLWUnpiTEicb9R217+924
ZOUFUZ7u2SSDO5IX2x2Q4hyqkiBrWOf7AR0Ni5ncI25qLlvLKtT846KkxbMzKTFgF9c+2MZyAtvT
RVOPG1C+pF8pQ1XxkBk1jsJhMSAE4UwTKpIlmDm/HNKFt+0YBW1qGgcX/O4sOYUSBEqdf1sFiQWp
f4oJRNhiqPptruMeQ8E4fTtZWH/qKBxdHn/GvVteUoAoVAPdBptzv6p60xZqX7pxCENs9fMJpRut
GL8tdoTOdYQFHTjr7LTwXPbLfPn38eB7O1meG+q7IGlUa3vHW2NFnd6raDfQo+r9GF+I+aJpsKyv
Sm+vl2LUhhClUuci0Ax+oXdgfCzHNXYO7mR5RDffmgqsdFYyUXIFS3e/CnZjzXE+DyLMqXn4OfoF
n+pJUQ/S5N1RkOEA2suljNrI/SguK+zmLs2iJWmMf6GRfmnK2fz78Zr+ohJu5wKUC31/nOYR49qk
MgaFj2YoEx60iCLPvt2m64968rJ/0KCmDpqsSf8yqHVNcY1iQai6sfOVM5xnwbzMdAMhoLQmpe+e
D6LE0dpiHci29LWyJtFENLoqgwwydx8M5QgWZK6yTDm63uW2ezUJME865U7Sgy2oPJc9/qTQmIRt
Nt5JmWLM3+e4c69VX6TzpW1XnHdzW++/dkPdOIGijumzFmX1d9EP0Ru7yt0iICtA+/Xx+u4cUOxp
eGT8Kha8yqkmCO55aSmgsRQxXeamNy7xMkX/6jg4fpiR8z6Is3ubBpIeLDguUuCzm63JpnGUMeGI
6HCWQ0uPzNIfoFi+fzytHdUDsHncKVItBIDn9lWMsI4SUxATYZGnuevD4Ii/x5FtfsHws8l8pYiQ
MoRnJb7rg6PNL8piFDfEgdrxtDYUh94aS5U5Z72QbyAIgfO32LHBCRh66YqgAe2HVK2Vuy0aPuPy
FYkl50c7pr161WYiQICEblP40VoUnyo3WpLJ78fF7W8TygreuRqqDl4AVEXXX1UYoJdpNq32hq3k
svqLWVXPgOM8rDVGLfsURU2vhFoKJbTvCv2bGqdDTZl2EO1VB0Hxj8Nfl/1fH8NlBrnaCufc1SRP
Z2gWjfh0sLI7W5nMmMK5AYeaEHt/6h19zap16eFzqosRqo1nv526rrw9HmXntqKlyPaQcQz+lNy2
v+WCo5fgg+3SSKrTSn1u66l5tsukC/M1K97CkvniVZH29fGYO88LKIYgJmCGcS9vb+R+rDu9qDgK
cPKxwi3M4qmhPRwg5HXEYd47dRhCIkIFMUyK2dxPD/xgmjcrUKKlqX7Wnju+qHG2fMK21HsXCa8c
/vyUI2j264kB6o0G7v14S+QKoCYF6IHIWHRfM5Za+ErpTlSucGfTT9CC1PTL4/XcmaRk29N6h25M
gJHr/ds31OhjNMsAurpPFO28TvoPJ147315qxBqxcj+ILDufT4oC8Qnpj0mvufvhGifp4LXQvxha
PMf8WchoTlaP82mVGOn58eR24piUgpffDikq8rj70YRp1EJtJCqkalATUCvnCUjhkXmaPEybewPC
tiFBEpDQaCPej2KY0Hhrm35xq9JkucwdegJ/ObWZPXujasboJdr98+K1a3Wu20rYweNJ7iwpfFSg
+BSEmOI2n1nS0cKFhR5yM5lNoDtdeh08MfnTKv7YJZV2HOk/1FODHjwSc/czzbsljdENA9XSjNXF
4Yn7giq1VpymckkOQtgvx8fNsoIGk0Zov0TVtw7qkDJtRV+NPHSKBCGNMdIgSNqrao2+ZY2t7Sc8
NX+2g5P8gzcDRjCmNs4Zbbfc/F+Wpc0LsbdeA6OFa3euMz1nB4jYhcyWtJUP6ZoyMgRvkAoeHG+d
+77vfmijrv5ruAL9+rRKp0+uk67JwRnY2ZUIzdJ7p4wngV+bZMmcB8oIs5KFdeK1gc1RCyK3qg+C
894oSMyyH2maUa/Y7EqT68maBQ91y1zzWz2568kzlvVg8+2NAjaXagRZLPe4PBu/hY9F4FLnGiOe
SEXdv0mgcZ26qj+SKD8aZROJh4ZhJr3Lw8QCJmHMdnzR7UY9iBY7B4kwAXqMTBYFgC10FMg75Eu4
G2FdqMppMigq0aWrLibo1YOs/HXIAAdBB42eMyrZ1JLul42O89x1a5qFWiSS9sSToz1HduF+HDW7
EIExWc4FXeCb4WTxwUv+9SwZFjlVqQpgwpvd7AuPlNFWZzML19IsQwuzb98wxyWMleHIpHZvlrLh
AKxLuiNsZRRxTSmw1kbiwMBepbjGXdoNl9aZXXHKS/jkP3VnhGJrFkYU9vMChfNxZNwdHyQnJULq
dcgs3K9y0mYTTWtWua+tElP4SbyNul713c6Kb0U8p2+LxlMvcLe6g5F3FxlVGVps8ghuE9seu3ro
pXLkVdXWU22q7g/4dpbwXb0+2revTwfPaG4g3tNkK9yV99MspzofuhwybMJr24cFGb9BQGO4Pl7M
18keTD6K81CiweK/gpykRjnRDS6h3CJrV6KgN1tFAC2/q/BtbwiuTdxHLzbVmaPO0k7dlaHljkUA
+JcQ8P0EW1WUQ2dkRVjBmv4SVe38kuepreJUqZU/494aP/Rd6QRzZg3PmaGI7JSVeYWftTtlR2+j
vU8rnyvY6biyfrGJeALIdQoNPKcAWn9u4sJ5iq1YD9CBjT//+YpTdyKpcCm7ceveTxsYst4PdlyE
QNdzhNc89cMC6dn38rr73HpDeXHASh60pnfKI7KxTxNEksBJfje3Uzc2FHgLUYTlWNWXxRZILmjW
/H5yLS0YHP3fpRm8a9b2CCPmXXmmMHLUMd7b0FDMKPJRXEHDbRPuE2WKoMY7WdhSRb8OjWucUoC/
58fLuztTqUCDGyOvT3AT9+uLsYfQ1MjKwtlr8w8GkDvPV/XZS/1cq2PtMi/T8gbcSXx27aSo/LK2
py+rHpVH6OXXOTgXKDUgVhzZZd7b9z8k0qfeHCDGhi2g99WvDWf6UWcQLP0GDdxzqWVHh3lvhalp
ouOlgWBhI9+PSKVaa6wuzUO3Uta35tTY4exW7UGRevfg/j7MZi+1Q2lqA+lHaBq58S7ljR+iNWh8
n9H3fPbaqf3X5Vp/njpACbhLR3bj4+kyZqdWHyF2P/7eu3OGXU6Rk9z11caeqayKoon43J1nlSHk
rQj90UQMXvB4oN3PSXOWHAKw4ytQZ6xOhE+Pay8y9eZiGf+aVvJDHzz9VHooxj8ebCcsQzvBfoji
LY3oLbVm6NVZOJmRhtmk6+nnTBmh59U9pP43me1EV2wTqidVHebb43F3JgmHDikRGSxQSpJ//lvi
15uLSX/bQpi9wwnHH1feDBh2UzJL9Kx71sthPKgW7Z1XLnLGIpugA7eNTLzTxzppKVPb5URh3p+a
SW/euEqv4Fns0vZeVX00LqJeBfr0hVCdsEP6qL8Uk+jNz4/n/wvPcP88gVFK9oYQD4nUq1Z115g9
uLsuDZuxdD7MlZn+VDwDnjsgovHGMyWxrnmsJC/U5+rm5vVOcuZJPAT23CWfuzWmN4U+yUF2t/dZ
6AtCTid4Q/SXh+C3z4JuiZ6xLknogvR+gaJbBbXejoAAK/EmdoZDUSR5hF8tAwwB6VVvw4LZDkgM
p+WDfo1rDKWfx1EdjMlivmnpo19bx26CJs4QNln07mQbSnsaSpQcFKF9IxP9cxYfMEu6f9AI5GfZ
ovrRzh9Mk7JUiOHeaOFJZirFxeq85a+mdZNgHMzuyas1MRyElp1EEzwX0kHIdSAf5G3CqZiwhsgK
unFCREVgrmUetC4ulGcLz5s3Y++9N1Lnjw0pSeCpFgG6dGBBQne7/9QgoGrXGT1agGqEZkndO2+9
tTrit+2kO4wilUthR8pa7f0osacXHm87hD0tRYIxRHtZtSUKlsI9kvLcGwpYK6V3SDqgZDZDlQB1
UGZFX8tbJzhdTd+uI5JTHvitYjSPPGb2TgozkrYlgO95h91PDMPWeehiJQ0LFctREOI6Mp2pe/PW
5McKXuzPLwWJa6HfhJce3gXbLZKulZm0ehrqXdE80b53g3Iy0N7o8uycRlZ3kK7vLSYfDl1UWno4
JmzOZYlMyqArjDdOXRzGU7See6Rkggok70EitTuUJK+RuUguzWYj5tq8KAnq6qFSkEfVK1aY2dxp
f/e4Sx2sovzV99GGpgT3DQUv4htM1vuP1nXC89J6zkLE7EmJeSyf9R6K50Fsl3/Nq2GwICLx5ljz
Wr4fBkaEzcbXGaZFtUBv0+zKC8w8155wkSkw3PeIujVXBwVPX9FmM7DNtj242GWS+/o3IK5B4g/W
f8vSm9MeP4qFJNiyBjYMUfw2j8ryJuV7n6bamy2feF75iSIwaFhS549jGktNZoGSHysNKeR+DdRe
2CjsuaRL6KrgkG23z5nbtWdB3/I0gGjyx3pdPvROllweL//uRwaJS9kPS2JYDvcj91qHi6NbsPpF
3J9X1NavXWkaf7xrZVlfEnfZtmTAclf/dlNCdiiTBue7cI6VCCidpp6mVnMC0bXKf1hKyWujz0va
CbT4figmisp/XzNU1Fe3yXH6S2/Nte+oqwchbFYvoEOni9V31p+Tz5glDD4KgEDqXu0iYYxjqRgW
6aGwmwXkVxp9XBE56wKlbUEd//mXo+JBz1DKHuBgcz/RWdS5k+GuEkaYTBk+Zibu58btuyMBxNf3
LbMi1wX99YvzuRkncWjcr0mVUhAY2hFNsjr74o76OiKP4c7PtGt59vPzcuHnphEdPGtexzuXW5cc
lNCwQ/m2nCQqqjJLw1bVi7DI5jnoXSu/9atxtKC63OvbKEAiB1QB2zcEAuVZ+W2XOuaY172H6/e6
rk32URq842VjiFUEmpQk/JvvoAw3Oxq1MYR7gvHMlE76Ehgg7wz4KCiZ+Ylr1jGYSRwAFjJ5/Txb
ndvd8nXtvvazXuM7MtQjQotLZJM4L3NyU9XRiPx1MWPjIK7tEDlYPh71CBNT3GAJ76eErZvWdOOY
hjGArHeNqJsL3iTTSSnV+FIrRXxCzqY9JSg9vLjWhMASTJr/uX0MvE9De/7PtyzdftSzoTFQhpMf
4LcFTvtkEJaFaimgxf7tvI7KySkK5yDY7IU0GUQBtsp0Y1uiQ/M2LnsX5EORNeOT5bTKDSky96iQ
sLczYUth8MzGBFe6mcw6umOl2Ugh161mB7Ga2Keuh//p5cI5oHe/Tp+o9kMMQ3QL3Af8jPt1I1JO
0FwQKo7Xun9Bg117yk1KmzMbMVgNd/kvdzLNbP7hWmYpN1nGkM2o/KHwR3fZUH8gKbSM594pR/M5
15xSw0Z+sho/xxcq970yqxAsHEr3nZr1sKIe75m9ZabXJpVCyUJeg/n7RCjugmJ4DOUocM02CuPU
cy4pNncH094dCroT/T1GRCLvfplNgCgQzsAIVxDBx0DDilZ7mVDeOmG0Qqv48cT2Pio4dkpuoGAI
sZv9E2NjojpoGIWil/Qq8FHPIgWu4CWR+RNE5xFWeOdJD+KMXAGspKynbpVe9RrNbkpzuNREk577
uJXkz0ZvmvUNHc81O00VBQWklsTnpYzT5ozrtbhlc20c1Wx21hk0msU+9ugX2Ns422Fijnu0xWNq
WudToa24v4BCSG9jOTV/fn9QqZe1dGp9iCxtdrKeD3xqfGNCsNL6zfbS9uw5UPQyDUrL4w+6E3fo
CfMIgJRh8f7YDCWm1oyhKrJ9qlW9FkVXXyI1OiK37MC/oBOhEOJyLKXs0eY+NpYZ6jJsjNBGF9T0
sRKbf+IBpf0DNsp9a2hlhQ/EFOnl81CNNXKJRqPP3+2VU3NGDrz+UrW2nX2Z6nTKICIV+ojQqD7V
txT04+inPHRbH7uMTKJ/XOdsLjX2qo+Xam8HoE8ja6KSorFVOjarknCHjnOo2EZ2shpX8xFxzm6Z
nVsHh3rnmCHdxkqR3bO9t1+lGBNj1KckDyvkrF80ZejdE8XQ+lsyKPPFMKNFOzjYu5PjZU3DgvIn
z4n7MBL3K4IfBcmubqnLy4BL+7VRRA/NYvAOsved3Ezq5GNlQ87Ji3dzMdRLtY7QA+kTuSJ5r5Re
+rS2mV1d5Sv1BeodVbk1bS41TM0jfPDedqeviXAtkCSK6Zux0aUC51EwdoIUyBmfLffcW7hY//lO
kbYyXOYESqAX94tZGaMW9bLf5jVFY/tgoCzUh5X0/+zVTK+Px9rbKjxOQK/AHbPJlu7H0pCWRVW9
z3FTs9Nzosf186yIj7U+VkHpuNOBvNDecLg343bCY57Hkfzz37KhCf2iegKLF5Zg54KOe+YvMUDu
VswxuxaGddTi2tuX0uoXUgVdCOq69+PR6OEeQmYvFLHzcY264Yn/88XTqyP9vL2dIYs9lMx4yvKy
vR+INxmKLAC6QjUao2etHptzKoqjhvPudHgp0lShIMdhux8FjPYwmC41pX4Rzgm7aCSTas/0VxwV
vzzeGHKTbR4GslcEVoHLAtjuJuRmYwWQqs6z0G379aIQFemRxe67UlmLa9d12VPeROpBc3B3FT3u
Lkr/RMnt2S4B+zWNyAgjDSmyJXhzqG397+OZ7e1BYNFckbQMpGbj/SLOEL5aHeJtaIgRmE7d+qhI
LxexjE2gaOXBOh6Mtm0Cmk3ZAWxBZ3msEutNnRff0ybL3vccvFONTuT58eT2dgj1FNrYUqqIN9D9
5Dx9gZxRiixcRsgKA5CEkxLDYRVVrwWPh9qdGYYlAIx0qcwif8pvZxnf3BV9ZDajqSjeJTH0/KZ3
oj8laaKe23geL4/H29scMPOpH4IEpRi++W6GvnpO6VLlwD82v6DTVIeRFGl+PMreAlKO5p5CAEl6
At/Pqja7qvCGChU5d/TOFlze80JZ8CYGvf0P34quBvVG/q29enG41GfzySYYilRPLlWUxEagzOt8
Rkt6LA4G2/tayPawLYBGwtHdBPpKrE4rjCIPlVgdaUDH0ylx0IhWV1p3TtUdIVT24gcVGiAMWJKR
hmx2B6gU6Csll9jiFeWXtug7H/3a5JLUnfpFxbDzrCfKEcJ1Z1DSRImmpeEuO2f3H499WLSZLEpT
XOnCKke/2M97uz8tdi9OtlLgBDe03dfHW2Z3VPpQUl+KGtiW/Kg4OjYkzpqGXYkdYcLL+ZrTj7ng
OeM8O4NW4r5UaX++TwH/wIagcsM/26ugHr11rNOWQZcuezuUa/wx1ZIsKPTZPACT7RwJ3vvcBDwT
uXt+deF/O+i6E5veGOFzNzux5l4iO2/eiYxD9FTZPGkOnhQ7G5V4gmgW1DOYEls2+YyhSW7EEe/w
LHf+aeImuo5D012tZFI6n37rdHDp7H0+Xto8zdARQAt0c6myiGs5jtgwwq1TTkmCnYpuIrNrxPp4
KUHSn0wVH8HHe0YmHpvrlXyUCoo07OOJuhlUb9xhtLFVD5tSq9872vyW56t9SRy8M524Sa6LKOfr
jA3U58cD731MGUOlOh9J5rZvo5XtkAFMobiIPFh6woKCfn4xQYUabTv6D98SHXZMjiFjkRXJVfht
5wATiGKbMlE4OKIYLssgzI+1UcfUwCpoWe9jkM3uwbW0c03QmAb8iHT6Lz2X+zGxhcWtx3Wh1Mm+
hu2V+YsrDgF4e6PALZHVYRDRdBLuR0ntBmpVT927Kaw6yBZZbqzH8iBo7wBcoLFRAkJGC+ssZrQZ
RuRTjfxzFo5GV3l+j3LID6+plfctpzA9ZUhflH6H/xoSD0NiBkKYVhysCZgT2Kz9QWFh/+egP42X
AqkFVbn7n0PgrQoAjmQXBqgPMVbFqcTw/I22lvbftVbVX0tUwrFEUYpbTo8rGLKmfxEzqpOPd/Fe
kReGBs9oCp5UkrbpaezNOQdX4zWdZ1Z7Itcubn002qd1qoyKhcq9UGTL+mVsJ3FbKmt5h2Ky+hK3
S+JiftP/OWFWVrQcknIavmSWm+wEC197LSvqvG0W/8xRr+HdlnY+yq36dUqV5iB+/Cp5bAOI7PVQ
SiJOAgK9/xQd93wlcjagilvAfF6FQ8PHXu2iOK9NhT3FmOTxFM5GVmlQHSf7Y2r1Maxhi1r+aXZq
7W9NEyisu+70f+oU51gZdPrYnzBs716yOhI51FDkkP0WazznOq6z+JBoc2/iNt/Xz1GVrapf9alI
YY901VezrbTlSuaGAQP9tf47RekmvlBSb//CZzEx/ZLeSRwsuZe4t9KylyQoNFG9b4sCbt4SI7f7
N0U4Ukno5+t57QdT3OamEtrfut4vnzFR7I6aoHvHmL0MqJV0j87v5quh+ASux7LJzrV0/Wg5TfYu
BmJxEAZ3Yi46IlitUsql/7EV1UIMxV7EYqByaSfTuTPcn0sX9xdeHfXBVb1zrVAdkyJ4Dg54rwAq
IqtGBykLuKdFjlCNGVfp/FS4Xf5WReyi9ru4KAHrNPiRLFqaGAcp+t7wsj0HGBtxSDLN+00pVrfu
cgo/oUL9ms41OKG06aqLhnHGDaU8+9ripnDWY7CzjwPC3hKjqiEjAacPv6b7kQchtGXJC9oFarac
U0dxg9iJsmvV9tVBUJZ7YnPyQHtTNoBRiFbY9v2ItE6uJt0kwmzt+lBV+/bWuUVxKjoxf4ZGU7LR
zeXqxDg6+nSH/5ysSSmD4i5hhmIWSef9VDHDmDArV2HcjtkZYtB6WfsVelPfJQFf9mBhd7IjuoMI
+8jHJM+8zWh4vFeoYrbRU5l66GMp1vjGxRfk1KrtEmQ0nM/xpIrPj7/mzj6S2mdIR1KTQuxg8zUp
tGSYiqfQCxEVebsma3cFbVdecqVO/5fWdGNwjIoJepo4+Lg706U2QNGNIg6Plq2OZBxpTVtOdLj0
Oq7CVkPrTp/j4QOlD5Q2RtGirZodAex3dhRJ/K9Fpt/zirDT5FjyDB5symIQ9dlbczXIEN3+u9GN
/JKseX2dRTmeOgfE1zhXw7fHq71zdshDHfQkoUJJ3Y/7DVU5Y5pBI8U11slUUtASV7BVSJPt6Sg+
7cRbQJ0qzVCCE4+0zVB1MS+ut2SyyTZWwsctdgyqvJwPyoz7w1BXYcdyNW7FOtJudck+AA1a01oW
frGI4nsZV0e+EvLXbiIBs+FI03BG1GcLoRFS9oZbCZ/E2LNearfxrkln6H5ne1ZQTetRt353Wr++
E9AEqqfyQ/6WThsTFlReSTpd9kodpm6ff5rz8ajbsj8KU+JBS810K7TVCHVQMywXwq6zcCgQi2rB
xqBB8+e3Iv0JV0pfSGXM7WycFC48AKA4NCazF/6oVby8KqeD9TwpwOEfb/K9WQFGlykTKDkQjfdr
F1eanhYNULW8LBS/rcFpx+2hcOFe4JIyaOCy6RA4W/yY3Q8Q9wH+hKYwlLecKSdIEYt7s7pZ53fO
7ASElfKkafOfi3bTu6a0IOF/SMRsb4VV8WCVZaA1tZUW5lKp+SldleED/MKvj1dyL1xYvHo4XbLe
sZUvZisYMzlbEmKyO36rrLJhZkn3eQY8ffDR9g4Y0YKzxU3LbpQf9bcNn3qj4SY9tsE4otKPaL2w
1/P8ZJfrX33c//14XruDUVLBqpOnNhf7/WDw9V3FyMw4nAbRv3hWEvvFoLqXGgfo88xaPD0eb2dH
yoyFwinFfNxi5K3w2+SS1dTzyahQvCnS5QLycXlaoZ0Gj0fZ+VosHiQMwhRsoq3xSNLn07xocxwO
OvL0c4cXjU1X8M3QTUfgyZ3NjzCxTVWdEwZrX7+fkK3i3IOpShyaRe6ZYapmeRrY69DeKlfxLL+i
2Hlt2aR/ec1qH4T8vXmyFzl1dC2gc29eyqVRabGDy084T3mbBdFUaJ+idErrQI315fJ4Ufcewrwa
4DDR7aSfvy1sKLmISruxyzDn+561xYiCTJ1zP3V65TI6enRLNO+zVD72Fav0Tg0F18AdsoOjuLNl
+ao8v2Stgy202bJo1zdRm45FmOuVeCoR1jnNQMQvVuHxgBrTo0Rl5wuDl0RQFMa7LCJvtqyuVorZ
kCCEkzGrbeC4SfxVnRW9CxwtWkhfEvtdl8VJsOgQuR6v+c5xkZg/+cAmM0RH9X53Ne7EZR6ZRdgV
IP74wJH1nqSwP5Jk2skAocM5iF6BbOYC3M6xWHtLgc8Z5tMokDseIdECjj+XHZi/BmHzU9d2xe0/
TI50iNc8Fymp0f3kRFojr9ZqZWhGavdcmG3x1E5pc/A63Jua1D8kbMN944a6HwX4p1lnylKG9Iis
n9246rdIc7JvXi1rJqNAGSoYpuwIKr735ZAwJrcEWcXwm6MJuxuIYRSX1Mez4Zy1ToKGpz4dAMZ2
AgCITZJ2WVSluLlZwogSOHykvApVo65UHyCP8a1Nu2rE+1JQ43z8wXZOAiI+nDyq1GQUhlzq34J3
05OhjUpUhm406iJwRiPGC1S1x6+dp8Vl4BhgG0+Yug4a+Mhlrqzr4x+wM12P3BMdD7BUBu/Q+x+g
d0CnEfKknyPQP1WFu1wcIzdvPOTUg6H2oh07BsEeQNPAfLZ4EjPSMnaoy1jrDP9kHcxM9UGltd+7
2EvxsGuser2NhCi0NtKsl9wK3U0pZPdC8xWI39HB8u8EPnBUFtcZUm3gqzeBTwExb1O6ycnhmjqw
0CR9gzvhgCGZ9CqHlH0QfHbYWNgGwQ+WdAcqn68CvpUL+McgPwYv+n+cncdu3Ei7hq+IAHPYkp0l
WXIOG8JhzByKmbz685QXB252Q4T/gYFZDMbVxUpfeEP3pk1t64WYX7gH7FtnYoRYnxafWqjnHlqk
o+2LkdvNe7sWaNiPnaOn59kT5gOQd1Qx/30ngMAGhg1Fj3+vdkKhl05pV15+sSu33MeTgkirhtRJ
3k7Khi7kvU2Hqgq2kLJxDkfuetMpuptPxBkoGBjJbys0vUe36YeDQUHw479PikLzH5QNN/H6zpgg
6ISJbuUXCgHVblaThKwKnbpCn52NPOQeSBD8CzwIfNkkn36VGqTKYM1xIopLl4fpt7FslrfdmC+h
P2ZedtZGzzzajShs30wLhHrcytqPHSXVjT19+3FJG+C/o9nAE8e7fv1xU61UvLQyioswtNEMyiTv
sx0oNwlnm/VmS2303nCapAvJNA/fmNVjUGX94KoxyG9HXpdVNuefZtv+vpSx8c+PG7ptXPvEodIS
cZ3oDfyGMkTE/qJjwsUlGS5nUeVbpG75ea6TcUbB4kv2SgC+raV9AV6OxuAm9CaQ8f3IPlFPFRIM
39CPMKNAje1+P6ho1W+s2u1NRAOfNhA9JRArQLauVy3jrU5Fiul9otrizeKU6fPYVu0bezZFdByM
RNMPrx+N2+eUEW0yZ2qd9PHXphlO1ZCYWSblmiSydtQEip1SO9rGpX/vc0KAgnApS+PUlK/nZVRc
di0N+0sr8ujUVJW2n4vefZNgz3agNNq9l6qg/34UadyzUf4kfHzS1VGMExIUbSGLTdJS97OQo7d4
PabLKBG8bxDI/T3SLz1rfZMf0DKM/Bpud7mxpH8kFtZbiXAaZQSTOIK+8PXcJeAVHCprmmZJ3gQZ
tO5HUYzF7C+GaGnQZhFOS5GD6M8h5fR8wIusiH40URUDGdfbz4ONL7zadUWz62wxGEfXaSOZlXeL
7S9xZWo+om8GLZGJGtvB7Txrj/NG3R4VVAz3deua+SmKkdg5aNMCXsPTkspBwapOTT9CIFbZWO17
e4qLneTpT/tqzSCqXXNkG9C9ouRdHMPYCx+I07YqPjJ0Xn9XCcbmveYLkjddf1dALbOGa0Z6qRVl
7o9zYnonhdjhQ6SntnfQu0FVoebH+TvQxkkf6Bh3vfz74UESm8qybkACXZezkTmMukKPIUqEQ3Q2
DEXbjcgMb7yT9y4FySGAziqZbevmXM9H7jsciS66Gy3BXEz9S9boKMlH0Y80B+Hz+qTuXeXUR9it
lLeo0suz/FcwWiJtQ0oMV0LVuM+VxjCwIYrdc2dr9sbZuHctgAaU54K3+YbOAnTa4MQ54NjjvN71
ngWeHhXXZZ84diz1qbvotJRz/+n1Gd7p9zJB9ifUFgIwClzXU+xnpR7VitpCZIkpDFzQRcE0hepj
BMr3t1W0DZ1Lc9aOFl1fzyctNsO9WBb3GbsyhT5MGbk/X/9N986MTGhk5ZyEY92kKFCMdJt5iC/t
mBg/ssgtX8whdjY++J21hQBDGgquFIXg9eOpuAq0lCaJL67VhRdnRJvG04f5yW7ULbOBOxNCyUti
IhGoksCU62+MYDUBngJyYqq8D1qf2085ou4bOei9+YAmJQ+EiU0jQL8eJDJyvcs6I7nAJep2hIA0
APRFPFjDqG48lHdOoYbigUszh1CVZOF6KD3O6llIqIs5qhp69Mv4PHZ6/OQsi/69VAH+v74h7o9H
di1Xivq8nPpfx3BwSl1ZHB5mJUdGMUnsLyU8gtNAqfIZ9V9347G8t1xIo1HMJqeDRrtaLqX2BvQx
YvTrGrWnUa5N+yhduo1R7q0XbHJZXJIGH2uUp4gWra1gXV6mOUeMtrfrXaXoWgATrN7I4G9zamkG
RpAopRRlde36+1UoNuJgQjM+bqz5Z4YaZdDz1p2mPu+DWnHTRwevqRd6gls+XXcmCembXY9os9R3
WN0u1uwuEKDRLMP2bzD8CcAA+nxenb0xo9LbOmd39gldPoo8snBIfLG6ru3GmBFmliwCdU4OmEBU
XdCbwDfKrFUavylNfUO1485W0SnKkrLR35P2zNdfNjOMpZySurgssVIF9lAaR+lYs399/9/7itwf
cNbkN4S5cD2KrViQEJekuDStSUE7igmKUa0IAOhvCWLcGwrgHKEiul00ElefEEGs3sOntLgg0LV8
H9Q5CgP6b/aXBFLer9endefJ0y0QuhZidrI4t4pJBwIzM7XwW630MX/SpnFugrBo9fdJqCelP+la
haJqlR//l2GJ82EMgb5cJxa95CbXMwDaxp3K3u+5WGp/iHOLFN9UrKBBafoyowW05TF479tyqUip
KOnMt6afzJA3hj/soXHq7V2CqeKH0sA4tZhU/d3rc7w3FORDWUaX9MN1QVLJLH3KCofHoCstdF2Q
p/ed2sz3xWiAPHp9sHvXCyVWHjY4fxLseb09xw7B28LGzUMdLftzm0+ajh1U65ztvLHO6VIbJw3S
0FNapuYWC/jeRDFHlzoZFBqo112PbQKZnc2OjMJyYbtUwlz2qkjEIUncaOOs37td/hpq3YLM+zGP
6kmjSewW6aFM3fYw8n78XowExyIRh//eWaUSKtlDwFJMxM1Xl6ehtKJOSjwMem38nZhD+Ji3yVaC
wt/GJ1olD1JIhWQULBWX9Wr5kBtJ6CqA8Anr2DI/FGDPl8qHwK5AxO119ZAvSev4YahnXYBkjdVj
IORpl0iEeepbRlkWgaP1yny0hWvXwRxZ6tt2aI3PTltEjg+lJm1wIygma6eaeWu/zEvW/M5gJqV4
MDbehyizyvLk2Yg6HA1XgD1p47JqfQU570uuafjBe0UWqkFcTuNvWy1d/FsqV/2i2aWn7yLwkW+H
YQzfZYO9tPuRyl29s/VJq3wvjYZHZfLa7iC81Pjilso07Mysj0RQ5sZS7HIkA7xda4mh9/HgVRTc
VZflzaQbtX2uxx6Q+6iAtQ88eK0/rZbk6l0IjY47I7Qz7ajXTatRSFqo4g5o0QVzUmV50IWKM/mz
1dGBX8Aq4qs4F2X7BqYRRsUid3Ocg5pq+lGgRIgKNoUe0ChlNH2aoin7yC3lLM+t59CG8gH559Yv
VCgnhCBaLf7apiIZz0VtesdigCxyVrAkivZEtFoaGJnq5vtQzTN7rxaRiQeFGekG91piKEFlpMmb
BXhAvsOUqv2P22OyH/R8SvR9pCiN8piNaTl8TGcC/d3imkX5slSifV+nwn5Cdy8q/MUep+Zltuu4
9vPGXr64Vub9HO1lPngTGDq/TwD1nxTNbpxjqYoC6cNxGN70WalnT2M7DqMP4RSEMrnVSGpfWFm0
W4phaJEQGM3lpGKtF/mRyqu3R9rfyXfa3JtNUI82xog1Jan2lKmDVvhRXgtz13Re8lDOY9v7kEC9
L5QDRzfoptL6KDyrLX0ZOLtPujKOF6vWxhzNYUpAgcpDM52GuJqFX2puYSaYo7SF5ncUNgUMn3rs
djmYKHHWstgWQc1jIXx3iLpfwkT/zw9zBfG7waDBHLT4z6sPgLOtT70SxmAxrbQM8r5EbdHOaEn7
M95+0ctAQoUFqGsL5VM5NbodRPCpL0rdLu+NFGH8lxJv4cUnaksHNqU3D+cpEc3HYW6tzjfrzvhc
C33RDiiw2tVvHC31ItCx4tisG93cr9S+bd2lIcKLhbnWKnTUbcWukFOkxZTm6biTef3D3Hjtj8Us
3f/s2GRLqYWb6X5J5faHUrs8aCGKSeHDbNYG3n9KhG1dPwhQk2pYqvQ3RoLQ11+gu78S3UtSLFj9
lAyvXwEkNUUo4h7pSzw9L9w92llJVS0ATJ3/e5rFA46iKRA6UGzrgs6UTu2SjwINaOFVb6d4ms+a
Ho7kWs2Wp9rNrGAVyd4DgSzxJeTY61lBoS4jT4W0F459uSvKaPGpf1kHXQm3fKnuxLF8PqzMKNIj
eLOmcybxUrW9W9KRFaP4Je25fmo9jaZ/XCZJk+Kk0bFE/IxU7npCUYLoWRpBfZyMgZPWLFPqBa6b
Wt+lFOzy72GJIaXqpQIaPhXr0cyuNmavJOvJYNM/eokxHgeg79PRNiYiTeEl09kcSm1fqdq0dXDu
rR0pJHUgEhIUQlfnphTA40BVpBerxSuy6MxG9XXGPZdK1/27sq33x4dD+mfR01lr85d2onbxQvlP
1+DlZzq3ittNxxbPkY1veidkl7USWSeiRUuD9HoF62yKMqeBkWX1hfECGj/84AnP/VlQr3ovWu1X
M9Xzxpg3n1IysQw6pHxNhxLnKsRrM3d0BFQizLnmJGglDL5OlHQ/K9aP1/fnTRmVw8ZeAWLDwaOd
u0r8q1xXu3lyi0sc5QMvweQVb7m9bDCHXtp9qYfaO/ZZW/EUz9OnPB9mY/f6L7iJxfgFYDFc2sGS
zb3es3iMziYGq/yCsCkDvOt5utplNHZ57X0fIsfYu+6UB2FYbpG1bqJbedHAl6IUAXSaL369spWW
xGMkuEJnNZz2ilEW+7yuh6OVOcujnljzVlHnT0HqKu6UI9LNpyNHq+wGQIVlzgw816ETqS/h4Osj
VHKcoUcr2plG1/BAhsKtfEIXyasUpcgv45w23/Qsrd6qeEF90K3EnHfLDHPxNPTIaftlYrXxyfCE
87FoW3vENaLOvoESyL/meghmaZ54KPaDXmnLfhTG8rOcFLQ16yEE1KAng5bjwNc0+idOUt/5AF6n
4W0TU7TbOy20UrpsMOx94h+b+hrovK8iiqzJJy9wkgCj0tTzOQND50cVVjFv6MBm7xvkmUJfm93x
8+vb5eba5hMiDAFeXRZL6dBdL1qoKgJ/VOT1a8BfgUkocnKRYNzYlHdHkQRXaemAmvfqAKpOiomW
mhcXNe90bs9EeWoKsSUieQuGYDK0ZhBnofBm3VRJE1SG7Rws6WVxwuSY5+G4J/BRd1OS9qy/FgZx
rpvPcdIlmNVZy7e4cYxnJLO2pHtuLjn5QyhKEAKi4HUDiLLHUCoZgspIMnPe42TEE6K09KZVY9pl
rsKe5MrdiCvunXyqdDAs+AODcHWzVrPqLRIEQjEkKv+LrGI4p0rkOj6JpnMIzcr8BkUsfQqR7d6i
FN+5YeUXZ9LcOVw+q23E1qo5ZHV5sft5fGjUfABnFuKwNnjDRpvo7lAAulHRYTR6ktc7NlVq8j4J
WUI02qXWqUTwK5ALmLLFPbx+OO4sIwGhin4ejxWkA7mt/6oak05ExoxSz2Vuveo4m1l9qTPH3mv0
G4NaxNWD6oTlxqB35gcaS2ff0FIBQaRfD9oYwiZEX4oLktjdNwNjy2PS9FD3En1xthB1f6BXqysU
vQ/Cc9kMAxW9urSpoJFKDGyahvzRbwZLO9tNU/hcCWgWJ7OKl0yZ7pusd3+P9M12dQLWLrPV9pRC
bDsq5WKdKYd1Uhxy8UOhbukY3XlSXaqxhH083TQnV+s9oBmkTRPPSmI5QJnivsXDWy/m9AFrtOoD
zkHtlwXc8GHKUIdCbyOfT69vgzsPG46TuF9ypmBirIMj4QJ3aci5L4ue2Q9qb71gYYEQ5ljA78ED
ZSNauTecpCzwdlNG5RW/3gC1LcqFtnNxqV1N+ehWLdIDVoHQZz3k+8WZu2ljwFuUjXS+k7BqadUh
Jd2uR2yHuvTyogOrGtr1G3BE0b7o6hjdJStLv2JfNB5y0dVOYJTe/CHs0uEM/7D6+fpnvrfxWWRC
XoTF4T+vHgl9UvKmMAHZFHabPBQwEpHJHYTfKUWy8R7d/cSSkUa9kYRlDV4vcnURbjYWFxd/pr0T
Jd4RxZT85NWR89AtjfP136dGkR/QAr4gfObV9ajHUz2Odg8lNorbb4xkLbBhU/OjNQwQLF8f7N7k
ZC0C0JSUAlxvV+lZHeF3RRa7FOKYadly1IQujhUQmaB3pvh/mJyEJ4C9k/izNUcp18rMCRe8FGpO
ynEJy3eDN037xLTNT6/P7N4O+Xuk1WcEVaJFC+HQpaPjugMWllEAowCHDe1W5fTuUIhJ4Zctz8Za
I0OHYBN7Gonm3NaVX8Vj9ZS3HcZTUxJ//B9mZSIpSFmUkv669DDTGsLTF3RUqpbdJXE47LvKzSZq
wzq1kdcHuxOJ/ZFnpX1AEsZ2vD7qGTUzlXJReunjqA9G15gf4tpdNkKRe18PrC8fD4qXNCO8HmVs
7cTsgKYiC70YH9MlzvZTZy2Hemm3crtb+CeXF+8WZRtSV67o1YzCHknGMgZta3qdHu1TPbQnqqOp
eRhSGOVAhNwCyrUC0devSq/pj1VVoFCbZfh24pJUFD7t4f5M8PTPNRH502ToIG9xil/ypP4VPwy5
R5Ir6Ca2UY5mUuyICyibLXTdnbiPTQrLjXSTzH2tK4THuJ1OArM0CN4o0apt7Jvu3J6twY73sUsN
ORFDe8QsaesavbfMEvYPghD+NJf29fwKOwcBxYOLZFiawCFR5xNElyzIp6w6/Pu+RUAZfBAMAB6p
1ads7QmLLLnKhP7wh+cOpc/B2QJe3n0JyV4l3B8esbpWMabTHE+tgw9YEnr9Pm3ThWquGr+fjSU9
UOKkXYF6U7c3soXywdi3eDI71QZf5t6C0qwh2CGHYVVXz3EzRGkZ6nQDSuDSD6Mt6GbYjvJSJNWP
MZzU7x5ibd8Geg8bL8e9ywGxORl0SATW2tBBD11bMbw6v0zqYD853Zh8ljzgjcf33vTku8RzQ0Xm
Rn0f7we9zOoCTK/d9B9EFD4v9BEQQGxV1B+05QimZvK9Kdsyir+3XSWG18D6RnbFVt+1MzHacTtE
nazCUp8KbS5qP/SczvTBKOk/Xt+wckOuA2tYOH+sl0kF10bXdtO6i1owGD8GOq2RjPWRrCYkRm5i
81iGoPE3lu/ukMjk4OBEvQL73uvjGNd5hBIn1w1NJfOd0JRf2ZR7v/Hpikl/+6HZaGfe2y4YEv//
eKuArYlDffBkG7zLtSH3S72bf3iL/j8UD4C6QjUHSc/mXHPXKKHDaIwNECBVpTwpAooyqdq/BzEQ
NXh9QSRJ7sJqLqqTNRxnIjScg78ZVobVr9vbAYDH6t/fRhzEKFOw86VOpX69SmpoNkbaIevY90X1
qatcakRlBQcvn+3/4R1GGgD8EZ65LkPJFfz7AaKnbvQ5ZS8XLYL3tZNZz3FahztnGpzT6/v93tXJ
WPjAyYqHREFfj4Wmv0rzFz3HIdaH4YRME2W4WUntnZ3ktrZTbDvRfKvsbd2Pm64p/QTDp3xX4Oa2
1dO/VwlChEHWI2UNlOrW9Y/BcKNU7BZJNas1e2gns97/LrK6+tGoon6cUi08aHkrIO9jsLYHLzac
daPsNX8Egbdx3925djwSWIAi1KBlYH79W+a2qV1FIz7W7Tj63DezFlhj1VzyPJr3ry/C1lCrXVxh
hzwsHmCpGKfToOp7sUOxqnijGMVW0ninNgJlwEF6gjQb8M1quVsD0+BWxuJxpoFbcqAmTHGanL2p
y44C0NppjrfwE7cXDugl0N+yvE5PZB0ETHoiurRsqG1PIfZsYWR9IGVUt+SA5YJcX90MA66TFIoz
w2N4vWCZScNljoFk2UqX/upS0YeB06nW0Q0n6suIYJ4ti/J94uJO+M93OGMjnSQbkYQh65KTEUeO
tXiUMIfBnfdJlBhP7aiUu1Ap7cekbbd0C27fDIkKo8UEWQHfqDWzRc9EZfDmUl2Ja81vay180sc4
e6Mbgw1+Cnuc13fovSUEpyV9VpFBgi16/W1Le/K6VkCLbcPBed8rWvamUzWxMcrtOQAri2Sc7K/K
BH91xyYmJQQbDYbLSMbxE6ne8JD18fRkqNmGQt3dkShrQ+sg2SH/uJ6PGcZxMesl62V16kukzxmE
s3k+ZCLewtnc+3QI6Pz/UKtJARuBy2yA4avwSjq306Q9JlO9BV29tyEgy8hWmTR5W4NK056Yl5gf
heO57oJyVJzUx04iekjsvj22/D9vX98RtxcJ5R4bACRy2ASfa0yb3RpaOMKPvDSamHw7doDYIJlw
CrusiX2nk2iHuvW27q8/E1mfclOqg8Bgoze4NkmeyNx68pTiMqZzBy7EIXLyO9zCtWCY4vJDLTKN
21MFhWKE/SWbeuUR1DpWUThEfoZKbX9HVzVraPIVaYGiUjhs7K1bZD38W2g+JHVEkDL8ud5crp5Z
OPuZNGfAgbxDQSo7jM0QfkBKbHjESHo5Ae/C2jovK18Uruoj02wE0dC6T3nlxBuH6o/qwfqL8TvQ
pKYOeluYtFSQUEk3QDGHu1/6vV2EyLtlhnkZi9Ft/D62ymSH+2ExH5SxqqudOyH76SeakbsBkCaz
8N2wsd0A+jZ21CPWUeHzuGhxE1S6Pc2+UyzgrpLYpag/dY2ubkxB3i7rGXDNARbFFVhqal9/0Fi4
cZV4dnHxqBLsTepGhx5FocDp3eZJD1HzoVfzfYhRCYHLtaVfe+doWdQBaAdJbCyw1evRMeb1MFHX
ISYPjfI8qkN30KzcOjbVTOvNdbckHv+QdlbTtUjMqZvTSKCnsNo/nCuljCKMakos7M4FNcF9GJmP
CIPuJwokRy9zlwe42eLQz8v4ULauhjPRAM0yUIWevvS12ryPQ3cLuH6zDBSZwe2CCZI8nxsOTlXa
2MnT0TzjN/tFNGbxAvXdlq1X69TUTfFsLA2QMHXJJTjLOv/jhUP1gNoXXXKwrRLsfb0MdTXYGIVM
9tlTIIVVgMie6R8NT3zG6VDo2JFSQN1iRf9JLq/WgiozNRK4B1LyHDjC9aiT6y1uqqbe2TMRHnzk
loet1o6ZmT2Y1uR9QnTavRhL3ie+3bjiZeDj2z7m9mm8y5Dbe2Zfqcop9Ga6h0uYRe9LdvMb1UYd
dTHb5YGnXN+Ko292LD8axe8/9B4wjGt2OcXqacorxT0PIv6c4ul2NJ0oO7RcVkHXmmIjfL0zHOVP
YLikETT114Lc+PC1YQxs+oxe4/QudNo2oEuMS/gcKT9c0Xz4140AW4qqtdQUo1i+7n27TqQOJo6w
58ooDZpaWdg/GoP+RclD86VAu/IELLQ7vj7oTcCAIAGAIhluATpGDnm1D4paDNIg4gyMaT67pnAD
c0YXbxyR5Xt9KLmRV1uOBIgrB2lDKNRryb+hr6YobCe2nI0C3c5F9TE6maAzfr0+zu2ymUTkQIx5
wqUi3CoGGixOE/Uq5yzG3N2lgAjOTg9wKFyS5NDVQtvYJrfXh2TUS044VQFARKt7tNNHVxR6656t
PmreelnVnQSgilNk1dVFm7zBV5yqeuNOKJ7PRrFVQr8JWPCKIvfgOqDfQaorV/ivpFqYuacuneac
C0MNn5FayL/SuuwZ1Sqtb0jy8Up7joh2r3/l243zRxmE7hycNqqg8mf9NWzfdGjHQ7g4x46yHPGS
AkQNxORALpFubJw7Cwpdm5KBKum0YAquh4qKCDVQY1A49upH0Nr6eUxU50AQVe6Geso/vT6zO8NR
MuDMS71YcEOrD4qKaFHRN+NI2M1Y+LC/2q+jmyVvpqpAjn+c/xmpxLKZFHkAKmE9RNx5Pb+5hU9H
ScA7u2PpvldErfopWqxfwKDT4dGa36/P786GQZYBPWdSZTAL62e4xwqYpFXzzqFMr0bIp2/mrNee
DcURfuNp/XlRjf7w+qA3SaycI9cbG0UytteJJJwUICpL4527wvSiY4TPWe17hYR+LCCNsnOFBsU3
Ky+171XRdFvmwLd3D8PLEgx6U6TStvzvf+1WVET70ba5yhsmfZhdIzuFTHKjlnZvFClaKMG0oH7M
1c5xU8Pow871zqIR5meB+uWlSqKtAuSdkyf7Styg4KTo5KxHaUwzogqP1NnstXvh1aD5QkP1Sc63
Htw7E7oaSh6Vvz5bEbVT5CkQV52kpOqvtPq+r7OtSP7uKCZ7n7yL1VmXIKOKbW9GaME63SJ2Wj/r
Z6N3w93rO/DuKJJ7ApMUeZ11OXqKa29UNKQzkb1dztqUAZyPli1PwXuLA2BVBVEqI5R1D0qLNK0Q
DUKPRlp+WrowPxaNlgTCsceN5IEnhq9//aASuevcGhC6aQvf6k+JUZ8SXIrb0XWenUpEXwZDsZ+1
RY1Tvzcy1IWSMjEnf6wKBNbAhuj5p3Kw4JiHQ29fqjmOQQybY3JC1APfBZPq5HOs5OnvTI8ghHCk
ARJLWln2lNgoh+3itFd/qlVs9z68Df2d0znAN0vqezHArsF8it0in/3CpI7qZ4S0+CYruHw44HmT
wOuSQT/kWif0D1y8BR0WdHiGPSrkDoFmXqjprhJ4BAZ4rdImnZ3KfrGXrFT9uVacfK+MJi+b12vu
L9PN1BoqQ8R7kzWT+eLOPTLabbR4ix+PYpnfEORaD1bboBY5TK76vZq89HccG85bGL9RSMaHUY1v
43/yn9nk5bs8R27uWHL7P6NZFFa70XbAYKq9khnBgPfL51Qpq2/t0BdeMFpW4e7yoQ5Hf5md+EPm
QrPZdXDx9kbojv0p7Cf7CYf4cnhrL67xvra8icy8DY0vaQcrg7qzIcE7cabsx96YIt9GiFE5ZFoi
HotpbJNgzJTsW4JiVXIq0f2afKfVGu+AH3VcBq6nCICkeJBaMGIm9MZ63RLPWJxpYhdOnV6DoCyE
eV7aqPi14BD/uUIjXmDCGEN6UZKlF77Vdq7t21k8KDs4Zk4fpBX/+K5i1c9YDSvZToQQiHc2sZvK
StkKdYmOV/jN3ACG2o3ObDw4hTM1Two4qPZtGxnqf2W1aEaQCcRs/UGIRbzoYZYdU7vCaCMC/KX4
gF6anzWLPQTjkoVpINoSFonpTtXbxZlGx7dSTzQnRdfFb/j5eXxuGJL10KHX+Fbipt6Lnda6+jwM
NsUaspP2kQsXYQEgcTUYVid3vuOTEmfQpoYifRfCNK02FBxuTiHPGS5jRH48MLg6rcK/0IyLITbx
0VFyt0VXXQvftmHfv/vH2+vPKDL4ATzOnb+6iT2jWRQ7cznrvV7vFCSm3thFOvz6x1G4sIhAiNAl
ufrGUcNOhKZCnUsucxeND5rRhvjGl81GxnvvjiTuwB9Ex/KBZ+z6VZl5vCbMV5Bu6cdkB3dpoYHd
p7smHLecgO4N5SEBiF0lpAUEWq6HwnEQUdAkR2Z8UTA5IpUC+ZFkR9K6doOTfmcowE00IFAakx2I
VV9F1dtqtFKhnMO0M4JUNMWhFnb0aHSDtwUHkqu9uvnZBrJUCPUW/u0qIu4sG6s3cNo4V5j93p7V
bG9VVv5dKaL8cdTMsdkIwW82OZE8PAJyYEYExiUn/1cgkEPr1auhDM+L0067Ah+JneDK2Kow3h0G
6DxIQykYuy7/dwCgc7xcCaAIDXe56L0AA94mcBGz8O1RN39aQ5Od7LkwdoUdVQ+DmH9g15LvosUu
T2Ot90HXVMPp9WNxJ2LmfaW3TMrD+VsH6FLHzIjRuT63do0mfuTFgO+FioKPW30zZ9s6EmBuQUzu
7CeSHQAJf8TNuWCuP3nI5brkYKXPPVXhXZho4jAsEV37XnE2rrDb7cROkm1Sull8+TUFbF7cpsKc
RD9rUZT3fhxNYfKpUaE5j2XcJt+rMdxScLidHW1UOJPU9VEgRhHrenZRCW92agftnEyju2uQtNyH
OpD0tBTD7vXVu91URJVQQIgvJSZrPbvQBb1qYkFxJv2yvg5R2H0i9t8a5eYbMhFsDAAD4dAlASvX
E7LROu1LqVaCyDiQ5EhNh71rUXFIRGn6Hm/VxpG8+YK8CDS26XrK7Bss5/WAoxrjptrBcItSmKWd
ohoPSIwtQQTTZiOvuTM3WQMDisAOYblWV5szhArcD8xcikgUJ5GV2b7Ju+4oKrUO4ONuVifl/XV1
v8m5yToxdHFJGtKv50ZTwbK7ZMwuZpfk804g6aPsMjTu3xZKujT/6Xot/nOVqf8wzyncbqucnFPv
SP/B1/fOvY8Mlo26GL8EXN/qqRp6YfV1iTyFaVXY/4r5V+7M5a5MjC07PkyrbiYtl1OiZeTCQiq8
nnSNHvjsCrqEqTm4Yo/puH3Q1Si0gy5GBsSfp9r5nZWdRoSYd6nrq2bhuAejCus0wKrF+ajToI12
VJCTcDeN+Cj5ZA0TcVrlVH5m6K3Yxb2TSTPjSn9OEGyYsOauSBPQlzazg9KO1ovX4Fl9zFo0CHYO
BOBHy5sj/ejR7/HOaoRNzKPBo2oGBbAGgjFv0n/ZXWO1B8xDxi9OpU3zqUZnydmHlJK/lnhIJbDg
83Y5dEaeHxZtHOjtNpXlnKUGQX3QvHR2d/ZA8+BB6VvC3MgZG3NnmXniBaoy9sietJ0a7uNqAm+u
kV58K6CgVxiEFCL16aoZ1i5xlU73G9Nr3rct9HnCVBdcBwqRjhZUYU91Ck8BA3U0Z6CXp0xdFfqK
Z8+6b+ZRpn2disquYFK0OQcYV4kfVtIkYUAEmf2MaHaahzLxvC9wgiFCeVGZP7SaFzbHhii5CnLT
buNDj3rDj6zQwvwAvb17p2V1n+LzkVSTX8KXzP3K6I3HcVnG5cGovTh68jLFHYIQsMYXa0xsEqHY
Qbu88LLlIVbnMd+5yAN1waA2huKbfVj96rAzxhWyQmdypyVhpsD6N+pH18uzIUCwaDb9dIqM/5a8
KL5lXWc84CtTjXs9j6bWd5w0Eqc0a9UTzq1q5/deARhmLJVfuo1+pqs11rd59JRTNuj5j75pxZem
bDsPAs07tJiqPkzMUx4a3vt+qftkP07ajIwo7zU8eOLS0o+XdPiPRRdPqdEv2ouaL7a9d/Whz99i
ooYT7gAxt9kJXZk/DMkEZa3Ih+GopHNi7M2w6FD5qBPvGeEsRaBmMCZO0NlLty9cPY3PZW+EVQC2
rv6W51DsfTNprO7QeouanRw7NP+rptoTO8pCCojauDWzXd4v0B+nzAoPQo3qMtDB4CW7su0jtoCq
TM3sj9rUvgsRhZDW8ZUhHtWIzNPvytZydqMaGpmPayUSBtOidCd7yBfvRLcL9c8JF+FnocQmp8Ee
3y1V6D21lam+n2N68ac66vLELwY7/0hXN59ZTTNq9qJz3ejYOkb7DW4U7MAapu3wPdKXUdsVntBI
XbPZEsc4gV1SJG2T+f/H2Xn1SIqka/gXIeHNLZCZVVnt7WzfoO6dbgLvIeDXn4e6OZ0USlQrjbSj
kbYiIwjzmdcsfVOJQGhuPYVuPRYPMtHqNiRM0D/1mrCWd54iu/+0le39cjCzUJ7kMqr9kxAx+akS
J9XTJGzhnuI+ncA9SSPXfBg1/fs2M3JotogSKJdZQaMMdmrkfcW7T06fESZkKfWUHc75JAx5XxHk
9p81SS77cdHLLg6GHMH1K19Fh5ex9N8jtN+si1ku9Ze6apvl4Gl/ibZGoIVSJq8ftCFIMevL9Vdc
Oo6OVVV1hHdk7zTyUpSJ7flGo3r1yamjMvINKorOxxZHo99uX2tZ2HvURfAiiyBU5pkL9bYXtuPH
mmIdsdDWC/v2FePHkeCu4F3o7lv7gx7pX7RT0cDF9tQ6wZmkUzY19sXgXrz0FPG+ImC5BNkkLpo4
8l54+Wav+Q6GxjzXUMa2Lp6OMWGqVYPabRSr+ooxq+LHqdL7UWFkmY8Evvra/IdPQc8YqzWCkRX9
fvspzHRaOkTtMvSMYdqNJdULCB+Kj1H0USd5b2GJQ7jTWVTA0Zt4pAcFoaKZCiikQs8sHiDIeNCy
MP3R3e9VZdtfebPHxzqJYagpSnyU8r+MCmizsNuo75GFYS5+O1XEVzyjs2zCkzjVrvVimxdqQsql
wmruIAB5kXqwqjTN+QdOMbJqm6AApZGZYglTxQJSnt1Cy9/ZJZJj00QX0hcRhaiqW466gnujsm1p
ukB8WhVkbyeIyZsaKT3gSWlZ0bdRxEqAhUHkZ/1UvB3qdFnjiPqgoLm3qn8NupUjgjXpOGqKF/2C
huzFQrj1aWpWil9zKFn7IiVYrw06hNAaaUWaW2lBEHXN4EK5uo5SJ8Ago3+vRln7WuD88ygIGFAM
AMi79UA0xACBLWJCVC31T5gQFudutMoAdRNT8ytZ2JdUTP8oWued7oete/ODnbAK1SHcTIXg9vvV
gmIRXm7ZFUvp7F2K7vgPJ7H+p1Fo6fBZUId+YYdajJkSOVSlriPVeghW7UCY7OWvTb5ZxWcFd4qN
1HC2hgduAYAFKjoQvSYJZCRzVNsH85QnLWo+S2efxurVRNt1SA44KwhjBi7Z7fI5FYgiUIfw8Ypp
OvcJZlp114oQME376CxOEo5mOh9s/71vRt2IteTJAGG1qemUdfXsWoF6gOyib4OemR8p/h4pCu4d
MgAGdMK4IyHpbJvjmpEsLTLF11w2RQCESgsQ7Wk+DWY1Xu5vwvUW3j5/ZMTc0auSIOPdriLZNoBW
fBaupA6IT0xDjSVam8FvQJYp8nts70BCV/k5M5L4n/tj711gmI4i/sC+pMq4+YJVQq+vGwBc47Hp
BF3dOzThTXnKnZ5kWSaZEhDsqz/uj7qzuDAdnt/bVXVmq65bFAKFrok3V6kT902uoLfQOEr6A6X0
o67/3lBkpSjBUHGE4r55AoXi9uS8LO6ymFkwzlhxaEZRhgOeVQfZ/87GZEeuRKf1ueNpv/2Ohht1
psxxwdJL7X1C/e2pRarpoPS3Ox9eVPTAbWOtpN8OgiEje8jSGSRz/2ChIL6QhXUXqJvl6+8TCphg
BgHdgbrbIp9qxUriXFcwh4+G9q3AwzSgsE76mUW/Mx13Kkdxo8fXbwxwPYCJcOJWUdq6nV2U4UeT
QUO7Rr2evp1lbn2MimWSfp/JKTkoDO18L66vtVpLi5iO97rUf8XEqB0YXjwh76zbmRpMhkjOhtYe
0fx2PphOS5Kom4sE5sh6Av8aZbazpaJTm+KdrvzIurIIpVLojwgvT5/uL956T2zuEZ22xNq5xesb
wNrtSGAFK3oSc3ztanv4HVM4WXg8Ww3kgA482F+7UPEXj9CzC9GBW2RIRmgfsbX2VpXqN6CQ1ZoV
Zsntr9BGo4GhXcaYjdszCn0iPptKdURh3BkFu6QVu8Rmp7O7+Xb9UknKjPQrUoQQnrxJCitw0to9
irV2x4EOtpaZ1k7MZk0BfcjeRksPUnaiYTabx+9z+KoHT9q6rTdfDkwlRS36FASTW+aC5ma2PhWK
8qgPRRnQBvbwD9cWqgqN/s6tUz0Q6Lh/iAGnHYReO7uTt4V0BGwlZNRt6KVbQh0T5JSvSRwhjWcp
0QmVMDcc4kUc5D07S7kCCri2+GTInWxqlbExTjrBOX6y6CN8aCdH+2mBTT4YZedBAwEFbAG5Y3Rs
n40I/jpuS9IkgzJE8bVysas8aU2s/7Yy20NUSOate6ZMXMvHKqbQ/PqbGZD/im6jAMzNvLn+83Js
K1cHbtJP1FM8kbVhMi91KEtFvP6ahIdpW7AluKJRAro9Y5PWJTlQOaTb6wRLVcq5JTDIODljn6T/
D9PiYyFOv1p3QbK9HSsbM2wVIidGPTEeMHDJhf0wQ3WlaZ2U0xEXcm8/kq8Ct0I0ZL00b0ebWstr
laRLrllD8uYgAxVOTWSFbqIcNav29iPJMaAQnNNWM6bboVxd691cX2hElFH8lgLUfFGM6c/9O/kl
vW5Vx6UgDr9u/VDbA1Z5rTXZlFsQTRX1KTWy9iPCVJi8t5NxkmnfhOQGmJymin2KkslCCXR+NdaG
37DqLyC5xTtnbIvzInGGVI0ozk9q0TzmRqNdjAn99ibu5oPdsreoJATrbUbEwFVxu6hQAzw1LRFv
zXLRP7gynS8yc5MDBuvuqqJGt6IcUQtjc94OQzpCFxfWwlWtNT0Ule6cq6VYfAdGezCoQx5OCEAG
FVo3fjsPxccmMl9NVlpX1aBMt0qAm8jG3/6GZJ7HPFbrBNoupiIJ3ScwndXkg6vJD1Z171QQvdKc
Q+Mf4NfmFRJYRNdD1+J2LmMcwobZQWpMtj/m7rA9tzvUmu8D0l1bS5tZNY4hTAsq+xX+fHrSEV8L
DZlAtU6MI2TsS7Yn+hw8OqvhGtUTYxswl8g/GF6uFVfczJawzKTwZaGWQWOUU+iU0qBwaqm+Q1vi
XZQMEEDpK17sBRWW+6d03S6b95fOIMBHLlOuua3vhGvFsdIbCOkIwxV+F83VVW9T5cIj7H4urHgO
74+3s8iMRykAGAl537bmqCpDGusq4w31UmDw5ur9G4Mq6wfwYtHB3lk/2HZuQG4Aw6zIddqSt9t0
NOsJ0sRKvgQIkIYWoWCIFIJXopCQFfwHM0svyO06n+/PcSemAfMM7wgjBRLpbelItSqjRsoWXnHd
pycRiShMDTV/b4zoBZRa2tHYGNT3ZV5Mr49p1mY5lwDW3yCNNm+ILAoFfoSFDkM/ydCKhQgxZsxP
sjg0J967iKhBANVfdRuBYmxWt7Nn5MRyfM3pDpqN7yS2PNW6Js9padvIBxg6JB27cq66AugrrGQz
2E+NZwzf76/2zr1LQRmrYlLDtbi8ObZVthhzbVOoE4XuvUWbwnzb12ly+h9GWZ2GdAAu3Efrvv4r
uMLEc3QkrZ1rL2s79LQlDx0Vlu39UXZOB0Hw/4+yudzLOG94ruii61R4vmjqMJ31eF5FXw7FWncO
PlWIdT4rc5IH5XZCujGPrUpF82pmRXlCJsuhyiOiYOXm+wkjH6ScO4fiZrzNZwJZK+purRdn01T8
hLsbf9WhDV1qApFHMy2T1O81q6TdZw/l1/vLunfdwtyF8EETA+j1VrCoatJu7hQEpgCAxoJecJw/
pn3mfqc1hCPgNCBt5Xdgi0J1jmJ+iZcbb6y4Wt5CjCmOcCB7X5mWBO4WlJ/AGm/2Umou5ArY8115
nxHwd2iOvUWJuq1905iGL/fnvvedgQiRKdIhwIJt84DS75CGR3caHZ/6R0kZ7SxSpJthPyZhrslX
Q5LQbUCxhDuXYi+T29xApNgNANUZUeXEq6/CNLsgdUwlFLFtHUCS9nYUwD242Rp9b871ZgeLJpqE
gaOu0dIkBzEaiY+TUiGkLgZQC5MTA/toEzuSIZCm7GBP7awrMSWFGuqXMJa2KG7ayrO0kBa8qsli
g7ZofqszsjeWXg8fUyfND47Pzp5BMpYwlqfs+Q66naw2Ge6cg0C+ju3Yf0ClyfzTxFPzn3pUhiMk
3+5Y9AS5UBHdQnDjdizXWjKBNQ8qKY4l35SRbT0CZ7IeBwsJ6fu7c28o02GrQKKhnr6t6ZXR2tnS
uPBEP4p3izItZzsuxi+p0uiX+0PtvBMEouwVDhx1va28TVZOtlpFKE3k0ko/SLDBD/Tt/4fvROzo
rNgk5JheEAK1iLpy46orCLcR/5m7vgl6cBdvx6EzDib00lkQxBGCZYhLAALkrG2OtoKcXBohvXCd
3MVRwC/XTnvCF930zhKkRBIYbZEOAZwz4DIYu9q/otJE7DdtDfVHv2DOTP5QzQBDLS370hWS/4vo
JxvHFGXs0PTNY/69t2YLWudEsOoUhZueDJ5+L1SdLnUCT3hKEmJBxIaPq8L4jaf1lJ5VK+qQ/+xd
ABj3v+JOOx9OKoxEpNrYmRyIzeacLaNNJnS/zarO/qFNllv+lCwLgH5Uek+we6AOpW0Gj6/3lMlP
CEa/RV1XvWvwStD9jl2gB92Yi6MQYWcvr1A0kupnfNb2c4AXGgDvw7VA7bU5QTqbTx66mO9FN324
vwg7Nx8YJGqAq1gMFffNJau4WdS1aLmjFaMjwEyGf3GlnV3wlKjwkyyKwBhi6asdtnX3R9659WiG
ci9opPSYA26uhsHp26jQK1Z/TItTynr4TZZNl7SPe78o1SPp3J1DS1WJ42ryWIKu21bORDRjMgUO
fLDN+FRV0fIPuH/v8/1Z7X05cKa8IpjqcKVvZoWFo1hAyCXXaIFCmI769EmZkN1DH/goN9gbikSL
9AeeG/36TRikUGck5VIpSLR2FTZJ3J6hseR+hsDAwbfa2yVr9qFTj+Ym2mbpmGJOs6pHuMmYqTJd
7N4AojUM3ffGVPtT1sxQYQqZFh+hw9bxwTndnSc7BSQ4ASaA8Ntj2kyas8Spy+AC/BnCmvI/RSTf
DZHTfHr9xwN5Tc9kxUCgqX47Er0FkMGWhf6BEqeIKcZmgDKqGcxadXTC93Y/j/7zaNQ+tprR/fSM
CJgTxIrmIrDh9P7Mo1wNLC+e3zgNVZj7U3t+aTcZ7GpdB9Id3veKT76dGwZoNhBCJIucSVj/GHOp
f28AZ35UAU9+t+pCfJF5g6NQ4rRiRDU+0v9UoF8/40BXqoE6OMocEI9hrumMTfkoPfoxvtth8zfh
XNqfh9QZf45W59aAnhoJHUtaTRG2emU9mUtpvlpGgReLSuDKg6F6hB/j7Xyg0Y8mkkTptRzcESSA
Uvxb63Xyq3LSdgzMxXQpIrW6DBeik6/G5HbLwaO5d6FgfglQAL3Ctbt3+ws6y5VO2zgoECxW9d2w
aW5XWSwP+qHrX9l+N6AVKxTh2fdjM094TP1orVQcpZ1L8HBJd5FJ8dXzZPMAJrUNPC/RH+5vlr0T
B50djiRcfYpym0tscTSzi0waiKOj/IIVpb2ts1Q86Hk/HNRV9o4BlxfKEGvP/sUaLjF1DAJC6EyL
qvxwFVP7aXR5FqMKt1Rvpq48Umrbu8lo0vO92DwwjzZTEx6OJba1uouLtn7PkZgDL8Egq1Zc01fr
qf9mdMp8ynP27v1FffkhVwWMNXmiKshlti76X2l/Z8DYqSqu696b8hNu0RPYXFeeXDxhAzlgw9kU
lnj17mFQFHypepJJeVspONp6GKCNPO9eYzfou2VmkC+xjjNTbr231C4OPTXGcuj+VF9q9xC7YFhJ
Mw66ENXJzdGIG3TySAvJaKzU+QZWsox9C1H1KLS0sfytVLkqsYLI0i8LgcZPB4A73oV0/ZOg1wsi
PTp8RX7wjrw8r/wo+AQQQEgsecpuP4BWyUrJB+JptRj6B2NEJNduYSben/vLHU1VA/VSlApWwcYt
kQafdQBXFWGNFxXW1TKW+p9yKOIPU2bQgR9Mrziyr3m5pRkR2BeDkdZBcbmd16AViTso3ISZSJSn
IqfY66m5PJFTqpdCNebzEFfmk4n8z0FY8PKeWEdeaWFE0Jymzd0EgQAO5EBXHnwg4O4RjFTb8Foo
GppM95d1b5I6FTe4NdQiUZO5nWRjdGkBp5K4KhbFowDOnwRl5Clm6OZKiVPcHLnfmqirn9IFFdeD
rbP3UalB8E3ZN6vT0+3ocRrbqVljJdgYcxfMeZJ9dGJH+Es1pRdTz8Tl/myfVTxub30o90hd8GA7
SOZs7cDBFc9JU60ezqORvk30fqqgBNdlD2y+RREeukTR8nHByQdL5dYYydFd/OlkXueeFK3V8590
5uZ/cim8J1c0ff19MVy4tGJKpnejsfTu9zGZlP5UTxTRHuwsif6JHSB2AYJ/8N3I9yzlobUzGV0w
KE6ytaCveaEw8cg7y8brjFMxwgpC4jUqO5/SxWD4Sz82byd7THvcqSIbeTBdi56KbARBXrmL/Z0W
shv7qmjKlQVRmW+jehBqAJNorJEU6KtPuZOgmjlJxahOXtUUyaldgL37Tt5SQ4t5h3C7MPNxxTQb
CJKNVMcUZp9UcCnAzWHyNcyGDKzZHn9Z8JT0cLKkQ1uyHXNOfOLOTlB2C36zutW3EOw6hUbJgkM4
YHs5ZrZfL9aoh3kX2e5ZHxKh+XmtFvI6Arevr0qKbfp5QCi/eSBuMr4WZa0ObwtQ/HXYyFH9oNKW
T/whskcRLv2kGZ/u7469Y7d6nNDsIep/0d4d0HzgpaBHPqexEVLmwbqQcOzSTH1/8GjtDkWiC6sR
RAW6Ubcbv6c10SR2To/cW4rzqHBNo8MSPXWV+uX+pPaOGCXk1TaQzjX9o9uRLEjtS5GMNCORmDD8
obXTTwT99qWXbv/LatQjTNv6B7dHDFOC1Vd5rXpsg/3eWcapahrYx4VTWr4SxQ22jwpn6uDq2psZ
jy/USlx6Ocqbman2YNNWwH57UdM2mOihhoPW9D6yqSPB9CwPLqu9bwYKcl1Eyv/4Dt2upIxMdLxd
HHYMdakvWC01YZWN3aeBhuTp/kfbHYpOCTkTUmJ0b26HinlxRrUU6dVWh/EpRnH+qtVGd5pn2wz/
h6HWOhiKLqzjFpdVzpAW8lSyimVpnpQuM/0mFu1JmPAfXz/USqwmLVvjhG3rq7dtaYgapeW5kOj1
KZNMH5AXiyLyHbTz7w+287CtPNi1o0DARFv6dgkTUwONqK42e4abBcbiuYMPkWHwlR62BmQjI+iR
mX5HXn2EaFj/9OYEAFil4wWtYJWx3bypdV6hDaoSOBTSTH7RVmlOmak1rt9aEhNuqv0R/Qsb9DHM
Ps/+GiuDd5QHv5TpWzWIOPjIDPPCvuDMO2rLvcz7cgV47VAnKRvlneJNaMvWosnfINLiFp9iVrBF
fB7EYzBTcuTxQM3ivd5b2fvGcGP91PVD9aNQenHQGdjZ4QAPCaCpxQFg215LUiv00U4qtp2Ljgvu
Zxj+iDY72X10xP7caS0hhkCMQ8N3LZirm0DOayYQkA5RhtBT3e9nTz40w+L6aS2cMLOa7MF2qvps
xkt8ypYlpUw7RPww/ATv78mdq5FeCL0tZJtBgG27ztpoqUnhkiSleT48OJGVfPQKMzrfH2Wn7csT
ZntrpWX1YNqubUvjrgPBj/eH24/nQUE/0/Wge2HJYT11o1s+GtM4+hQo23PWL99MitIHgdbe5yXO
WkWHQcIQXt6ePrTuqspBSOEqZxmHq8uX31jZEmDHfVSB2XkGwLWxiZ4vMRhat0PJGtczvWZRs7oB
mQhwIZj54u9Soo1/7dgZv9xf3r3x2LfPSQGRgrU53YVWLb3SJJQnlCQWCBg4sHojsr1/x1LtPhWj
Wx9sm90PSmJtrS6I1A62iLqiS6KkAF9/NaPGGH216lwLGqPe/kukWL+HOpF+rZLBenBaRX5dlth4
zGfnSGl0XcjNtca9DWwCN0re262Am9Rt5rrUfFOrUyBNinx8ot81fLCHZLiQArffyPPl0QO1MyyF
X8MiXF/Rw9v+U9z31MSoYT5qpcSusFpcgYMuiqfnloJEGUBRRlioq12EHe9/6Z2Rwf9QbCZVoDi7
DdJqJ+7ssc+8R9PqnbNel+WjNznyophwL1MEgLCeKV8to8WzATBkFR8B8IOB4u12NpA6cUTJoAkO
D2fAK/nJHqks3J/azvlEV3rFYiDc8hKiBkvKpXOI4nMK4jRUmjQOW9M4d3BjDzbvzp3HTeTgBIud
jkkv9nY+8bIIEIYVnuUgJHxptPqHPk71g1F25gM8maud/UmRwF4P7V9FIIReIydS+/gakaqdKxjg
X6fMsXzhLEc6fzvPCbBMsgO6elTx4CDcjkU8nQMOAw9tl3iQll60zIFp2fp3m/9a+HRllfep5jXk
gPUSfS7MFGFTVzjRm3ggyzyIc3YuB34OcQaIcrwJ6MPc/hy3GcU4cOVfYb1HeDxVSdC2oAh8Gm4R
cguddu5EPQd6os9hkUjd1yPT/v3a/cSP4GKgsEk4Djbi9kfMTWXV+NAqj4NaL2HM70G2ybWDBnmt
g627O2HElunhYX5EJr/ZUXVVmGKMLeUxA+PJVRA3qeEnlYFZaw6Q4QGitt5fKqEqqe9EoyXOgOTa
a9O6aC7dn/buXgDiycXEM4ti3Ca0YDgv6y0rplfUCWDOVW1/TpFee1fE9fjfVDGSB7os5qc5b+fH
oUKK+oRnp2n45SJQzLr/a17GnQAV//ox+u1HqDWVF3CBYqGXavlJ8JzAMNVm502T1lOQz5qLyBBc
ac+NP9SodB2cwd0PQ/oMXHKVNOTSvB2/6WpjGBGju6akgCF1vAytd5DEvzBWKDpi7tp7N49VdEZe
b9WcU7wra6GUp/vL8PLGwdgRfCi1b5In4M23PyM12YyxPcTXzHL6h8KyZyVY8qQbDsZ5GQgwDpil
FclHF8Fd76S/7pyqdzyhTBrsC1NCy3ZSkIpWNZwXyxY+EmXKx/vzWv/e7fvLeMAWqPHSOgBcfzue
gKy9mJ7kjitqJexkLS/tMg7+nBneAU9hbyhan7TPnrH126e+dMe4dCfulNRSEj+mfxXG7oJmXonc
wcEFtjsW68gHA6uIkNjttJzUKouyzOJrn4rOt3I4XVanSmBe1lFnaXcoeuIU/9bW/DaUKDNyUils
JGhzVXxEnsP8WtjT+A7rNu+f+x9rbxNaqxwqMyIN26phdpGC1bqdxtfGHKeTWUfK2cny4nx/lJcR
Cgna+hiBZEVmx1gn/PcWTI2JwAfNzcTTGWCQn8s2r34A8LKDhfaWb03zLA4+2HNVdrsRERQBPwW3
yQXicDuqUcRWFU1z9Oglg0zOTkKz+u0sZkwVeksbvidtlmtB4Sx0d8e66X8m0GvSC5pNZRaIyqus
gFdpTsDweemXYpZdeo5Hm0ZR08/qv7Ll1fbrSFYdGi9tkmEE0+fmpSWOWMJxmalUdsKO/yRmCiCP
BxBbGmEkMg2qNnfGsO8UJBIWx0pEgEeJ+6dEikgPub/lB2zKZORT9srl+yaqOEMquph9MHl6qQda
2jrOQ+yqjRmMQthlkCIadoZWWzRo6A12G469lN6JQkY2YtIAluitqi/u11TLZPEGS98ewWqUMU+z
mWK52GGa9ZA7ZQEIw6lF+rBktvHDznEJ8KNyiKNTJsdiuTj5pHQnra9Q7qzVOnffENjPD3GMZqe/
Sni8M5QKaPI8KcO31s2L6FEYbfuvqhaeOClqnb3Vm75BLGcq0D+Bgd8Ppx4oN/I9gNNRBEb0qfI7
OlOfaRtBMRVxord+p2P75pelNqMB1LUUAxPFrH5S9E/Sg9dp5/AhiUR0ACIGpXprLdj8tVejhP2o
I2PymJpT/sS+wtk3j8FVLFSXD/cof2yzRTEFRE+boHMFwmxihKhtKyMuW/pzdpycaCRIH93wJSwW
cBVI24RlkSNa6IijgXdOpM7JWCsvgA7539tZDno1GK3jiqupZtm3FE+G75M2peix627/KIuMAKCv
Y/vgTO48/WQq3KJcByvpcLO4riGioclMStei6t4DPvceUJ9/P5l4MaSe+V93tpRLK0cK79XQHLwW
O4AvWAlM+xk6QFqxXoZ/fVoPgz2z6IfkCoez9JBJGusLRk0U24YeomDXmmN1RYZS73w4x8UPwDzD
h8HwSB2Rbc1wqW+NSyKG6eH+9biz5YDWsOGo/DyLRNz+LqeIiyVpVaBJFa6VvNdki+kgQ0k37GB3
73136mPemiCj1bCNfRJUtPQlbQViA4kN73MZgtwrfqtGXPnp4HknAG9Hne+96dGwXdt2eB6hWnk7
PZHORT65sAnRxdHPXCDaY4S21JtU0Y6Ev/eGAi6MLPaai5OZ3g6V9WC8iOrY1hp9VoteTzi22og9
djlf7n+09YRsji5UU84u7BOy7m0+E02eC/jD5OVM58jwq9yL30xDNfZgBtP+ksDfUg9Oz86QazxF
Mr1K/rGNb2cXY9+Cg5wbYztWixNeA9YX+k3x2RNoW2WWVA4OzM5mWbkuawKzwpK3BbocZLZjS48M
MmmGoB11+70yl1MwyS4PkELuA1nXrzZWXIUTMQBnbVdvrq0cxiKmtuoaaFpzPUUIDFLjxHfMFdGR
YNLeaq5OFCaqhpSvtz1WLe4qG40v5dHAK9qnYSICI63ccFXmulRJrpzub5idUAui6UqnWcHs4E5v
v16URUXq9FJ5bLO2/uG45RC4mXX0zXZOwFpQB4BBO4E0d7NHlGRcUidzlce8K/XLNA9lUC2lG3RV
a73+BKyTAfxEWAe4ZPOGpOB7bXqlJNPCS3whLO0yG2UfWiLXTyCjXm0Px874e7zNAs5y9obcY2qm
HldvJwWeSWF4/6Rp457w+Xy95CX0YMJG3imWEcWv2+/VG6KbnUh6j7O5TD4yMNUVrVIzGEalP0Dh
7n004BswXFcsBdXT26HmGkaF1preYzdn69JV9YNZS2Y1wL6+vwuf6UWbe4tiEK8+dWiKtdu0s2vt
Os4cgYlaqZcPNsLfA/38dHqUpZNWAa5+xvspa73shINz+m9rDu3kT6sJsw9nEiFI05jd5aEvDbS1
c5Jn+7OaeEv/xemk2Z9MrF3UQKez1IRFtajWB0zN9ItbZtb31OyrKbDAyDyJvLQ/O9VifUdbkjDa
tpfceNc3ihOdeXGrf+vcKJApHN3+bUQuFP9yiQFnHwoG7luJBEMVSF0TqEYCJ1f9SYlcz69N0Oo+
yvu9+wul9149wfqMfyT4h8x+bk2q+ei2pToFUaKO/2R6Og0XWKnWN6pyvBckCwjXGwKpGFPR4swf
nW6m7T876Z9iinSaUvc/xvpdN9+C1hsZ0Zq/8phvApLFtlM7qVFxFnpmP+VTFoWzhu45ouQ2eQBJ
swJI43cOJfbg7O7sOPousAvotPMub+1xOo1YRsUlF4sKqzpPIPPCXHTUe2ZLfro/yb16CyR7qNMM
t9Kajdvd3ddKb5eVoTwqmOs9zOS2MMWUbCbUZQcq+az4pH9T0ArbfG+Wxk9U7JpXFyXwV6G/iHUB
SEPqYLe/ocA6cLBK0HdFX3uBDWI1iFpn+WL02XLwar6850FJr680dyKgrC2/ryjM0oltWuETghgP
BJrKQ541w5/7q7o3CmA2nhKKR8Tvm3veWoDP1CWRNC6I2ptqnsxHdEH1I9zVc0x8u0VXdVygC0CG
V+DiupH+iplLOizAj0jdY/iuP0dqZYVfUU/KLpExTD9tVIHrQAHiEPteO3afwVHQswM20v+0SSX7
N32MJoA0u9EEdkOGHcrF03/VwGjw43VhAfioWy3yLGK1p4ajVE3mN6PRfcFKL/nutsUkfIMG4cOs
yzQP0zjS1nS3kj8ARTUGqWELJ6Wmp+qFhr0gmd0pGmpTRSGRXtRiq7ZgrKjGz56aO4W+vLJaf+S2
+COnSrh+j2y6Tel5TptAH6UbUXesks+NWLzDGvjLkGOVlNHX3WEDrN261feyQaIR4BgQRHf4qNH0
+5mNcrEDJIXzMQCa3eE+56CNSZbef8U4YbnMCazbZNHsn3Bjk/+mU+v9Ulp7eUoWtcRQR7W/3t9Z
Oy15wi4QjKhKrThVddMUBUGZ6245iSsK4N21ovA140ohij+j4sYPpEtITOtQHt/MZTySzxfLl2LJ
plOdKk5ojY56Hp3Bfj8Ke3m8/9Ne3lr0nBBmg3a1ttqMzS8Tw5JIfG9Qone78YKlYvtgRdj3lLaW
h68fClI5ZDIEa9ZA93bfu4pLMy9H06VXBjVU8wE7ibKJTrmRHUko7cyKq99bhdiIeaEE3w6l0GvK
OoEQSeEmY6DLpTzpQJQ/SqM6wga9zL9XiiFi9wQaGpf/5jQPXm4ZkUcqtpTpD20wxGVRrD5wC6MN
dbdTP3gg/0Mc4lU/Kfsjxv66Zpu7BFVJ0olnXyRc024nqoFhcIecynBrZGpYtF4fQtFtgtjzcN6F
AwGksDnSstmbMqQV7kjonVzIm9WNJ6fIFBSXr1JN3VNLA+axtztdCcxhij6VUTQDeImK6CLqihy/
GVpFP3jmn1+X7cSp8NDFJOuGG7RJS9GWmWYv0iOEhPuM68jLi0f6QJH3Z8auQfuvR9Fn8Ec6H489
90fygAsSr+JCA1s5taWpAx9O3W/6Ulp/zKmaihDUuI50slqYp/v7fueKspCNoe68CuM4z4/5X/d9
IYym19KUwEABthFaiic+yZiSTlDNVYudzlw63+4PufeF1sh3LQoRDm2PmteYINOcNnosMK5pgtoF
I4fUcELcWaPWbvt9kugO1JhFtg+1HQv1q5Z0pnvwlXZeVA48sTE9GZix23SmTFSysaxl5oY3B8gs
5R/Msq9fzXjA8cCi90jlDSmgbTEkzgkykTuPHo0MJ86wVWr70hXj7J1A/nifXdrqX+8v7871AryF
mgGsH+Sctj3PTovAf3dx9Ahj60NDVH3qDUruMs+KgzqW9zKepcqzturRwQJYtkVpW1kDhH/uydBk
oX2mypxYcLZxQwiSWspffP0FLXbQTQC46rKYH7NUS35N1FHKUCnr9iey50bjQy/zfkc2co2+qdja
WytDKR5TEDn5ndakWrBoqkRrt1DU7tyOSmldZ72mguV0VLN/a51aOYEeT5J3K6pj76G2ZPsJ+xf8
RfVZRvWlz/T6q5V0FDjBzogCBxVS19M4NiPN/2jof9FvQVtIl4r5ZdSA0CD85pUfFFqljx61JTKW
XjG9Tysw4wlDMU0LzdG0q7dc37L/SN0VhLM7pMUSRloO8Ho0m+WjScytBG7pZVBii1JpH5KsRBrc
LRtNhIremhir4XR4EYhzy09FFWnIzVczEhGt60krUI3a6YNk0NUBe+p6eN+ofVtQyXTonopc/TpA
Sv08oIPU+opQxrdJ3tSxvxRcycEigU9Whed+NgwyKkDTo/POAF32zdW6ygWygsZjmFROY54FXRzA
5ksq0ZRZFtn4RTvS7cJwMm4haUhl9JcYgyS/KSPhhq6wEX1ZiigfQjxo0iGEkqDmaJQsngUXrMph
gOixghBNVpf/ga6ATRIqzunBXbKTbKwaNJhGO1RYINxssvYuza2+12PsdedeUqoipfyUEi6AvJ3i
RPELS2NZxn7IcoQK66ZGut4t3NOsUu0+6DS/fO9gUf0fZ+exGzfSruErIsBUDFuyuyUqWw6ytSFk
e8ycq5iu/jz02Uy3GmrMD60M2yqyWOELbxB0bqCYbbWsk/tu7KXw6ESKSKfKvJeamX0vMbY46NWI
uvEs5gPy85cClzPkm82KlMYXWaXgrjmJXFJJaiVE70QLul1oHNmdjUqV3SyCDilKHYFj9ck/iVfW
8x5y9FJ8ntC9+iPssX4x034pb70ctf4LH+b9KXT8VCdzwWOyZDScmI2iSnY1xoX7xunM/axf9N47
M+2wJwiyDQt2LBj54zDDdSq2+2TakcHlFQL412+UaNIKn8vVP6xs33tpIRL2X49ZMtsttNrKblDa
TqYdbpzMVDVa0chhfhU7erdD/ADaxnRJbvbMVG71AvqAf8OJU0vNTDo4veS42Sgg67tOivxZ6ql+
2ymRfv/4pd5FA5s43l8Pww3W5p1S5On2Ze1oJn7UmtrzyrTeGNPwxR8ypABXK7l0VZ0bbqu0wVTl
Dd/RDYzabhxj84kmy3P2ayrtcMVGMfTz2Artar1k1PluJnk9cPLwKwmFgbKdfDMsIVIR6yuYvdit
vsajjLEA1zBDbetVuyRQ8S7M2QYjkwZdBs6XkunxsrQVYKCSkCASRZbF1zXwJhGWtVntO9MZVLgu
3ZwEIzYMCWd3Wj4Oaq0vaL6dm+CNqwqEgQiEfP74GVaThgUGqG7k0di+TxbbLa/GwTA7Mo6yvm05
2L98vILeN914bSiAtDdRgIZDvj3SvwJKmzulAm/kR2nhOcN1ZwzlurPosuHslcSdsbNU3neh8lVt
7egU+U64eKPsUbgskq9tlk6gLdqhGCC2l/JSBe5d0MfTAf0FQoK6F1/mZAVo3spdqOEU24Fm/GKi
qf+PO1r/Wb52G4W4j4IrCFBEbY7nwDfhr6GxjSFs3c2vbYXfuxsvNP8TpIy+fjzh596IsB2BHi6/
rTh0PFZj+bRN8PCMkEGZ90TL6jZrM3P38Sjndg77k8NuQ6yTIB+PQqhZVWROLOZ8KsICr5Mrqr1t
EPtUeD8e6ty+AVJLhRnA3oZfOx7KmQbcGHEPjAaj1pPAFaP1vSWI+KRUFb+UwBVS7GySnjg6nsET
OjRxlgu5wbl9wx2+0f/gz0NpPX4GA8MiTJAWL1pAK25+odS2YIUNY05Zudb0CLfSS++9vddR0uii
74oYGqwQJB5oHR2PueAlQp5gOhHJjrer66q7tpCqjj6e3b8Jx+kwW8jEkqAW/A4maveGp+X6ZjdH
m6zNwcP1y3AFFD7/XMHkl/scioC3M4ZukFgDOQhw4qlU9k+264GtWTPRdCHq55p47TG+eVIxIugB
1dEkCXVjlcuDj15O+hC7afNdNkJqt6tCMStcfDf5Pdp2RcCv1esBsVx/CHWB/ZMda5goKay/MDMa
DKuM2qmJv0k6FL89VRSfscm2vB2SP4t3bdr4wIRT342vursAPsH6xcOcMM8aZLaV+5/7Qjicbh1R
agkmUEpxspnV7ENkrms/KisDdXmjTHcjLvA3bd5dOq63ZXXybbb4BYw1hzb77CRoqssl7R0Nr+6F
8D8EK+IHg53mO0MDiyPMiiwOlbH9xyviff2PFwSu6tJ/hbAgTuv1lJWLViBuGKHgox1okdVkKLTm
PjegjW8yAsokrOkz3s9jJx7XoajuNWosj9Ip8sgZ/WUNJPfAq4+kbnr98cOd2RSCR+Kw5vISHKXH
m4JbS6x5S63A1JzmV6yJ9dOSzN3h41HOzjvyHABmTVpkp1KWuTW4Mus8P9IaJOVyRHoa6Omp3d+5
MBtUlGtD86vLC1TB/4eB2fEYoaB1y1Fz/Hpx48fI4YxxNPrS362zH4eLk9f7KW/0GzmX4DPMOnn5
eNC/Vb/TZYZ/OIUPYGYbPv141Fb6ixfXZRzZG4k1kAKo0y6VOR5FtasPsKuLVv6Tr1PKZBfuj06k
9i0gh8lA7He15mtJQ/E1jm2u59rOkqcZgnB7YWrOXAOC+hlRL6Q16qUnewFX4aXAU8gn6hUq4pmz
UMvL6rrsVYsQl1He9X6l9oOazENbCvNCV+fc8CRx3HkUarmHTqK3xXDy0ugyQlPP67+ReFqPwmp0
loWLyKEx1LvOKIeAfHsKZ1e/hCY/c9+SW0Cs2aA7UNBPh+8LnK9HItU667vX2cxdIAv5QjFgspJp
9/GCOLPJqBYB06cqvQnGnEy1m8yz1idE/SbYWvq1UvxxZl39+HiUM3cqwTzwZ7I0wAOnLbk6NUpd
0xovSorVuUbvyviaLlIe9NjW9FB2/5nVxoZGExsG1haHcnofr/LCkn079akfTUUdXw3If+d7t1J9
dfXxe535VMBXkIIHzLWRHU5mD1dEF6/AzsNusF8OaKnHn0xMgfedDpzl46HOHdVHY53s3NVEwyzO
iY2AfupVsPhV8qxKBYyQhmvyWFPif8W8Q2s++/Ey/hxMG6VcytTyzSwzG7ss36bq7tZZe5O7bTZe
2LPvqzHM+ZZnbBE2IIpTVxY0iN2+aXUvmu1YXU0pkKgMMnLgNn57XbGbQ4gfVsDRgfJHOlMzU3VZ
XFjOZz+IywPQXAHhfIpx5l5eC60diPFR77+3HQ1SWt/EN+jqXvLyOTcUhV0QlegSwWXf/v5fyU6t
1n4RFWussWXyZ5Cj2mNkLr+5TvPl409/Zo9CFEVfZCPMo9Wz/f2/RjIEhb0MWF00iMHeV3HSPK9D
6l5QAT6zR9mgfD50P0lNT3PW1aP3J3riXlSg1m86d8L1hN3HU8ZUJ2HhK+fnx6915pglzuGQ3xRN
N5zm8WvJvJJuotde1AwgmIPNM/B1oDW9fE+NyncDu/HTt7Uv1fNcwkYOR+RVL63ac88AfApSO55d
HBYnz4CqMk6k9eRGaIJOr1Zrl3PgjVadBzHhfxrA56tX2hR9fwtaYb1ZPCy3Luzs7ZA4uZK55eBP
8H2pS5z6ICxrTEtL6SLyU+qwifKswBBTsc+NFHZUW8pPi1q1UAxxc+Gie88Vok1Gg5CyJekOIcHJ
meJi4+dOSedEntu6696eB/vQ4X/pBeZoWuMdypct1WVAP1fTJOqXVLrxl9x314dlKOJLm3eb7NOJ
AGFJ6kxqgp7eyWkak16lZRmLyKz6AQs6Pk0wQcHYOZnjH4y2b/de1a9vHy/DM7sLUuOG+0Jhg6vw
ZAmQCoKc7yonqpTz2q0E9rAi0gvFmDOHBbhRLgiHHbwpNB2vdVLKUq8GXk1mmJlV+tyh6b2o5edq
xE63//iNzg5Ghw0NJHA4BPjHg8V5svl7L9Si86qJavRbbjbzz50/TPb1x0OdmzxOwL9derBNpwuo
1ysnLp1ZRFRwgDZUrTwsuigu7JCz6xRM8eYZSGT0rtk065U1xUsuotWeu2Lv6XVFpFqV+TNVpVyG
3Wrkdypr8iKkV5A+IJCMuEs9T7jd1nqFTPPHr31uhgmgOb0oicAMO9k3vtsMQ7kUrFSzSW9HikpN
MMEALHb66Nlq9/Fo5yZ5IwfBMHSJnU5pCpQn7Xn1BifSyO1DSVNr83gtLyRCZ9+Jyi9ZEMgpiPrH
q8bGH2isG0ahfQtt0BJTWNjdcgC6ov6X6UOEGXQzCC3oasdDoR/YirZmKEgCRVDiRhT5+ezv4qQ3
Lgx1bu5QWID3tCGp7VPCdJr12tqajhPprlbdjIwH5nK+ZKZ5JvjZhO2A/BL3sONO9TV8yiQelHC2
XFb5vyU2yXEYr1JOweos6B8bgFZ/Ex05CB1Va4kRc1MXO8ueKGh9vFjeX+M8yXaUAVSH/3rq3j4k
9NG9zBCRCwLpfiwK1JYm6SQjBsBudWcu0ryUQ5wbkgPbRl0HxAn11ePP6YCdzRKCw8iEM3cNmWnT
voGHdUiworyZLXWpkvt+qcKfAY3PR91KM6ekOermY2V5mRvBKhh3edUnaAcnYl/3YBs/ns6zQzFj
4Cax/eOKPH43a9YtsJrCiUqML2Fx63iHohN66IZcv9BCfB+L8FbogBFHU2zFj+F4KGIvOt4Ye0ZW
27t7PZ7HwyLHNyOb7X2Ru5RDUy9GP6vDPGHJL8L/zq3hjRyIGdrmB8tmOR5fzy0tBYfkRjOeQiAj
kv4zXlfGrT7GeAB2xnS1Wn2jggLPpCyw6nR6QKCn/fI/TDiBEHiJDUJ/+hQj/Llc2Ikb6YNRHUwY
FyEo5PLaMAEOfDzUmZQKysNmSUOZd1tQJ8c4km6eC/vciYB/o1qKCpj5q8zThXTF076UQCmuNFH5
n/t+dqJ5rrEyVxBG79ZSn257z+quVDbmz64q5j8fPxq9Imb7OBja4LqbSgHqC0CZThZepZn6OuI7
g9JDqr216EzEiFZmqCs6a2+VEOqVXoSyHscxxJJVX4NiGIa7LrZ06uI1Sm/7JQGEjXwr1lqRAnv9
Zg4IrAQ5cWYe2Ik+drten9Syi0erQYi50/23xepX2PobYXlXukWCHZBtyhc7GbX5Zao7swhbuxbf
R72wuSC0rMAzb20dZMJi1LQBKa05/nUV8Kq1l20XQIWMsx2YjUzbF6Yv4xt+S7zetjanRZDFidHv
0pb+boHk0uQ9xlT8luehc71sr41V613NXZk+9a2+2K+9Yc0WCuMmgnWGzI1kc6oXUPVSif3mrmx9
1A50UKzxVSM1DJXg8fY3vj80m5rZJmP+kFeGmq8pJJkwr7J6JtTtKs0JdV3GamdnFpomXq5rxhVX
+VzsRi0RziHzZ6PeNeVYKxh0Ttdcd7ObykNimnn7MDoGDCugLV3+1UV1QAs8JHyyW1Ds3eYXbrew
QTFZQzPdAgv01c5M/XGdAVyEuSMtFbYqX+G/WGj6Bc5AlY19t+hPc+WN5T1ddPF5FT6I/dQHw7zH
NhnjWMNPGszSUOBLAjpewr5ux2Z9m+fV+BZDubT3fdW2yZ1muEMdkGMU+NVVTQXhLauy/oo+Svek
fLtZA6hilR+UePdt/xBBjL2JBjAgVQKONFhibfXIwZJW28uxz2ToQiDOglGJfAjr1h8+aZZXYXVe
asR/muyYg7BoFutL3TqlSoLKdyaJJaUqu4cqzrr+T7729YujZw4IF2Ev3m1meMkdai54ieR5Wyjk
K8wYgYSizdBD1zyEQPSyGe6qyRzE9aI5JGcA96tvfl12DpgeU7APqJC8jJNybtoW/+WrYTFyoPZV
stzIUvRN0GYiHq+wsDTwq3e88rvKQAYjSzHaaYCNpvVZidb/oeI0/zz7nXmbkAxqoUpFVd61Hl3K
oG9qzb+GL6HuS3sBLzoVq5tfo1s4xOFQEKwdZJmbU1DRA252mJOoNmCr6hBhO9N7KFLIpvSCa5jl
Q5fULda1WfXgIbT/yfNHqw9Eb8f6zk6qdGL3rK29B2yrkxkmCYgluCrGGppgowRKGs34rPTaLu70
EnUzEM9L/GJX1Vohiuhl3yEhuWXolGL94hOg/BnXTl/3GJzPX4p1btWVBgVBIoVnbb8zx772UPSj
85yscgPx6K5EX7kW9UM7ll1DCiqs3+XYrdr9Mvnq81Qjs4Mju6/p+9LLugJk1+K6V7GnsjIYKiRD
Dw2Vhn+00mkXQE+zPQWjVVkVGo9ieUYGoavDlNPeDLAPVlXkt3V/lQ2V74cSFTg4Kouf6HDCIFrf
zhmNAmjResYnUxKcz+orqwlSzcIlumhjP9A1pysO7VBacLtx5OLTauJgTakizjTi+VaZo8pDQsC5
AtjcUlZwGzl9GbPeI9n0zeFL3jeuuaO04zihIZosIgcoVbCimf09GRLbvBJdMu/ifGxhhwPhTEOZ
DHpU9NY87qu+11RYLFTZo9lMEIc0xjh/QvXbea1MlfYXErAz18QmOwKj30Auj1jo+NIex60zlRZG
VLmVHRVarqad1AugP9ZC0BAkepzcDkiq3uXKNboLIcuZ6IibWqAbvRFb3vXHIF3qZZwwul/6y372
kuxJNHkVtE5+SVfgzFCoMcDSRmaYwPa0XYJXRVVqMrMjhF+nXTIXcejG8XC9yPY/q3VsihZYB9B/
NsR29x7PaWPpSZNOyL/VgyX2MfrEh4RD5NPHV/yZqHlTISKt5fLfSmAno8hK6aqZRFQhMMHNKVT7
bZ7G9LMVT/3BQb7r18cD/n+w+i6moMO48bJpL5zGFHbuEU7BaIniIvHHt8an4PVpEqWhhZZmud3B
Xh2kUV3UUM076MMSHtiiLUuwSbcahzlVvdsGtegQFcsK4PnOJy67emjvRGGL4on64ZDtu4pfH4z9
3HBHuEX3BwKH1/yz1I5MDp0BP+dO6nVu3nU+ILEvgsswCZSYJ++G8ywBC73ozfojLf2hDp3BRpBW
E/6CuR7Mk/yNxnY37UZrUdaV5lqVcS09Q1qh38aOHWIkouI/Lqab1RiYMyqvIWs3ye+HcerRGkd8
Z96NmNOQ4tqNeiudNC8OcnIAqKcVirdhool0CWtPVXIHHxKMw4BO/vKY5uYIEEDzB462Pu9u1JJN
MXdn7c0BfkEo4yImaT55WQMiox86tPqKYjGq0LSygXoW5C8PTPM8/uxFMzphZqYq3emd4n/2WZw+
uWbTqZsi64z4GriMbu7xtIWVNiT+NHwrlFWZzs6l2e6+rVNvJIfaHtx431rQ1th82YIHFQyhtXwB
e+rh/pdnRn075WJpDn1JmfHn1FSzHkLec8awnk272We1Ql6zwRyl/6SXrVYiGr4ur30nansHj7X8
LLG70X7iAd48JE1h6Ts0g2oxRcM6GK0MlJPo9n25dEoPO9ua7zYSNlDRUYqfrjJF/GQ4QzIckM7t
XoTTjcUOnwCQ8YZMwXujG2PqATqzyPcjZ6aPV/jUAQNa/CH5KhHmFUFtzvNd1SELceW0rJ9npD6q
NzATbhfY01SkAZJzxvclNrXhEVr4bAS9UUvrDuCI9SBGZ50Q27Tz30o4SfstTcpyuaJ1Pd1JD+Wm
p5VAPN1niTDzIB+LZaAr6sw3uOKN8WFam/EbEnOmTwyrTc9GLMStrhfaN3/hB/eBZSGxz9wqVEsa
/2ioFYtA7+Ni3E1yWRF88o0aYILK3HQNYbU2bxWYsCS07dZ66umZjLcOEoFIJS+8Y2BVylrC1upw
4kxJWr66Uy3f5OApc+dXOVAIHTSyui3ivrKuCMAtdZ2Nqv7HNVwOxlrWxc/KV0UXFL7oraClvH1Y
pZO9ZaBlXyvX0ETg6CUKpIk2+V+zIcW6zaHBrYJkVPMnrdUoMBGEZUNAlANfWnVOZhxsaCv+AQFl
jOw0+kC7OY4BbaWja1A4zqo6kjmN2+vCqtqYh7Sz+7xf4t9y8oxuZxjt/FUli5PuaNt4Tw7yu/W4
c/rZcj/NRlzZoZXFShxA6cHG7O2W6NpolaG/WAO6xFFZOklz20P4jLWwd6S77CwEWuAQpAIced1u
bIvedokLpyH1YxS/JkE5SVmW9uzabeXeEnzLr5UEOPTmLUWZB8tApHdv9LnhfJvzpbimAgZbMGvS
AX5aV86TvJ2LxIofXTPL+vtctG4Tol3t3wqH/GOfaP5y3/r6/HPMV1p+iAnlI4y1zv7UpoXUn1bX
x2Rs7NGc4ygt7V8GaIoiRBnDn28sb7DHK5BNw91Md8EJSr0Gwd2QEJIZQa6STxmI5UjGY4dB8goH
NogtYwRX3+f1y4R1M3xOW60TwQ6tyCdF4POgNTGQwzFui3GvaFAlLLpqEajnZs1z29QGbLuFGevE
2n0euqKZvhmpist9wvnySFyVu7B5Nf3Vab3u0dJyaQfWMOgGKjKNRD+DLtcS4FOxuoEnpfvkIilr
Q2e2XXVntIiIfULiR35fe439YSVef987rO1DyoUAFaYvvFB3oCGH+Hp0S+hY2G3uasFGesHvslgO
iQVY/7ZZjQzHuWTOmpdUG6RxZaOF8zlVsFIOfFvPf6CCsKjQSZ3xsY2bZA5hPEzTfbu4AO0Hs3Ll
zsr6tUAJCwHloMyWoQrsTk9Loj7i2ENZmE5yaGtqdNxxhir3lom1DVUOozmICk/TMEtGsO1jYYpf
yp6lEdTKLLFyoTQc0Bdk8S74hAbuUjbPMwjan4amsn9ct7eeygohffSO6vx3NvTTb71wnXzXjsng
woKF07cj+bY/04LPIcEYqw4HmPX3wo08VDtfNcsP3+jiz6MzD7fNXC9/iINnYGjlor6OFPM5J+pZ
ygAz5O5lMteyvNGIJfoDQWH91bWG9kcbG9lnOscp1npF2e4RDjew3spG71UU9IUxvK+zYlejT/jH
8QAc3MR6OjaRoeom3RGO6I+NpxVdhA1W9rAqb3JCrKaTOJCj76QhEWn6FQuN1qXSyaoOc92t2khC
bsl3AOmc5U42jnhJgRbHeD0pVw+w45j/TB4ACxQ6ccP0SFPue50KI7mPwMigdERyZ5d1WwSQdlMc
VxbZU6UYOM9E4a50lsn3+WSQHz5V81ADmJIJ2bRW59mvtY1Xe0+lEtdCW9rD65g0Rvsyg/3/Bkxp
0mBaN2gO1iLlpMXDUXMjtbRp5CVp3HBuWP7rNC7tLxu/PLJozg79xzLOnTjEfWxgvZQuur2XXVs/
mG7V/7AQDOaWn0x5r7Te/E6TQq6hAAc6B9a4lTkak9931TZL5uy6YQY+G8hybb0bF1UWC+r7MPZB
0ZcZAlTI5GJP4jT1p2lNZkEnvSpVGA96HFGfcr87VJCLkL5d/MWrkcgPvaUb+ifqUib3S5m16IP4
ud/sFk1bf9XuqIugUdi57XrYvxSkXWexbmZpevkOVaDF2M9aOetXJsi268GQrthpTT6md6Xprs/9
2HT2Ffht1jjw6fkbxRdLhkqargpTz6eoABWIKn6BlMcGaRa44xIwtA84t67LNTKlXL9FEq9fZZLy
lj6sIdgu2WSEtjOhOj0vVqWlSI7Eq/O7luiBvHwc957LHDZltQ1NBPHsVChmtPummkoftD7Bwt4Y
pXk31S7qk2VxSWb7TDaGcQQoPgieIJhONT/nEXK7CV+N9dQY3X7FgmAft0tcX8tYG66QbvWwyZNT
zYHXGuklo6T3KQWUUoBTW2sK5Ld90lepioH6YNPAFpCJfXD1LL41S4gXtj/qO8rpy4Xkc6sIH+cT
qAxSV6BgDVYKBOtxClMa0N5RirGidQt66AgPO3NM/Etl2u2x3w0DrhymByV4oCXHwxhuzTHS5XYE
OFblwSSG4dGvc3RLZTHV/1BBrR+XoRZXRaoZRuA7eetsnFYTLUcr//Hxanr/ieH5oKmh80ONWt9W
27/AGN6KB7RL1BJhL9Tc+TE3imaa6oZQ3f1EVJ4j7OirwLOr4urjkc993U2+mglAi4fK8PHIsuwG
0x0GKxp60/s0q9ngVFiqg628+mEyYi34eLyzb7rB2PES4iJzT97UTpFbnNrOirb8NWh82UBFtbJD
GTevsV853znUKtKLfjx8PPD7DYuqDcBPwJFsJHhJxy+q5SMkSThWkVMmK/JYQu1ms/CIQ/XlwlBb
3/10aUFXAAwEbN+is3k8FMFIkecCcWpQD+uurIbkXlJJe0w265PCovM5Oq5zoUV3ZtsAI6VbBnGN
qsnpNh2dZWjUmuuRtLsu8lX8Syz6Jb+GM6sF2AibkvY8AOZTZEs7pk2GmYAezYZ0utBTU/UTyqi8
R83e7/aDl4kLdNcznw1ddZviDCUEkEQnc5k5asDSzlqjpaB8p4s0u5lFnaH27lUXgCvbUj/5bHB5
ACv5kL8400/gFHgfmmMjlBFhhrLu194xf26yY1ew2eybHlWDEGR/D4FfcS+j53rhRDozt5tuFXuC
XhmB3kmBKEuL0i2psEQjCnH7fhy5/pw8pjOy5qGa7P9hQ2AxCRT0L8kDqM7xKq0KGmKV1NdoNHs9
bNeiuaLHO0ZCjOUFFNgZDg/EHUpfNHQNwJPWtnj/db71wplqoRw9wpuLna1r7vC2CfR3gTGl/S+/
xDcnSHKrhk2Z+1oeUseaJczV3nhQsitgO7r6iIXy7NefPj4Xzkw74kxIQZCooXp1uqTtTg6OovyP
Vmomnnu8lH8a45wXu8lr7V+tQahzYaeeOR42MQGahBz6Huy448noSvh9jlvAywB0EY36MO+W1cIM
UbTqZjMeDBU02o/f8kwf1qRbww5CiQftt9PrDianaY9wAiPibHeD/ffUkMreW19gvIIo6KZexLuB
m/fQZjPyTIasql1RD+4lx44zO3pDRiEYCxfGpRR6/PqaBHNvVB0X77IWh5jIOzL1QeyNbriEoDgz
FF1njg9GYpmf2sjVrpRZteWRdtc+xJknHwpDIhxRa+b+4/k9c/p6wLzAOvJKLhiU45cyBjk0A4IZ
kUkC0+20WJC4i6YyLpxR79+InJJwzNyCMS7Qk3Eav54Nsa5WJOJG7o2pppw3UeDxEX68sGTODOVR
0UVXknMeTMTJcbiJ/mZxSWRg1CKmsDmp8qrolLPsC4UAxYVN8X4C0di1WYDb/YWk6bZN/3VCoJSP
1Z/mmdE6Qooga3PuV2mLC9P3fusBSgQqh4YkFDf0S45HyW1ddGWX6Ohl6dl9L2iXZWbl3IkFmvqo
6224WKXx9l/Xxl8k5F/WCQAaZ3v1f70aWqGxa2e6HgHhq24HuyuixlfuhcDq3KuBlYPnA3PPQ2jp
eBQPRpRp47wZ4U7rPZqgVihvyuGpKBL7S9f5ehwsKQvqfxjWQ8MJHSluTADFx8NKrpBszZQeGVar
f9KyHPGeUmSHkfKjHRpFjYhx4+djd2Hc9+vl/wflKEGFjD7V8bjmnJZZhXVNJOa8uQP2X++W0dQv
7IHt6U9CAoIBSIMQJgjJToNGGjS1Jlpbj5yZiwA+TZ+jBbrkuXlAedjsgswzqYXNhdMk8GDr4tJX
/cuVOn0CPKsIlDfOL9nB8XtC1LBV4iwGYR1JZjCgpQw/pKjpO1MsLNtA6MukB4DSzWduNx89is6y
f6Fa53/3ndb6pRfz9D3GM31FpUarHlRHlh3O6SZwPlFwfPXSvrIfpjyF4O5UU4tghKGGZ7+n/B7o
Ci+GyEJ94dEiO3orUk/80BL0yPaoZqwoMA+ueu1Fvt5aQyE1lPXgfuzaBQTBhS9+5qIm8ATMDIWG
BugpK1/kXjMUHMKRhe0CdfMZ6XQtoWxL0zeEcaauP962p+cf4S0ALajOrAD0ik5jlhx8qDHAM4jG
2emefViaV+XCH43GnS+82jtNxU2rHZYmRy3EIBBoJ6cfCl2VB0hm5nbOKdgNsTE8lJo7mw9rgd5N
6PezvEWBASsFLcnSH7rlaE0gRt9+JHTx7uaVnlUAqwztP0kF2wzzqemb77kdL+5DB0w47MErv+E/
5We/e1H6d/okB0xUvS51HIAMk0BucRRGsUNlQ6SPQzoLit59q5pwXnAYC5PSiRNY567+Y138FZtD
NE7lYS51dFzNtuvnnTY45RBqG9cpwG0NyrW+9l1yrWZ9fhGamYKkrRxeUFael+zSfGrrp2mahoOY
5bg82HFFS31Ayt2/tic/s546M8k5o5OxQJCFiLWNgJxkyVVDp965ps+24F3oAUP6+vHHPz1N+SAo
1oJ55DrnVj8VokH/pdTYIyrKvNaLxnoeKGNhJNndDTj3dAdQMOZ3v0nn5BJT+F2kxtB/GSAUlcDN
oep8vOMxeDFtTXPGyPL6pMBQpcVKKp2a5FVvCncMU/xNtBtHIkUdGVIzvnnoYS6BhqOXfsG87Mws
bEuSpIjmNZT/k0dxVQ5SHjRYhHR8H+YAh4KmGMx/fJuGhNNWbWi7Q3Lhjn6Hy2YCMCGCqAeOzkcM
Y9uY/7ovYTUCQWkbFU1g5xjbSqwHJDpRmZeU5qswdqbiLV3iRr+v5gSOYZd00tlpeTvQcTOS/JKG
4elJQNpCWIfm7sajhVVy8kBpneUZ0ppLZNeN/5goLY88fbJ2azcUF06C02uNoZjsja1AdrBFrcfv
XnJOkAhPK7U+lV/bsoIWTPf86uPVfW6ULQiiSc35RjpwPEpV+GusmaMeraWqdula9FdGX16ioJxZ
yaAqEMDHPmirbp1SjASCVJNXcGJn0CI3RXId3T1v2LudMnZmsVnGw71psu7W1zrnwajrS8Lo7xcw
T8D4VBLRrQPjf/yizTTQdbMXPVJTGV/TMM+uO5i5h8yN3aiw+iVsnGS9EDS8y3a3jwjJeEMvk+W5
p9B6a0SMr5wQL0RCg+6aGbvY12qQndODqmc9Gtuis4HQgTsyzAXw5GjrzEHuCEwCONh/jMKSf0YX
8ZQLj/aX7fLvcOLvo5FAbKqM1PVPNcrKxEfAI5VrVBqledvkk7NBG73up7viqENHaqxmhOyAEe6G
DUJHQ89f60gfezsNAWEndQimA/UqxLXrLBjcoTKve0ncEWoS29DAQY+sDy1JqBvG6eS8WNbgzEHf
mpaxU2Y3PDnk23Oo04H5gQfx0KIB3o3A+UCYvU3s/ce5SvM+iLfAJuhlV9WBnujTH9wvMsqi0s2z
QEhga0EJ8v7JRvz+h65km+8/3iSnsd82VRRjSYD4SiChzOO1YzttnPlyWKNeGPGDLmr3rsoTzDfs
tfB/17TU/2B1rPqD2/TOl4/HPnMGbiqf1PwpSCAvclqL8qkfDGyfNSIzy5q9u5jiT5GgXBHYRUX8
Qac0fuxylZfhUAEg3W0hxEspZywfDFtSOP/4gU5rY0yGCWmJsu0WDiGwczwZOD+hbNdJPXKFmDTA
fks+otyFadv/UXddy5HjWPZXOvqdvfRmY2YiFjTpUylvXhiyBC1Ab75+T6p6eiSoVLnNt32qqFIJ
BEHcC+DiGEWDyDVpaAqkooLr2twbdS3G3lKWtBMHqZ/kYeQqsFUArsZpSrQLH3SpiMKx6lecVQkg
W/Loy1IaXmIbyE9kyJ8kDpQ5oUGHOj+K1e8btg9rkF6HIfb907CagBU8K5sUwOe85G4fcXldIPF7
eZpkPwb5v56H/45e2eFHHNb/+gf+/sz4WME2sRH++q8z/lpcNtXra7N75P84/upf//XzL/5rFz/j
9ou9NeL/+vRLaP/P53uPzeOnv/hFEzfjeftajRevdZs17w9AT4//8//6w99e31u5GvnrP39/Zm3R
HFuLYlb8/uePVi///B1lTeAvoLmKFQ1cAKwJGPD/+vi8P//z/jFHO3tWvbEs/W1VZ4/Fy8mGXh/r
5p+/A9b+B2jgR8kT7NoROQjo/vWvn6C0CvwdLvCPPNTffytY1dB//i6pNn4J9WwcX7GwItL0339D
ofzHz5w/oLOLo/TxruLowPz7v3v86Vv+59v+VrT5geESqMYrI0L+k3mPG/v3lqAQBG4AFt5juvkw
ozI7svU+LOltux4rArTX3XQCNymst18fIQRpo2hNpUx4hGdfR4/dXXZ2xJYR4HdOeZF+jsQvT/pi
e2pZLMWqQW+ZXy0Pp2pBP38RIHbwGaEPhIX081hFRVvA46Wnt9D0hhH6froNA/mK7+Pgw6z68xt9
/Cbvd4lfPsqHB+Hjf/wougK4IUct4bZAcZ/6+USsAPAe54kGKzi7r411s+ab8NB6CWlXo1ftNR8+
U6ZnB+nK9FiQg0JqnVh4BDmNP0f3Q6+Oo/9xqiRDBDX7kd5W9nJq3HQZsFfHb4PG773qcbjpHgYd
p/8TFbh3k4BfDYaw26dVqOqlhcdim+ZVV8h92yQh0m193W2UdUjqQw0YEqBz67V1ar372YSCdiqu
5lCLR8Y95uMPryyVUmLqSUNvlecCflMVYQ/Mbe8hCalfAWGpn6VBrPpGT9KnX0+Bz4n+x1h/fLAQ
lo5a4fYDlxC3/eiDDQWX6OnmmS1//ZD3vYI4tB+fIkRmrXUUVfmO3poVAXqb38u4+cgJlKDxQJ2R
lpJYcrG6//q579jbr89FyROSAqARinuYDuRVu1AcCvg+ZIBrUEuicfIB2udQxkXZWO81GbdawLsY
2EmMw0qTuxpKnWazAaQvc4EvLI8APoiKA2i1yxR9D7JI6qWDdZlI1YNU2DdpbifQD8iBWlWGRaFK
b2y06NJiwCcqnRQHwK8eLxJup3GC9dfEI+/Xbykwrv79Df/zlkK6KBRqjYOs0lt1ARGhQ7QbLmJX
2QM4coPLnHt465wgXgs7/K9PFPJGkURj16kTvdUucV2jMCIRaCj4EbHPgDqx7+xTCtDv1aZffUkh
J4Qw1uwqiLzeln7+WC5Df8Q1kT8E2VZ2LaheOX53gM+Yl/sDUUYXqqB15Du226XLGHUc7MeWdJGt
6mUGAyqSnkmeujkl/HSMlS99BBoGdUZkbtTyPwfxZAMyW4BhcVttp42zz73k4ddf+h3qIj4BchVY
E0AKPYIWPj9hbCDYr1dxfAupEtdcVB3ZpRfsonppOJlI6Ur+M2jZ5bV9P21QIzxrbhVoIfrxQ7MZ
211jBxA1PaiXMtI5Sv23kRf6gL6FQNqtpEC5HA7lUrZI+AoY4X1PDJiXeKnin8seSE0v6SEkAIps
RsJJrpLo8NiTU+Zx706Gv3pDYS5ntFTkhkr01iCtT1edV5wBux6ULsPZ0JP9/kLWSbqml/YKRBHI
w7ghUT3gNZ5MUrn0QSYh/iwvqd8Sx2tPrRGfzwE/Jv7HDyB84nEcJxDeQno7LpLtuJapCwz5sl10
SwA5cK9oN4thrazlLV1rB2fLTwpuHh/wq/ER4qDoeA/qKGZASvhWX9P7zJuWzK02/SF1r6xl4g0b
20vd22pde457nBTlunSbdb2jQbUZzounw+PzcA5LhCBzE/eudTtPu7dzjBaOr8mO3aoX9QYldb7r
N6c46upxgn7pPk7D2IeivoUCwecJDJuWWBpUGt82XuMVq0r1zIXzbASKVwRJYPnIydw3Lye/PYtf
Gre5jry3X8fQT3MXvCxxfkIfQGAXRhD3FdJom0l8G9+oN2BRXegv8HFt1kXup5On58TQSJ+fWImE
A+2fE+fDU4XNBdS3UkODpdltEvAzYymRQ71tFnTdb06F0MlHCXuJilvcwU0Hpsi+AAF1h4wQBvGq
8MM9Eifzfz2e72q5Xz7phzcTdhAlzIZSixXxrb4I14OXeuE+dBtv2A4eEtJ+eJL88V5e1R62jwQM
h8vUs7z49te9eD+A/6oXwg7Dgm4FyEx4aQTlol/w5bTInugZfXL20drwNZ/vcCOT7FDJQO5c/Prp
6jErfXk6CM+geuNsBw2Gz9O6gBS0kocYg9YH4MlLzjIv3mQeJMnd2OVv/X3ptV5I+BrkR69qvB3Q
2qf8dX9U8770AuL4sPNF2RhV1M+9GFsnAnMXY3C3espJTO4ud083QbwHkN/DjKvdbsPI02r3ZJEN
aAhE8XLXV4m/XnBCyWGlu7l7prqym69zcmcuHmqSBPniCjmEBhd+6i631AtSAr10b3XwdbxfR55u
ouAyJ2fhCquwG2zcwq083GCTHQxtSE0ezndWsGGLh/OUnE34XYMEFjE8fSGT88HLtkOwOwOtw6/d
0HMz4i5G7/AaHO4vnv3xzMZtnD8FMdmdyS6MH1xGNiA4rM92uv9wBcM58gZUP9ndPHglubrBhSR5
rrzRPdtNRF/lZMnIVUbwfKIEGrkLwpXk5+8DoASmSz20WqPVibyePVjo3DnzcnK5H8nL7mHCK3gb
yfMvzkhFtoC3E2PlBefrG+iSkB3e56UicXC9fIkCG53LXE6W10AVuy93oX/zEK5iwtyDgeUrcy+B
V3aZe4axPM6OYfOE7xGRggCFgp9IZGWQ892l13m7VUOuFgN5GBcPG/dl8DT80wMwMhheEGw9rOUO
el4vzh5wUsOey3GD3F1MeMN015ALE191PJhoJXd1D3EXoP2G+DppCLjtxH/2Dd9f2MQFWcJ1L/31
3iTpYnUIBnK/vEZXNXfRuauaHGKiY95ub/eXm8zdk8N2wnTeLteOK7ml56+3a/9ia5O1492VZLNs
yWXlrwx/i4e42GkRN8T0enu0vdrFjhSST2RxrxMdM+4AOfe1TZDedy3ZF8RfGthLMHyK1t1fqmTp
U/IyBQYGVFs/U2/RB9JaWxM1eCT769FLryLyQN18YWLg/Av8wck6On67hNw4xPIgpOhS/OP21XL9
NV+EG3+tuMeevTI38KA76OEK52y/xYPQT5e7u7PY8998b714PW50/P3LrnXXre+QayQ0OKQd/MJf
vIJdviz9Xbs+H91d53VB5ylB4y1Tstxp6L+6vkF0j5hWu7OrzgtGd/Qr7/pmd2aQu6WFiOg8eyEv
/GXjWeRmtzlHz1MPOzKfuwUZyab1z25SjzDvTSOXdy+Yyccwsshb7vnL6xvXP6xHTMD94h7Dl5O3
m+VdTzC6o5fsH7cVscn+PnLvx2Dw1z50rjybgN7uSwvmUZJsoHiAccGnKAg2ccESg83XMDL30Oqx
vdZ1PKDVjx269q/Ru8Zfh+7l+d1TTzaDV2NALILIC0CwW13dyPhi5sLGEJ7DAu1aJtmS76t14a7r
E6fI90vHX+U34XJIleAxCbm9+BbyuORO2txN3tMO3tEYxdZFwK6ou9NdFUPP3KerRePnq2eUDcrV
rU22x71r55eB5l7O2xVCWwtHXBVoQl1YcXkSKoYkVTEqB7gr8KPYDRccsowku0wCuEB4/Zm5tBkp
fM0tMOF+vfq8Yz2+jMuHxwsrsEMdaurwBsOeUD1/YPthZSEPLmJf24dL88wM+Do9K098jZ/thOGA
e0TCwulKF99ZpinoLlof39ZVzEFUl7Y0jp5BuAEDLIZpZjFx5hZKCUZcD5fyE6/8swXXQdXSPB7q
gRsQDkJ5brNekfD03p9W8pv9pt/3d+odjiV8Zx2kK/vHA/9Wafp/2rqpHrP4sfiNtNXrY/sbe/vt
EjTBGMS15/r/QRn6uFX8vur8P3CtQDG7wK3Ej6L2sXJ9/JUf9WXJ0P6Ahhxuw6CEpJuQN8U8+1Fg
BiP4D1jy4LYe/wgpMShWfqgwK39Y2Gkfb9FlMLJlGb/27wqzYfwBf4+jqyCqwkfsh/F3Ssyfz0YS
DtxAjqB6Jux79LJlIQspyHZZezs541PY3nwYiMOPWPpYKP2mZUPYVWZGBMpli5ZRfCcJbPKm6u+5
Jv3VafGSNJ5GANUHLfUh432QNemQKdopssF33RbzUWupBWjGqY9b+mnHDHVwUUAxvXmDIhxlQhij
1VlsH1k/gcwMUDerE2eK7/otHM1YIifDaCupPw1FB4s1ufVAXXQu5/X7+NQPNVY1rCZQlFjmQ8XW
cmM9mTxT0k8cRL7r+jFhfWgcZWOr180h9ds8NZcR2MW9nNozx0XIdpCpw7pnySBS1iWqNdM2rqIT
6fy7fgtrKoaXcxzVUx90cnVfQ1jlWUti+ZRv3nfNC6FplX3Zm1mR+YndDrhvb5VdaEsnYDrfNK4L
0QkWnN5CLjb1qfoMlybXjE5d+37XMlLWx68ZmrDJtRI187OkIKDsQuRHgjHurHkorpxxBy8OnVmp
D+fasxDcrqXBBzmY17gQnAAxMQ4JgcyvxjF7nqo8WtUJBPDntS4EqJ7pcKLq6sw37ibuaqckyr8b
7uO/fwieECCEMU7QbF/DnLiCDA9ABsq84BGhbAVgXbDSxiwBdmFRRb0KEaFhbs+FyOyAp+dlXGV+
Z0U1xI7i0O3ttpw53EJwUkjKTxEgRL7tZAsH7CIXtIJTpqrfDboQmhMEjfqohjeqFcW5pxsmDh8g
DMzrugixMtW2zSeG1nmyrdsrxk9c9n7T63eAz4epAsBRkUzSiPKl2u3glpaQquAn6DrftS0sm6Y2
UdmBpoWPK/QVS4HHoczQTtTwv2tcCMzStOt66LXET0wzfQB5H9g5p66KeXH/Xlf/MC5TLkO4QDcT
yGXHwdQzfTkq0rCYFfbvlzMfGs/Y2CoQJIFYTJYxLzSKdNlBLOLHHvsT+uP/sMl6h4B/aD0BJ6Ip
kjz0qooTGTpeavcyr99CdAJmWiYUnHmYGugwQWr1F5iGzsviIsmxaKZEyij09GwORs3AH6iS9DPb
FkITcihWOWll4gMqq5O4qpcQouLerEER+cVNZzVjVaHjaR+tc82A9EGSns9rW1g3O5sWuWqg4wma
lbXiGnJlh3lNC8FZQNLEAWEu8SvIr60azVrL1WDNix5VCM4UYAMd4kK4x6UJMQyv0mf2WlgwIf1d
VznWM3/MepeqSN6mlfw9Od6/jhDvlfkPgVMnrBplSC2BOibpLiRndN90xut54y1saLNQgo1Nmyc+
fDv0bBEqzmjcW6xnfN7u7f2q6EPvAaFpIEeTJT4FxsOWbmmlzfyawrI5WlI7hBpaZhI0CiOukLye
ruYNixCaIDMlbQc9HD/J+ydJarfAyZXzEqEIMmSy1Q4DBQ6n0wbzIpGHa92I1BPw8m/Wn3f0y4fh
DosyjjWnjf1IobtCanCIkPt63qr8hY0UQUVmhKKoL8c2CtZFcY8D0ak613c9F4ITmjs4STUGsO1N
Wvi2VDuE5dW8Nf8di/RhWGA95mixgsZ5fO/AmotSed4OSEQDSDJPkkiDCFYElBUAwIqD46Zyym3g
u0ERwrOp+khqJcyVIXrEWpGSsIVm16w5LqJmIDqp9G1+/JqZynw7am4glmbPO3C+315+GPC+A81c
jdC41aDkbyygTjez20JotvDzyqcRn7KHeD1I7j1k1NJTt6vfjLdoxALpAb2hwFv7uV3KBBYAKlzX
pX7eXDmWyD4egJJkkJIR/CBfHTsA0vsocfkQd/O2b6JPgtF1bTeAqOczud9naf8KrVFz3qCLvNUE
4j0d/J+pX0m2TnDhjkt0IKFnTURRFkSP7B6kAZP6MLqFsR6QIS6Y03ReRpSPn/rDTFSrqI3kEV23
Je5O/GDyu3ndFmKzyu0J+HyL+loMpbqkd7rzrrftma2rn7sdsb7o05JhBSoTb6wgknsK3frdHBfW
TejKOX0JUpefSwzqz9rT0KL8MW9MhOAEhXXMpOMKkULOxaOjUbjtkJ8Qy/h5x0FY+zwkvLS1jLEa
E7x1BtJNuJaD7vysnkMa/3PjtM7MnEolGm+28bjIu1lrJgDWn9uFLmXbdFNL/YaNW55lu6mbVfEA
8PFzyzJUDQbbadDjjAD/Vc9aKoEm/9xsofdtTesK67A9rEC+3WjhKc79dx9QCEW4ZBY2pR0iZjLX
eb/TxvgEZPG7loVYhCif3A9Qe/dLmiQXVKuvj+DqWRkEhNnPIzLAIwG2cviELNMvK3vHy3BWkAPw
J7QM0mtT6Vhu9PEqav2Czpx0QhgqmS5VVY0wVHTleQQnGloK8wpKgMF87nPjmFHT5Jh2A4dXWZiO
pavB7GpeGIpE+xyca/B1j5OaSZU/qSz07FaatdC8szM+LgVabmkjKws0Du3wR8vmypYak3TKnfKb
SSjySGHJXHWJg+bbcrIJbIUXTSSdkkn7rnEhLHnUyHbJsM80wFC6nULWmgE0loxhXgTZQmxGR13W
JOJY4bPkPFWAEbT/nuTZvw+wXwxeWGfRrKsRPzkEh2k2Fm6cp/NKswBFfZ6OrDQ7C7rF+Kb5wtLH
s3Hg85YbWwjOMdGMGCobyFaFvUzBhlrI2pDMOryCPPq52yl4VbWpIcvCU4aPgRVN0M61knaYORlF
xTO4S4047+ABlaRPmzRrX6Dzr1/MWeYNkeXT8olrai8jbylXhlUTBSqk81oWlktoqao9iE/YIlPA
n7Swdk0nl+clF0tYMa2SAZYKxzI/69mSxrtJimftvQ1R7y2z1QZ1MKSt1K4PQEkAdkZHa+aYCKFp
jZOihlD/9OF2221bWS62JS4i5m0jLGHpNGUepXkzwacjqYBa7PRiNULAfWbrQnimhQICRdWYQdTx
fHG0Ol6FTXQKmXkcgf9AY/7KLKJhvGXxBhJtMTJh2HdgeESjT81kmNl3MUbheg+rhsoMYC3SLqFD
DBl3HMbnLUaigY4c5pIDn3szsFue7x0DBO1sTJp5fRflp3iv8JJFGJmmTSUPHnRACyqKPi97iYpT
Dhxt5ElJzMAE0Bu6vzBeqjQ7PczKAe/0iA8nNh4mBUAoNiRjhxixKtvRJo5AKZrXuvE587KRqkM/
MhOkNrM4L3WINKaZ8/cUDv6akSIV34TIrRyGaF0uTfkCuqHYHXWFOXNkhFiNYShhGXphBn1rw7gF
kqh3ud628xY80bu5yic6wGfGDIpRTZZSSrVDVzbN+bxxF5ZToLadRm0wZxh0L0ghww69hxfRvO2L
CA6SCkkrZQsjA/0FQPC4WU47uTGkeZ0XEUJyDbPlUULz8IdgAcwIAKoG1XXelBRBQpYywlgs5vis
JT0vpSHf8s7u553nRIEzO64nqIDhq6I0CRWZVFFIqnb2vHE3hCUVggK5U8AFNTD0obwyWKG+QTzT
mjkwQqy20JjPiwEZ2HEy1YPtOyyRnTiblyMNYV2VmrSreIO+w9lQ2uYZk1wli0/x9r5ZmwwhVqGJ
T/vYiEwYCISKD7iTSSSgSudlYNGnFP6/pWbz0Ahgf0CDssfBIIX097zzoyhHqgONlVQ6Vu0mSdWg
7rTGr/V87nQX1tXBtJWwYhSxWunjYpjkbGlFWvc0K8+IcCHIbfLJYD1abzOLpJmRuYOiMW9e60KZ
yExLuBdC3SmAfqi6xAbSduEuns77qiJmCDTdGkpyshkoo9Tuh0aWSBsZ0sW8vguxWmJTwJQEaxNr
VOMsgdmFOkzSrNo2JAg+L6tlpDhFnVnGcboXntarnW/oLJu3vxadDY0Wub1sO2xSDf2gWlW8g9aq
OW+2i9AhqXN60+hqM6C1OcIIL558PtVsZtfVzwMDQwtFguoUkrtSRFs5VqSlPDFtHszMEAWRx5ra
TdlhuttmY7hdWMKWQFeaeQlYF0K1U1oVcvWwAYMnVwxBLKYvGGqwf0/m8K/dkggfiuS0BKYYlQyU
SBW/7Ixx1SsdP7Fov182/eR4IKKIigamZBCqN4O67R1fYdDBTjS5XVqh3sIR1NBIZtT1amyrjaPk
6qJKE/UqxRZ/ZqYT+f49jgtcYlh7w6lN7kAYr98yvc/nhZwmxHMLB9y8zRUDckt1uq6oEQF6ye0T
me544v7Z4AkBnZUZnEsgGRMknQR/GrmFJlAi50c5pLbMvLQbKw+SutG8zecX8JGRtjhlIbFSXTJ9
vVZjH5hVdd5hSwQfddCRzS1AGwLFVkFgM2p44enGzLqi6A0GC1xq1hMOW07IwzPsbwsXfj7avAQi
QpDoEVZvxZkVjMZo4hQHJyyouM27DQJd9nN6Upqwj6ME2xS5yfnLwGtz00fFeDVryfmCQjLSsFOO
25QGUpc+TKAcyGjF1rzNpyosxp1cYiZDUy1IIKuYQRrPql55xNR5GCrozX8em8Eyq94Y0T60GlWd
wLUH/oydLg3zsquIRxoknhY46uKgG/Hm1pbrGPa4rFv+euy/CWBRSRQ4xC42j7Oy1tIucjPkWNdx
IO0HFzkN/mT1ROAoM0bzQkyEKXUo0ydQrbQCTeWQVdMrvgd5J5l38hWpt0AmTHYBl5MgysqSQC6W
uihn6PNOAiJIyRx6c5A59l0j7s6vi3ioCEAG+uWvP8Q3JwFVOPkamDCjPmB/Uct9t8HVWhNMVTMP
YAWx9c+TFDqdVQp9SJzvkgxeE5XTyLWv4aZgZmYW8UoKbp6zCKknKHN1umntUH+rHHuY92FFwJIO
xA/vVLQOALTj2yq/i41sPLGGfTPyImApLbS+6+COEvTdMFx20HQ40+soOxFg37UurL+5ytTUAlsx
qFWlOcBIUIHua8bmnQVEyJItGxKFP6QVOE3P4F9kK+yyQRRI8+b8F+ASmCxcVqHsZFStQ0KQfQIJ
9mDz9tSKcPpNSjir6Jw5QV0n2j6Hsu7WqVPrblZEidAlPTXsgsJBKbBrkIek1nKuo4r387YiInap
hpqvrcDJKrD0MlnxEYrRER+6mRNeiNciZHACk0wHe8IUICBDy59ppLHXWSMjAphGQMKdrlUx7qY0
3gAY1UAwuYvyeUdIEcFkWjR1YmuEl2Gqlo1nTJmZuk7ojPOKVSKGqUopLMkiHgaQPqyIXOTmwQKU
ad5FvohiyrVwSLqqCINRgSRJbNYdoEy8npdsRBgTk83EhJJ2iHqJAYwUCu+k17RuZuvHJPShKM5i
w2E6GJiBdtQfb3NZWvImc2Z+VyFcoxR8UCBgQhTFi+qCJxaFIYk0j5IH2d/Pfc8z8JWitAoDyrGt
h+CRtm+KFsrs8+a8sL7GFI5KNoXhaMlk2Zdgu/iYwwvwaV7rQrxWWj1GrVpIQdwDtAfBdzUwOtwf
zmkdynCfh8YaHBYmei0F1MmVaxMS9B7vaf0yr3X7c+sTh+cs9vVSEObj4Leouy16aGnPyvGQfPzc
OkwDqqR2sjCI6ixzpWpMD5aWas/z+i6sruPA0uF4SRZkWqbuqCKVVzSfTokwHsPm6+kWvh+f+z7J
NG/MdpSCruyGO3WI0nVowSVoXt+FYIWTKVfTFmmsmCY1gNnAPg7zeQUl3RFi9WhyUNasDwPLkLiv
jENIhonSWduCL35JYWcWXEo7KdA7g/uNJCeLXq3mXb7B4/PzsKuhhnrmZEhBU8CfbFVmvIRnNwwc
ZvZeCFbYdGh1FmlQObNSDYCNvueKq7axPC+gRPBTAht5pUTh4Fh2Nz1IsIa3mh7H8wJKBD+lBnSz
a4pU045VuaHjmKz0aDh1Hvxmyh+1aT+uIArVHSpxIww6rOFrFWSpG9vuT0KEj3H5k4gS0U8cnrnR
yHopsGlrRLDphS8mKE5tcLS4jInJTGtyZ4WXLQQvIGh2luuDFIy11RMWaSrYJaye2boQvDGDw3Mc
TUjJ2qCtYSCikwrlhVmbS90WohdO1pkj5VG0qHuj19ewJjKvGWo61axjA3T8P39l6rCxGWy5XDSt
EgYQ6e2X744B80ZeiN9Ggu95brF6wdIo89qxSwsysXh6m9e8EL56C+M7BczmheUMlddQAwLUND0l
ef5NAIiQKFjPSiZ8kKSF3mLvehSvX5SJMY/Wg63Y54EPqQN3bc0IF8ZYdJDDh7/uqw736lm1Lt0S
olcGtJ/CeiZapqokFx4vcMFtptUwc9aL2KiuLhkLYcWxtGAERDq1a7cNT6N5s1LER03QO4/hzQZ3
kbaBpSDPIg5ZBprP48VCIOTz4KcthOrT1i6XfWpULrfxVQsoP8xbVUSIVAmBGjmELv0SJRZnASQA
P0+1Zt6pBH5xn/vO0hZJOB6kZVzy27E3ilcYFNf3syJKREhVdpf0eQxX6U7TswdDSfgLb+A/+OvW
v8n5ItqlsiBvEiVDv3IsqeyDDsWnYQlbn/6NyQ1MdlLwOE5slGHJi/H4yQJjCckhbWV11NWWr+jY
aNHGQE0tVBZWA5HWYjuqtJUcMHbqRN5wm1n6Lu17yV6oUO4PX3sYjsB7MCuSCrqwcs04zHCpNEnN
TtKtooPfQzpqVmCZEk2eyqIfc2KpMvyViQSPcnVNWZvy3NWm0JGDJO609EkaNM5UMsGKWbm3jr8C
nVotLqcLcxirbF2ETpzvLGolxdqIbB7dt0VbttBFZvVQXcpl2WbcTWHqpScELxFGT5LaK7D6TmWV
JS9SLzX95A5OO0TXIdAEZUd0XaKY32yscM+g6MmwzZthghVFrXR2A0+EPA0veAcxhB2T4RsGfS/A
S5MLeJGkSkf6IZIHyxv5aFQ3WVVl9GgxVPCVY7e2QaIG7rEMDnFZluP9aTuVq6nSHfALZImWdyrP
tGJvM8UpY7evdLPZApKhlrnb94Ntv+Q6V8o9LtZK+S5vsqNRWafkMQ56DA7iVuUWkOWM8LKNnY7t
qkObZenVJWxCn6YMrqcl6e0yiY/+dEMIBUfAm1WLEWqDOVBBBzaRuR+Ffcj2yVg0xnkFXxy0YEOW
S4UyH7SejdGPYIOJ623YlCV7R526bOngGMTxQiG8pYKmVuxsM9l2nJ0nQ8576MrqA5sW1BiNele3
Gq6+oFONC/7LyTHUJnMbuDVEJTGGKeJLKkMF7D7XGtgmkxgARIuSbgBMhaGYMxh9Txqb93XrAfqo
Vb0Ljt2oaZsxyTrUB2VlhK1IOBSWkSwgBZRFtVtOtWSEZCrs0ISiM+RU+WOn1X1/3caqTa/L0Ci7
Cgx06KrEcP5WB5DyJfgF0ZXZMsN8iGs1S94a2ZImCJFF0qQW8N6FO2PpmrRLhmUy4K2UxZiHdSbB
ezQHSo0ohYXn+oUTRyFiomet/SbXEdUSEidlCLJhabeFdCdNTWskbkUnbXqGt8AovUD4P8s9EC4a
aEYm3Ml9jfflUGyKMT0GmFU2tPTBW2bO4NGCdc6w0WOmHQ3g4V/TFL7k0Aai3EarUcAFLDvO+1cV
pY32opEBjb4vy4nLr6yK1SxQQ67Be6NPINJdSfVtC9OyRSfpbGUzbBPMdDA5qYxugBCnqiPM5Qpm
XV5VWnHzrNQYyZcyqVUeYYhzZVwXqCtZW1Cqa/XCLksLzGEcZLPz3DRjeFGn8gGq9Zn+Ura8XkM4
vd5qKpzmtdKCqqsJLQolVrB/iOMwudRTpY9eoqO7xiKyHGpNJNIGWoa7IWNNuu2bdNT71h300Emj
u5ZiDqY7faKOGq+LscoRPHDVY9VNjWSiw2ggGayYeoBU9mydHRW4Sy9hSZSUnp6NZn9rSnI9vUpa
GFXXdWdxJ4EtCSrzMmk1vZnOKXSL69TLsGYphZv1VppMBMlGGkrCgKWMedDBXaVSl/CahYrRAlRH
sw5JDjGc8g20Mw5DmghCIQ0HOB16ITZpYJGjAnrVJkl5D1+I0NZgD9gMmeNC2CbtGAz7nDZyyCTp
JTTf5REyRncQBh6di0otevNeG6UmUonTAfKDvvVdr79lTaWx85jWdnk3sJwpOdEHnbf7UE7U4bGP
ugQAnmSUebzIQqOroF5U8rjNYNdH81gJ+si0hg4ZtIKV1jbtFLlTSKYXJYpulR1q8eBmqlQrd0Pb
j7Jv6ampv7USjodQCGeRw7LASnF7EiiyWlf7skvagkGtfuggSYnbJeuSQjBAfsJnbfuQ2INtwJoH
K0nvHAYe68YQ1LTpspcpGUrpAU4cjYIpqpaFXhApKga1hZUob6QSOjfcjM5MqkmlpzbGJK/kWG+w
ulhmZ0O7u+zDlzHNOnqeWlnfnrGwNNQFhibSnzP4oSsgGNqGHV1jB9ImUBy00xzWQLTOi35ll/pU
DgDK2z3kZnHnxpEmGr0r1N612qyNrnEQZ81SrtS6v6uzXi8g7GnAirn34aVTNr3L+0HuztsSWWlX
JzQ7ysX8L3Pf1hwpryX7i5jgDnoF6u5b2W63u18Iu90thEASCEmIX3+yOs6OmL3j7JmYeTrPnz93
mRJLa2XmyoRUpb7FtPKGDhuBdbSWMroWXbqYSgyexXAXT906fA9ak2/yiqGjB3MzY1OtVxdfqK3Y
uUir9QL2NMjCKo6Fhoe2GqPUVy1Au6GsxlD68TMb1pQhcoF0zrVNN80p8hlNB58aJMMFtHvsCzOj
wLftmn7At2oQY7PZfolchaWeWeWViPE7vuuyIPpxRDC5FIcu7DteHkRk5zLcRTQK2CWWItT+0ZX2
RtIT7WO63Sfbhu+qmhA0OTOgqj5sw0bGwdiPjch5IUQ9qdvUXy1bEqirWkpdwG3Zbz6edpsD+igq
hBFRUT4Ok6M/2kBmaCBWJEatvyP87VtbFUnc26/UOQLt2Koj4Spk74nliDBIl9Q0CFs3VeinXPkc
mgjqWEo0s6QCGwas4Q9rN+unvQIbR76hXoYxQ6AWI8EeKWvGwCU+V5b3lRBd7D89yud8aWPuw3M/
FZt7FcOm7X0aermENbKmWZagE9lQA2Axjtdx676tTuOAIPR7QQB4jWS1hUmkJcTj+oY7oA9+msIX
Ma36eGyLA+1J0v3uySDm17k0CaJBU5l0iECbhnwid1k4lTSvjZHc6ppFyFE8erGykDTERkIhWClA
cXp2QWFRmtN0SsVTAlWXObVkXfLrFvLQUjhpsAzR4PGyUKHrGc+khJCSJsVtghbG1byjEvtKyNtL
hhciJC7+SmZdtvwMVmfpb/h2plpBcTw6g+wvKBz6H4Qr+JdUgRv65HtkSZ901TRLTFZVW5oNqZNr
B2ejaKc3oTjeN4/2MavskPr+kuV2zp9BeCfkhW2I2l3wTcTRBHQ4n5gALofsAMSnbJSrc5m2Wf82
bCYTv4qYqdhXqUhWFIqBzFH+CxJRadcqZvnAvlNPW+SA0DJAp1StAGum06i7voVFbwLh+pseJhbC
ChkRBAEeYL4sOFqtZwU9ZAxdb1wjgbeE9chgsyDCwgicSQz6rRnzesXGQbWnrjMaT5D7NbpDh5KW
b8mA0rhXW3QztxIbjMvevUw4369T7GZepRrMyY9xI1Jf8VEy2sGGYBhv9vFSx0/5mJZBRfI1j6pi
FEjSDAhfItjOwxGufZZtus6naB2GeL+l+H7QnltJvi1Ft87YpdTU/2i3YuYGyb1BMi5V1IUyvQ82
vBPX0PeqTyo1ESS3IyET4XEMe1LDAinw5CVFUEu6WnFLT3OIwOa7hGha/NYcnl2wvw0zgp8fe5DW
x2zEJfV9821RnFfErGbvNEI9+bVJPLArn5fMPnZyTOzDGqB/ObeDKLDHh7neledF6Hn5E6lN2N3f
dGxTWRN18tjapDfvXMEZ4yWZ0qF7ti5IjKwkNqD9G2eaT0fQ0J2LKmQzFfJtDkEVf21jGYlol8x2
zV0Vgxt1r5wgCLStLHUqO/mpd6w4jrQfsNHKusCMVdQqk/2ODO8zXK+cjm8ORQTPB1Ahy/AM1qDF
t4D3eZou6waz9I9Qqf7qMQNmd4UJZuxNLyZ8WqXBNkvCZka+McZ6O9aYp+bsPuCE8x8xPI/6R6S0
ZvF+7vEeflA94Z2sedaSDOteEUmwnBmlv20rA3L1MAhYMWq5IMyOIoR9zAnce7m8yiFeuk9P5hJ/
Pko994+FE8OIt23wi7iHSX9vqph2TrwnK5rOSqm8CE+9omq6mxHHkhysYZy/ZpnqRo7oPh+Px0Gl
0CAG6O3eDLG5ejSttfyg+yUIpsqGogxeOzXR+DeHRM0ccPNNayUQQxhVuBYLnMqoj3UTLrYP7+bU
tORNKDGkqNnIp28iZkr1bRWpGU54yhteAr0VC/YWTI6O7BpotwATN7wV/c5mU8AbW9qleA6oXuPz
bGmKjIbNDQO2HVYyPCTDxjek/22oPq8r8WtWSzEbiduGthpxiL02lzB0Xf4Md7nR8roVxbBQ6MZL
kz7zJcxHuKcjyKbfI/46Cw9Kj2WxC5W2VDfYek7dDg4NnbhD11nYc1HSKN+N2lC67xO8m+dxE3kL
Te7WYyguWDTdtZaHN6dJIxm/IEHeDVDWRI4vp9AvpmxizMXDg90ypU+m20Aq590gR1oZfLb8WAjs
Fz2syBxDBncIlqbJcqST7vsVG2XwbqblFl7aOefyF83HUr+bAlrYx2hIUkQuO2w95Y9UaT7vZjjy
2rvcxbk6pe20oNpHBrmdLJ2j9Q5LqbCeqPJ+SclPLpla9yXbrHjleH/h59Bv0XSYEww/j7nVqUJT
VYLAtACxYjLeD1zE24PN8YgFon4CROj0p8zTNEAWet4yARvnwBcELpBxHvx32UT/Bmv81+2ubITq
VyKE8oQtGtFX5JYjVo0gyn/+18jLv/v9/4I2TnGLN8rO3WlYEaoJPUH4wIXk/zv+6l/3u+JxMQU6
JMSOI1i0cjqaXj22Da7/u89+Q5P+E5VdZEhLFol0pyln0Tnuhv77rVf+bz77X33b/wMn+tfkjz5L
uKRBh/j5rs1yukuRMoaZLZ3bUwZlV1hhg6qnzZLHAY69H7dsH8Iw+TcjHENWL2n2wHCQFmC4aLq2
tU4VmZE8nM4+wRVUYqOxSc1Y4ge0Sml7iCeJpKmeqxihOsh6ow9lYZg9U8uiDsdag6brDfP/rQPO
v/vy/4VDWCeeBFZ7fbIwRwvOA5MkyBoYHIWyIXIDhlJl7ZZmDaCAoDQ1mB9MxVABRkEGPAthjxUK
uENMVbYEM7KtW+Q+kxFBnXe5bQNeK4EdObNLFx4QKKWneRD6AaN4jv5oWZQpF/jTaq3mR2giHTYV
VNuhl4cWfTrfJHQSK4ctx4y7Y31geLYbVtkXTTx33vW1QzGIDzyn8XqwdI7c64gEyCiohtyOSKdp
h3YIOWZLTNP+MCVZBBRl2qhGNmvrJ9nEDh5Au5EGq7bntFyJfRjLnBr+wJ1GYGvz95z+j1zB/20M
5T9FV/6XsZb/HwZW3hSn/94pvJIDs+zjP/uE3/6Hf/iEF/+RAlBDll0E2UL4N1Ly//qE5+RmIZ4X
BULu0jRLbvqsfyRR4j8hbBsx8Le8efiMR/iN//AJj+P/QHAl8qAR25PE4e3/+x9EUcaQEP8TVIyQ
zAwRWgiAhnU9FiMRsfjPlQa+QnPskiLcIdttpbsWY+qIvcl4NvYet1fsXoO/IxJmblT+sJP51szA
Vf1nBt/uTwolUvFziZae7jQJgqVGjKqHk2Ke0sTUym88qxYZiOdFko7t0WtxZNwtPbZ5wcnD5a2S
mxfR4zSUC1KaVuW2KpuTbLoL0eKWqh6TosNsFqkM+T1uEmgn50wmO8uzbU3rbZkmvVvs5PnbIKeJ
n9JJzojBmgv3x41q+dnTOS72Jej0ivki38E0qG8APD+sMCt4nc0o8BrJAu+hfAxgj7njo3H4UfaG
oVH+CrCC2Wg7I9WK+k/YuiWXDRWFhrStu8KGVbdgptwEnyrFYNp7m90PsMS8hFGpLpxnui4oX/YR
YoRP3pJLprPhMeGC5k1XJHWRpFftN9bwWU0N847uLITIDxvHAkyYlgiXLLorJA15VfbzQ2bW7rR0
fn4xVuW70tLyhPE2RuRutuyTbPkNAG9toql4xCQwnyYbnAH2/4kCf00yvtUZKv9+Xtm3wVhzwPS3
7QvfyytioD9J36f1DGCvSVs1fVMjDM15PIodGtzPgJY/AeEmFc6lPOTh9ivJu+AxTIzaxYBDq3Te
kHoEOqWKJbMvnJh3j5fgWSn8qXMZGJALtP3GsQz2E16k5Ih9TrULdL7WC7rfOqIj2qsS1XJ9RYJg
F365beJviCdniHJzhclfJsH8CXYHbXLW1i7JV2uh6MWBlEFQ62TMXPzQM4QX7xXLluUAhjG8U/GW
ljsy0Kk7d6YsXoJ1ERFGUh/Y4ZaSPMHmrUlsVCIarlzSDoo6v5ASjm8AIbLyjwrp4v0dLYwm8VOX
0sBRoEhLGLGznjMlGjScdjpM2XgzqqGbeaYhGIhLKcNoxhUzRy+YV+KPYitKxGNv69H03XSNkIMJ
QyzcLCzOihoWEbfk7aXt6pwt+TuObVJvgSkridQpgObhuBw7eJvcz22v/gDdXipBhQSEjUSBsxPU
Pxj0lVrvpGqHQL9p1noAXD1va46mvqbUsYdoTZ5oIZNmypOxXsrAsoqMeYeEu7bHKS7Rd9rLiHpR
nuNo8AowAqDR7agBWNVQWwQXFw3hEcZKa4XRPanTIPA70sUIT2LtpO805grwmApzUaPFik3GSmJf
8pMA9D0OmVWmdl27LFVKaXs0bUArP+lv3Syzn4GD41Y52g4byi5we28Uor1l7g9FgHGdBBHZy1KE
+3SaESiCoKe6bMu8isd0qLBXCztuoFDtIqZT5LKgmftpqzgiTSsiGL+yftvOt0XNlAPBTfryUbOY
XeZWiZOCQPYCcnTFFDq7PYDF+V2OPrjIxSWNk0t5X26u/6CUiYqvOPbI0MTDSADrptntR7ZOVM7B
JLTkrjxoHXW04nPBLuVsEXUj5/JQAm49oY0O695kW6WZIncc2OGDFGnSSNKHxzBl/cV1LrjAfjn9
xjK4vYF00JXW8Nf2W3/S3Tq9hHhPqr//JF/89JL6tkSC+99PRd4oQiIRzmQJyxt8Hfh32TK///0G
pVbhUa5b0pTx7TcEufs9r7PA9N99cAkIcHVpcMb6qTvRTqyvpccjQe1tHxdohwB46qHuZoUgNbss
e53m+Psm5/bAOsghMxzZuYokJ0zOI+g0Hz9OhXW7csDpYbANhaFf/qNsff/x99+XJEfmapEPB67x
E+FEycPfZwjIf30N13E5lXParfd0yJBIi1fvi+qsvBdJl3yt/RJesVPZfyAkXTR63voPbpL5XWAT
4nMd7diMBbSJVWk9Sh82DH7wKFhPYIDIa4H1j5d5E8EbUx3AJmh+qh7bTxi8RXnnIuh2x7h0f5gL
6D0HcIoVuI3U0SyIKr8jmpwExQlWDCvwXzzjPI5v3aQc7BmuparvAAWEEZUVgK+4A0CmzHJOw0jP
lSoyfgowjLxqliXnFamlh8Xlj60MXwA8PvtcHFeRbI0s3a7L3CEe9EkUZh8bfzRJ8qnKUtZhT9Om
pFqcwwJ8XKfKR5dMOOhl9FTS7btlRNYJn8CG5kCvtjHSB9C5aM2twWECNrtn8zJXhGq+T02mdq0s
E8CZgHTKgFHE95Cwgm40vegEghZkeiLhyLKkzkUBIItm9DjnOOLa5WNUe718FFMU16uZbdU6/waj
YobnL1953P40c/srg6leE4ngJZrd9IC7hNTgHcQxiuIR/b/D6S5Qig24n53dStCSC8+/rTJbm7jb
9LvvwLgUtgguM7PBQUto+gQG4EOuuxMoV4/CnZZ/1lDvN18cQ/C5I/yGcWWx7VkvrbkA3jnoNmmw
Dpo0ykf8MeZBca8yMGOlW2itC1Ze/CDCmnPkJo05chhV960VIGUD1yJvatJnzN/fp2U7KBCNVT7Y
/LCUCRImI/6LpcyDsrjxSjKewTjCDDJIddgQDcftmUUI4o78cTPBtDNZMe5CsoLdy5EklrpyT0HZ
pd7Gje/z4Y4OwGCRwbg2UrhyJ4YOZTArgrMNtxUcnjnhfe0PWJ7JdyZSJ7CwqNWyq+EfIz56D3pH
J0tyRSBHcqDOtjXgUvI0gpR8jnTu4AczhI0oh/JFzkV8wFZbcuRjC6I2GNja0FGzRodRAeOVIhXw
Oo/ItaXJCd1g2TeMuBjOIEDscfg69rDpcXgkQzTuUash8MGKdngFzTR/n32aT9CIMXMqWUEaNKQI
tKMS10ju4+VckPYLqLV/aIGu3GPWHGrJ06gplRqvLJxkvU0TPUW4pHftOLcDrrx8abCkmhzmAkur
ZWo7sGJi2s9hP7+OisNh2gVSNgY+Fz8FEcEBVmBzs2azrjeECZysHfOzT3q7Z+CmgO6U/JQJHV2S
vC+ODvXqazUSDF/RB49wmLY4ppTfRWTe9qiL0cnmqQeGvbq1Vl1AwLekKDJYRkw8GCwQH7gOi3ir
+kX5hrLAAcPOO3LHtoI2hSoMekWp7iWTc9NzDiAMJFAl1nB+EY5xMPzoGPMS62eKF/6njYOl6oeY
0ZrOBX3GdOCaIrPbTqwONEMms50Tpj9MUzfkVQfZ3M5Axl9hazGrQnTqTbs5/wQ6n1xVq28tNOi5
nAcPDlrZX/jF/Im4ZdgtE+q/DZftm139IW/Tpcph4HkCj3NOnE/BJ3v/m8Zj/lWqIjwEeQH6h/KG
8SQ9sh5wXda27rDCCB4XIugJSMnaBf0x7qSyb/8Q5FPu8qEoKtzJ7wt3+j6ambymXJDaCfmGJAm+
U124ngUWHl4JWsYGydbslIM2qpMFDejiTb7rPX5RWYg/uNGft3gGN4GrrCJh+WCJeW7DFJHHMRyZ
cS3HMCiacZu0pBuvoGsZ2JUVVW1ai+8DWV57tPZnqCW+CmJ+hUOO3isLkkZwlYIjjnCZ0XjLF5RL
Me9t3H/mrkewLu0/imHD7beNyFY00+OMd6ziZZpWHkv5R6mwiIdWAyGHZR5XOQ8HzOghguiW4n4U
Ir67iWAOYgWDs4ZD9xamaQTeiQzlhSaoxxLGdmiV45rcBBSmk26/CtTRGbNdRQOh9mC6Pkqwnkc0
XOIDS4woimQ4ewXn6aCT5NimTF0hqHC1iYbpAsGgwNcUI2hgIPZswhVxhqF/8aLMj+kEW1+WFHFl
tRuadkgfRJZ/lIP+1os03ocF38B6m6yGX0ew11Ob0yocOF76TT0jIGusYfty+1J/JwzbdmzKzRO8
WtfdwqffQHrQ6E7zCB9okFDIQxcvcVeYKzaoF6QeMgiJtiBWdTaVPQ6bad/AaAeqQYOFHTV0S5VX
0NxwNqcHUkDpA4r9F9Z5eM1zhK2lKb4nPcftyeKqOw5J8MplckoCwC5t6sLjkrD80fIJoqZoOwTd
SM8RSWkzSEFQRTokdVLwjyqY43owejs4PMYK13YidhjS6YlmKY4zOvBmYVv43IKw/u4Q21DZdr16
YT4QbD58Ew5x7kuqnnWQ9K80jeODTefkB+YqvYf49GtCcOkZCBNqYTE9gpV43EL5MBbi4Ep0WoLC
ihe8hDjxfPSnSMKcEgf3k6/sLsRz/d5GOVyjQZywHhQvYqjImQOSq+ZWR/WSUd9kA3JkLLb7D9kS
x2FFQAncuXQRzy4tFzj09FPtW0gKeMzDvSXbcuTD1u5SQcnFthTtWfCzEJ25L4iFl/kY2N9tX85v
QNHGphwZ2aeBy46oXxSXpWrfEsCGDwPc1A9bnrX3DsHxd7QtwwbSpwHgG3qeFg8zh63zkysS0cDR
L3tksuMKCg+okyGccPfZAv9uESXZfZbEY92NZnnoUZxrUF/IHfPjBJzNj4dZrcDaIkzxdRduXyIl
W9Ovnb2uMNg9rLc5FM1KXnksUGLwnsxn2qUr2rcYDhZRDjNBMnaiXoPls7OgcZMC0iI4AsaHnGXm
DsTZhwNp9SPbHKgfEGBnlk0pzj+WGAF9vHs30HrqV16Bsw2/i6CYD25qi9dBF+GV2iW964kCuLC6
AI052Wqov+HTJfjVwncaUrI82Yt4+F6yDqGIqcoaeBoV2EKe7MnZUldlNzmUjZxN+xw7DE/469gO
iw0P6XZzhzSJy162Pv0x5+lWrTnvTGVUSp6EENuOkVh/SjCPtehLPPQxanmVhehEjBGgNMAiV8i9
GY4AOMOLyPubjShmKHQb5Jomg33RZUwxs/d93CiZ+OdO0miHWZgfpcigYKK9ucOIuuxkQYuT7SLd
mNnxV0lG+ZwIj2sgRZ29n0DtHEdoWS6JzPiDaUv75VeOOj5OkNjwgb6M2LqvBuwv71aZBu8L6Jij
JAbuE7dQmzHg049wStW5MDL9yUSIPalidPsFQyRaJoJ4XsQz7jvQJ0eE7ZhmiocJ25ROgEVTxXA3
+Ky/i2MAH7EF0jy0/gC1xHaXQkoagmu/UNdtd62LHVBwsx4Tvi7oEgzyPUu8SqSn+piKiO6yIB0r
1dJfck30ru3bTztBsTHM4/2MsUrDFOVxLlZxLXKf/2mhwgfLQyEURid3DeaWHQpmNlaBtlc/hciG
OzwS1hRQsBwKH5MmDDt9LdBkPxkMUcjKbCHWBJhQGzRFUZVNJm+CHC9BtaRQxBWExGAz200UOOgk
asIuz5qtmzyrPHyxn7EptR4tEwXWmqKlJtnoDkQUQU3mKXgnqk3rMNu6Rk7t+AI6bq1pRxGoDqXh
WaHN2QPARw/cx27BPJPFOFzJCn6TTzApHn1sDzLp4ee6tNMD7037sBKuazSqEIaAHfwpPT4UGLhe
A7+Y8mOspvF5Q7sMK98o+JYvGDu6eV0ag834g7hN/yE14T7ocYt6Hp7IFC5HfK7uRFaARMAQhvvU
DvOBpgv7M2xs+BDQp+1BysEkSY76YKfR/9AKRSWkZEZimYBEKI+nBKrQrfwoM8l3vRLmuGVLecy1
kHsPOOZ9CI3f9dBidhUzS/RFTCjellJpiDuZIc+RKsPHaevDX4Is4AltOdfLUqS/DWCihnJPG9mX
a2V8L/bEAHmJ2yEDMLKqN0BL7acRvXxo+2WpxVJIsHbQBlKYmP9iYN0TmvIHR9l0NItGw5KRVf70
65o+xysc/NO1X3+UEFOiNKTlp2Vbd1FBaI8cF/JYw68vf9ZZ0L9Y3aK4ykmBRLgN0MIHZ7lGG0Sk
HaSRCpeL7DANV3QUYVKlMirvOS/ZBdpJ9plwN8y364TmIAfH/mmZN6TZgsFXVa4ZPHv1XDwkOcQR
F7cRpg5dnmjoJvJdEC+8SVWhE8gTGC6TPrIXKI4nEJZlhBmMTuRRrH3xDBSN30eQzn8MMeRqUPmM
rJrdNte2K+33ERFLDWIaya8ZWNprSvP2QnITwPwxiPcxoe4sGRSwJrm93kEQ/DZKQnUWsic9UfsU
j8V6lu0IXAxcKAJbJtQ8vt0TuLsdLHDEu77g7TXA14Zm05OneB0jAJc50oqhN75XbdieUTPHh45H
yW7MpvURr8dSFZ4uXwQNjpL0M4nJJyRbLylA07tAiO9L1L6wZEOfY0PbQOi6NgWOSdnFX+NoTB0n
5Gdu+t0wQKsyJyO9ADQcXpcojdHdxE3Ii2+5U6yGr2NRh57uo2hJKpeGSRPhbdglPm4yNKhVoDpa
d0OM1GK47YKp8wfIX1G6lUPj6NXZSrq8IIcAx0bze9vRGOVu2Pa2FwjfieL4PCWxhTeNf6PCvMuJ
QKSamZ0Wdi8xZUJFEdr7KAIy2LbjES/4VsGVqb1XyxI3CNkQlyIUxXGNBoiGY4c2DOurDYW4s477
pT/leb4c/ar9wc+wHQkJP8u5Xe4x/vQUd3b6aYu+b7DVveJdi6+JnNxxglIrtQmrY5bQg5q39Des
V+eXnOtgt3FopF2CAWnzQ18nEAYdXYc8kQAGbNDwZvEOMxMMcQvD750gwFShr3bVlEGdWfb9u4Gd
YgNpXvjUQwNxz6bgphjcTLorzUwekWff7QizryMboibSRQsa0I0V3B0h18qSYT/lbXe1C1CB0BVB
A9Hs/UbRqesBsKwxMz0Rnct7AYxoX8wO81GC4XmWePZlmNVzHiG4++9fhuPwugr/TARaYGZ5WqGf
RDc3TTNCEpBGTToENGchsjmz9dyaGGHThVAPrpcnyN6/K03vrQq+lAXPGiD/bRf6gj2EVEMMBH3j
LdiqpmFbHKHOzpuQlujqsvKzzPWMKUS8A7qZapio4XRBPX3yECLUqr3142O8lytw3c2MuwDWzler
EhwAB82RgBhZY0yoETs31UNgg4qTRJbV6srHDi93ncaK7WzPx1MJ9fCyaNg+yHcIS7PKw5xH+qms
ecq+657JHcaCtspB++yhzdT7jOcTWIsNEWJsvk97+bpmPe63GVirSPI7QfhcJTOYANgauN2UFOtu
G1eGPE21z4cUqF2nkHfdQqYYzzx5LQL9wxDAbzHSqiEeLFbcmFBbYJmk7n3psDZV6ktaum/aEwbQ
Sob7UYXvfZlQlBZuj7khrzJHKzUtyXofd9ApwcluPpBEJWeVmeciV2A91sE+YEmTIvM8B41N5Mr2
mfB7EtuftiMvWQuoA/rkAyq9afgSt6i9qjyZlYevaAv7AyO/NijygcsJAMsheUV/+J2y9REDhIRY
WnYvCJL+8uBpHnhUhHsDr7f7NIi+ihYCF6KakCH1HoYpBzJt4ugS052Tcj3gxhxQ03Akioi5g7+1
91Aj7odUfdllPHUy/tZObdpIHj5v0F2fezr2d/OIiZVEfRMT8ZFjb7yaR8wzEbOgrKAUPHH4fle+
xfURiFLcbX1/xvRDz64I1SEOol9DpF4pZx+WQb5AVRAdueuH40gGMERoRC90odkhQZsGkTmfO8zL
7qixKbHz+UYefRJ/JaMdXrDmsZ5kMPkaHijqmpRY8ICvhWxoZ7oaQ/l8pTAXPAhhfmA/aGR3jrqG
da8o6e40jE5VyWD8IcY6IfT+kv5Uq4oaIwWOeKj7Gn3XCbJ5RHW3ASx5MntIxHga3PZjNNGdpma/
JetaTas5DxyiY4MDyLIWguih/+FlesXzPq1JusuwfZHg3FWJn8Id0NSD5uxl1W2z9qD0JiPaJ9bh
h6wZL/OkfRNo9QwG7TlZ572Ju5PKygaJQFBmTu0uQjRntUEZfUnbpRGmezIkegsoXnW1njiHeHKb
zBcfVt60QfSpx/CU4W2wOBoHZ/p7FZanIC5fojwZapuOZ5hGnDOkLBdpUm2Ex09rL6MKvJmBw4Mr
mzwMz4NEpBQZpvytm8V71i9of4X6Ma3BU8a7Oo30Szp1vtZbdHJgGDtMgTvwt+o93PqH7v+wdybb
bSvZmn6VWneOXOgCERjUhARJiWosyZLcTLBs2Ubf93j6+qA8t1KCVOLyHdcgPfFJBwFEs+Pff+OP
Gy1rPY4ob0zLBz1EyUMVu88d69oySsgU0JzPO9efrgO/OCtaQkLJ37N3UZb5dFzpYZla5A3B+HO2
ybXTapUcew1tQNv6X3FRtzZCo4Jy0s5D1jFsyi5oduk0fstCfdiNs39lch0RPR4HdeWzN7COUlfS
mcXTKaAxsFeVPAYqdC+qxoi4uVm5/ALQJZDIxtEm99vhk5L6BekEALtcIXeZ00Z7IITyK+SW9maU
dnzU4ii6cjWCX9NOxqCkOC+nlnMAP4nOw0bDrM9MofzTMCwfMUgZftoVBTupl6nHJM/TH5EjuIVT
V8Ploh0A93+nN3W5GynlsLz65Ti9vc2iIKTRgn3L6M5Q2Z2GXm2mN/TpgJTC3pY7iy/jSDdGomJx
elOa2L7hyabeiQ6EOACliHr5OYKiftajBMA1rnuykwREgeYTWMSm66JzvuCWarAALO9yrxqKmk1D
iKM5ZHdG5vS0KpD6dtOj7efHSibtptP1G6ebk50py3Sb+dVjGnY3Q28+0OJMCAqmr685duxVRlCf
53M9eUgEn+qgMrhw61DcY6e474pewv6N79rZOVe+a+27yvK3UH+nTWfPt2Y5l7us7gvogmgh0yml
z258w9O5ge1SxlsB6N7YenIr+KJS4h8LiZPCNZCHiYbnRgG8WqHbbLPUT7xR+ddoAu5kDhjRSLQB
yBE2nD5nfZjq0HXwVOnE90YZ37t+TLc1vcJdX0aL9qV9DIruydVbr/JdWiSO2PV2EDGPrRukD+W+
SIkxTVP9Cb/v7ExzEAPYkr6bTEJJ6WDuejVXXpemF3Xbe0E3OOeFjL9pBU2GBOde2bbXtTZYBzus
jP3cVHfKN7hKi7vWkfWnYJSjV/ujc1kXduf5LbB1n3Eqs31aR5XLrRyCwqO3HB7bPrL3MP4KVF2U
7bTFAcl9LqHSKbJtHahHw42ba1jb4ipso4sGzcEOquIZXN9PMa5klBMcND4XjDpOdjCPdnQk4dIn
Vg2yQ2c2MeNPgy6jTdHo5iaW5FUMUZTsOxrxu9CmUEhI2WLVTdF5qgCjdceUnsa1AOZSfykIienn
3tmhBbuFvAR+KPVHbJAgngWlzR9FeB715g9rBJ4osit47dluMvP0Sg/slALUTbeGzUVFTha3m0yT
OegsFzuEVUMMnmk99lY5ptlNEZSG9Xs2S7/y/IquPJxz/OPOraKTycWIMHCCOd2k1hW9Vij9huiT
+rwhnsC4rMoaNwAgiIoOUx1oWrwXjTuguq7s+kdchin4e9vMX0IguPG2ASIqNxEg43DgLwdx1XL/
LHbIjKbwhvPdrz/VWjH9mZNR1Tta6CU4fEYg1FmWCTQ2kZ/3KIBGWiDFNguqQvdiUWvGJawOCkJn
kuE3HGoDrGGELcs7k2YX1TTzPokuRxEV3V1f+y6FKwKb2OvgHuXHPAjdbu/SxgaUF27nbEur6vUD
Ev6aHnIyF4l2EYCpTtfD6PNwWLMDVQnLblovVjG3BTRJvRGNm7olQOhrXg2zfnSJzEEFF4+20e6o
exz1KYIUwTweMvwSUOtPHjKbqN8YmXJvYEmoa1saP8dK3KgaHrbd9842dfLo0CbNcKcsFJ5VXFZo
Y30fAlzUBd+zeChvtERDf1ETM2tuTZ2zdKvnhjqHwHE391LcZ0HyNajl3olDgG3D35pZ1++DxLpR
Q0bMLeZXMGuweJpq+5aGeHEMNFWqLbthNz/a0JjVn76uzWX83rnAovdhKOFxD1W41wL/KbQ745Cl
8oDf86HsqYHr9HISkeH5MSayWVxEtDjCmeZKBJoozT1NCdRTPX+Zx4Q5GBmONXXlQueR7fhYzYik
67G48FuTyxtl78WQTfkmc0fzIhNh6MnlJeUit4C060OtWcV5AyH6MFjlz1xT1yGcXe5I1XEoqfG4
HaFwz5A3sSyJd9IC9lHHLOutHrJCBpQqD36DAlMbTecqtXXbA5WcoCjE/rnW1/aXaezQVw3zl7JN
fhUUHV471oe4mf0zWZJAHrQueTSzgINaur/MScXnXdFdFwgSDkU/3IdjNF70IF+3VaVIRB8kGsZI
/563ebhFvMYpY2ngzPVcwrTmgpZvwj4uSBfiQuvO894e6X+PYUPuRTjucjhpXKoqGgzVdKQZZ51J
l0PQncxyZxvDdEiD1KFKkGgFY27KeTPewnN2No7Igq1jumS1GX6ATlS6V2hq7+xclffSRa4Zd7Nz
C1fPPRuqQHo0Taonf0ixoYpwfncrsoICqzHOmh7uVl033CViOrBhjabH4unRX1lYS0HOPWe1g6cq
dRFBkvlV0RAAtJ9JwhmG+ZMyJ32bJwgBfKGZm8FPviUO988m4mgrzPhzEvfjNkMvt6O9+nkes+zK
TXzatW5FNSi71vVEFo+PhW1lFDNwn440srsJBgXvfoP8A60NXlfzD2hf5s/UTUVx27pcDk3QemOf
pygQbtRUxM2+1UP9KOKs/Dnj4wyPpOdBL+0UpHSrpfaXJDIiOodF+QBjTVxAZuzQztK47Ob6OC9b
1qZtfCSZqsxpc+WXKTTAbaWDuZQu3mDDUtwYjTafUXPEj7B8cZ4cwwEDFX88soFRWCs/TbZ1yTzY
5X49hNu6M6i6mnwo9aNhEqm9sdpuVL+49KFh6juB0+Ho55e1m3iFXQ3HMSjsO004zVF1memNoebc
uNk47ek1xNftFOZ3YZk/EWZoXrGI822Spdot4eW3JjFW5zUhP59pd0DsT3+LOlYe1kxwedEJFLNt
35YdfHovMnzNm50g9uH2hHN7AWf2O5F6D3QUO2/C9rqrdO089rkim1F0NyY06OwJbIpz+ExVlvY7
r+AOFK7cNlNxiM282I7VPJyzQ+yFgB+kWCS7jJTLjkme2J4hfIOT2UmuAql/7l16djpCZDpa5ca0
h4vSbs1z09Kara+75raPhv2sEt79MDTRjdTtnnI+p8/YhhK9TxZ4gsb/g1m28jpwMkn0EOKBbRHX
+lYSwnNuhMm0aUKzfpjj5NFSqPyGrvrFBai9g1oHe6EYPodsuzN8qnH87Uj7HoAo2nf0UejA3wWZ
Hm792pXU38M9JWiMRpF9AgH9sMfT6cvsZi7wbDoc/Ubn0xgtve7BQXfmboZ60KHYTKPbxpeBEAId
+SAfLISnV+kg0j0EhegwwouO4fdMbjbvuCxvGBt8S8UzOHjnFLsM3mx7KUOEpHvT0H52unJ24ETq
3EQ/d626yWbVMcN8A/7JgPpuC09L3zSxcM4suv7DxmknUjTnxLiei/Z7IqrhCgeA5JDGzbRDEmpf
0GRsrtHc2Ite5lfOfPRKlDYXVQ0ddZPlwW8njGAAVbuhHfcg+ngssNLc6vOAfGtfBCFHe9VfSk16
htuHZ5kFUcNqZ4NiHFFFYekRU91sqH9cKBcOuRk0GhoYPbTUj25nnHW02sypTT10Klv0vYonMD67
QXtNDvplZsJnRfXV78ssgDiLPAnpsC27XTC75WUc1xq0nDjcCBhIHlE6dEmDwcBWxC82VaT8swYd
6VkH8MbzQuiK3OkxM9pim2Jvl8S8paSJAui6MU4DY3ynNdojoRATfSv4/K7AWKsdppmjXtwUaHIu
0lzQq6ITjptXc6ElQ44evDyjBYfK3aAkLwqASgvZIqQG9S1FgQqCoj1ZxvR5LjsTUW5ATgNal2GI
tb3Wi7nYTDPXQ6GQUgE+nw+z/G2gdFFbw+lbYjQjJpcxz+c5L+uKFKicG8j/p7e30/mv//1fS3LQ
/5vevnvqfvwq6pf09uX/8A+9XYp/0Rp3HYNqU0EdX9Jw/qG3u+a/kPgBRdGiNU3n+a/+obcb/yK8
wuKItTEftnG1+Q+5XfyLNrqwXaXbjsIA5y+Y7c+muP+RtghiQqTOr3Jty4QwL9e22hryvRB5zgIc
FxyoyT1uNNs6+5ML+ywd3XPUzx2do/wxlZdK9juDO3w7FueV1h0QdR7YH3eYm5xQ3PCyXhizLL+K
HAPLMlzoH9LmWHvNtk+L0VfA3O6O/arc9mPC3tu07q4JrW4XOa7274mLoiL4Xdz8+3n/V95xj6E1
3vzv/3r2Q3v1GpSuQ7NzlzcBAXHt5+nPdtyjInB20Zw2GnLYXGTXrTM7aChpu1ugizYyvYHuNTly
OrTkTZBA0GuMGCjW8BuW7BhU6XU3TxGWz4EPmKt3ook3g95ot0YVtl+qBI7vDjMRlWwsPBVK8DLb
/FpCaUGp24fLDamF2tvJMTgg8JpKr8dXLf6cNy4C4sxE7gRCGlU+KTYIJnYNzAsDbgtdyIMz6PTw
0BdF6mhVy9dMyeXoN2I22zvIDtLYFgCb+3I0enGIZhXAR5pi4aVal9r7FNebPSwP3dkUpeUcqyLN
h0NUiUpsRhpyXwJI20C3dmg4Xh7nOEGk/dB9q2wHWnJM02wPxRORdWGYaeOFJZdoeE42DJZcjC4c
A5cm9NYNggq0zMhmiL19kbd7yAaOAI6Z5iflV+Ahrt9UkDSCUsCD5dpHU9VqisTLg2H61FgK5q5D
2Yhal2Yb8J6WFkAZSmbtLqhd3BXyUIM922kUQRtdT8UD5jP1tB0L5Tyix80x7Ien1J5xy42vDc3s
TxngL4q51WRSynRRpTiGTsWzElWBhNq9ngwWPS2p3zppxXW60Axb2/rpWJ7Hc9gdQw3kzRvKfjoV
HfB2dGNRvOj0u3R2m7V7WGNSB8DbMDBNkQDCadTCQ9a6SpvOEWHl922Rg4D4iP3GzUhp3OxfbH3v
rKVnQ+YXjy+kadvK4MNgz8ruZa4fv5m0GsxLp9E0WPddUjU3cdgM3tRl9WXXd/k5GoN87xsRQhY/
Upcw/gYsdRCYzGkYeCGMr+3Hv+m1vE2QomiwjfCLXNOGJLuOhJCaU0aTHpMjbfjplWvX3Sc6PvXD
/2AUh/YoBaY0nLU7ezAGZkxz2PBMCwObKcoRgvrzKUNKY3GnevV+hQV/1FA8h2Mhl1pJkapYb32s
Xg3YJom6cXsl7rq6tX8b0LO6WdnX7uR+ZU+2PTSFzRaidHhie3ZP/AIOtJeySzjpBVaVNIN7ML3j
XDoa1hD29yqsuCG3ZVXiIB9Mv6bcicLt4stx8/GLXk1xPufrN7CaYfiXg6OPiQFhyvgD4bb0iqbt
tzHdncKp5HYIICDH1ZSf8JJeHUvP45pK6YbrWAanwWpc4F3U5La2tMmrYO/bGdIm+sE3cmzSIxib
8/Pj53z2B19/astGGidMgym19lyLCi3zIVPqdJggemrsJ9CMS/MB4qq+NeWI/Bg6Ps1HDSGUIcbf
EzeZzyINxr+L7VlWkOWaMJhNQTXCOlqdyKZtlV3OavfqIZU/bSKVP4WGnp1Yp4v14Op5WaF4a0le
L3vUyppwwBDMKsre8GJbj+9bd6JaTUZ5L8IZQiNyOs7JMPX/ykBzeTbQHJBVLrhgrtbaew7uBYY5
JdNJlND847BLdnMf9See7bXZ3L9HIcyKlWsay58r07kCNfDE59Q9WzbhfszGClSIHRFHnvTbx/Pm
7Ty1dcc1XUtx/Jj62k55ViHFlXJ1CE79cJW7Q/GIQUy3SUrNRvMUxCdc0N97NEmVZoLjcCtde7mT
hCvyvIfACMexOoheSyknB6DVMQtPDPWcEfFiirAts+kthyvETyrqdRZJKB0IZEngwL5uYPBWDTUV
KKmIflIx2XcTfaSUXcCkDW7QBsXqAEODs3I0g2LbUh797DEa+pn2FXzITJZ6u2uDarwZAmQPu6Rs
dftqjKCYbYJh4dd+/GGeIzRe/3ppUROwf1Dy23Jtqm/M3Uya/GTuOqfTvw/gQCX3b9E81Hnn4r1H
awwfwCRMrUNEvjCE0UDZR0PGw7Ql30qHc9Qmyeg50ez+AFNN1N5OfNVuM5qr902TQvV0isa0Pawd
fGjexpQaJ3b/1dfmC0ghHMu0Fexm11kbEnRBa8u6iFFkpz5813Yq6NbH457Y4lM+7O8M5VBOOLpE
Hyy5q7w+aJLEHQ2RRxYdUUtdmilSO5gF0wWWAt3dx59mtfUsT8XmRo0Pc5Wb1zpGO6+wOqsdTmu7
DY3DbNBXw2ypocCMazqycCnv8fnp/sq4QDyPyjbn8oRQQBEXv37AXLXIzHWKe/C49gpVmgusDc3w
42dbndf/HsVEDq0cuI1v9gO/zFD4jsrAoytPAfM651dBxECwi1oFAwIK2D4Rw3yJk7573yERPrHB
vjO+y5wx2FpRQ9rrDTbjyGqKWLD3BCCVtXVRmvYxlNU1tg2/s87GBUzJR46Yp4+fe7UPLs/NUrOl
pUMFU2pdCmP1g6XJMIndPLfNOelR8Q4K5AxkjF8K3SJx4jlfT1eM+bDp5uDiKqkLkrTW9cGAFI9M
Nkd6QMb6mRU0zpUJh+9aL2T68PGjva5o/3uoBRhYrqU4yL2eOLNBKDPPzlANqhIB1AwfdDoVJ/W6
0PpnFIpNZo5p8hZXZ5ajibq0LV964SjTeG/GhvhmNUF+MWYxjfHedLtPTpHPF6onX/3jJ3y+J7ze
KxXFFoxmxS/gEriqczGR1IOqzGAW5lFzB+vLp73iTvVjBuMYiYYTJ+dtbfThVkobrWIy4u7QZthn
bWM/BHlOrCZ3ztq5Rkxmkfh0jHB4KQ5ZnaldFEBG3faNG+VHYzBTcTEGKaoCrPHoCaq2h5GcGDH8
p4+f6u1SUOycJusQuMVw1xVdZleOG2iFuUMYW1+6pDd+tqHXQ4fIAtr2mYECWzMxlnYXRXJkO+EJ
qGN9fWBRAKro0ra5nrEm1oe1HyG9MyWx7NaUlP22sdOq3pVuCxO6MGQPtOMYQ7ohFnbyN9j7TNHW
QX7yUEHGGE5849ezeNn+AMSkNJY5zHtZ3B1eXiTqkBuOVkML4m/FVlX5Hws544lBVhOJWbz4SrD3
cC0G2VFrGxfCDdqGppS+ww8UUpmJ4P+pbELk/wpvJJt417m7iXJDZJu0Bfv3mgQ39MOg5+EfZyzT
b9LA4XEju3EuYe7gSoj9pWwuQneOmr0VR7kJLobr5NYO5/RLkyRzdhYkCi5AHbtDfpibdvr98Tx6
DlX6z+p4figH+E+xyyzV5PrVuTCDyjyyIUyk2b4JMMg1Y+y/jC5znmYcI3RM30Z1lxQhP1dD1nFo
i3h0N8YcjXjRoZOyo1zc2kpLTmxNb3ZBC9iO960vP46ze9mVX5jyID1HjIec21MyqjxYKJBXTWCx
W4ykxOPHr+H1BFo2KE7qZfsDu5SU7tbrsTRMzlI4rdIbp2xRq/q05E2YtB+P8uaJliuYo2MuwCHN
klltgy5GlaiA8bECnrMuk3GQO4Cw/iBkKk9cbVfoyfJEjAUgzH7nYjVir5ZECsdUB+FXng6TdeZX
7Vqt67ekc8onF27ETllAckU/d3u9c81jyDa4catE31gdlllVEtgnbr1vn55LEbWRtI3lLrqOQTbb
Orcg+vL0mj3tG6MV4KPwclR90ofoxFBi9aKlXeuwVxgqCot6N4EVbVHRI+5q51Phgq/rveU9g/ca
Boc1dZcw1tugqeLM9TtsQ+Zc7296vZ4e0edod/M4qdu+CWC6p7l1okB4u2qXUanEmLS6wSVt9YD1
lE+h28cYZweDhLYZY3c42vG5OzfmWZD68IvJRNhY4VTsnKgJL9nIi5vQiepfPYosfCNd0d/NaWX+
/UfmsuiwSYK6229OeswI4yRPWukNmCDtS1Tb3lh3w76OfH338WpaoRrPr16Zz1USCKlO7/L1om2C
ZCZTsJN0kK3uCJbewUOp7E9O5pcejn40RZUQj+Ab6T6TVXpOzR/9CORAXuPHP+X1afzPLwEsRR8q
QTis1S/R8Vkp0ZVLkOopvYLJkTw1TjVeZ6Nqzqxcn/ayMMsHOejdfdl0+YkEhnfmoAKM5MoM+MAG
tuxuL3bKBGFkDCbreK7QxotM063HEQfBfdy19/zXHWzvLvz68SO///ZpZIJP4qgAyvJ60FQ3MINB
e+cZpTN8mp0s2LF5mp9CG1GEU8U7VRfuNq0k6vEmsvqrGs+KNHX+7lLyz7t/8TtWFayTO5Omxoyt
u0jnbeKStVpw/z4vQ6X95FSaLmbbyB6HBtJLnDnj/cfv4Z2tRgFmYWXMjc9FVPL6NSwt7NgdK+kh
uqn2obK6mxHL+ys0oN2v/8lQ3Az40sstdrXoJ5vYr2hgluFmPcCKY9HrQfGHQ3s8sbTef6j/jLQq
mWesonMwfunlqTttfbC2XY7FOK0avfrrMxHKw1JKggoaXJxXc7dzKLjYMiSGQMQ3z7jEbdG+4eZt
RKdyo59rmVe1Dvcqy6JcdUHqqOJWL1AvcUBVKQKrXmR4ZQatOELYwaqBtsbF5IQ16kg8gPx07m+F
HHwkHmPyDWNAB6rCdCrP6r2XbFkA/Ia9YMHr7Utz4L/18CKXBeTu07oVezxBER9Vozj7eOa8vsD+
e40wa4QrbQdHFbHcz15sEEiR8WMcKaUGDDQ3OC7l313sLC4csvX2gHH5X8VF/fd4vGPLxvbAWUe3
BFNHNdsVPFplyG3XRxBiTHM8UZC/t+0BfrH2APG4haxW/gipWNb9susKEPQUr799inz7ABcURiw1
FvRSMz58/Crf2+pfDrp6lTKzM7MyeLR5Npoj5Ezt2sIkaqPptQVtMgm2bhtZV5lNLoUFZ+jESbMs
hzdTWADHAoAAvq7LOtEHeqGxqfIloXtjLZ+eTxy4Jx7y3akpcDuCH8ClxF0Vj1qUZiUhJNKLUx0v
o3wUB1SiUF+RTX38Ot99HkknANx3gZhXO40eIuam4S09vBnLbdUSbWVmlntilHfn/4tRVs9T2rVs
64ZRYmyx0ZPh6WUzCsbyFiTxoT3l9PnuzAT8M12uFEo+n50v1lsP2bgQkiqIPJq54walyp01mNUh
Laf2rE2y4WqyLRref/8ybZpKQKrIR7iav17mbT5kRjSXLDtnDg9dUMh9U87RicPhvU/2cpRl8rx4
OD/rNZhUHPwkdyBYqHEu1YZQP//4Wd5bZxSR1sJMETZsl9ejNCMATK6xziJwheMkMXTZYP88fOsn
GmZYtEHItTAcMdGsVYZxSM2+O/Gg750X9D7AG7FIXSrN1QaT1IBi2OQyOd2U3UurgBuZNiVkXXQz
uR9Nu9HsC0zE+aZd+bUScv4B10OfAEIc48R2986idG1lgwcyk/nCq0ojdWPL77NceeMQdBcdWTiQ
98JkmyvDfvz45b8zf11KKuAlDkpDrYsasqVqLDIKhjKD/Bvqb8RRACtNU5Tf8UHR9yk6+f3HY74z
rRhTcCsW3GjgJa0/+KRp6cSYaLJnL4wxgNCFeap79u4oJquDFh3y+fW0kr0zz0QhKa9r8hxHtuKP
hV/CiXX4Xm1Mq9WlxcnJhN5xNXmjZgzatAgUHMAxeWznqPaRMmqEcMzNYjoYtDpiEzO3f2gpvTUs
g3Cz2ZWzCHRu6BLM8eN3++73fPF7VhM5baxuwiOL+zDhFAgWdIUtPVv/t1l25id6BsntEKMZ/3jU
d981fDClc1ZxO1q9Ba4k6O16RoXOmlxpZgTFMzzZ2353FKFzBzbFoi1dFXWNOUddphks0mFMDjN5
V9dILJtrBOXzZam1OA0RE3SAJozchNMMF4hgC9kYXVdpTucEFWGZqlXVKUjpnQ3Mpb/lwsjT+XVi
BSnhjy816jnpiQlfY7Ps/d+zVspd0rqVh9wkhvlr1TB0FRZL7Yg/0sdvf9XhfC7COFZ1qi+qIxiA
q0qlddoQaRfQPuU0DJLOIaaB7Cjtmtuyuo5SbYmhsdnLcP/CnIgeqCCNou6c6X4ebPt3U/vfpEz9
Lfo7+7xyg3iPHWv8KXIidO+h8vsTqMZ7XxLCHi0WthBcd1dfchKppjKE0x60F0zvAhme677vnNhG
31sL/OMUNXwe+EWrUaqQNB5dh5BeY7OAR9agjRtX+sPesAJsAS1YzRvV4WJ7Yty327fNPFjgTEBG
ZT1DOi+OzRxHuxiDPuUpo8ROAJbPriZ6cx+3ZeB9/OmXL/u6SGQoix4Z+xs3jHV3eIhLrXOhvHn6
kGc3zUB4C0L3HoeEkM0+2xE+Fl92pHNl32WC59iJmff2OxKcCBYCgYmv5dqrAsGlvWoSa8eKFNGA
i5OM72pwqb9Gmhhl4SfQBmerWqPxZSfI/XATekp1BwKfYwMg5v43/rnjCa7Ae6/T5Gk4D587rKvn
UZDt3KZjJEib5bmMLfNB72Zrb5V42qDz6ao/cMZ3gyasm48/5Ds4Hw+5pMPRbQBqfEOXaRMbsRo4
H9cLA4PREVXvIg44WFgQfPWHoDqgii8R48lm30dsgDVNqAvWtLGL0RbEGs4bovSHE/3md0qj5XZH
yb4wmPDeWO1ubSMGeGk9sAeeUiicjcb87MCHvAe0t4lgKIMM/oGRPk2EWyFobxUcwlkxB7fjqAXV
NnO66a9hMH6TzUXi+Y5rPHOUX6ywyMfuwnEn6TEri+s0bn3ktv38y7DxJUQVMqebKgtOMUneW9f4
azxTA11Qz9XZWpv4zfS2oFCds2EbmCLfc934hR5IndhBniG1V+ta6JALHKYCtZnJKnpdItW+0bhY
dGpepav0qCDsbkprDO4mHC4uIxXFHf5zg/k9bZts38WiOxS5soFCMSYy56x8Ipcr/AWHBTWxNlbF
Jm0wV/t4yr5Z/MtvZGJAC6KpAB1h9RuHXIX4kmle16XQnUP3Ye5PRoG/OVtXg6xmnx+QplDCVvMq
MrZuOlSbT37t+z+axJlbVE5RSByJE45/Op7/62TOzeHjp3yzJSw/gGsJ5Z3B+lwjrnFLLFnLNotk
U1vURMeEHEqk1tZlLfqL1hZ3oqlPHI9LufTm6zuUlJwewP/W6s0OlV2GjhZpnnLo9G6GAO2Ryp2a
21d1iHCw+/rxM646vBQQy0PSOV+qF8PEE+f1pxQaTD60NL4n9c5HQx0IL27cMcXpyq7/jH1W/cxR
TENyy3ocpeHTOdmpm/sziPPmqV/8iNWnzmq4AykxTJ7WhVGNM2Rs4Qk6BTcxfr4l/pMFyW5Ms43v
TNaxJ8vyTKvS/kzJdrgRs6rwRohwCnIK7Vxr5HxGLKC8IzpKcHBE/kVe92Ij+t4idzTFwTy2TVyK
9MVnpuu8eh4Utn8Nqpiyevj4/b67UigFFlKJySV3mWMvtiu6YAHIKCslz0f7SD7MHW379OzjQd7s
Tss3fDHI6tI4sk7DQJB+EcF23YQcGPT8dHHdlV35+eOh3pufOOs4/G/h8K03wkna/RhoWOSYZhr6
u3wuF2PjSukHtEn6F/L0rD8fj/h2FRKmAM6hOFQo/dcZzsQfVFURVy6u51qIVTt+GVqQosacs/qw
RFNu5rK6tys9/vLxwG/3HwaGcKDY4tgC1vHLNcz3tpGZi8bdtH8PLqehBw/I/oyZj459V5Tfh7mV
fjXJtDrgp2w+fjz+26/K+HB5aY9jCmSsp86s54nCKND1oH1lX4hsWNwLYakcWIAnyRXvDsbJpgid
JPfWWP7+xTxN/Dbo06l2vd51iz1qU2KjsO9sb7QJ77OPH+xNcQ4CwI35/461zLEXY2nNhI1hyBfN
fb+5MFQ6XclGprfpGEQRLklxyscV2Ykzi344/+56l1Eu6IOr4IXSzHk97mBkE3KHPtiFVosPLIwH
YxsQwdvtYlnq+nbJQrwtZEmKb2CM2H6KdsTvLhowslCV6WCurDSEPcgaHXHIuzKykJvo6Re+YPgF
aOmm8C0XB2LaKPYubMJabMLEIsfR9YsKzlWhTdHOjwr7a9h1bngYrQJZHfl29U2l+5a9yTVjuLXx
WvnU4XsTbWI9qztEtxrL2m20NPGqRvUOFmUJ5OMus2ChlDqUmQ2OHtYvpAvjnxwK/SWxdY27S2Qd
fxnbxUYnp1MKVD7O9mernEiDGyUqwaCcqkeRSP3Kx8kkx6TdxbEV9wj+xOydttBE5la6zWGPP83t
iP+EcFosk1HTOLjU4JsxHqXe9+2m9esJiXIxlCOAMlZ15GwiNyfKDh+60MFV5lKDbYHCH4+En66j
gsBzsKY6h6HQfRlhHMe7tsTLy3OI1ghviQhBga/iRN0n1lQnmHcNaES3wBCq77dCaWeLrT2t97yr
oemVbAfSfDCaycD9TvJ8GQnNcOmqYSuy0n+IAgvEHteW4p4IAaWQA8uWOOG2GnBQxvm+woyHSJB0
h5jXtfATxvvEE06H23OQhgD/WqXLH+0YJt9rbKrjbay7Vbq1UnvEnd/HKYN0sWTAvkCM3J1nvHAW
Y/9o/N3DW7staer+DodELv4iBJfh9hWQoaaQA8yPjUJrunfyyk/OGsfGkWme9bbcjCPNFa80SGpH
3a2o/aqp6T8bJEAAAOOUU3tlQyTfxkwq3IVTq27nnVw8do8U4OQl0RnGeq7EFQBbgNAKNMhsBiSQ
lryVP7gqxZtR9AawlB3UNyBUNQBgInEZHag/tD2uni1T3eqdayXmGdPmTsfENyxQDtclbZgidRqU
ZCHRgkDvGPdMFjbalRVjBmWEvrzpoa5hU1mMOWYhk6VjZyQykh7zgBqjr830EzWquiVtofxMYx9v
rrkqSqA7MzduJqwSYDGbY43pnCWG/rLyiwbPYqkZ/Ps05HE1IA2SsEiftI0d4ln9m8lieyAAiHwE
YrRxapoDpyY5Qdf7DYbedu1RZI0/6fX1P4ht5B+io4ZST8uS2ULQ1s/YiwX6Z3qZ5ncBpBRu4j5B
sD91c32fp40YdyDKvQ1n0Hccz+wizMA6YnlY4rGKfreWPx3jHtiW+iIKb3zbHNujZWTZMdFKNvCG
85UAEkESJd6iGoZaVHcxHcoAtnYlCTi4VI093mm1Jr/PhPLciEa24Rl2HMgAsd0RXuYrXK1Crjp4
lsXYEpEaKZ8GzNks5t9Aip2mOdgNwAYjTlZNKH+2GT3BGYw3tLG81i2ywqf8/7B3HktyM9e2fpUT
Z47/wJvBvQOgDKodu2mbnCCaZBMmYRNIuKe/X1GGZKmrK6ThjTORQgrpRxdM5s691/qWZT93g1jL
+5Fk7xxOaaFNsasvhh+WHAwJtTPnBgCTFPXnzmzrz0AgrI+9li0AZjoJRcTrneCLX6QTnmIisztI
GCnE06qaYPMPuaiBvmptOoUNBGV49Va2p7yb3ruzMOPeyTTMkAHMoXa9UqLMv5LwDHLcEGXxmDk6
4P+sFZIF2HHk1wo/OAw0xJvR4LvDI9G5rhG7DgGxx4UBEItQIvugp677wSyU6Hcg8ed+s0x5NX+m
82TNm3G2HbFd8sx8mPNknPd8FIBsgtzS1bdcdqUZVQsCaygkee9d5ykZ0ofExuDD+JbuDlSGmfk1
0QNHtjaxnlrUkr/obpe0FPkOl1MDjHyY9atj064MXTqv2p6/S//S2mJV8WI3FXmQpTbktIk4xYSF
O+rLxuttxGhEoIAQcwEQjptah+AHcGnwvoygxj7aQHxIbeyzJInaEU4X0CRdo8dJroFO7hzRL1GL
NNchb8Cb9n7hFsABp0Ko2IC9/tHURpXs28aV1QFWk2qhIuhU1UiUE/4V1oy3U3pSEVjszto+y3r9
hymP7jybPA51UwK6lYAfKSsj1dsTuUOD1tf3HsAbEZcwlYIwHyCawZ1AMUmHDaUoxrIjEMiHcftJ
2C1D3InzlB6D+mjyDxZW0uo7aU/TtIG8Apiwcvv22lDBtAfS7H7QiWB9tKkMrC0rKEzm3EryT64F
xox2Fx6GO0JfrWYr7LouvibaMe7IMDElIzIIFLdQlfQ7scLroVhbFUSel2lPo9aTHj9p9Dc2pSjk
vFlhEX5B5jXfrSByxFte7akBptka/KW59k3atlIHSyXNk06bXUT4dVdi6dwkZe0IhmC1rggJZxNo
am0gycMLJns3oU1xtmjvmMgLKQexdRZ3+QRGE/CclSRtlOaCdUKjDnny4aXc2LmQZliLiq1dtwf7
PaRW7bHr7ZFzvzUf4ZT9aI2kUYDcjApI/p/grRkp2Q59/aFCAWNuumY0fmjdODxP1rp8xnU88eF1
dnHtJdKjZKgXbwyD1fb4ujS9vV4l3dhdnTRLui+9vDw4Ts8zm+vavqcbU34xvcy8AzEENXNZmmb4
YMkivx3q1ZLH6L/urud/lRBa25KfpZPM8jWzjAxSTVFXTrQs44qp1y/GZzhMbNZwNN2bAgTzF9VI
pYWzboAA5VyHjddvZud6qIN+OOT52g17uxUaXIKyNpGOqNmTEbkUrJ9Qbhy4LrWwH2widd4lNaE6
e6/N/Zb00J/4valdJGWcAquBZYdCBJU40U5STcsQUnzX2WbBf5VErjYuT2Koa9iGRQUXZOS+3Gpe
MwegO3BeY9gGcXVEk18lpiQY0KqerRFKT9QS7HBbWlkhNkhqQmdy8QjnvELsNjSixn02NDAc/Lbz
d3owFZ8bvscBRAVpIJtatmqFTg6fm1wsPkKoVP2TXI5JrSNtAGcL/tK/qhurGUKp6VgkDSRoT/VM
9JFF3FYKRbgKKxiHe+I09P5rNROhDvyPTIvI9quE3j+cI+ydruc7UdX1gHKH1VuvwHUcYVirNl1L
jt136PprQTStZ78tofjRqwRl4zo2v7oSBeWx3ZlsJZPZltjrxobtu0mgfCB91CaC1ee2BqfbpPO1
X/h6QkwYbtQtBDVDhaz8MBU54njbrmq6AbZs3n23q1n98PWOiojgNmA9CPFJX5AjuuuSrBbIIoOv
VeBZAmlF0lwJnILdHICVA6tJMETnpCrC9wiVmsqX5SxgYg2F3yIpjxhZi7RrbIFms339/PKvZ3qO
orRmjowG/ICnw6hOrKs7ZyQ92EXuXdt67d6QYlIeXr/KC+deqgCLcRc8B6Zex9PMb6ekiQ6bv5pj
sikD+EbQa3FAZzYqz3xa3ePvqtJ9RWYIGyv19oWOwr8qix1+429XPzkrCY0CrmycZLMEZnHXl37v
RWM9dO8hU9+YHdFEddm1h6XPvHdtVVbfhQdLzEX/eyWNILt2+u7SpPGFI6odMALg/GbQsTrt/Hoz
mDgQgsHGNsshmvRCvWUtolyvl+7CvbeODac/j4ocu/EDUcdhnsZNe3LzW0W71U+TjVCJsiORd+JZ
aAohCSM4+47EmIBgc6W7Nw43at26w/RO00kiDXur5/yRG3L8ovGf35dpJa5AbVX+hiw/4C/94MhH
kzhqa5M4RDwSljLaT/lKgzmCtpkMO8bx5h0RNUQgYqmQ0xaIkXyL/AmmM4Lhpz4dtRXKTtk0u4qA
cDtsKnDa9VD0/8GrjvnkaINAH2Az1/rzPpB0ICdGvICzXGluSyG6rQZg48IH9eKTZYROdwfBI73P
P68SwJi2ZU7zwS5mMlgaZpUUr2/h4cnw9Y/qX1sAPNffrnTSKWsqmaFbpvXAo5vjzIOY6pPNhSSR
IDA4iTiFMrJxXr/ov/bMjh0sZtf0kLBxHsNMf/+SHTUlWVuqYLOs0tgsMPk34JSy9sZIkkuOnZdW
DSZywGAYmx09Q39ei4TGXNZHWkQhA59PoxHxjKb9YyKNIYlss3Fuu9qdCBIw2ZJf/50v9JLxfFNe
Hk2ftueeqoW7dVynZNCTzdHwsTdcZR9sYzXIXLGdWzdQoIGNpLjjnJ7ZEcGM1l2v3OzflSViEqLT
agKWMOzj4OrPOzC5CWcHkw66ZU7ex66sFHGg+fi3weT//EGB6X/Ccr41VAlgYYeT//h///8M5z3q
OM/Ti3byuf6W/dde5U/10+8Mo+P/7R8RveCIkMTB17LxyfLOs4H+nWHk2H8h4WD3ZGtBNWE5fIB/
Zxg5f9Hb9ayjR/jI1tGPLkXCf4bs//y3+Re0OjqTOL+YOCGKMv4djNHf9D+/VndAK7jIaF/jbkW4
BxvpZBXoBoN2ST1hTUkJoz8oDexNtIDiKzjWCQ72i0kpFWH0g1g75d302ZKZTbDrIBpsYNQnUTNz
ptwM9Cp0kgv0Ci4wmSR7x18Me8e4HvJoMQzVdnDWCYyc2dnbXi4+5yMCnqaIdpj7lC10msJBZukb
2WtNvsMOywmZCAtNRYlJVFdoweACrU0k5gFZc/8j8Pvq40iGbBMWSTs48eol5O+MkqqKYD2V6Ht7
6bV2L6EyiqhP4Ee/UwhErqZ+7OeImy8/DzmM3gi/ovvQEbny4KZirOIKruF3oS3dW2jp4nNgpON0
BA11j6l5ZM0R7Fhod149zfGkWxCWifdYniuz0U3S7hrvm2rM7HEAKvIWsn+1bKqGkuAGdrJmQbqs
1yRqesf+QI9xFJFNhUEJP2nVd8NM3OojcbCu/5FemEGfSMPKuPWN0Xo/1hWlcOp5NB311QFziTSx
5PjvziDK1KKBmPIxaef3OjhyAT0f3WWIv0vxFLNxtjiuEgtI1GRWVdxrscq9qmUOkhu8/pVt+t13
U6fPQDiEVZB05y0+0KqCSV8oEmkeRX4rGVLq2CQ0ir5XVxigIGaotlyrK9iGUwr+VnVEyVZYYEEx
OeJN3Y49j9N0q3bTVTWxlaSYDt8zcKRQbQQNhwMCWPm46Jr/VJuT/d3N6r4K6RgAhC609FOpc2yH
4F5X3dZsbXKFZtgsADOrQHmc8qe+J8uKDs0tRGT7OYWQWL0RHBONXZZriDbCsZqLDwPliA16lFAc
+lsEaYSmOtpEga2QFoIdrA5zul/WridJ033rea2kKUDA7wGP9rG3CiK52Lj0byvSCrs0e4+Zn3Mc
Bc5C9F7X8p1Fo4MsUtZ6ZVO8wxk3G3RDHBHmvN8gn5SPVCcGs3mJ5E1Wrv/QZBTtO2tcy+rBQBlD
KztoJu1gE3v4Qw5kt12VEPaypwE8uM9HkFjeNeMlmULTZh/bkLoNLGstazfZ1VWlcbrtx5Zo0XWu
Xc5QJY1So8yGIIQJmAxR13dli1o8TYv9mjb5IzV79tzRMkNZ6XqtQcyAztFdWqQy8KysJp6dtH7A
DmzPO4tKl7dJ8L5vcs9eB2A6FDHbdq59a8NRb8w22hjYPzRAVC1vyXB06RS+2WOfz+onz4B4FU62
Jd8BerK1MLMktAhbK/01AuVgd7ck0A3z1qRPbWy0VM+qcGxMdTXBtAWKWLnklpitnsezVlf7uXBa
uQGvPT6scO0fSS6BSSjLwb+DZJ7QUwyM4T3xSVm1wcwi3qdIaEQ4moTywZkM3rZDad7rkJduC2u1
ojIF/L7hz8nUBlVq020k3Ts36mhlKT7azv3CCpl/CoZ+fkqcxfcPPgPWMmKl7qrQmnOIWYlI6je0
O0gwcieTbzOti+l+KVsUh5WhiESqFiHqkPYxw9dVc2Aqj9Xkk0dpCjUfOwVenK6kIIYZXOX5qkzU
PJIfqhLe+tEnQpF8UhoWP3ev/93H/9tjV3tlH38qBSi+7/916I//1v+xlfP//MdW7v0FSeho5keS
cNyuf23lrvHXsZqlmqbcRGh3lCb+fSvXHAPqIEnbOH6wp3rs2//cyxny/AX1CrAEdQHOaNs0/53N
/EQuozEexRuCSOOkzJP02hBKizIWs/NmzlbyCAaRE+6SYysapPVF74X2wbPK+TEXLA1NTp5k1Rou
+XzzAqN3CfZ4Z0l30BPjI3DMS56nE2nmr7/sRFGRaYU+9r5NQ9TKqmvTXlpcwBLOACb/W7MmN1yX
CCpgJeuhMS7lu8EiFFTLjJ0JwwDhReKMkb2W6QYgnblLoFJvrKY39l7jz9uShsHb3578/d8Kn9+B
hid1+6+/9OSUqzdU3wNLA3Hh6JgsqYhc0MB6M5XMSOu0s2vXnhtSgzNRkj6KjGggKe+C8O7s1U/O
lpbfJ/BbpWCOZwI49dqJ3J3U2fode4rMhorwEoIQsmlqmYBN47VL/ET0+k//87j0z19+Kp5sasKL
bWgb8Ypisw5bQg0fUprrB83pnciZAv1tbuVLEA6ed8nA8edp99c1T065UNJ1YlzMIm6FqnZTpSAD
+OD3Udl/f/1XnYA6f13i5PQHTUWr9HUil8JIs+u17TLSL+rmfYWaNy7WJNsWthgBK0LS9tqqJthv
HAhlX+9EOf00lm4Cu57BZvdf6861d01uqsjQjOTCQ//JnftVgv/6C0/Owqj/m7on5DU2RTFHdZ8X
W9dv+l1J/yG20DxcwSsWV2kAjt1D6/ceH0yxTY0u2DZKR9OdpH2Itt/bEyeYXemTYd61dIWvra5d
DnofMC7vvD4EYj3cvX5Xzz2343//WyOu6qd8KH2njtdkrqIicFAbzcW4r1vv3etX+Gm5eOmusMr+
fgl6Dmlp04+N8V6WwG4s8Og1E26nbKHAUz6FmJqbPUOLBgv6Ig/Q0qursSKLW5+V8eBLXCqZzJw3
jWBH1rJRfBpI6IvTNlOxVwBlHnHaRMmKltRCgr2d5wYkQWbQT+6VsRXlEnWMKbdVkpi7cVjrawYO
3QEsRLFpHX6yZFB6bac2kSuiaYno5cQHfOuWOEt/N6XS+reUv79ekJN1vVictQAU0cToD2B+tzn2
dxeUqd4u3u71231u5dFPVuhOegDtl5nb7YFyx3ukb0bW6mio1R2a1k9TIj9Ddqo3k+V1oQ9h+sKD
PlHW/vp1JytuqyUKboHdxCJ3FWk4TmGTikAjg/NPNj5XI7nLnFhKzwWIsQg7Uq0R7PsA7FjYubOj
xyuJk83fiqA/ehl/bADHH/zSe3eyBKOAIb2xcbjZoHNuplXAkQ56slaWxfEYZNlXtZ+WeAaONFfC
gbaaIQQmzG6OiT+6hA08cdT8467gYvjz9R9rh89dN5oYPUce1yaEW4FRmFiV5ENnTdTYx2PQog+U
zhOk95Xe1t73V3VhNzguPv96GyCS/Hl9mne2xuG2jElJIEmZQ9mGGPXuukaBS3kK++r1F+/lleQn
pvn3zzxZfL4sYEHxWMzVvl9cgnQTjCK60b1//Qp/9jl/3cmT5ZXo6WCFUiBiMahiQ/A7ak4BGrlz
DHVAlYFgHA3Op9cvhjD5zI07XRrnQtXo0uoYq+LynaYgUDdUIMsVwyMt2KGUqHto56SSh0oS01Om
OhH3g0pmVFJ2QBvf5yC/FW4rXYSb4hYqDXcnHzCElKMvbudSuoIT1aJ/Q8uRPHVVYig0E1bxWSy9
+pyR+Uro3NDsHKwvkmQn2rchXkMa7dPgkcm71FkgyFvPvXviBmRBjADhleRBeqMOMd+87dW43FlJ
aartSpP2UC69T/1BNOO6LavE80OEeIiaXEq0vUvb1MBgBQAA4B9NkAkD7ZvU8ZHhW1NWXJM6Sndi
dqvaCeve1D4tthS0bbSKDMuAKNWbpZvTzw51xXWuivmYqV4bW8edbSsqyNoIUHtLMwhVMRUuyaxe
527JYEh31kwA5d7MGvc98BYCUpa6WX9oSaF9m4o82JqJ5jsxHFProfM55IJ31uwbWbjB+6XHlLc1
7CRvuehSo/MdK9NG4KfkIwexCbBIxs8LgSmvclv5lnRuFigqljbwX3Kej5VVXpU6/OSwnnODTgro
1DEyTFU8FfRD3lt5Jd4IDuGHrkZh66QmDZtBOjx5HDiEDYxlmy0cs+0pj/ulpz8L7p5BKoc6Z7+K
2nh00ZERngjCXkST4Yo3LlYa7YqZYP/cuE75A8tLQMyb1xKyjIxmS5HQbA3fGdHu5JLc164ekjFK
HFWJyJCz/77yV56yQf7q25pY+Cp00BA0qCsq91Fb84YMnN4WR21RgMzYG43qcarymubFmtvGlskz
A+HMTLUqDubMeiwWd4wtX0hi24viibB291uF/obIr7RZwF4NuvsN6Mqq7Ti1EMBbcOhOH9zcqrvI
aLUmownhU3Cawmze4vqoPqYmiGVYxuSFx6JTRMxaxkDsspsZzqEuxuAgNNAFu3ySvI9SdI85YsV3
vbME5OIR4yPDvM0ZE7r+xI2ZM109kEdOyVArHe2bn/fmO2UDP9rkg2nDdFqI6ppaMiyrIENpIoPg
2pHkO9MLICOPhtYQ+hJer19weCLBq1g/B4vTkWYarG5N/u48vOtaIJ6hYy/kN+mqZRxHzPvenifV
wbUKBrJjeK0jYql518sh/UFKRzuEtjMdu3lG4WxlI1LSVtTaxVpgVLu5J3zszTQY7jsCa9Sj1LV2
2BLfwGvIm0MCx2yxWbu6VTz0WZaXYV+5wdeGT60LvVJ67xLV1j80q3e/+eloDJtsGZ3nbrGQzhmd
QrU2dmr8UGi9iRYBecbXYeyHLHJ6q35uUrv4kDd9iSaSRqDCdM+kOYTSsRhhZ6j6qcMbf6egaR+j
fdTOBFv93pV524c9iqjDQKh0uyWYJjGiBK2E3/vbdMaeELakwf2YUyKZCVx3yB932quUfD1Cais6
X3NRdU8ebxNqrgppZGw2VbETU2aVm7Lxrc9jr+Zsixj5aiIj5NAhtKT9WRhdG/uMaI8kv2KOB7v0
zCghAOarCGRLUGxfLOvWTAvtJulXEAWsCdXbpCtnFs2h/YzyeamudHJ5b3NlrYdOZQPkO4hCH+2+
4MGrYPFvDODwxEHIDiGVhvZHpUl+Z3R8vTzILna6aXbDiYwwFQWCgZJReutmIe6VdQJIXDwu9kBI
0RwEz06j58m2Kif9G/S6DlW/nTviUAez+tpRsdY7v2XtDFvELFXk0o66XYJmQArgSkTeYmgL0Ate
tk/ao7Bx0lr7sx4M1dNYTiy2ZW9aFenzXU4cmRC8z/04JglLOEtmlHcBgZh6ljk3IJT4DF/fAc9s
6D+TAn47GgwLjIhZWsejQWGSM8JkNHHEiEsVSe7rlzgeAV6oTfyTI127BAgAOZpyFpjN0Mr7BuLc
YFwYmp2pfPyTesFPiGivPLeOu86REXOZ942sguu+RNExgZ26cJ+OhdxLP+KkTqjHya/x79cxNqp1
qw/6dFem2i3y4/WmAr0fTYx6I1c5PPgxMS/cup8e5Jcue3KsquEmGxlR5DEk5e4jedz8IFcrWK6J
aFofc6aUxDLrRUolQEo4DrYyaZA8CnSwUdJpgoh52aNtSXLxgxlHQ3QU1UHYu6PU0NuMouM1P1YZ
2sIeudblPF5bTtfsFyiq9201j48ymLHOmRCFaYZ7dpZAl+T72+uiZ6/ytI4cMBPh0oMh2pb+ti1B
msxDPz7kiRIfe0/Hd7N2yrxkkT33zlp/FrvdZCn69ZKaf1iICK6t9FBiqwmb1Uo2/9k7eywXf/ss
ZlX1FTqfJqabK5maLVacFssSv/5P/0lvfumxnhyi8tUkTc8z63gmBY4Zt2DoFdChV066MFhq+nel
U5LoZKJzpZXDqDkhpEJJyu2ANMOdIB5q4zvKCAu7QaJP4baz1yL/2I6esSdyvcJO1Odx4XhFyLJD
YTiJ9aqz/f5Ol4V94fU88+2d2j4l5GjZ+X1BzWZGCPuqfVXzFWRa/n22Fu/CVc487uDkcafemuPE
bEWcj5Z9kzLFo7t/1M/A9L3wdZ89v50877peXa085kpazprtSCJDJ05qO8U3kNCNx84TzQRo3ddE
iLMfNsFh8olo1lMzeX79nTjRLf06+Jy8Ex4MABIV9TLW1NAQH7WQTxzU2T26wvyhSwcGdvQaP9QG
ZHOsl85t0VXOw9qJjjAnXs02Kav963/LuTPYyaG6lmmeOPMgYo2COfRLnbmU7iDTKhstIrgQrnCw
/F2PcPYIf+bx+idHZxo1HhAktgflWyxuLqHjaAW1rSWT5u3rv+fc4z3Vu5G1PCb5sJZxoabihiks
qZcFbJTCtMddvi7Gtk+bYyUT9IeOI+i+JJvlxmhHc/v6X3Bm+zhONn5fT7zMkZXwuzx2lkJ/A94n
uZ2ntnjUOvLUCJTvN5g7Uh59ne2LNV12r1/2Z67RCwvNKRKabPASObedx0lRdN8RrUPvyjHTGJk3
tTfKqlxchalKunDsqukDCaL900CrglmEWsgDdVthHZPkenJpPPIIt0CH8zyicMVqmFn6xA6oEVyz
oo0ODdcZQc30ZfpeK6uUJF2Kn1vbmoznDBlPHWkDu0s5IUelVWcllGl2PV5YJc7d4ZMqo7bboqGE
xV+nZpOjZXZsF7flsFXz1BPq0/FGo2Qn0CIEbl5/z/qiuQQ0OPMKH4Ukvz/dVWIzc601jYParT67
6bxsGU3iImqL9oK79kzHj/Hwn9dQdU2d03ENGhLWbiE38qEUnkaLnP6oMNx+Y/pWdtDs9odSOETc
uajfXXiLXp41QGn989q0Q/xl6QZtn5NVftW3yCFarFy3nHqWDzNa2Xh1PbVnBmElxEeb6UxDCAYQ
xTRyx3DSU9asgR5RurGI1LyrlySxNtJZVJw7U7WDOJPGVpUbbYQ4tv0qdL96tPOM4HqlI/TQzIqp
UseRUG5ye5kZp6KLftMNbjD8Z0ued7LJBMPESAsdfZw0/ONLhPa7th/WGwvdKEkronjssjK9ULOe
u58nuw3Aaatt/DaPiSJ7tqzh4Qhp44xY3JXaaOx7fyq/2Ok/8urOrrDnlr9TLajuFkTY+MypSIy/
MXylHkjpRPVzFDl4Zt7uVJ+B9gvEU7J62iP6Dz1UfKz3r78/5z6Pk+1EEELUEv0gYptgr6iA97XN
GSruzKrML0xlzlziFDolmbv481hnMfM4dUhyUweNnjfXpVutF0rCM5uie9JiXX0cDa3S0niwKogB
U4efr3PETSuN9jB3mBs6Mq++/Ue3zD1dzY6BZ0vgpzEH9D7yJ909BHSdo2nWve3rlzhTvLkni1bm
ofpFrCDiiqbevbG28GRqwnAHzFT7ZMAX9fp1fmpgX9iDTgkowdA5syZZuQjjra+LdrGi3m2SjYEE
ZVdrlnar/F5c9bp6Y3CYuPfcqtp6RtN+VLVpPDVTVXLuNZ5rauKwbjCS+oP+Pp2KOh5DV0vauMy6
PsxS8WnNc3e3DmV67EQQoqcBzVlUKnaaHPZZc9RPtRUZ7b7u0VwaxRu8E98KVjfaCBg+C1gC8dhg
QNPJEA1VQ6k5u1n1UPN4t4mQFD7YIq6F6gkv6U1oym7yxRvybkdS53DhRTv3uZ7mRwwlcjxfNykH
/JaeCgSBIsRS5kYu2W8b1Gf+nuhhPZbalOzGrtQ+p32nIqsq9QsHlHPv+slq2IwYtFfLSOO+8lKs
M2v9bjVxippKN3B1YHIMMc6Oz6+/ISfk+n+WvsfEyN/3T68D1TcsIo3h0eu3nosI3ErqNW57KQ8T
nt394PYm9UZvEic0VmGOnTKqTHSOSe4iCp6J4s20gLpESGxNUt/ZhJJv+8pev7jMW45zwmLjmKW5
4dyINAkH0IXP6NytOinbgxFXs5erNPbmud9aZg2JfqwXPFjOJ7yD+cNa0kV6/UadfTNOVtLlqKiv
2i6NzYrDo20t/V4vh+WrNy7jdU6I09VI8Pd1VmbZu0lUDUKwot90eX7p1x53/Be+5aP49fcnVYgg
zzV94NceFWJkP2pRlUODu/D7jr/jpX/8yRrb9TIY8Q6kcWrA8VxNI4+bdZJbPNg41ObZu2612URl
thYH6XQ4GSEvXaiwzmwhzsmSq5MUAKuFrojulOga1FxvCFDIIZialxhbZ5bcU6ofnb3CXhcYEN6y
mI9WYs63qN2+9T48csB79qWm3k+WxUv38fgbf2tf+AsxYkjcs1h4KEC6YF4erGmtric5DBuzScy9
T4bKbioRSBItlz/UpsJX7eZ0kNy2YFTE/AS9rLZsx9SzrhbHrDe9516KIjt3r08KSnTG1rD4bNel
rIuHxKTnbqxmyVjKMT6+/i6du8TJEpYvfqNwmObxgBd+/zNUIANx8sZW9iU47PGtfOkunyxbPVQF
nAk5l+iL/sqbDMQ4mgh2pkPQtd3mJnFWhtoyl2sv7KXnftTJYoP+tVtbf8hjHh8WtNkUV7yyfWSj
br1QSZ1R4IAU/fPdQRmcjnYZcFT1tOw9fe5qPwbSvC+lbKMl1azNgjvzHdftDkzas9icsy5yUn9F
elyrzWwbeES92Y5WIDwbu3ZVRLtm2Eg5X+rGnvmQTjMaVNBBFMm1nG4sJtNgckS0FN6ya1wmaR6e
y/3rL9G565ysR4nbaaaXsn5LY3GYqFdQ2psAgTLn6iir/s3kjX9ugKfxRgEeqKbtnJx2o1oPHJqK
UEsCbUv64KXMwTMrt338ib8tCQ0T1wEnSxOPxIZs1yGwb4euXrav36gzL+YpSw9UAQLtKqhjieM5
BA3lbBOTHcJfGN3/Z5c4WTNE1wwW7uQ6LuqUwR0sijuowW9Q8E4XttdzP+JkyUgDMk/kUvIjssB/
0xKgHgWNXO/Hsbr0FM69UCdLhpYRZEfkCHk5XTJ8TBK9RYMtjIOr922IHnQ4vH6zzlQl9slCwZ8u
ZyWsIkZs+Q47+l1a9G5owOTejG0CvoOc9NevdO6mnSwXZFpM64QuOiaXFCh2TShp4XUGQ4ksuHCJ
cyKNU87vkJr14LdjERcFYj5ImMmVPucakco1uUVTjzz+OBczmVZsc2HgMyYL4orcK29LusrFuvzM
w7NOVgM/c2gL1Byjs6Zr53AK/AE8imMYXxKAHy0ohUIeRjPBog/s8anqG+OLo/q2wSptW9+GRZuu
AuFAthecOdDHlRwjSAliHvP6s/j5l7ywI/3kB/3+kWu5w/Ee4a6lulDgmn+32Ap9BHGFphRyC/rF
jtAfHlEHjR/11hJEzOrVLkjVFNql42zQby1QV3mME9h2Rupe90mlhr8fHNg5Y5XMWwSYK/iOKd0W
aQGIQ2TXcupvurHqw6bHoaEILtUZyd6MS+p+cjN/3FepJXYqldc8wW4/DhpWyTw172a93xjy0hpx
Zkc+RfmWwFbM1uBFQWNhHgpj5pwSFIhvdclhcTV/aGvL2V1i1Hz9jp95+08TVYjV0II5sdPYQRoR
NSUoCsdahp1BeNaFS6Aqf7HMOE1zVshuMytbRYy3I9jgWl92bcqOh0k0hSfIhKcp1gnFa7dumzpJ
P4PGlXjmIeOY5rpclWZShokv0/06YdGo+iC5TYjo2FXlglIyDe4buywfxNB8k06Q716/M+c+lpPF
1E8BNa1AnOLEb72HwIWRAG41j8xgRdYlPfvCon1mpTvFDYpUr4hHNb19Fiz3AfbQvYCCGuLCTkLu
EmYZxBKv/yTics88ipNlFW1uJvw5K+JpDXQk7qrxr/OOyGfgNYInPuvq6KAr3SBqAXncGnkzKuZh
zIa3lpPnG3oFaLx8RBgyyimroGzMLeXTVEDikOCRCfxk2zEdbTdK4EpRAf7DisDFTV94XJaHq0ZL
9oPw+4OZcwgM8ajN37MxgS+UUaLdO502vqE9bL0rLQPoJKCv71lXZwZRymNJPnafu7cTwo48xA2j
sghObPKmCjSn2YxaML0FNeSOm7R1G7XT0m/oDuoG50ti3tUDrBdEK4LRHpzOKwADbbEJ1qEDGgGV
eOMtOp6EnOHmvIUdlWbh4ntlrNaZmaXmaWu5wREtvG3SY0ELfTjKzy5du81MaB1k0tnqP8tRz5/8
wUc6q3UyONrkHdAy+MWTJ53P6iNWxbeDm01XzsL0tzeCN206YqFbFzMNbZlBdhkXV2Ng13vmTQMk
UQcElNljmEC8abf8vvy7KkvjJinSxInATCdqg+pM7tyuyZ5MT/ZMXZMCcaYDhSLbWrVtPDpDZ16V
UJm3Web33V6vavpSxFhbRSimSRqR3yZdbGn8nHwiVCTyqVOye/I+LVADiSoAQFj1/Nzo7TC+RSvb
vS28YkR84geAR1CNBd+6pC+taHWCMk5122o2teEmGJHapQLMYaVyuhsCrfxeg/R9LBdaDqHmArsC
UmYXH0ng0/Nwgl3yacozx4tm0q2SjQIO+f/YO48lx411W7/LHV8o4JGYAgRdkeVd1wRR1QZAwruE
efr7sY62rtRxWh1nfgaKkPaubhbJBPCbtb71NODOkqFak+ZDjgv3xTUvoGN0yaIOxiytMdDRp4So
fFpzi+Zt5EivJrAlLIhVEXAgp9fFMOoEw6AST40ZZz80tITZDtdfmW+8so/381BJ6FtdhdDFXhA2
BfZkyQu8y+EW5CbDaO+KfIGcZHUVosAxa+WW9tPBvl6V9rzLJ1KZLEtZZkSkum2HTupl54n4X4O2
fNLvpiRdvbB28dRlpp8+JYBus7MwKgwxejPr1kGtq24EOSijKqqxGvqHtteqD6A+bhvO4+C/TZ6/
jQWaiRD723Ir/GXBp1j43k6BEbLg2dhTKF3ilvEIFv1pIg0j3zLCbL8sKkvee33Ntpoq5GVkmcrQ
dHvdPyq21HXYCo9ffUoLtE6ZQSwAqZPJHX7HRuyp5VkoC4hYRTR2EJcCHtX2h08g2JMW9xhwuSq8
ozQN6MN5VelAiEDckTjqjK/x2Kor1ksAREzROTJkSes/JFmvwfFp2H2x0PQ7ec9aod5VUnO+Kndp
NpwFrQzGuFwZ7OZt9jRWsfetHp2cCk0Syh3Oft9fknGrGl18i8pkO/jNmvCIjptzMs1ZvrW0or9L
HPLBQsGQywnX3CdsuRPdyFoHc0sS1OnqoE4ap/xRwyqJpa43yydE8LB/5zwVH2A9GSvkgOGILITM
xos5tnOziotto86VW2ykN8Q71KddGml+7KzblsnxdVHOcGhm7iAZ1tjV4FbTKA0/UdGjzwSNpEWL
pTXGprDwiUT1KoatrcfNIyYpBP5K9065NREcnfrl8E0p0rEA23nrdsl8HYmQMSGgsW0QcCtUDhGY
ktPgD4qliDVMZ2X3IO/5+0RoznGy7+JemsdxXBs74q2jw23Srvjm+2oaN+VkjESZlM4XaBA6t658
WPiEWqXEwbJRHAYlqDvctoNQV/NK2HWA3M250cmWTAK/G6ZDCSAJyI+fOXdc9S2a3NRvJSwyf1xI
0RNTWK/gAncJK5sPx1FnUbbPiU5i3sYQwr+aTS35XvLnOQnI4wLiFLIbu/Ssr3GaaLDDZNNgfHZN
55BgqPC2Vsp9KiLaE2EDtC7vrpl7IGC1fhlxz4VnB25L9QTDbFQxde3Akqgn0xuMiEzYs5YGjBpG
cfprvMD03g9lfNNmlndTWsp4zGqW+OC30jpozcblKErM03DXoPajZqzsU4FSi4PeTPHtrBeOHdhD
Y3zxan+sIxAsnNs+bm/62BwIKl+eUABfluW+rB61fNUkQuW0/1bMbr2EPVJJgGZjXr4VfsEvV5Nz
Z5COa3dHxsklxBGO7GZpam0K5kzoMGCHfLxH4zndp8SjvRFo3C87MViaGbm50w0Ew2VkkUtFwFjA
I11H31Qn+r7iIyCcsKg+sI6qx7WuyusGmhH+YT0hNrWqpjbbzFqsKZAyc7wH8beA5svrKQl1b06h
/mRjZu0aLIhfU67dLxQGYLNK9rYNwtU+vviPk269rD1Znet+7A9s2L34YI8Vk12EEuMJuYgTII20
cISbWoAE9JSproFH55j9/f/1FQeDqkHsVCXLF9RE/Grg6pqXfy+IfuK//zW3MC/F39/6DR2ZsKsx
YtwpY3pMiJ0MF5Vit8EkHJqJrjYmSfURlMgsMLmLHEBZ6ldTO+E8tvNqYxHNs8119f7vv84vqv9P
tdXffpt5NZuyUZO706ea22Si3G23Vv21T7wmmXok7cZ6RvgiD9XfvOIvilzzp5kEt/khd80cK4cm
82cTJ9PGKmeekVxgB7b1v0P8/6LN+Fyc/O2dwSQlJw4YyA54bxWlhVmcqYXUpjGz/O7fP7xfvcRP
k4m1iIEUNp7YETzDaMh3b4qZKPGOIOnftPG/eoWfi2dZGpbGZmvnCu1pkJZ1KwujQsu0/C6U6Vdf
x0+zCDgFBQs9ujGSeM1ogjRxVc+1scW3Wu+MUfzP8mr+Ovafvtm/fR0xEc59k8IXTPL0lQ77APQW
tXmZfmuzejnk7uD9xkv2OQH8bzr6n5FRbld0Oq6MdB+PeErbukhuPb9TN6zB3ICYd3dvuSP65F5W
Z1xyVlh3iRGZaToTatdpe6pzWr6p4yGbDflJxbPxLMvJwoZkTRuTUj4SCXpNG7Iv7HR4H8ji3cgs
MvfWAh68zTw2wS5Tc+Q0lXeYNNmFw2KXkVJeum2Ntt0QSVHcJNBid5bX5OeYDOewH5fppLRmjlL0
n4eyyFleF0A/uOevUTVJ4j0wK2y8EQ8xrRNI87VffnPSfrUn+5nx3SaFRN9TaLvWrfqDQWEU0Ten
IHbHfmPHRNJB2sMLnOfasc8G/T41DCoIkf4OZvQrNd/PIKFYFg7PyyreObETY1SoVXLNDtMC5oef
ZucZbmtuQAL4BlKovn+H+ZMGq5inbwAFliN2CLnscSD4v9lu/cJtbv2Mx2bZlI9eyT5ktqHrTQgI
wxJA5Pa/vMrr4N12lvt1Fq11Khbb2fsZqwsz0+HuUU7cWgZcSbRkfPmx7T8U2pp/+fcbzy966p8D
Z6w06QebZLZ9V7TGrsq05g4ZnPmb6ckvbgnWT7eEUijox7UZ7/RuVqcFMXRIkTttTaFjkcP38Ztw
j189e35ejMY0DBC5/B1qqD4ghPSrPRX9jU8ZfygTGIa9oOlS+ej/Zk/zq7vp5Rf52z2ILmKu0ssL
0po1dzkmsx/M992DV2Rf//2L+ZXkzLyMXP72EpMOq892HH/nKbaBlWXpm7pM862bGf3H4Hro+AdV
cD76bp8hCdwQJjZ/fL74/9It/o8heAD+Gm/xMHZZ9V5+/zvW4vOP/IdrYf3hC52kcleQbwF4gevp
P4gq8YfuGTQyFnMv8qMuaqg/uRYuVIsL7ELwvYGjgnH2F9bC+IO0J37+gsMg6cH5HxGqaET/MSKD
UEUYh2uRLGmQjOubn4rUvx2exDQ7V0JoxOiWgWJuzBWupTBBfAakK4t0K4yiobfVY6ZLaDRfSrea
r5wknkz82VLGe1sayTPztoqZU9ZXa5DbRW5CD8Vrhe/s8q+m21aRdIZsK1VaIoSfKCiBxxlZCEJa
vkltRapSMs6wdsLr2W7bXqnPm3hyyqvFE+a7PY9IUB1YlGNgrV46BrnZEedI/W2al+79sgSS+KGC
KhubGxxFeh0uDY1CJOu5g6F/MRXVWZ/IQJqMwjZcGNDdV41gq7AQnf0hlMJHN9UrfIzRdfPmkPQe
41CIyUWLY7ta8zvamhVUQ+IsZSRED5/UqqU/kZbg0gExV4aMLUT6XGnTtG71bijn0Ehn/85O5vgH
XN/kKXam/qmzat4OwjHrpRuT9N6czRn71zCW0WiZJSb6T74NcUvVjazYdjGtAb2FoqpMkfeAkxaH
JvHmd8bm8gWBlvuWZVUzhkqmsxtqvgseuzZIzd00PpmSm/yC3zEuIB5/ncxb6pP4frpgeupkLC7i
pbx4LD85PnqfjY8MNaD7WIQGXbefzB9rEP5rdgEBFSDGQPEmqtw1jY7yo7pAgxLaITZjF5RQp4qs
DNDEayD4MRrOEZMel4hU5ohrmH0SiXo/gU6EE7V7EJ/MIqah1Xv8STIy5UWzkhQXwlGCqeKH/OQe
tZ8MpPaThyQ/2UgMjOAkeUDIcGR88pOWC0oJiNNle6pAKGC7gbUk1cSiC0cXDCZhNdl30LzZa/HJ
aFqWrGzC1U20AQrbhePkfjKd4qKq3aD/ZD2tlg33Sf9kQMFphQcVd3CGNtUnJ2odQDpepfgaBehe
Q6bvlTFq2THJ6vlHKexZOzSah/9OIh8p75KiaRgau4V/t3xyqkzwr5vR1rrXuUARdzTsQpcHlwCi
h0GNdUwhNOuz+QSxzWk/4DK48ooIItD8zaTES2U7oMa9jD6THReF3J5yMn7AmJoM4agRGwLcufDq
ICsgU91rLi4siaetEm1I17lO+9Qxk2sVs6oPPNtI8E72Bea3ypCWPE3mNJ2N2vTGzaTrQOT6ZKCx
x6KPegD++jrcxvgnXdANJtYHqfcXYqjtzvCTXDjheZj1UlZb4sXZ9leLNMajShywV7rGeDDIy8qe
md85AMVxn6lTXwOGCZvJcdpQQ11UIVQ3c52vCMAYgjBH3aFKHh+kr+dpdPGUDYepK/rHvpkhCQzl
4H+rJte2NtLPtXcce/mNnxFoD7qU74IPU1rvNgPdt6nB3EnARTJde/S/jCjidH5sVj8rQ73FG8k4
yVu1oEmk0jYpfCz+3WybLzC+1xYrVe9+QYXMZLF1nOWdZi9+1U0r+Y6+tP7BqGMkD1A6RBmYbkMc
Rz3QHlLp4l8Jet9LTzA3uu5KWHH+zdGtik+P/dAN3BbGdTOYYve6tRlOQkdYgQkxlhcfTsW2ILQS
TywgTYpCHhIi4u9a30UM6ksDtTD7i7ZC7ZViqK6HzhShxtLzsZlpHSNypK/y4QLGpi3I18v8wXF2
/ZoVjMmyxLsI8r3+4K9+MUYsS8trx6yb7gN1CbMlgpGIbvcT4Q1BSnpzGbV27h2nfOw8xu210iJu
bmHGLZAl9tp1bzQv/Kywu1YLFzJgs2hxpjNmZghusmdAM2OlwtommHqF4xw3b2xMFKzuataB3VEL
BkW7ZB+x8olP0qXjz0E9oSONZlGqMvQr02oIkGqXdie6jpEg1Lj2xezr+rtyq/VbtWj6DUJgKGi9
7Fxmc4Vpc/LnXpN4TEk4wK6T9X1A0BuxJDlhilVQZL3xw5kcti5jyUncxHxdd4CQnbesiJcIBf+x
8CoREkTKoDeV5bKdltklIgKB36M9ZEsWjKRrPJj8hWqvz7h0ENbX40c2uibW7FLzP7JpYAIU26kJ
DDKjnQ+w1XNtrm4Za8GSteIAlNmwA4X891kNnoN2FLd4sqH9985xmSbYq7tyfDA1y/SCWNrJuMOv
Ub66Me/vgBffx3KwDOkO12vGxF+bwCYMnpIOIyqVPmp4R14URkUyCCrKAAwibIHvbDnqgVYuzX1S
YSjCaWqkTMyU6/CMq8uG6D02hn9mc/1vCUkJSTfw6xLy9r17T8b35Z8lJH/kPyWk/YcJihrBCUEg
rss/f5WQrvmHi3QSmCaFnAsbjXHQf9Bohv/HJTCcOtL+8//8q4ZEDfWHq7sgpy9lJLFTiMA/CbTJ
95pn/5KARvrpv/9Odflnb+PyhLFtMhst4GiOSzzGT00VxZcwJ9iekZUUDxWohsDlkmO1mni/aQ//
+1ciN1M3LJqmn3fstspdQ7NlTuDQslw3o+7cwpKxmRqwC/zbd/Dnm/zdmyJ40DRdPkHa7J86UqC/
42AOvCk07bcpLk0eR85928W/GRn9s+P9rw/PstCJ0zW4IGx/Grf5UJ76OvdllM9mXzDL5+KszNS4
QkCI6Usil//3N3ZpB///iOrPFyQBlJbEga35s6FAsbDL4Mkj/qu64savxRsAkO5MZIm9zVNfC5y0
73834RGf5qp/vKyAl893JkiVEeSf/vQ+CW1rNb+30ggGkXergaP7XjVLjBAIfanFsvZBzc10vVxG
XdbQN3vakeI445S9jr3R2TgdnAKnycsX38j6LYm601F5unu7krEU2iUgkXQZu4NPObI3Etd7kOwY
g9qYCd/re4KH15JhCXsBhgmNKsTRnev8S4EKNAIT7RfgvKq6D7u8GTa66uIyWIrZeI0Bl7ERzr0v
8PvKXWppbA/6qdduCOYRX2M9tt9svjqioFaQpmWXY0waxmE58YAc3r26+JbmSpIa412r3gPcYvrE
O7BGRtNrDZLPw/NYczhMmNgqXfEYAw9Eigoggkx7MexUXDteO0VGCUHNdcc2u6zM5+eKUnQH9DS7
ySdBIhM5WQebTfze0ct3vW7Nfdxe7vetItBFd2vjvUMH89DQvcByINdrhHG6fAWHXFMjTqLYrs40
7jQblEZQlKTCaO7IttDPwCCEBWXJjSP1dmDRNBfMFXw9jIGznFKiSCSDRD3f8FzrXlEv5PdUsdOj
lzbGQSzS2Zga9RsluPkBixtBWKZX5GoStbJZ40w7kQsvQPLpTtBNYvyauIsWABQ2HjULK08A8cLJ
wmUo5cmt0XWpsogPHYuhyFzxqsWd3x9ThEs3suiS26Fo44PhwT8it8kCOVjqGtulsigAvi/ONkfd
7SK0meMwK0x1hKA7PCyl07rwT6vJCAD4esdBOumXhKbZYNxH77uqwkWmnwNpXXXrCIC9ejeTHlBs
PUjzKw9qqra87Mf9FKP8DVKMIEFhdmJvZJmUAZu0JaL/MzY2Q8adXmc3hP6sjLnW8dsFdngsZx81
mO5OSAwtqzPuB33ovo+63l/JOHHRHvLhrg4I3axfiRDTQXeooGqpuBpTspcthva1dVVycJW02LsD
SB19LfU2FrG1xAjCUVFltm6sRU1QZgzneZhUfcu+D7FEUuVhXDfxixhWSccu4dbYpX5kWp4/O2yQ
RNC2xduiXZI1iK5jDiy+D0ZFaV9l3qtRu8bGcYflMfPL5L5SjguS1vafYgYA0J1dsaPcS44+sLMz
AhcxA9gz9CdrTS8RdE18bRikgRMYQr5KGjv6hhVc/C2Dln4zO5UM18XLr3wiie8AJ/av9HHeAH6m
aYuIEJyq/6qlBJpG5uKXcj9Ui15vp0oRn+hRqwwEiqYXn3KX91a7Y6PatjBN3Lm8U7op000LuVn/
VvnFVGwtdckuqtZWVLvYAeUQWL5V1+eUnnifW70vn/LcsowgWQr9W09l6m0XIo2WKMkMvUFbAHDm
zCOFz3sljUSE8TLYb2urucNmZr7ibbGojcNGi3N7OrpZ4/WILsStDojSk7rh7KhR6cM6UAPThmw8
Te4ruE3lO6vi8TFTtZ1vHCowL3Js0z7DJ4PozDS4nI6pM8X1scL2/ULpZqsdw5/5vVSm4wYMsGmq
WrOfv446IxeWkb31DPbW9465lw4/yqZfHoylTK1HSU6jE9LaAwj3SnNND52m5fam9EpAgakEHQR7
3yruUT+JQMtIvcN3tdPZF7KFsLUw7oeTg1eTZTgBKl1P7us4dPigVJyEne+Bq66nY8KAqUVzExKt
ET9bKiOEsJTyh50ua6iaFEZp64Pm5DjN/GAjvMDGg7Sjgzx2dA2kcPn6lTa63C/4PA6a0r4DU1An
onKa24GRVqgXI71d7Zh71sns6Rf1kHO86kEPSYyBCcrr7YyZwntI/cd+7G/AN+zjqhQNryX0LUk2
uyZxj1kiVLSMgMGr2DZucEY+j5fPaE13PIGAiXZXhMReual2KBvvqpiL52lqX52afO05Xr46rfFu
qTaQg70jtONkuM2T0FP1xHNo1y7uXneJdnE7Zrhss0GOTwBtYhPqd5KMh7qqdysz5EC563NOAhzZ
NAQbNt76XmTdiVisM0/J3eB3P9Cz7mrLvrHtZlMWzUPdFneV5VeE1ti7ybV2GfOzt5F7Q1Cml/mC
xzgaXUyQV719rar4R2pPj3CubjyDQ+JXJAqCK/TMLqpT/6WDR0bO5EIKG0lH26Tv70TDOVLr3tNb
TE3tLl5aRmsy/TrrKOzGJUj878TWYb10/E26Fs90pENQOIpbJsHaQQ5kCasx9KTq5Djzl8z19pZN
MBEgeavmvpsbUUH6kD0M753iN16NU5ovNzBMjl3aX6goBvVms/IT7bYnyMST3s3QT3C4dPc6qU2e
+9Z4dmxhPtheFzl481o1P5KFmBM91NXnVsR7BmCcI7PcQ+zYLg3YK69YvoBaatAZFcdpGiI7E6is
iKbjZqkR7Yvok5GhZu9GwgU3yawB2mP8EBoT0s5aAIzyHGBkfhfWotBIWTF3BHSS87d0t1pKq2oI
8vIay+5uRsBxlrIxocTEdZ6KdUwDaP7FFnfM0UaFuJFtSs4ik7rMoTTU8+rsdlqyy4tqO67ZQV8F
aTjpe1Hn3ypLb+9TO4kWDxiabZpHyYBIXVS12Ice/FJcLW1i3Ujid/Ct4qfkBXjzsoq8mCS1ztK3
3qB1W20WL0u8fLcJi2PQ4Y7hWF8Eg+lI3GE/4UMaDO/O9GRzzZQFdju7hUDXu+umAds4+9p4B4TG
P/i180rPzUfWL1e+J+PtJUmuXUt9RwzBcK+6Md7WdQs6WYtZh5rTu6nN6bn1Vu/IkvI2zqr9osdj
aJPPdM4159AKrd6TUXTogI2gTdTeLJ71e8SHKiiFcaZvvqtmGLUdTvfAtyUoP10g82yuEQD3r6xl
rJDZESbq3twt8QS6rc83w5i9slfvt93M1hhdHz+DwnMW812vsufamO4Z6135U48WyKxTDjdRd5Np
Xhuedka1Br/MZZhWD+nDvOjXhqUOVtnc+dZyHLP+pADGwUxzAQ/4aTXtCKU8E7GzRkJHENMmV67d
7et5uqlbwt+XkWQDh7nUYvzIs2nvWe19m8bPDOfvLce6TvLu5BXpbe6PaqtImDWW9SKkRI2aLfNX
V8/IUdPQgouDP3T7foJL39onjcsV/wdWnD4/12lCvn0ut0Jk1yS6fVhzSQBahrhMIuCDWBQYmngz
7PY+WYwyZF1xw8A4Intjy4SDTIkiRy1Tbox01U6uXj0Oq/6BfEMPqkJtUm3ONhcmCUd2So+9hd6p
440nws8BI85MCgtYFymZpuHC58JzaT2hTjutkmsdbyn3wppxTZY51r3XDmDBGJYLezT2pNcP4dyR
dtE0ADCGZvQCvzGftN44VGjsIr1bvaDU1XIgJM8Mtc78pgu+xPyiq9UItDBy7WtT2DqZPKN7hLxB
wm3aPxW1/VClo4ZLSaHPniD69abjp4D7u+zO6S7yOJY0AfuTNcxrtGCjUF9VUsdhpZrz6E7aMZu0
CB375aj4r31Rvc1dtfF6uT6sMwo26Ius1El+DwEYtNtmwrDEnu7FGdTCXzl9QbN1LgueNwTg8Nmi
V4Ow0Bt7ewXNNcy9/GYq78Mcit3Sa1dLV79fgumiGZ0wt6nIdvl4i6QYto3LsKZ1jXUrU2b1nUDh
1ibqgQUKD5fGPfD+eStudS2z5nsx91fEqmEicC9qzdaCdQ5AG6EOBoIZavNZl74XOGWvBYNZ9Fex
6uE3Dwy6wVpepuNGXZEgmle7enWlTjJiI6lZExQILQJWq16+l+vYEOemyIewxgtgsqnQMrTtbkA/
UTFelqQb9Pr8jCt3PvYJOkmIrfkjxLnrHt4c0oaufFjJJWZvpYHPTWPzVCKNp88a3PFZJ6iQKRv1
MVFZ00fFGDQJzTI1otKqxQPcASqAhJ7vci1y6hLGz8xY6u8GgPeTRrjRM1Nq/4eH/nc3TBb+dLdE
8LVAeA8FyU5+JC6QBKKs0/tUmO57rhfzvrOtM3CrdDvpIr9Gtp99Jx3FGzakvxJt4PpayKQfCplB
WU2wYpwPiDn9QyXSGd90ry+HbDRaVhazicIHhUcfJEZpnghXkUfIHCTtTSg5KiA5t7Fw1dadnPm6
y+vhYRh654Y4mPLc5f4XGFtViGLC/h4XkBbxXw+0N27ihknOGa39oT513AV3NpmBsBFy96FbKhnp
MLuuh0pj0GcW8zZuu3bTsGZBkuWomyqz3edF9SSs2ClU8Xhp+rMLyvaqZ9c8suLo47vGT8pNjocp
JD+TywkY4ku2pOYVCyHjjuEAqmMCgvMz2vTskSRayt9Y16c2zJ0433Jiva+2oZEUzAP0ZeYU/vC8
sYuUnMwPAlyLk56vxIKim71Kyy5j5gvyaQwQ6JKK1iZTibmDa/+I3DvZIS/z9q0dD2cnJtmhyPTv
I/nB2wSiHxKTVDzKebZuWt9oH6bV1DZLP1GelcYhddYYOrD4pjojjpD4ecd+9fmiZ+IhU72pF9ag
63jfOeVlquHJud0hOm2rDantRnZkUqsRdBokKVUTvkydc7uc9NK0bPGjQmYo6kg4HIdbIi+XZTzr
dpsZ06ZllSgRag9A+YdggbZpRe1CdGhYTOTXRIg9CwS0s2ac+w5W/q2bC+NlsMvFDhy2GwyM7Tq5
L+3lhMiKmytRnQc9TRTOJ0CkO/Z3rI0Wx6LZyhKSqCd4C55bRy6/PYVoapHP2ZlbwyjaUyNMYjYy
cYmPVnpUL+0YYZxYIgNA7m6ES7Q1fHfaq5GER2K5os5aAF2l1oZ87mrLesdjBCNtMLjWsGFOKE6W
YYvAHuPbdqJaMhA248jy513Ngx/siDQvrFu+rrxRRIQW8zEnL2lHy/9A0AsE1WQSh3jBvqiGNpLD
lJxlP3+xxfrdzTBkLhr4CWUNWgRn1jqmTbxTqjuQfkLh7k30+7MawLOxa5qTZdiQA+Rs5xk1swKg
eSTaoTs3g5h2Y7EWV+liF8gE2R9qi2W9xj7aGy7oXaI7MA70rNqSSz1GEPQWTD32Y2xSBS9Ovx0z
6dNSmGzhmtlPQ0TT7tVgsjRwHE2du9JrtjEutcNQO7A7idzjYUlU9jUrYBdtEdEStbbxkLQHjrN+
AJXk6LEJJKnccreLgUKT8KixDMvUvXNs+6oj7zUSmLn4fQgWIE1xQ6CubIPar2sSb/UDGFrvxLU8
88T0MKvkxOeaeWrfdE1zPWfA0lJXH7aJPfvH1p/IgmSKJV/6uoSW2xOsfACt/NEQi71xCwJmXWGo
qBd5vZsXUqfsPoG4qlslvor+PVvWaotmGbdVJrRtGidkO6+ivWnr8Z7Vq7vxuuRZ6Sh1vWXKo65d
3ggesoNGV+yp8KbsueAJapldFi6tz+Na6du6ZA6hKsN6Xcqq3cYXodPMoABzhnXtOWJhXV30G9rK
ckOPMV45aNZCi4AOaiK2dFsTGHFNyRGWBicz0fOYuFqCSj2Skq7o1N51M//RwT9JBfdmvPjFtZwX
cc78+AYzN/1EZ6ovlq/Jg7+kl2RSZf3AxQiZ6wJvfQIRPDI8S+6aQc9OQoPGS9a3v1U62kDUHvoX
gzvzocn1bgM71ztzj5eh04p+Tx9TRDwJSN/FjQOnLzOjpfMcsgacizvdmF9X5qtR74rlxCC8vJHz
tNDpyOpDi+PpzmY2j7rBdyTU5yqPGmHEh5g3H7EbXaPWHOwJki7/40hgz9HU4dzrHao6v3FkES6d
1oZJqelPoh15WmqWS7prNT5UwF+uaMabqO5wGRIePpHU0LZnOVX+AQO0gY1klUw2yWumO5J+g5ek
FPE1WakGcu/2eRnz9bDEuRUqkFmhY3V4HkyzZMFfvJvYN0KeF5w3RPKrbV0bSaPfwLHUuTH5lGVe
W8lL7hnKxE2++N6zCUN9A54x2c1+px3JesMXAMyMKQSIETc3sCv2uEbmdBPL2qZa1LRwIh59s8yW
CAxnfeU4yH3frRd/gMSSJDGMB6aiBiUsnfJGcVJsKuXeeCvJgN1bg8HU2UIJwPV0684KlI0oxXbM
GdhL8tVCXzTuLZyX8trurGvk3QUR2nitSPyGC0Ts2tNQGE8GnGRmnymdfO1QAC6tE8RVx12CIyE6
8rQsUsuswX1uQQwHANOoYdYtNHd8CtXBZyNuz80XT4q9jK1baxFv+Gk/qKUcalzSIpBtDzepPX+z
m9XeSrsvo9j26Dv6/iNNJtSU5FcA1qXLa/XhYHSTc8s1153J1h5OHc/4fSmNftMgSd+nbTJHboMp
NMk8Tb+FJp0fCaQ7O9nyYrXLuybbkZZtWh6qVe/v7YkJRzsk8DGJhUKgOpg3zVhSZ4JsFgHOC/yr
2XQ1muO0rZzKf4n7ZX5xrIZGyhLaGRrEeSwyO/AadqaJgKkMIfnBVeLZ890rZAfFtsDIVOQOj7gu
cWH+tl8qd2k3ZjztGjUfyd3eUzVsmOieFs8Wb+3CgzRP9Q0N1V5548PUZdEwi02Zr/duQ2AXI/it
I5mFZHp9BuVtUvyie3fkgIEny+6mrt8wAd+A+t7UDmdRElkxVdnBm51rL/Nf/U6/kpMTNraJlVEe
k9bei7V8nG1dbNHDhCja92PN/dLP7nptfFRp89RVY9jVYs9QdZsC7RuZh/ilOiZ9tilSdzvFxveB
DUEP23Jx+9tKW5030wTJhoy5MHjaQiffmK0W1UkX9fWyvkiv3K9EgDupA9f+kikHFr3QgJlz9Vb+
leUZ2zJW0LqVwCs1h5wMrFXW1nfK5wYIV5p1X8Dx4uagN770NmtyxB+HTqsBZwqwR1uGL6pEsp/j
WIfn1HTmEFi66R8X332K0SA5PgGu9sgpWje4Xf8fe2eyJLuNJt13+ddFGQmABLllTDnPeYfc0O7I
eR4A8un7hFRlLWWrJdO/7k2ZtVkreSOCJIDP3Y8DwevY0cKj1Yz+A8H6huXqHHmL0/p7Lbv+ztbR
eGFEu2fVuMJy0n0yUl7V/nDKFnOpMpb1PLGXaSr3WUt6XcEiZ7p7M7XNiZMp92oibxpiOUwMdjaj
VJt/aZm2n7ti2FNfvmP92NdN94Ac+kk7vAbDlEWbUt3ab56akQlS5GJfgYsRE+4/6tZDFvD4MeZd
oYMbq8dTFiw7hh4PUnZkzyjaqzKEoyk8OlHZ3PBV3kZ+8jJNw1UpvkkjbsY8PxLLelBGXffFXO5H
XCpBUj2sIe6azfJHGD9z2onEQuQ6vUlhU0Gpr59Jd91WK+MvVnQ5if3W12fAlUtexcjHNAPDskVv
ZA2JvZCTYPFgQOpcWFEcpDyXIwf2phzG2zHseF+Et87cXVOlsadl8hA47WWTcO6fecYii/IXd4Y6
Jlb5x65Kb+RSvJlxfljThnJhMV2JYttlFGo/MVlf2QZU+zaZp0PgB7cADAk2OucJ5oCJo13soywF
c218ApTXFQ8s+I9VMN0O7Ck3t2SCIJit8enLheicH03XpEqfAGnP8aCX664aCRsyiQXdfcpB3XXK
u7b13OxGA7yYudMD9IobBUFrF6TmafHX56xK9roQtA0Q9G3kaA6zHCpaq3mbJg4GiwykxnHK3Ys8
I6Ipua843B6CQr3JMKFyoZw/t2r+MChenU5FOLgcqdoWq8aCNnx3zczqMv+0mb2koPhStdHeNvnn
JdOPSEavwm9CRu/zWyWX660Mo0vEiBfFW6tDHETkJKKRfV2X9SpbiDMWwcMaFRdpmPC6RO3x8ijb
D0l01N7wZHymCsJEUORze90r79Iv63PN42u4OfdasFFunS3FgqWe57wZdwnBJ5VWt2apfxTgpG0v
Tp117qMg+xJhxNoxeLlMFCe/81mu5aMbp73ncLKXbnntV9l1EtmnMuifZhc1L/PHq6Yb71j/3toc
mnHgha9VmtlTLSb2TxrQPLIg3YfNvR7Km4EI1ylxto9I2LGp7TXht3uitxsHi8S9IRqcP3spB3GH
+om7bUOWM2FLm9+6iPl5y+uXsjB2l9EKcShdJ11JUg2cuyjyvNQREX3PLdcb47mYgKLtrhtAv4Uj
zwXPR3U5rr0+pVaFRA9ldzH12ntdz8Ig/Tbs9L1wWmMtJmo2LIYfMTdMfMIBbqthO/vJAbW4cdNF
23XuSu8WG9S0K6ex6o8tjPiDNwznLVAYHFGSUZH76tx0UmXPNQD2r6UUxUO19ox9ymjtwVwm7n7O
c/G0rLn/IHVGZHHNoxQeeOn+WJaIUQzhk5kXUZIXuzSBW9m72dcqs8lwkeRU4kEHSOfPjunpWVem
NQ9UCdASbaNwZrGixgHEff4V9gjw/boZHnvkw4u2FPpZ5tH2kUZQWCjU+tw5Ue/h1a04Mkd5uu3H
RblUNlX2gdmh/Jw4mftmGCVfYKTCTuWTKCJR7Sa7Ah2uOuQpPTG46upjonPz1PPLHM71sYekG7e9
J1jDmjHNv0S9Jp0ybvM+sJPdIatL9uMApoNiwiA8W3lET8D82ybRE7liQP3uyMGxYnORx5Mj5NFj
TMKLfTG3ahHEg1c/4DeipfRD1SQWAMairxbfhF8y2IdHrGr2JS1nFYchmSqjKvvqzhNmRjx3Kb6x
fbvimoonwwJAL2l3MYpmvgrPgAuTj9+p+XzTkz/d54wPDp4p+5e5Vu4cq3ZcgPWX7eW6zeXz4DNZ
7UzOVIbB6p4mbW+nW7/ZlWgpLv5CvokqRZVkgurr7WuDOEioP4rMpXXG6tSNE+8fd9NHHfbddd8O
DQ8Qr7Y+dfeq9e5ahu5Hy9ztKXK38jqf/BPOhEe0IfmU1Rv7YNjG48HF1rO3YdMcFnbbH+1oQQ4R
nj2IcWqgcfis/35aMVHP1+UwMUPdC8msaaGx+6HHIXybtNq5gxePk1Uv+BdjHyAfK+hS3YvVoJk1
Kr1WgzWsHSY5ryZYLmJywvNdPkoJoc8rrpNMFY9uq9/6QfRHBkDjMS2D6sTeKdo52q+J3bYs7DPo
6zt30W3OHTBy2C7hk16RYI6eI3rd8cbN7fh98xLACuk81Mdem/k+7Nya41pAGn/exHxaTLSx6Wf7
xhlfq9OmxmFiW4B3Lx4yHLAxpmR1mwxWXY0koq5U2VUkSPsNsHyQdeVyrOlMu6BTYjm7lIuEvb8Y
1AvGPtHtfSu3HZJhbZi+bdE9RcbkrrvVWdkxTuudLQnUr5hgP3mjV1+US55RVmcgH0yTf5uj1PE3
neCuS0a99wH8852uNeztohXxv7YGy043e5TfeR7A6Gm0mDUKd/BYdFJXJLy6E04VbZV4nyKw6Nkn
iuoJmNP4AjFSB+dg/L+mzCOuhSx5SJeQVbZ0YM+gk029exf0epxO/yrrsqATjZlFV9CXGWc5l92t
3O52B7gz+5Am9MAcf/UN/Z8/D38eHqm/8Of9GOY/evP4f/+3Ny8IfyFAAeWViITyf+sf/Xe8I/R+
kThBoyjwQ8Eacs65/seb5/6CK09TZhppjYvt7EP/b3OeF/6C3cwVuPO8s6eP3OI7M95fmfP+mNcK
kEldjeJOn7nmj+pffVm/C3hkfsKBfSjSQ+9uHMtbfzsFXvl3hMA/5qn+fZVzfAQrmxLkUzCd/e4q
A/pXS2s0euPQPVG4feqi/Etm9S0VKNE+L5cHR7Y/f/cr/IlD752R7ddPRpG7T7QmDLSr3jn0mrBr
GtRfGmISErAuIe6nNJyTG3/cvthlkbe2IRvy19d8Z0D89Zoh5o6AEI7nwd/64+c0U5muLBcOQ/H8
oxdlE/3R6RZHFJH/9rj9rxToP/tGGeUFLs3gKgrf5+281s91Gk4MpO1oPrQNKXiZutWdoXIIwSTx
LsC6T0fmYNXlP/yMXE8o5CsRSBJL7+lMgH+kXyrRM3EPF3QSNXnPdeufPTmJIBH/11f7H/cnz46P
m9PzZSA97p8/fqP+2KOuegp4KFL5rstH3uAeJ/j/j6twJY2djQnT+880nQn7VREMh7myyS1lqBRp
Z6I7/LOr+L4WWmmeNF/wUKvz3fO7p0A2HSXoeTIcKhxID9EinKPwaLL666u8vwfPVyFMJsJAsS1l
Z/7Hq3SYscemSsfDPG1sG2vPPLcyCa663ktOf32p9z8Ol9JcxlOujzc1EO/Si6XEaOBAPTysHO5p
c4XbwPb57xpD/uQqIeKp4Af2Qx8l4I8faFhtNYcUXB06w6TDYVNHJdD2d12If3qVyMVDzRbB+x/d
j0RK2S13/XgwbOvBI+GRq2c0mH/2jfFi4F2v+PO82M+W3j9+lpWeTbIShT30PQe9IumsB6Xb6dXf
vB7Of+d3dloZYOANKcsWrC0KeOK7Fy4/wrDA13QP2h1JjhNouBCOW35OVcg4OyxV8/DXH+xXg+4f
rhhxFzAuY2VCuQ+jdwberG5BcYPkPpDogTrUEzOdPYeYqXCLKxV0X1IFT3Vj+3JYOUrSRw02XuOL
+5tP7rm/vhN+/0/RPqvpeXUkGclX8L6mY1R6W/RSLweTCgVnaISjGDvLppmsA17usMd1vGpA1xVK
HE05RPWH86Y9fERfTlfO+Sb9sboEna5Qne1421vyep/IuqgJyhrq7BW46IyxlawHXu+zMZqNnBHD
k2PPsGFCkwBC6lZtw0VVmO5hpPpvOTamG27c9gzYszKzIf6QrnzB863qiyyAc3XKgSvh313zMNsz
RRMTCtYc6L1LGIkTwpLjCh6NWb+Tvyu2A3SfTX1KvX4klZwFdX5NcbcqGRU42GjGMrXXc+GbCBD6
VC87BnWGDf7abeudVzLPda6FLKfwRqu1BIxKvd9Nm7eEmqroHAAbfbd9BUcDuz53x+4QNX4yHwrc
4dcF5b/FvkzL8qWLOL7ElPyNt43PGZEahK6kniOsaw0b6fzgBmWuCwaOyUBSa/aoWWa6MJ4TkVMt
4skGgFqkmfXHUQ+40oSYhpDKPeuixngZE3kKTfwHgqNBu9ODo64V611I0pPp+t6FpnFsnZGIUJNK
ke3rqCelI3Phz/GIH9CHvyU2y8HI6ie31kSpRnv+K25pw+Hg8OkhCg6MWlyVI/ssYzJ+K6beEEes
szk9+K5N3zJvjJ7wlco3J6Ns89wFukA0UmWFsK2Ma2jSEl4X54VnsAJ1nfk8pp39uamG9XlW6ae5
V8OX3HWB5te5YYCakK4cd2Nig08KlCRe7CSCHt2pUd+c6xDLmBGDc+9ih/xWYs7KLgo67rfjFMA3
pZI40P1B0CJ2lXL24WSrA27JpOXmxgaWjUe5tsR6MHe2sZNq927og+HD2JBmOMkloNmF4XXnIiUl
oF+6LACYL6Cf7ekeS/wYITQv98uU1SenLPTblObdJ2I/wUcjO1vVD+ESFGH7GLn0+t3OkdfO82Gi
DuuUI+wTFspE9MRPJhSTckO2q2RzZGJ69qIPAHI7c6idX+lcoOGL69DB3HIadIAuWA4l7oF8Ckmq
idLvCYrOI9KoSX19r8qEaUg1qNyBTkbU8SbN0gI710DFUvK5DLfhPk0pgOS3SYPvm6i6l26yONXH
bbJuHEbGno+2/fLmmNl3Dk2HQ20FvngObmrGnkwcmufMMNSJsyTp7ttWEJbrJg8xUuCExo7qZcuL
ngvmEUNYRC8liWX/0sq5vMuGWlH9SZKuP1YV0J9bSSXlZ2db+iT2Juu515iugbg5QyDkIXEm6q/m
zeV1lDWZfyvq2vuh824LSX3q5MoEQlTn+tV1PfreMKFTRWjKyLNDMKa3/fkoSbfmNm+xl3gaJEIb
JpjlRR7FQdPQozxlDhMPF3fUtS55a6HJYkI7QNonkl04jFVwQDXI8nPjTD+NsiFmel41uD3oQ17w
DGOYRSPv1ytB0Sk3paEVBwPIkH6n3KIH7O4Nrrr1uy772rKgrXTR4ViJV9/6P2a11B/kgPp7Gmah
Pq/0c77hsM0/bN4kP1ebZU6XpB35hjWtA6hDWWqfoUuhBPXIeNgWz4ZVYgLsMNy8hQfnr6njx6vW
6nNl5PrVQLJ+wnVTFAwuk6knAmj1grFiIxbQjwvhRQk74sWVUQ5K0OHsD+4L+FnMN+x+AxbV94c5
rXl4Kp4Kg3PWh0cd5GPwk2NahYl3QLe7SBQUvbj2U91f4k2VF0ul2ewsddZ/rIhuZLg5mXOSK1ft
jyGfafUpq9DDUxx5n/1Nb5/O6Y9oV7DP6OLSEdji5jQ3qB9q5WnUslTZJYRcdeJe1mq3RL39srlm
9MhXMNRhmDAv4/Us3fWJHpPwZ9T0AMzIK0gSGECJHfp0q+6rzzvgOygjByKXcoJH0U9+Srt3Kc9u
RMTpeGElOhAtHpE52iV7iDxBgDOxZFTOdKsiis0is6/zNDp4isIcfT0BE0fvdhEBwWwTr3xOuOdT
LKHCWU75QB47nmU719edp2jgZWKH3Vie+bRrVs3VIcmG/qeX5XLZ+yptsY/qHAONhfHz4OrQf5Q+
+Z6qcetv9Et1D4UzhCUyH7Ue8bYOwxcQkANcxLlwXozd1k/QtyaQwWDnt7gWnfyemlyvl5W7kh4p
EhhSTG5qEh2r6qizw/KKfOMxERyvynRTQ6ynrHhYQH7imigor3cpYaKzExtWf5ShmMzZudc9keFF
xxJu5gPdbWz1M+ox3cfV2Kpml4XOejPOctFHwdHvUUxLicaN6J3hWAxW/yJQWfcxzLEhxHbwwAP2
zpR/qNpGIAnrFq0rW+X6k0GW9PdzM7fDjWrwe1w4hMDTuNt8cLHB4J6Z/q0u+2sA/u5TWGU82usQ
6CsPVzGdwdna3HtTOcESZc6NnXTGSFZPlQxu+0rqswPeLRIaHb3lusbcPfG7ZMmjZYmbeNfO7u2g
NXHSvkzGV945pYxZ3qO7AmiVi31zCX70rjCnClL9D2qyAM1Va1WsJ0yN8/OCHUaDLgXTf8tw3qJF
EKiIYuxSztug6u3T7GpsWWCWxqdE5tjPe1v6hw0x/Y23RcVwdWGdagIPAlrNm+5tDVb3PD1WExSw
ZFIfA9GKbxukiYsZ/bDZdaUQH2g7Rk3Zhty5x3IVjLHOZYYduR/v2Qa4XxWSUx/X/G0EZMHtgBio
3K/eqLwHymL6H+zwFEpy6k/gG/uqAbPITkak3QhoOQyTbd9Tll7HPc6DR29KnBen9vB/ReiQN/Og
t2o3k7T5utWh6fezMDxkeFjLSyLzdIxbPbH9K0OF22di0snOmAb0howJ/G6RlE8cM8mhBUWnntGX
Avo+k63dDmZwS7ZPgbNixJXoSPuuI9gUR1L0Jg5MVFyOQwYjE6YGjbKhxeq000kYPlSaN9yOXVbQ
HTYVlS8Fs2Dia2SuvtbCO9uuk5HMouk35+w+QeXKBrMxNy+KHDOrXBt3v5lxfJ36OrwdFErGqXf6
pDqoeqQhft4SAdK2xm194bBvILUdrLSTKpTjAKbDKCRrqFNlbGe7xh7UEjEFnrIwc+O0HPN677e4
Iw/kQGbQZHOAH8RvcBkDbBwUnXXWCbHtZqP9kIKimgTuyqTHEVmKkg7SNiJMGmOT8T9PVAjdT1uL
9BWago0YCT8eAL5956vrdtiFHGvqV8bJEWAKD6Cl7QkD7d1ALA+6TjHu+QyfFjxDZXscVjARoNLy
qjg2mc3aI05CCkxkX3YO5070bWjhCw4AAAZiL0Nv+NajXfLOEH2NT9enFCTGlYTG6gxUrMQhe+Pv
vV7mc1pFqe8tgkuw63v00rjFuMdaHBjifYF2lhYLBG7po5okZrl1GyeOFynj2mPZ9/qJ/dxMoq5v
8teFM0J/aMNRojdC8sZ6a1c0LcrLvw3jMtw4TAXaPUEXlE4fzMKPwNjmfmmH8ZMrB/vKt1b/QFbt
BSIzWhM4laz7uo3Z8IRZncr7JMvYB+dVE70hXog2HteB9r1mldEdZyCYmJhhmcmbvACOGq5nnINQ
FvJDIif0QzgPzeuyrPWLq5m+oZ73+kMCuu+7JT8R4NdOaZ1YCP7HpZz86jLFncZrk7bfJs55N92K
eSDup7JSP3cEImhjdnoc3L6TVxi28qR58wZliK0RrOjw/Psgakavir5WLh7VXVSd/TltMdtXni+3
ZJ/T2J8ZDfD+qYw2QF2yMuFOcobjFVuCJDn2PZ2SctDnjEdpVzIMiIBfutmEC0avYv5M4mv4pLOh
LONtE+v31Lr0jWcNUYLGK4kZSbG++EVnVOz6GGGup8kp9KFZ0vB7WPb1lVTbNrIaiflt9leqokWS
JjfOWIJdW335oqLO3GdEODEA66J/yJBMpp3EacW+mtPoRab8+icCg6VnfhmBI/pDaz9mbZSQ52s2
fAugiTGIdcsov83cCZxGchBZsaaG6kuels6901bLd8yChDmmuWFDu9REyvZjShN6PeVI+I0ZzMva
zPplKc5PZl042c+QQ+uz9eYquxrXFPCBSY3i6AI7nwDB1NY4pzxkx7hx1uaxUG6dYP+ngw8UsTGA
Tw32waZPmq9luOI0DYMAz2Tht/gXS3cd1tgjQLIQMUqadZc5uvnml8RRYWMMITumYHLREOeUfYhP
UvJLoltCkygf0Sfp5LhvyASs6oDXVqPXlAJ6TJJ3eE6MZhNR5Pl2HYTNApU4ScJvpkJlivvKGzi1
e5V75Xf43PYkW9pPFPZmK/VmoSL3QTxFALiLcMwMC1EcWnVgI8ddGHqv3VYFj0VbrBWfYxzKfTtI
53OnzfgjwsfOZrAt53tWFOh7vKjr+6wf1s/bGNWvGo87CJza5j+ToR+6A7Ub0zc5TemPebHlyNew
NdM+TJ0ciC3NVz9XvlIc90sAratLApbMQahn43Gs2Q1Ne26Skl62IwC4vOkgyj7OUF2okB9SZu1j
E2UE3cIpABYSojAfg3nUBGOLSN5MjWJ2EbDdRohfezATSHuRuZo6r7N42VPN8pD77BEiWjEJ6U6t
6g4AjNv1gMkw4yjW4rri2Z31sBdjY/V+WMflmWlncS7Tc1iejUWz2su+I4a/JKPPg8zNQPImJGF1
1HSNElqDLzrSxFa71Y7YFVyQlnKQH5oTzqOrc/vDcbpi3GFSMTnNjt42cs+nmF4EBrAtXnLKJXf9
Eij8ksNWUObg6i+qGHsZq2D2sLCIsAj2QGoiDDpI4dWhlRlB2ZkTDP8sPVX1XhZ9unY3eTTK26Du
kldVJKaRL5PXJ4F41SnC7d7MIN+JJcw2xB++TX4+PDKDwNQMzxY/FmTH+aPuN/cyKzNCeI479F/B
EFgPL487pjcQRVgQw7rqfTLG2BZc3NBElDLiBbh6Qgac9Jspe6UKUtuHIJicKW6gq/A0alt8C8jz
VizAOD1BchRNFFPoyf9GyxlSQgrWvXWwYn9w3P7cHtCt7QfXbuq5GOvQ303B+UF1bZJ/hOlMaQPg
exyjxWB/isgR36eiYaETa8UZSIV2xAE0ctSHY1JU5ZnxTuSk8rAS7gTmvmhXB6V5mGT2MDmeYs9d
ZwPmBxmUcUqIMDuRtVKf7Oz4sBKsptSPqE/d7FKWG6KMw5rBZ1jJJzGxmavmMtVV0H/yijl0b6Kt
ATzb4l3nDTiiYZFX8/ilYjGAW4IW30Ub7w4l3Bzr2Yh9u+MI5xSSM2ESFjd10STovBswmPByIUxJ
VsgPazh+4Zydbb6jbypBTiHFcl+x6u1aSosnDp5ZeGU6Ew0vEKvn9q5AxQ/3PqFNZpt4UcbpKtlC
f34ZMmNxEVlpCbdtJXPAuIsmNZMsi7bkurMEZ2+GtV6GnLx8E473jI1GLCtrPzFw3rWrksXDMBH1
fpQAX8wb3KCguks7My3J0YhE6pPKSNPvvZmv7zAnZmCwyUNL/NM2wKcdngNaE4ZzTGrLH/EXhO7J
o4MvOs5aehwvpxWwtbOfABixTNIt6/b1jddtC+AwLMMJ/YgL0jGHmqkZ2iXfpRlWeWK5COSWxJTk
1Pbdzvyf5KAoC+crczNwxcdQ0c3LMVrac+KndAbiutv5COKSP/uRCXe4lYvxea318NEO3mxI6mSi
UNtpnVs2jhawNK3URjKd9HOlOXzzKRqGNXmfr2Rwl5ZTwiuvw0KnO2dT60RCoZyzBQy/aAmzxbYW
9fwjNEuumX6u+K0QJdr6B3CcUA77wtaBvsbNHVXXrugLvjVKohGQipEv4luuR6KhjbtAUuLezm1/
Y8O0Ny8+9ttgZpqGEPAwN8rVzMxE5ROO8eAGYBvApzGXsaH1Nn9m3RrLDxMpGtrCsmDLKMzy++KV
3iSqLBLZh/11Ofh+/mTxiwNtD6wEDkfMIby2GDMJuVXzTCcDsXfEgD28yVasMS/5NpB77Fc0gsR9
T5byAiuAIy9LtBax82tmr59qYGBPaD4tvH07yqjKT6k/FKW9XL3Retthwi+RhieyQ5OzYBCjpJrh
cSnJVDJU5sCEn1y64+RSlG4CXrax7bpquDEalhWbYwerbEl8PZvH7RDoGln6N83q/8wD/08opJn/
3TzwCr/vHdvn1//iP2wfCQMSlS3QIX53TJMAfP7tH/DDX1QkERMxz/KfuBGC1n/8AxIDQchcIIIc
iavf/x0f0pHqF/4btKH//NHgn9gH3omNeBoihQIDKNI9Kz/qHdsHRtuilGF8v9WN+3msztGWLe1f
2K+RvfjdN/Mngv47yfu3a3kUZvCJ2cS8bwdeXTeXeV/Kg270iNgc5A+L0OGRsdl8mhEvnsuixV88
ZNvfwH7eaYO/XZlregiruAncdwpkaCUWW5HLQ5mSvmv9+hxgkH9zkfcK2m9XkXzAEAiOFu8ht94C
XB5fhOTsv+R3cwM5wfSD89Ipp2RZScb51FrECsYs2JD8qvxI5/1jZuf0b5hDf/qj/u4f8k7Kq9U8
ybLlH5L74TPEW4gGy235d01If/qlgoYCja+Uj5fgj1Ior7g8UE4lD4tJW7z3/o1jrfqbL/VXCfp3
WuC/v9T/vsq7n86wU8lCw01jdsDv9uOuvXV2+Ynl5uTxvwwGzZFjRkx8bseW+xHr+67+ymH+inj/
5T+rVwsYJ/Ooov9H/L4Au0Ie5987AJRajUnmRh4C0flHJsDVHZYGjJLStv/M0gCVAQsKGiiqbOjz
sL/T5pUcU3y5vOeb2uMQ07T3KyLg31xEnlFlvxeaz5fRmlgAd6wCFKbfCc3uTBcXRjeWkwEdKcb/
n20Xop3XkdN7ljQntcxZdupyqb5K3MtbLIJEdqhJKP7MdzmWLECZXMYYvjEccthUJ90JlpItH8ul
71MM/a6r7v3KKVP4oB0pV7Q6+KgciT0fW5vQ4/VQ5SSesalXaDINrUePsyzAb6AQuaSwCqayO+1U
IrytV76Yy6Ls/F0J5v0uPFu1I/8G7GuKtbx3mdtQjaw53KbWgxKjF7UHO7S+ajMBm0AKUOHeKmeq
LvLz/566Mh+ji2ywXfFMc3CHXGB6KFBh32MHx2QefUj6OUkA2XCChZjh+aR5QVUCfHByp/hWc3bn
tGk67/NWM2HkAWdmcaDWyJsA7XXOh9ALg3YPlcDuh7QZi9OkVM5Muw7T8bhR2iJ2bj3gh+zh25zP
o8wx0yRgSmfWooohAkjm5Z7JmVrl06Wtq3q+SDfHuWVsyw6MhHD4XbW28+6p3Jj7XTSlk4jtkgB/
yiovJ9Y5u85tjvjdnwwQxvVggir8HrkFiamTjmx4nTornzfS65gcHRliPijtVH2R+IXmw1Av23ps
cgsdpCRtsHHEgfpL+LRxzig470EMAkEgCNbwoaeY44FctX5ECAm++jwi7a6Cf/oULRk7EpNFEC7y
Elor9JxgW/bSWcefmWVLs2eXxWFisMCF405l5qX0ISSQlDUbSlemQw60Xj948dKJ6hvLJ5Mn4y39
51w1U70bOWYB/nDCBiOxq745RBPv8C44SczzisyadRkMsk6nKdralFafVdRU3nkTTFsV5pHuZ4k+
e0tsMPmWMkZ+wLS74YDPbTrshJ6Xe7N2zUfoQLzF0y5N73MpGRxqFJ3HEZLfFstmXDrYAs7yTBq1
/27GLu8IyBnLKK53BnU+5WQft94mxb528TfEYW4YAytvqO7g2jBntn043SBM5OBxaEF6FLOsEHfk
au5kKi2yzpLPz4MAI7ZPOZa+hsD9L5nGwhEWlWbECtHVZ/Fxsarmaw2r1ckX93HN6pm2kmLoAGSl
DYOObXOgjpbc6PfCGagc7BlBA3CtSH0o2lFQ4UtPfkdcWNzrNqo5nRLHfUOygRTPbRbem55mE77M
yQCl1ZX7FkSNLikiynUH37RTT1Gy8FwmKGs/iTYHX6ZtxccSDW1xhkh4xX2TdOsrtxQ4tTTzIF+i
Ndu4MythE+30BaFSj6+pID3wNPIO8Yig8DPguF95qDdSq7eJXys2woGcPq1LWBPzXSd/n3PHPNUN
pDk4M0P9o6Fqhz7CQpbct6iZM1+O27GiNL0ILlRf1Ne+h/Fjx8i/8i9KwcNN4LzrS9zxjaxhbWhS
hetgxnpHzo1IZA6TLNt721rOO8FI8k0aWnu5S/3lwWLnsnQahP0P13WAiEHrhjm1Op694SRe+Td5
yVEyrjJ83ked6608jn0aqYOhBdA99EHiY8ZYMK/EkJB9+9gVHa03+dyuTBTrrk+okh798CoZu2GI
N78f6Fg7ey9OauuH7cYDUv8B2/UsdluaL8/ZyCyKvjDpZrskXyTMKE/61SFri2G7PeNwHzbMcyL2
Vq+SsWjGe+AZRXfwvVFbIg+kx8/JNJ/YBX1YxYW7rr3ZEcux8kLBDoOB5E5UEKeB6sbdxruPu5nA
x7OvwUTse6zOhiNb4wangNANr8EhcJyz080uJxGlCFEM0ROzQ5ADNY0JKJsAws4l+D2kuy0edecS
jybH6zIFpW3mGJZIt4cyd+eeHEdoXlQJLXgds8o8BUOXk35JfCGvcRNkhngzpksWgqwKLxpFdnUv
N+s/WGEG2MTaSv+QuSUm8q3Jz8UaLf/4Y+23wrn2ZuEPzFRbkGu0LTm3hTd0r+wvU3UIs2W5A/zu
BAcK4qvwAC8RN0yLidjFMnj2vZXnRNCOuTCNVYFLPc2ND10TQTb1KxJQbiarQ9cWYno5h1zNnoVT
fvRtb/UFAUsbAXhO+MKcpunt8Xw+tzuShomJeb78lnO/h1SB1yhZLsmrSOcAWUW6McAj1Gcvmopb
Xquow+HQBZdqFXCagTw/e7rLIQEuif8MKAY5bUhEw84UhPXen7sowOOT+T5/QlRDcROGi/nZjaUG
uVcXzO9r1nNO1LT8TCedYxa4qjDPKoz99TnfymfjZNpo8fG/2DuP5saxcw3/FZf3mEIOi7thJiWS
kih1q7VBaTog54xffx9o5npIUCbueG3XeOyya/rwHJzwhTcA8Q+PXSDrr2WJPOS94ApFwk2Gc9gg
cKvcZ0qBfJLqGWWwyhFQe/tIQf6bp/5TIxT992nqIclL92ce/2P/nnvv8fs/tkX4Hv8oznHvw5/w
R9oqqRgU6KpFTjhAryWT2POPrBULtt/4n3QiU4DgKIySHP+ZtMrib5qmkM2ywy3Qi0MkXyRV6f7P
PyX1N0mSZcUyESVVdfKFv5OyXuLCyVLxNJCBz0uoM5rotI5SVjCJcdLaWvtAvUpZiIL0RlddHSw6
DWxtYuiMOTfz2Wp9krpe5jrDmKCldQtlU9DMOvHdZdxPAdWIlVhqHvoaHSbkLWHSZlE0gcyWhpTp
r2TnYxjUQRRNBH5OceAKFJ76YUOLt37IJTe+R3h607v49YU9zHZfaGsIWbKzD5pgi1r+SQ9TZwIQ
LF0trqyZkKc0QwJDe53UJWZddWhV5w9mUtYbFRnTVZNq2krEWW+uF1B+okiUF+h54+2Q1fJWCAL6
nIkVIkVNPVgjdLqrBvkXqZScO6dOnd8VtKgnVmqUFrJSoELBsJO7qHwQUxyluHAdVF+XQMH6dMxW
ekw3SYsdYY2Sk7bp0c9H8rsvVNx5s4MHbXgBOOSb5KLmHqn9D7TQ3e+xXCoH2DvZLrLDdu/STtmE
xHcrAlcFSUBzEMyy0g0csgeQIM2rpGARbWJSwWeQauiEYvym++3p9la73gRsbZZfJrtkmpY+zqsj
6Eq1ooYPmhWouyyW2rkBEuoeDcpibuWhiMgQDqSqHTVLFyXMFbqW7eL2jxiSy4uNKIM5hvYhgU6T
Laoml/udaKohK/WDhyYu5bsw1L76uH+D8dSrVWccrd5Bpl7P3antd3UANNPi9rBEhFcB/sqjz1qK
8Fr1OHIeGqNzh9Dha+hCenJ9TaDdRZbmobpm2OhgRCARFkJODnZ75vJwlC+mTnKvM3Gw6px4ShuX
U48larW+HltHw0+KNcIh6iLLegOtdK9ZmrYRrqXupDr+sYBkx6tGOOIhfElg0GPulSV3gZK5K7MO
O+yAzI3rRWs5RsMK/MJrCZ2PxBLQiXW4/bOvLiiNwtYf5Qm+GfWCy18dlGoKLFK2jrlnGadOa6AM
dpk9gX4flbg4dvpAjWF9TFWTqGyOFkduk4Tiu9kfPT/atk4lrFuJTWrSWKwCzV9JZd6+K6mKEL7B
tQVpDwy+MXEZf+yCi0+kSwyNBjXfh1ri8DydV2GATlI+SHr5GCu2eLAre28ouDPUpWU+4JcKKiFT
AgkjepB1xKL177hN6DAQUwMJ2igLkm+atncLq0nmUm831VK0ZFIn08cGz63TduOW2fCWqPlbX+XK
z9uf6vqOhVg90EiQBOcho7Rz+fMxrUGSMrDEI14597ngOd8Khb2F64nazXMJv8kZ2H9/7yMbvAfQ
atizlkweEU9NVFZgKmSAs670pjV6sadObJezWumcfWyL/dSBHH7L5VLLykCrAVOsUCBSRw+fDG82
KhDaPSp+lD3J0KjXTWYbBTpj0koQHCEHe2PcxV3avsARRuorkpJu5tXmYJyBwN8cqgKKYGnkl0cB
hvJq6HTWfxza/4Z1/9TY2/8+rKOdGXwayvFP/dmBkDQDnqKkifJHI4Hq9//FcgJ33G8D90w3eUUH
EtBfwZxg/kYrGwKjwieXaRkNH/7PaE6Qpd8sint0LKACKgSI8t8J54an5K8dphm83VAsccJTOGUm
u+3yNBiAjKlZ2MpTIQAUw648R3wuMdYUiGyoxGxvmlotfiP9xEN7eWV+DAwgEsoL+s7EO2NPR4Dw
qlY4ufqkxHayoKWII7GBEvLZB3n4YyLnPgPDXXQxPSJlYl+8wZSh86Epl9PT4tqvUIMWHymy7AUj
+2lLgjsnJEG/7oej+vHOkMSJa/ry0DKz0ZijWzopwjxtfVF8LFBlwUfEWEsFHiap6DyY4IZvT/Ay
YvxjMBUBHZhXiJOL4zo1WACbi5fBEDtFCwkC/xI1hW4B3rU/Rbhmrm6PN3qDPgbUuDoJwmk+MNfR
7OqqUHIbnsJj7gRPsq0W97mdbeMg2CLI95yrnbD18KlCoceuDloJK3biBww7cvRJ6elJEqBmbDtg
al1+0kRJO3T4E/mRoZT7SpUPnpWkQCzRM2sQOJqlemHNxTqRF7obl6dghSBGPEvT2P+KjddW2JZF
XU44Sl59c1mmDMqqmCJJETHM5Y9yeCUlqPLGQ69WDqDSDjBAWFgAsI0eLXSKuX93FRgQMp9BsGGS
Fo2/e05RUjezXkezxXLmnemdcon6CAWpVep3zVwo5f45jNt25uIOhA3c3GgaXDbSLt3KsZYvxCg5
ORX46ds/7Oo+4XfRGlWsgawJ5XA4kGckTVFuAyQie+MhEaG4QusAf/wGPjzjlTcldH5EUL+9v+mA
j024TkpXO4OxLXq5uq5wK5rq6LADojcKxPiNB8Mp7jHi+gVVQXmRnBb9JaP9itjZESBWvO61HEE9
RXW2llSvE/BkM6VGPdICXrm4vRyf7Qv6xfSQueqsq9angKoGFkwynwkV0Ad4f3jdOdXPQFC/xYUp
T+zC8eJDW2U3KMNdR4rO8l8ufuPZtkr2pD2ZVoWEiLzNBzc0IXtuW/nN7cuX1qsRxusnA9PxZW7x
vCkSz5hFTkhrbvTVG89NU7vspSdcUT3s0ALTwYkBOeydox1q4T4rlzX1Nw0FayQaABQulPrb7ZX+
eDDO74WP3yAD5uYtUWH+D7vjbOch0gVCtJGlp7qamYSkc1f5HX5ipR+0fM5e+GXoKEZtdAEi3zxN
5u7W7ilo/93rafwzRtdTmHtd6PCIPzm/dHWVf5eqjYQKUY2axw6yMipJfjYP3/V8YUg7VZjYb6Po
lj02fImzVRhtgTJxIlvsGL5Bwk/aOAjbeAvU52PjiBCJ86KiZ5HP8/4FQRPvNQ4fUHV1f058iss8
8vpHjLZD5UcxmZ0oPVU6etbZt5pWZWUSq7bfY/ExZYPkYOyLTp24fD6EEK72wNC4pXwi004dP05Q
XJwO35EnrJkDd67ClwRfhfpwu677JxsRJE3Z8DTMgmbQNZ3lzVufHGIVpOuqCZ8NB2ktiEnKya0W
UYrI7BZMkaPvZXlze4k+4qqrX8p5UXi5ecYGmMv5bg01ocqTQJGegnzVQuytZ0dE9TDuSKrFoJWW
LNoUMsAyPhHEZ9/rX8VWi5ckfMRl4SqN11l1AAMsW8DKZ1SqV9oXdKsHTzXK99LcqjbyFIxjlPj9
8VmBq3DJEC2a1jiYSl3TjgRgXE+ITyP83r3n8j3EKyH+ZqgoD9HPmhk0dfnxy8xfoq/TO49989Ii
Fots796duO0+JCjGa3j+e0Zfu5USN07AGD8FHXBOCHBz42DWe1ylekC6xhKrID/YF85WKRZui9XE
i69sJDDTZnV00J2c+eFjJN5p4kakaY13jfjVAwSeoIiKzOGyzpGWU+m9r1ErDF9pL4b2Btik+ISS
3+3tMByIWzMZ3V2DPF4Fg1N+8vq30tqgxxSiTWa+V90XRXm4PdZVBAfkCIoFzyT5BdWKcYlFFVzY
37EqPVnlXH9UVtEGjN3G2ltvxi6bwsIM3+BiZqPBRjNrkhR2BDjKp6pZpAp/zcp86ekWUNylkewA
yVrxLnDXanCH+JliI2eGYk//hBh/0u0U/1hXh1JaAlQO7jN3GYHceRTv+2DZoqIIpzWc0QGUTmAI
sX2ivfsKmRk9H33vYz+ZJgLqYc+Fgmrj3vWh+i2i7l5xFvzD3vcBEiA8yfFuYn2HKV1P2dJEwkCN
cGQUhhBtqqAaO+mpW1vAXbN5hIzzd+UV44pCXtnemvp4bdAZvc+COU3e28N/WKddDc8jzMJ/+B6P
Ll+hCVXLT1lxy1mjwoDIpoUhJTewBkWRR2fZ+YdYWyeUPFattsHxFjFTHY3fRSkhM7hvKBIAnR24
TP4XzDmEwT2EwsJjXC9Uzlp43xdfTPg2J3njoaWKuvDPDNZ59GolT46AJNnKzXCAeu6lO2TChIWZ
LOJm6qYfSpHXsyRkhEoIJGisBFGkmHz2+CU8wZMqENJsF/I7JIfkC513F/1yaZ85K7ndxfY8PVSY
F+jw3bH2Wg0g9gIAyMSyj62eByAfFcC/ftDo4bXLWoqKtpWeBlQ57qryF1+9b4KFexT8eR3us/JY
e8da31X+naTvaGHgvSWfaGeCt5PwI0Pml/vTwXQZ/CqpC5qUyHDOnKPpzt1kXv1efDG+I5L/5D5q
7zp6nyd2l91vUanHdxNqwix/Mlf2KzQF5QuUAsRb1V88LaY2a75EB2IA62g9oMuXRasG9DkK8vxT
8iLdCT9ub8EBH3n9cajfkqEZNJyuylaiPvRhG+lJOFlH7bv/A86ABnvurlS3orTShRXS2t19vtN+
5v0M3FB2ZO7RO4G49er6s+Qdd+PoUD4py/RL9Axf+Fd+YMuhWBy/VuYcxynhu/cU39t3FICFx+K+
2CZT2cQ4dP/4oFghysS1gOzEIdg+iydldODLFqHuJxaXnj6QaZvW80FIF3m+TvH4DDZ8NuMnYJEM
+tiaJuvtZfxwBx/v8SHJU6lgkHN/bLmzX9AUlhDpris/uT/AdxQv7gC9C6qFpa7pOVOVCZtVaK24
NLG5EF/lmXlXPMdPfNAKk6RFDM5FJbPZly8NFMd+YQjr279Qkj/50Jr+0a4aVHO00aa3IiNPkdCX
nvIVmoxAxdpn3n/tcel78+KhfLEm3snJAUeXWw7wStCHnRXnpBIzHZfDRTqAEWDNzPq9iuUFUd2U
JtDksKO9EANQN6NhL9gv/XeQXc0BzPyz9Oi/1+/Wl3Aifr5K47hKzlZ13IIS9OjP0ZwvCEkIytx8
l39AVapR1Kj+o0321yfURz0fPKZ1t9BI3fAEE9st7D+nQ7MBbWykN9vk1YUS1qohJMtlEtJ7XWE/
lporHC5b+7lCJFN+sPoNFnMidHYt/6LGe5XtVpN5afC3TjAQJn7ypwHM+foMu/LsXLi+IFSKx1Wb
4b7nLrqXONkkOXRKqKu867SnYn9q4332qJ+POXrU46ZE3MBlTJvvgERYtxSsVVyciDEFe6m8CMYi
BiQFtm6mPYDAnDhonz131FUQBxrqvvQlL6eMKDxImT6Sn+xf4rvT7exvlrSMf0/vJEi6iG5GE7H1
Rxnv6u75a8AxvBhjjxg39Ex+QhNfBrAZIDy9irpngCYdOpE1x90r17F8ZxBnBaKOcMbEkn/2iJxN
WRltzBrfSVUxmHL9jLgCaRHCs8TpXfB8e22vYu8hfCC5QSVhqGh+xFPnu8nJmxbTc/HUtOSM0PKr
XZet6siepa4Mnfbb7eGu6xSj8cbzCqrYyD3GC5BrNTHQhGCyDjM0yOe9OIdFV0YLOXsMDQw/59pL
/VjQF8PIdeILT017dIhQVdHspuZnmNLOxEWxmUfFTnK+edibm3//lhlNenR8ND/B59NlNHSHEEjJ
2gUqRsiBiNoMHChwu1o/RnuzmdvIILdb8VscQt/e6wrdCLgKM/6CPdXBAkvmORxwiZImZfx5Kq9u
f56PIuHFxh/9UvXypGmBXZtpwi8Nq3lYQnW8d5VlX68RsE4ObrF1kjtwH+i9FABN83XMgWhrGW2R
75l6UCGz2YPhRQIZMqWYkO8bc9dnhwCHnWrRYWrXQpwM790ef1hnXQECxMEOVnsroLqd4f/WLUJh
k6AxLJKoZsYpqn/cnqE0rPXVDHVJUfFFplRojUoPGs54lSczwzo+vqVWM1fRzNK3OZqryjcl2Fqk
9v1D2EJ1nIjaR+AKDtmwuGdDj+MFpFBEV2RoWIuGtfYbFmGOWSeovIKjIANpnBry6uYcDTmKGGJw
A39+z/A+EbfoNdU7xMJF/YcBxEHcK9YS/fnbS/zxaI6XGAaKOOCwNBFgwOUmcgXIGaLfSSeqcGW2
VcV1BmwFzV+ElkH6YbmG+sgXYRC4Xsjezg9Whrv+0DxZQbyvS17NbRSu7WqoAqGM42P5aSBWtYCk
rj0136y9iE0P6Oq37pvDXnT4o8sFhp7kxyr2Ck85nWp7LUZza2960AoWBay5j0DVQ7TdvLcQhUcT
BDR66exMWBwRCcTEUdI/22iygpE4vSLQJGOUUGj5FQ49gngC1Mx4OW3r+/qXjqnnyrCPSKCLOLZh
kgWI8vcKA05vwfHJv7a7FruwmfksPAFuCk0WYE+Ap7pL0dwoMKTMjffNeQ72Eedy1mpLz8R/dw3v
vCpWyMLpKdRZfEZeLACY6q9K2AHaAQHfVCtEqjxzJq8pFfUs5ldXpxz/0463JjkaVWF/IlS5iuTY
fOcrMLpkS6uwispnvxfyYwnsGakfYaNv31EGmUnC9vauGyRvrw72+WjD9zh/yRCjEmKd9abIss2/
G3xqM1pi/WW+Jw43GXz0mfATqfAM1bh4jdFWviPHJK/6nr/5Ab4pM/v3YKoC9NmPGq4agIxIRH2E
1mc/CqybiCS4L51ACyrFrEZmbir3vg5WhmXWRJzroZih4TaaODJhoRTlrXQysBCUZwJcbmi7P8Lf
HRkpo3mJzy/YfQwenI3zdWLRh094ddTPxh69F0qrALWNGNuDsvPF+Cr+BN/OFtS+1l8b8C4A85HK
Jx3/RrUHKSrnq01NZROw1s5MnMAhffaony/EsEPOFtuxoMJ7bSOdYGL00TzBRWEuFpBe5lOtpuuU
aLTmo1cktvpOiPJeOhVdvDEDinmcxoVYzU3p3uBVF0hcVoK476qJa2Vy5NEjEkSdK0LmYEdlCwpc
Gd5FzbJp5gUZCtgcvI8HEvPCmMwCh09561OPnhJkwVUFbJd00t+wtPjGHtPfccwCtyR8EX66ItI0
i3AgYk29YZ9epGd7bBT9a8ipmkbAWmPRqeBxXi+cbC0eCCCVY/eu/qzadarwpfuJ7TTCef7xXtPP
pd0O2oym7ihWtUKjhIEuSvRD5pi9oFovdADD15iLLLo3HUmPyn3Ok9cYFwfV/+45p+6lT3e58i2T
MAWWHjAA7m16sbQCUVmJ8C+Al63AvUI8jQ7L8vZh/Hz7//VzR9ctzDcJvo8knaDD5eo85Z0ptrb0
hfZjlU2VeT8LLOgxqbzzQCGoQ16etTJE5zRFG+0Ul0vsP1H2x+9UpVcA1ODeTQcJlVXq7iZLn8qw
v6+24dnAo92QCdgvVlrCLAnbceaCvdTO4ceE8tJE5E+d4d+ApU3/lUZIIK/QPNSrRRAs8DSBvSEq
ywrFmgrw6sINtl17J9MML9eqv1JwlTcea/XkeCu/3tbNTqv2fbu2i//kWfxrBh+NnbNryow9SSii
jG2lzjHfAJGpzKiGdv63sgVzTbwTLG7vjOuS5HBdwQMH4cp/UccADfyc1KQpichcY6vAZINHUUgV
+Ue8UMOtXKHhszKqdSbOc3XTFdGqJQdE20CPVmG+CuMvWrQPMYNBLqpcaN6x7femPEcWQoH8mm6z
Zm+QNRnJ11z85lX7Aveo8DVUt3m8lc1NiFd10N+nKJClYbaMMTuVUX3VpSfXvveK08Rkr84BlWgF
KIpOeRwY8RjiiEuK5+otgYCV7hNCO9Ws8IenzGyuoy+5tTXKRz89clqj6A42p+Gv+pC27KOG4RS+
o8EcFiZkR+tnac0x4OuWGP5hPVQRqxGEETwcBGGZU2jHPQPfxTUe8sh1dss2XxXGtnmV75AqoxxJ
jBkuzPjx9vQ+urgXB2A0vdEDIGh9V9YF01PbpYVlNclDNk/ezbmws7Y1ZmrZPHYxZXmkimzILPzS
wXRIoyC1UvPVoM3K3DDN1KCULTEbt5pfvrCAVlWxTMoaQpuPsZ6wTlPAxssomrcbNT7l4gx+W1Ns
SjQ9zLnoLrRDZMwlH2G1RY68CZLF/UoP3iPUVmRsg+YYjVXIYrDZolmloFky89oZ8NHyrUWm7Y30
FSPQEF91HcdXc5VrX1Pr/vZaXYdGw1pBJlFFEc0lysiXt1QOVQ+kjUNoBGlOXqHfM+vLhxi5yRJI
kLpO1Dl+VE6264fYu93p5c/bv+Dqthr9gFFsltdyU+qoEJ1Mf2NmL2l5MPS5Id819sQRv85rRyON
I7FUU8BEEWzjQFWSWnbdq4R6p7HN0NZMdpa9CfI7A7PsZFFM0cVxjRhdyqPBR5GXGCmwSYc9iZsv
7Wg9XFhshnYnDqSI+6Leau4KgzDb3nn5WvIPTg77bm4N2jckbVNLcQXAGP2aUXDW52os2b4rnaL4
rjQ2Jt2Jaqmekh/g9jLgA8VUTHYVoYwGHB1JED1q3iORfgLgGHc/snoLtxqy5Vcxeoq7RVY8VtEr
q07oYrfF3058QL1gAqJoFsIWKuiX0SYv5LCFJxqc8NEbVMYgH6tlhLGT1X9D6yxcYACvklxWb05m
uXeoySF3pynNojDIhmJN09Zdbh+aHGElKO+/TBkQNcrAP/NSfyPm69ZK1H13HSzgG2PPi/XcF3k+
EWwN2/PiVmMSCukbfC8cFLAguJzE0Ko3FA9l2Bx5y5mgZy1mxNIkpPwqbCEdR9YA6RNA5SBwRyFd
Cb9S8B3DPWWm/q3F8nWpeCUA3wSvpyKwpSVQ5XtMRynIyHROK5rqSj011+tr6eNXAB8dLBbQux8V
SDCVTxzH7tyT3tLKDOClmhlWrXFVQIzMIW0Cm7JUBYoNKqzJRhDuC18+GZn0UjVeP7F7h9NwtvID
nQnUlAwgAtQQ5JdRJJe1bVYiVe2c0ECQF5kXnlBgNWZi6fxq8nyS4jI6K8NwGmIPgK4B9gMWHQ0X
mLEm9lbC3GvlXsefdSUppTvPSvnFHvS9UtXblLKSL9M4esf2BQyDmAh3hdi/Jmipok8IuxlLgGzp
hNF3GqAIhWmbrFbINltVmXtcLJIGS83VtXAi6h1jgIYfP3QhYMkBXFJEbbR9ui6BEgby4UluaX0g
mNDAmYjVlWUj2VqGe00wJPRZW1TAhMhFhC8SVg6ykDMY3NkMI+wvHVY2M0+Ut3JqOmvFvNPdTlj4
KLPNNSTQa02Z+r7y9Qf+gFkNrgY4oRjaKGJGzayyZcMRT60uHdwIHdJM9VGl8Iq73ref0QkUHuWo
d+i6Q/UN3TTGhU0W177ZHDQ/Le9ahMjmwEvvOzQetxV8/dTW9h647hm6Oi5u8Q5s9ArVcXpI9cEV
qwbem+jP0b/q57cf1HGZh0+AMwOmu2CKdR0WzuiuLfXKtzxNLE61b2Vr32X1HaHwCC5iY6lhcTn3
/FfUeKqVXBAb2Q5AGiNC/UNPiNlybKx2gtBQjaKzHAeFffA9SnBIq66go8+hsmaPpWwkBEFdtCrr
FLFVIYfm3pJd357KuBcCVBqwKIQvzp+FcgRUhot6hQinGnXb1HryUey7E7zmRSbURHLsoLGR5mjw
IlmIt6vWUytVWq05RC6AFgVOOxznYIkimr9TkGokUcU8TJH8hYxO4h8/87/8ln8O9+6/57esfv74
mb+XP3/841TyH8U/kl//2Hvf8yT+WXjv5+Tl4c/5k7yso7kF3pleGvc68EYCoT/Jy4rxmwo82CRb
/iAoc3X8SV6WENwa3u+/3Lz+RXeR+H8GRh1Ue0R4UMr5W3pbl8HowHWxdCR9CIQREjL5cy/3m6f4
SWSh37AXC3xAzRKlAJyiRRQZMdJwrOez1Xr44wU5J59cvuh/jgbVTB8szLgsh2vpLM3tvU4SOrRz
9olQb/JKWariRHh/NQIcTQmRJq4B3lH1Iyo9G6FF4Cet4kjdw8ST527UUPD3wqkeytWqUVzlvR6c
pIA54UF2OY/IRF9ZM8Nyn2ohOLxKg2OSR9W6qVJ3mfUJheVMUifCoVGXn9UjX+dv3AvDyDQQLkct
vdhL0VvFaNeohHvJjn+l2EwtgsQyyaqbbpFLIPg1mMjIPcMJoV1LHSSu9cnm5WU6/ecvAVGP9xAs
T9EaPR9g3hvBKpV8X8aeuUp6AIa2kkuvQmA4G7spnaUVyupK9RR70VuCMUuM2F4WdQEkUaylbdsG
wbLDXfLO0GwcDzycK0BXpBunrV+TWAW3mzTFIs4qcy1FGjq7SHvVd7qEMCGGovR/oGSVtIZb6TH0
LXtiE41yl/+bH1BFagUcjI/aydku6itkFiEaw2ZMyoVi580cJT1jkTils/LbVAEk2xbrpPKbpcZm
gFuT2UcbXSLyZ69bGgg323g9veaZ2j3YUVAiO68T0BCtbNGJ1te3j9Xlaz78XDhjqDyx7ZEEINa4
3BhR3HVVxIuyh6aqrxuDploLInyeK43F+6dM4bCuxzMkPK0sjAaBzBIzX47XZ6giQx/z9oL/llFw
lkpvjroGpMup5/D6oF2ONDpojdgZbaszkroD9YOv7FyfQ1RYWUtkwme0wP1ZvkPCeP7j764obolD
XAcdkb/GsPkUzRSnheS+93Dn7t17D/lyzezuOjWfmKIyvOh/xdrDx2MoilJDoM2dNeYtyaWLPU0n
e/typa+9J//ZOsb3+o49L72iODsT19h9H+W1sUpXxYvzE1jy4yE9JFv5SB9FRZ/wV4PAztFb3F6C
YdPc+l2jTYWEBWIzQe/hN3PXEVmksb4U8hKgXb/yPbwZInNOH/L2oFfXtwnRn1AOOD2hNKnQ5c5S
eyFDw8dr92UW/1KDbo31yBRf7mr3foyBZCUkwIFrOQrYpapIxVhBYYEiDAXAnCCbK0h9aIOJQs/1
hT0aafj0Z9eI77u+rSNDtFdmcPF32sZffNfm+bw4phMh8NXHYqQPxqPOa05neZTvOx0q13i9t3vs
4MCMw92g6iJ173X/FYfDZTh0hYyJPubVI/AxJokbWboJCmsUOqghVg91nGJEjzicT9HaxrHbcPem
dSpC4CjZxK08Nd44eBBKBRcfxiMzBVmZ7GusnRzpl17aW4e6rhxMDPjZZhxKhYPmIX2NMaJalJG/
zvSk3SP52G4bxFjmRmhOkUiuPh26FkT8+Coi4zWIOV5uEidMqrDRiuxg1GjBuQXptrmwuO0SNyKR
deZm4m5bOC+3T9rVan4MS/RH3AeGbpxo9GGsqK2fZfh3e48ivnqlje2JgX6vnLxZIe1ZUJ23h/xk
phRdaXlDRNTJ2UbHITPQ87aHmaIhssRoYqsp6qrQjFWPRzM+Do+VFu8Ka3t71KvjbumGweuMIS3p
FINfrm/kwY1tUr07eKq96NRuaedrg3I2qmXfb4/0sSHOr0wohvQFgXbAxSWpHr+LZoKLmKv0yl7d
C0d11xyCna7N5Wcbdzd3Lq3TZbxUjRm+G/Qmb489fij/GHoYFKEeOJ/D2p9dNS06fLJFBY/ulD7X
iQU1VLU6oMcFrJ6cEf+D4QgAQK1D2eLGuRwO8R1PaR0Y5I4pogn5ACF3jdnG3SBpK2dkSv/Ksf4f
WcPH3M4GG31B3SNP9tKPwbB1e5Psp7/756uEeMO/OOTIeIwmI2MJo3iiLuwztFRRKOt1KuXA8m6P
MlyHl5sDVVqCdv6NhA3lzMslQ0lR8uQocQ5xZmHdmBVvSRiEG7/zlNXtkcb3lkxmyBtKfqWAuLLG
WKsEuGzUu713KAvf27tqbC5qV5nqwY/PFbe+Pvgvq4MSFQWw0ao5aKV7Gu4cR1dQ9HXomspzX6fS
754LxSITwz+U0v6f/sQmF/CQ6loIlLC7MXweJn22wdW89t0+tPKj31oLhJOODWxasZMWXSGfUDql
xztxnD+ZIKnqx+dCV4wI7XJEbGL6zM/q4qgoIeAZqdlqTi+CzzPustqY2INXu4PpEWcOghMwtVHy
vRysSBJKhHZeHEuuY8q8HURcY4eO7ASJ42pv8Nh8KGkRupsoKQ2TPltGO0jj0FOK4liFyZ1X3UWi
tf6bu280wmhfIKiPUrzNCJlhAic8Yiw3cfl8sla4UnHxsOtocIyh32lSG3LtlMXRIHgTxJ1cbAUv
Xdyexqh59rHhzkcZ470jqehtK2AU9SU9GuKs/xokcwEZr0fvO9Cw8Cf9usSfmNqwOBeXxLB4f01t
HJsabdglUcKgXj4roWBKSxsfx3ymTb0X4+ef48TZRUeFhjh/G7+KEGmywhz2Gxq9JKfJg2oLDSgD
F4YVFqboQc6aKZzt+P0fxkTb2eK6JuqQP1ogZ3vPdaTQLjDYOEIIkyl9HxR/g1Z16oCZoec6cQte
JfHDcAjqgoDTSFO1MedK721cQDQt5wNqm/TBwTZ9heLmXbB31v062Co7a9e/CT8ac5b+TL7e3j6f
nbPzwUeXh5pHTY4BXX4UgfgoyUOAmc3tET77gjQd8GyXrUGcb3RjRHbS1HXECLwnCxcqdBBhjOpo
HjdHf7C7+C2JvYlL+JNDoQ1XFIJwCPFQAhvlThT1TLlWhObYShJ6WvWDbsnARgo0SamYyw3lQyj+
wVuL3LSOXV/TwM6OJyK66/OP9pNIZQa9LQAd4rD2Z/tIyOO6gzDQHyUpnhsU4st2q1k/bi/vZ1Pl
xYFYgiE5cu9X0Wputh5L3x0lDF1A5EtzFfHZ7+Zre8BJ9Pf6S/4ST3XCrp8cZnY25mjX4OqcxXbj
MLPYmefxapCcjlAm17SHidkNsfblRaPBE6W4MiiXWdA8Ltcw69GINlOpP0ZcNHSIsTQ0F/IP462m
/RstinvlpTeWtwcd/sxbYw7f9ey72Wg4OZhz9UcXyJ7Yfk0hCt4e4SPPvTXE6HlTJA8RXVXsj8qq
mCt32b6dwbWfky/eCVth4W1RdFojk+clM2+br6Nf7tp6NuPF7Z8xNdHRE1gUqUOS0PZHy/V2crvB
R3kiNR3pOgyvE99vKJEYxAyIHY0OYi8bAQLhRX/sdpAM9XXyxf1R51s3QUp3hqnmyTwdpKXwKH5H
X0N4FB79Q/4leM4W1hI80101EVZclTo+fo8lYw4AOhK9jdG37W1kuTItEo/BF6oOiDGmSwkm+kkR
Zsa3qZTu07MJHuBfo40+c5BGcmmIw2i/6h+astWyNZaNmIFBmuVt1kDObRJvZU8kIiM9nT9X/Wzc
0YdFqVutlIZxo1/ek7ZyV+oi2OoPxp178u7dO1TZxa/txFG9vuf50paFeA2h70Chvzw1YoQTqyMw
pvhLNe6DehNtQ+XEYz0pg3AdfJA1cLWzrINOkTW6faoMm6Mm17tj+1quvHfjuf9u3SVPAfJNd+IL
hANo+jhA6iCaX6vN3z8y9IQk2jaUQZSx+ocm2JbldXZ37GV91gpzuZ+KGj+JB4bp/TXE6OMZaphi
ds6Fjj/fol60q+5Xeh/fy+tiF2/9rboONhnOzofY33rgoyYiu8/uhPPRR89117j4SuEkcwz7UBgs
SVdZhe32f7CKyJUOESRVjzH72ETWXYrzqj8KKscBqHGRfb09wmdvL2pG/xphNA0hqjMhDbl3ivxL
7wV3YWdsskic2A2fvINUihBvIrqhyqiObjfPq/qyG67xyjpY3apqvubxUprqLnyy33U2O88gamFo
xY32e29mg92i3R8cRz10zqryX2K3fOz6e0tQJ96+69h3iJYQF6RfOEjJjm4ss4f75FuxdpB9ay7V
7ktrbUXvDndUmpRgs8t40ddTJYdP7slBH5XYhS+m0M4afa2sC8rczyqEcSppgy3wtkNIxTYFKEDb
zihx6NSX2KOt6vz3Gk4rCsBkOvXq9pa5/pi00QyN3zAAipD9urzAdAxtzTwQ24Nn00GRO2NF7T9D
EqJ4Lkxhqm0xIkNwR0OrUWik8HdEHKmHXQ6XukEhNK3sHG1S0Vlb4gYoONsSJ0AztNcu9arO9t9E
GWd056nOq2VqORNhyNUhoaODeeAgC06Xm/7+5U+wa8idiaNaBy8zOYNqSudEQ31DDbD+uL24nw5l
IT40PE6kw6MvrKC7j0s5Nrq21mvLMATlKRY4MKMVHPzdLUymTUVpsOahPkED8HJWYVuKXuWI3bHB
X1qkE9S6P732pdf8exG7vVxCS26ixXB1aoYhhzyfzzl0yEZXtpopcg6YoDsWWTmjOrxpLWnhqcoD
FRSMesptV/Trvqkm4rdh0S6iyKHqj6CwNFS2oGiOvl/ipf/L3pn1xo0l2/qvNPqdDc4DcM4FLnOW
bKUky7LsF0IeivM889ffj6p7upQ7E0m4+vXAT4KBDO4pduyIFWtZCUQX1bFTkTQepa67dRJv2gxQ
T7hRJN+FwKYOnTnmC0flwuadockkkDmyuvHGgPo+RKbiVfp2gtY49DS7PLT2BrK+ksKz3DeC7xR2
Nn4kbzt/zcbbIUiouCZKmte31IXRM6dcH9D08bIUe8eSukKt2CqrYzxJcgcQRI83MDcWK2rK9U+Q
WECmmkK57+BXX7i/BDDdfHhh5CcFBiATGlhemad7zOgAisVJWx0rlJnpCzWlBDrCGM4UK88+wmk9
3qIGP92i8JuuiraK3B6SvTXjqDYl2uCrIRq/yKGhrtHxpDfH63SwUea0DfOIDseqHQ5xZQ6uVaTl
7vq0nV3w86fPLg6yOQoq4ovKm7IpqBKvOoa90276NArXCMs4CydCaBj+c4ZI3PHspciAFWGG9LKY
hswhQxRFDmFSoyCea7QvcRwpt51NjwKi0A9+ltDBGmn2JrKr8jdrtPMazT28QGCo4pxdZVOYeQGU
evXR7Ir2MKGcuh16O1mYzvOjT0J0PgSAmOdEpThOB9iC7Wn1sa5NnT7XKX3tvcxZmePYf4oTlG2s
oA338Jr3d3mpJ4/XV/PSIeAcQqiP25mLAqcbsdJR3GpTsz72kT63MJXaGo0VaPgpxilFH23NDgCe
hDzZwhGYf1jwPbhzxCxgj5l1Cedt9u6RbEveEHhxb97FDRWcFr2AnVr3Ld3OtIRLkaztoer+cX2w
ZzbpQ4UzlU50LkyT83dqM6WqpQSWr3HqviPhFfbeSpERiE2ekeVe8C5nF5ZgSxjfgCCC1BaeenSA
Zca2fosswi1kxwtmLg9prjSiJqlpphBv5ZMPYDrW1aNuwInjk20Ev/6x/XJ94i4P5i8r81e8WyzT
6ZpGjoiaunLY57m1CrubwJ8WHtdne3FuE8Yjgg8BDk8K9dQKb6MYJvVYPfbV1pz2o3YzIPzVbJT8
vhkWtt9ZsEbSUkZpgxQfYSq336ktqUFGLLEGRvSSmitUmIZnXztcn7Wzoz3bgCmZgixYV2CRpzaU
uHfqhok7BjraFQjdfo4BcdtgSia9XnlKLrv1qB6yyl+418+v11PLIryE5FCrTE4p8z6CVK/Nwz1x
EjLAP6o0fMyR5K2neq2a0qaZvjmtvB4jbQEuPs/fyfGevwAuIxA/Cvg5MaLhdrdj/00Wz0q2luRv
AufL2EebNn1o/EUF0PngnlmbvTRwQeJ/8T1YEZzCRlMqxwSt8N4ydwi6bBCkW/dN9KwPL16ivgT5
J6Mv1r1EH1RbHUY4ja4v96UtRQA396MgVQOi9XS5kYvM4yhQlSOY5XVdf9NS6EDqn3ItLezdS/sK
nAYR1KyKcyaGOcWOHVVVpRy1T1G3batvZXib/0y8x1I/AvH5/VEBl1V4z3ALzyjck6MfyspYx8jQ
HbPOfrQm+bYf4o9Nlb5UsbVwXi54GTAaf5kSzuQQhUPoDKpGrUZ99E14pJoBAH6/cDoubc350QJQ
eZZFElN4ZVq1eqSgYuFEaPP5kfPidajSIz7+rMX9vjQhrbg+h+cpGd6mRHkwIZjszjPO7iLN2jBW
IAKUw9R+SUbkKbsqnW40NRhXfppWB9zhr0SOocaM9XzT07TVBd0HozBg+pO5qrwQmXRkTj6OyRR8
LOL6R66gVx0adfdl4WPPl2F+ZEEPQ2fXDH8UVtyIoVKmoaPhlqQrQLezr6XTFBt0iYyVX+GSdULR
2w7NezeQGxTWrKLbjCW8NlBHQUMb9DS2tSnCcomzRNJzvnaQ4vE6Q6xGIWoQCdIqroeeXlqipQ5R
e2RaP0QViMzOGOhmMqVb20Mv7/p8CA3ETAVVw5lwHcQpAEaeSacnwAnUpg9n4GvvjdY3326Dn33c
JJ/GvpV8l0x8/21INSdfTVOafs0RbkS2LZJi0sLUbz6hJxne2fCC1m5uUNh3RxSPPsdJJH0rSllJ
efZYYIOl0Qm/0QU2FSheprZD27yqPkRBA/WhHKjTTR81xoNeqBIKen6CIpKDph7sf07sPdk6mlzu
OKhTBoLXqO8yqSCdqShh/JXs+RjByy1Z3/RI7R9ieHBjtyna/vtYm1R2uzRKn6DYKAHuJmb3DHgk
/d73LdSHWZn6x6GnnLFwIuY5e++wKckCqOACpmNoprMXoiPE72qQI2Z5xHWv/YEGVd/Vgmal9Lvr
qyduZtHQ/P/vIpdekvtaKzHU2vIaFfeVnRwdSAKuW5k/99pwhC2SkefJuwwrhgyGFrbaHErm6ybE
GSNBQO6OOw4NHpR5xVShbktKkylRd0xSekiD9NCFToSQZ0SbXEx27bo1cUCUWkE6zpJQ9EyB3BWm
LcqAsBVJ1x3DgMzOKNONU9tg/q9bObvISK+SYOF9RU8iHYHCtHWmOXSKFALSCLpNVc/kgY312JT9
Fmp+d+wmypF2thrD+Dd3Be8sDEPQq4IkB/U4xxPvdoXdm0OTlymPS/hvc0jmrDJ0O3thePMkvd8V
b1aozpPeYDq5Pk+t8J4DxIYk7bGTurXaHm0lhItG+c29J1oRlyr0IDcwc56pUYIusON9ofbQb6+v
lNC2iROcZ2x+IjIenlBiDrk1JjSm7Yh3YuOtk8g6lvnkNs0v6rireCo2kanvYRTDd6H7AQ+9q2nD
wP/0+0JaOgrn24bYh+ox5Te+i3LR6byOKTLug+4F9zN1WuaYN3FerKcYiJTarFBt3ZbNQ606C0fi
7OqhAQZaWxQu6AiACV09taqPjj5SOgrvTQpvzjYcboxp5cMT/+X6VJ8fPa42Ug8zKnxO8ArrqadV
raiZFN4nSiNt5cmkNG5AU3Hdyll+hRcWzx/1rUfpDXN4OhzfTKww8VVuUs0ZXD1WFVA+/Qj1he7K
vQVbWmmjhZvWr/XIiyXMiyVgnThQvuCt8EHEJ5MB04WBZn1YtpDowY4M9HqVj2kPQUGaLwSVS1YE
H4NqJfjmXG6Og+MfjRSAP50WSzW3S0YQ+nib01mdXtgbQ58miPCq1VHzTa7NWM6Kz9KkyAuncP7W
9w5lnjEuS9TG4HRAfFEwYxH02Hn4dgitbFv2YbVOA6miQdMOt2Vdlpvrm+RsWIRYKkgNINQ4Kqo6
p3sEPbnIyDSlPPomNMjNH6Xx+bqBeYlPBvRmALQyGwF/LJ5kYnMzlzujPCaW7zohcQwlouD5PzMi
FEqGKmMHKBgJYeSJyi/99Km0qgXvcHmq/hqJsDRZbFQ+1H/lUcm/9cAow2l0rw9D9HpEMrPCzr/n
Sriz0jIwiyHQymNeruAIhHOMgxpRpXa9ZtMvFbOWVmYe77sbMvcGOwFkVR5T7UlBADrvb0lgLEya
6FLFIc0f8c6IUmhjFs3LX/xgPNOh1N3B4oW+YGZpbQQXYKco0NCSVB7H7jsMVG649ERYmqx5nO/G
oYXIfEiDXh5tcvlSem8ZT4r9x/XlX7IhnMUkkdIwSrDhj+CB7VctfYaj6T+zMW/Bd+MIcxMhNoTJ
jxGd8q0CNCv5kiyWoxeWQwSc9lMd1YXDSDr4YHWIu0toSK8P5MxRnp4VEb6X1AyiKNXyaCnRvrR6
2hKOvVpstOL7dUMXdzDtAZAP0vBBJvF0xuTGCwA/cux5WmxsajVG/80aNShOHz1joSRycQe8syWc
FjtMPSvL56dM5cAn+kHpPpsQLVwf0JIR4axU8JcmvTr7sa5wEyRzbHQd/s7zj96Av6ZNODBNHztV
/WZFDVYFgvZoELqYXrXZ729pAJSUN0hEUizXhPGYkgqbtCTj/M1ipcNFynsZpvgFKxd8M8kk0EQ8
aN80+U63QdnWkVdUdXnUHCrGPK7R3XRVmOE0qqore+m5eWGRMEdEDiaOpMRZCa7UPOrxPdu7/DqR
uoo1VJas7fWdcAaqeHs6v7Mi7rfBQH84xkqZbuaXy11xHz9EkP0Xbt255Y/pY/CwyNp7cWgGEAqi
UyoaYkdy3ISqpAYt6+Uka8/rf5lw2unJklTLRTPv8g/CdW3ZZMipRBB4RK8DWK9Euovbn9cn8IIT
OslxCBe2qitxY8Dmc4zQbZL1h0r5XDfhboIK7rqhyyv1bjTCcdLqqO+aGnfXQ26gUs5zJ3v4WPXq
S574aw1+X7NrdxSkHw2rWMHOe9NZ2q5T/d93uycjFu4oK49Jq/azh4oauDjVNew2LqiHnV38JiUn
lSIhgyTcVfCA5AotKuWxhki7Wmee2zzVj9Y+hkpnpaVr6mA5PKhbL12Y7QvX1/tBinyCsSIlcT8b
ViIonpGi6MaHhfWcH7BCWHxiQoxYW6QdyVuURwgPnJcW+r7vUOjEDT1na8ffpsbCkBZ2qkhA5StI
BztAIY4Qrazj8aMaxsBLMwgk/5bn+munitDL0IhJNoVYCtVyo4c3Zdxtlfj5+vwtHG5HuJTTtPWr
+m2FsmFvtLca5O1ytOAeL9z8J2skeEdPqlU911gjOe13SldB5e5v1LZ3pfiuUvzd9SFdvGDezdu8
gu8iM6WoQsmY561TiP7hxK/zXTFBfKN/tiAlUOkUbhE7vG50aVsIbqWb/scoOHbcyjHoP9vDl6le
aLYQy75/nmRqZjR2zx3WwtggUc6ytiE8b7J8GxuySyraNQE5W06xJU93105frg/sskWLiG2O2sBf
ns4m4s5RmSYT92fhIG8ffSiycZUhzCQb9mPsODByLYGNzoDjf47yL5vCbdD4odObAW/pDBmVXnsZ
YN23tW419eE2zyFeUA+Ks9HqG+23m1jhqNVBJkIbReWJ1JIw3CjKc6fQJOOut3S3r1tXo9I16mtb
/ikHykIAebZTBWPCODvfV+ws8c07ufluqd4e+gQXqJVLGvDO9+i4gDDTaqrD9RU9T2cJZsUzH+qS
onmYbf+wR9SPVqYNG+O6r9aD/+L8Cn73PM7mwOvQMaMotAgJKUhZsrV+UjGH1FrcQ4G9HnNXzaks
r716ZWULDvripL4zJ1wIk2qkJAUxl1Tr7kmLVoGzHV4RPMqhkfy1MJXzj53cPvPYZjwtYBnCSBFq
GWupZtdOYN4NGOtcB52dZl1Jm7DZoHhvrNWP5ua6ydmRXLM4D/+dd5OTcdTiHIvl6Dyo2ZMyhUg4
duvKe56gLb1u7Ox2OB2eWEKUnSwog5q5rOjssquNOdcPq2z/n1kRViyRpsyrYoaE2okfVdwKvpsr
P64bOfNjwlCEg92DNtZSk6GEQbpTG6TiMmevVcOmSmHiKSukv6qFR+jZnfBmEmImSgAUicQLHOHp
ilqXZ9wlNhLnSIUY8VpKboKlxq3Lq/SXHeE8h0midtNkG3ehTyuTdlfIO7Q5r0/f0ljmb3i37fo8
mZQ6d4y7Jn9CXmytwa5o0zSVGdvrhs6qJ28eGOz9/8yacMVNnqzlNTUw1GBc+cH50XzKZDf8oB6S
7+2P/gVCDBui4KVIdWkOhfu7N4ZBrqht32U1nMg9dMiz+N/n62NbMjLv0XeTqJWKHxUGl4suORs7
hD88/QWZ5ua6lfPrU9h3gouQZKA1jsq+q2Ge1o+oUzqv9k9eM+YXSV63qL4uKW9d3x2qLLj4vAaV
TXhv3JX5TnNuE+uppokgXsKGLJkRHMU0FnqQ+CyS4RcrqCpX/fiSoWnpVAtTePEO+fcePKtfybRW
RdrIQsGBjV4v/mhu9t7BQyJLs8zk9QVbGpYQBjSyJOexzew1+g/P1G+K8jsv+lWPFsh1QxeGBd85
CFrDpBXorNk6tTqpz+sBh4RQQbdKH2HEJ/3+04EH/7crVoCgoIFTFbo7KFuLzVv6CCi8otJ752ib
EZ5/mVN7fTQXThMW5qofdy8kisI2d0B+a5KEBTkoPfJvSb0dc2j2rNhYunQXTIkhDAKTnR7QMnSX
zvS75SZS0WYI//iPxiOiFmw7kcMSRMqdTHAU19XarIsV2pELe3tpLMJFqEaglLSOsVgWolaUEeTw
Ne+W2l3O8yxv609bCJVTUMticsp0pjRrStm4g177znsuB3gfeJvra5S8aKWrSldtXIhv/s4c/mVV
8LD5NMq5NmA1n4FGT43xYjaH6ybm21QIwNh2f5kQth1y6kVQ5BNdW+lzGr4WS7f5wu+LeNQ+a7K0
KEa2QZSuHRAEwA0WHM7lLfDvIYj0xFMJSa2qMwRT/Zo4T6a5l8dwYSXEYcDODWoQ2mpwEGBWzPkb
3t11cSl7TeiX7X0dTcmaxr5f0iAv9QS+FYvfL8Z89GeMILxtM0+0CBuxAfcpSa1097GUybMyvCd9
s+2qe4nHqf0awHMKgNhUGmgskpTcZaq3tbHKB79/DmDtXk0Aj1M37BXQ4GOi9t8UszCGFagJBPcK
GlC/aEVYRquB/PLopnBiZW4q1Y1Eg3zZLISoYmg/DwYoMEr3M8M21C+nU+a0WtH4etLcB2oyPXVZ
2blRVaYkH+FVzpT0MLNvLiyTGBa/2YTrg/vAgWZPvLm1pE3z0tGaexx290vpo34FaDV0s35WIy60
6Wssd58HzVg4ReIWxC5UxjNBJZAGICLz9nm3PTBpKKUs9/e5o8S3QRqBRW4pAcA4tvT+vDCt84yy
CSFS5KEmRA1jAvyxn4we/mlIQgOv+yW1zlrX5KdGmz56bdItHC/xPp/H9t6g4GEjA97cUrP6e0od
waZPpCcnNXtXHemcqmvvN18ZWGNQUJKaALoRIBKiB8UuzMiXh/7e8QKVd3wVPZpe/5wnlvezrrol
ipELgwNpYwGmxh6AB2GTcnuoZuJn/b1hQeKjjSjq+XC2wT8fe+hOlvbuurs9i2bpeAP1BqgUABqV
HPGI+4ZRFwE5hPvE+iPU/EcDus240PexTEjmzcoh9q3apx+jsvigR0u587PzAeANKgUIP4CTQNUs
uDGnsg0poinuXhujb4Ne+4dR9psVXvqZPFHpQu5ruVGxRJh01pXAqE/szsvw7nz0ntkn46Ax6kj5
Moz6NjC0215SaR8t3Clv3BrkbFV7h6hXQKwOGn0zS5mUMxc+U5zQMA54bKY7FSEtVWLLUjhZ5r0R
y/Y614yMjNj4u/BJY7bCpiG7iAo6HRCnI1VY3WruKLtPJK/cZamWEMHRbrGwjc4cDuhFCnQ0bkKm
bshiw4xl51qbt1L4AHds+1lNbcQM+8xC7T0fptiV6ZCFRhYMMYLhSWPDXW9oycvk6ePBoU3/Nhqb
g1/n8XbyZXRgIin60/v/L3/6P23W4t/cfuvX5vUfv7ImbMa71/TXf/9zW/3KfgT/+JS3TfCryv7x
mv38x//NmtfqRxP++McH/qxPSNT5sT9J1C3rX/gFfeY7sU1uTBvH/ieJuub8a+Z5mjmlcIzQS7Gz
/z+JuqQo/5o7++lVI3CAC3xOaNez7f/+p6Q7/0JxAgYhB+0GcLz/579OqOhq4e/3rObCpUOLLC0T
/NLst2z6AoQXcRSOZOMnP4DVMaifYs2Kj3QCmK+drHvbBK0Q8HuxvLDJ3xo934VD1NNn6m3442cA
KoQMgteQhhq+V92JVvRCrsv2TjE+JNb3yvkwRY+zb+wqwJ6PZRNt0ryCyj1ZK9FTmX3Sw3jd9V9b
o4eVWz6k1fdKnZW9JBduEdU70P11SIPuYLYPWd1tO4+zo/soKHxQnadSsRGCiF0EU1wHGSm9HlZj
m+26QHELmcdSsVM9Z9VYSzTJgjCCfTbceRHeOUmtKnP67Rmu9cn+GN7hjd0UVl1pi/zxEQTLQ/JM
zEc9xl1imxGuhTPLwi3YD7RBewOWPbOlRjD0R6968ZVoU2bhH+1gHPT6j3eH4v7PRXy/od5KO9fW
Vnh35IY5pLRORKviUG+25WZL2diFc25r7Lx9fjDddPvpusmzPXy6m0TwEY/p3oRLjQz6Idwkx2ml
b/uFNsaLJuDmnzlgYWIRyf+VtpuURpUIsK0fkx3StozKFjJl+XMafb0+GvGt8OeavbMl7JbEqKyy
w2+voNtEfvCnvSs/V/vhNt/1L9md/8u/oTMUGeDb7CHY+Y2rPQ20kn+5/hViODN/xSyvAksbdxpF
EeEr9KSmQz1KoICQNlBe2c9d4E5wTY8bROUCaHUUl/6O60aFmO3MprBbU6UyZfSYsKnFmy5sd1kz
1a6PrtEqj5d0ZC5sVPhMePgZFNGAf2vzTfzuVMLfIaVSMtOw5ZK+8lGdevAd29vGY2Cus1zT9u1Y
N9tsKtKPqTW2K2c0x89jWbX7utTK2yKt2yOMCOpRCu341xib+u/tOtwjBT6CUpwlBBn6m19594WK
ISn4vxB9ICMIkZeTzTVMQ96thhDFyvbgH/H8aunFI0RTEBhAGkcmTLPg4ragITmdFrqXnERRaaBt
A6OGWc2vtopsh/vrSz17gXdeAtI2xgRpGhSH881oCzdAMvZdFNr1uDdtCNpXam62jRuZmfFUyXJx
HPLRuq1SZZRdOA+sEDVUc4k6V9zioNNpOCC7CJEODYo87U9H2pRqD4LZUfZqazabSB/U27rr8k2r
TskKOgJlq6lmfFsaMqIUvoqCTTxEj3UTLT2NBO8yQ9iA688pCJqBeGcKUz7lTpP5tV9sG82cXGLZ
8jYqSpTGK/uXFlr9vqFNY+EOFiP32SjXLx1Z9ATRDSfqYORaHjVSFmB0HNJPRdrK27B14s+WGsX7
QNOQOaSTcVrrPvxoUDKP2ly0qatxZcOViy6pEmcLhDBixZdvgmwZnBjJqbmR5k0s9d2G71Q5yPty
KrcB1H8r1JniW8+iYbGMK28re/bPuE9unDzMwS+O3bpxSvPh+r4U84GQlOENoKQxHZwCCGJhUxiT
VypSVQ5bM3Igvtb7TAG9kHRy7gZWHjxmJg132zrv9MIN9cC3YHWw8w9eUJWv0Lrl5tbJeliYg6H0
vi9827wP3h0avo0WErYKIpDzP1ErSvf7WupKtdtKodYP24nk5WMEJ+4+Q1T40TKasHRlHSJjuDTH
4QeieQZi6pY2Ku5UVdG9DScjAEbVkvKNVU7TZ7RL/EUSI/ErOUkQ+fNS4mnI+RETgxQYG6u3MnOP
A/A+DAl9xUoPvGVIfXMldaOyjTWldm0kvGBAGbJD05MIr23kScNRbVcT6mPbICzi3eA37UJ98Gzb
z18HBQi4FKJn0BNCGiIeNRRoYOzZZ3R+QggX2zZstYG6NVJ/dGPE9G5yxdOg4EPfnRRduomgY0Ai
BGIicmtLTViXJmuuCuBzoUng3XfqgwrqUU3hy+YeyuRy5Qx+uW1aiGVVtLzW17fPBVNz6hGvDg0D
TEhCfklujDZMG9/aO5P/S66mZt1rlbVJbdleuMfPDhE0DBaN5TNvljwz1wsXuULbylAasbcny/OD
Jtho16RKgJpXFrtmk2mf+0rXvkVlkqzMJq7WcVQhZVFG9pzUC1ZWX+YL5/qt7eT92Zk/iSZLnRc1
lCj0bJ9OdK/hxqzA8PZe00Q/h0TTH5zWOMh+Iq0ikApIr4X5bRI0zjaTKvWzQiuw20dTA0EMfdqF
J7W3NYRFgZt2jram9be4bahmb+MkLB9L7uGNArrq8LtrxldDoMErjwcTHdynX51wb9lqHXr7trOm
D2E4S4y2pbxPaMdb2B7idUhsiwoE1TaTFjIEOUQEcjOSCI8C09nXRl5+SOPMAmNa+e2etFNhQOfS
+N8MO61/BZ6mbdVIifc5Wk3Z1oDQ2lpdH/jbyIT14mE8Q0Jnrg183unIR7ON4zoHbJTVffkl7734
QR+M+qEIBg11bE8POjc0SOutGqOTfmYcrdAt9ELfTKSD6m0zRc3nnGZ7G+lrqS53U9fmG90oapQq
tMSJt12DYmPbVdFrakRGvrdSQy5gbDIgdVZyI114pZxdbvP8OhwHhTQSD3vx0dsEJMr9mBF5TWBt
03a0VhqkintSOg1STFARZbKP+IGk5tumohhByNHurk/ruQ/gGyAlJPYhsqP0cTqrDbTSQ9JyCkp7
hCezSCaev61+E3KHLeyn+YwLC0hsR38pWQx2iNiPm5SQjUW9LO2jWVis1boAgSkr3tqtIm3KmpbE
Ppe/yLCtL3ifi4ZtasczLyJvCsHPaXWBbFdZS3vZCP11Dt/qSisnZUPLU7aW0kzepGVTHEd6axeY
bYX3y3yC5vgNQgF6SekQFvYsJ7mO/CH0D3qbazd9Ucuu147yfVbr4yoc2q/XF1MMG0VzwmIODeKX
MLL4B3MI7X0pB8ahlc2E6rKWQ5/gtWv4JJa01y/sIALVmbuaojj8y0LgnmodV0gbw0ro292mqaUv
VhZRBLTgYfkbw4MfmCImMh28QU/3aheoamPnCsPjSbI2dIiQZSv8SjeTd6Olnv4J4dUF2Or5AuL+
ZNgoeACRnRKdTqyPdu8h0noI1KLfMbdPWgozUtXb+jZukSe6PsL5cj89IpibjyFcRbwzRNYSSeur
Xmsi/0Bmt31lxZKNp7SfinBKoLA3tGxjV9BIpPbkoNoZLAz2fPtQ8aTmTe6RFCPmT+d3mFCfS4H6
HKAGzg6SHdIyoXbDXWXNAWRYePBcT+lS/DWfPmHMMEvOvcGsKq5QTDhGdqIoo+3DYFkMgxuobUuO
UTK0eNXSofhHltn+Z7WBbvNgq55yk4wcZtJ/mf81H4KlJICoYMaRJe9KeZWYH0EtRSwT4afRmgYe
jEM083Wv1+k+qAhCzaCsUY+OyEVkFfjIRDIOTh2NN4pTpdvCq5ydZ8ml23WJ95DGsbxqAiXfc+bb
m5Ke65fUiqpNncn1Jh008zaExOQ+0e32QDkqPiTZOKwTXmCHZvTTe2XwtI/NqCU3MnQhG1o/ypth
tJNVaDdLjDzny45ThNNofl6hQGEITqrXwxxxb9nZD22wrtS7qULD3njJyruwW1JNumBrDlsIb3kN
ULkVwpchyq0qRQH7EIaIa5Wt82IpvnyrFJQZnSJ5qqdkiX/iwjULAd3MMA4fM1GTmDQJE7WZ/Mbx
D37k/SwUzd+bTTC4s7s6TnJb71vLc9zEceK13WjWBy8fvYWo7dyN8AncATzX5tqjGP5C6RM16Kf7
h9jOO5dE26vUlugRj5O6Mft4SXjj3CWjh8Hkwi0AAwb8PqcHGZB7phW+DylsNrY3kG+UKCmp3Qcg
uL9JaspxmQsGMx0WUTTqPMLdOjZjCxt0hqiXbd74uVe5kZVaa12vk13NbBLJe94nU+7NdanDNHjd
X14IUefMFF4LyiVebyKMeYY3Sx3qwYciz+1VNob2ofQ1qFkcDZVszZr29ZhK3+suUTZ27k3HLJe+
hGZnOQsxxvkKz9hFGAeptJIEEikWrUiiqBPb4QGG5mqtpNL0FSU07WOXFmEEaU/RLAz9fI1ng8g5
IkqByoI5XyXvMiNeFfX1RCLsoIRtuJIcvb7NkuClRB1sITN3yZIBEROablyFBDKnlmLPbqUMfqOD
3DvQMVmDtud1UrraJDcL+c3z+w/wFbsWkmeL7l4xXoIms9d7K4kOSV53N51nPCXynHCri2Jrcvkg
Aiunh6bNqZjkffh7gIR5L2NdnyWtiC6ot54OtFDylsEW0SGrB7gCvTLflh4DRY/sMHVWvWDujR7v
9ObDHlsUHD4oCCp3p/ZwMyUlpzw6SJMWrHvTGjaGXIUbXifhPq0z764tuugG8qlxVxehtBq60XgK
mobGzBZBjUZuPTdqw/C73Faj28S5tR8bw1sT3XqbPnSKQy4RLkwB4AaoHf2d5NEV602SvfLIwb4a
XfMA1V71eeFUzjvibGA4WmqVc35KLBX4sRLUbVZHB0qfkZv5prLuIFsGwpL5u7oNbu2+1Q790LQA
n8x0M4SjvBArvrlU8RtmyVN8gi3D6CI4JmizW8WGVOgweEq5Gchwrwt10FA7r5VnkFnRUSpHFjcY
cn1vWFLzQc0M+0VRmOy0qvKdlSuB2/bpBMegGbq1afYrE1DH3pY054Ok+8XaIs6+yRQenii4tA9e
Z6tuK0l65tpF/6rx66mlZbvanJaUoc/vUcoxBnzvs9Mh9ha2ajl7lSAYIoQc9WgLgXG2mcox2EiJ
r63V2qMtgHan1+vreskR0F2Ec3MglKbudbpfdSVCKJpkyaE0W8OV8yEn89tra6cyfhNZPB9F8vDA
ghwSv2CSZnf7zruFft0qEXTvB1VCjjn0ZP+WDZRsVQiHdnHUJwuB9xzjCLsFvnGOIHcvagOz4Pl7
e05e6VRc2LFKrZhrTa9CNzDKJQjS+UOUUSEJi+em6o+fObUiTYjzSf4UHbze7PaRYQerJqz7VZ1Y
Hac5c+4ktc8RhKu9hSj74vhI6VtsGVRVRXq7xo+6IlLt6FArdvtRUaT8uc+d6v76BrlwCeI6FYJ5
9iUeTYjuRr8NSHRI0SGC2nyT+7L3cRw7aS9ZUvxgevWS5sFlewAGeLOQxhAZQentTqu+ZT67MNoY
dp1vVRONUUpkums3S8XIS6tHrEHpk8iKOpjgrmOYeX3HwppVK+lt0LfxujGyaT/EE3zxIwq8w4sv
+fnmb0wq9TBOOcgM3qKnmwZlcrPyMiM6BIUa7KLIKtGJTeBh9EbpoxXKxsPfsAc2fTaHlKpYiEOr
WHfSLogPRoHoDZWv7IMHl4cLzy2Izrxfoty6cOe/iTuaFNM5FeJloWVJbqPNHB9IfNI0qbTRfqiJ
HhvUZQ+SDFGmMyo5SVcn2JM9ChZCjgtOjbAcksKZm4gknLCqkZeZ7TiY8aFgbGRnjOFuiKpvAxXA
/fWJvWyJraNbJL8obZ0uZEAN24nLIDkoXeRtaBWt9lVI1dyy0njhuF948+CuyLgTks8qNOL9MEbd
oNQNoQXkncH3WJvKwziW1racovIQmm1x8IfM/tjnk7ciJKpfjK5efHjN7kx0qlz/IErnlK3+9pHv
nHgBMXPmKWNE74nhrWSzHneE695GS51pG1idAqtoquzZ+/4qyuhO8U0NQnLLK/ZOKnW769MPZu7s
e2ZiRXLmvHfJVInJHF3SaPgoJ2kfRqWiuI0V5H+kja4cLSi7px0Ap1HfN0Ws/0zgvi93pu71H4ay
N77WTTGQbTaVT2Y2VB+boRrp128H9UskWd2N0Xfa86j3seyORZPcQ8xA840cB2PgIu7YHez4a9dk
j6patce2mFp7S80z/eVBVjVs1GIwvg6+Vtu4kWjN+xEmm2J6VFslucuapN54BBWPqa4X95IWRERU
fYpaOl3UY+KWOuHpuvRMZBVCv1di4vKsWXdmBsiJcqQ9wLWk1dm2omKbQFCd1LsWyCmRjxGnIDCj
2sao0SQ/cm2yn9M05MZNB5hD7WJMPtpyEnzRpcmEwyUNqEObvUYfemtRpA/aPFXXflaaH+RKKT4O
JWStay0a0he1xhtWlT+YOyqPfNs4+G3sjnpQbxTbc17LMa+fU/I81lox0s5wQ8Dp/4+9M9uNG9nW
9Kts9D0NzgPQOECTOWmWMmVL9g0h2TIZnOfp6fuj7DqlpHyUXbtvuoFTQBWqyraCQa6IWLHWPxwa
Hjt06zhIldUkUuVrKmfBoR1yYbtSY8aWW8qNOEhGXkhbum+orkxtkLuJEhmXvV0AuggeI6cF0dUV
DTZaQ5Ipj2UjEAlQR9qw15Tc++dStpN1LPum5lIvBsIdRJa2m9+6dZMOoh7dPgzaC5siT+alLZkY
1VodP2mtEuODHXfxsxWqXbM2OW++6rnVByvsZ8avjtKY1jmdcD1ZtZ2wrotpDJ+MWPjOWSVZyplU
VRoG46hVXU9NXjuukyIiD6tEVP42M3L7u8jTgY+Y5AB+JLP1r5zBrA6o6CuGWwGDUNaD5E+2K9rM
4sCT8OJZScKZDqku6KK2fm7H67ixuslLwi77nGrFALnNcJqdHub5HkKpeTaFBuWmyJSvoCkUe7xH
KzSI25IWhNV13V2RYRfrVTWeoW4ytcq97LOn7KqkjS4xuJZvTT697sb+AK/AlKR4cEcT8chtIeRg
15qlNnp+Oragb3vrRjdTW982uuV3boAXQbnKVTlJieBU/hFOPrB9jB6A6qptUDyqfdE9B3WMY0Ah
W9ja15VcfNUMkb84kAwOmjG1T5MslIFoHui8NWPBQwR9dBM1wWh49WgYz0bTV7LnD6UM4w5oT08c
hqAAB6M6tCU3ddf2SUK9rDXMp7oOkXUa2YOeMHxFwRy5XudRja1oK6bZm1ezRZF6gZh/ThLBQpvA
CenciHPlOU/aJMGyLQ7vaDcFqpvFuR55MTcbaDCh/kWAUD7PyhGKQiKU1vekIOuEK1Q9++b0lFhd
OxdG6xZiDMRaUxPtPOT8yEFUlOiAVWWsGWudY/nRGtMQJoBTsJR0Qb/Ka+Wwwuwpa8dxnYSi1dx+
nBI6YZGZ3Kbokt7iFTJmrjZYwYp9oPoOjy59kLQIUcvcUSN0h4F3upnf1WdOP2hfpjjrfvRUgoF0
iaALPPSFobvXsYKS1+RLEtiyMGm/Vj0qS5DJtPpbEGlZ5ao9JlQbxZH9733UNl/6MTHxRqUoqruB
lqAixHOH6SoEd4q5p9DH8oyV2nypszC9TvoSFRe7RHvaDdLG2EfypHH3Lpz5uptVw22o98W9qIue
D9oStYiip+pLWE3GD9nn9uNORTDeVmhFS6AKIkyoYBEYRLkoxC07eIAOg6FNHbE2Bk89ZbfJI/Q6
uiJdE192OP0+d34WPluj0quu3IE7cf1KhmSoxZOzH2uoJas6t7P+guuRdp+01iDcsQ8olPdmLStr
Ft2A6ezYxh7t++QuleHaGEVEY1g8yJOht5siBtnDjaZFVRQf1UJeFVJfrlIAqP3KB/DWu0k3FBUA
I5GHt0Woy5tUKa1sl6tTF5zXUmhZK3pY0l07aWa0FtFU7WvRhnvH7pznnpd5H6T1ZWo4D9wdo2hl
tpw2HpwRG1Rs1l6iljGN64gA/lq0XSFctivnUU4CaeKGq45wIrIUhyA7blWxbmMh7iN0Ar8ibh5+
4cdXlkthiu80xaN/PgWdg3SoxGKBK2nnP3PdV1sXXdP0cwo08nNb4wHEpJLBdJVxkIqVI0lZgJUq
yYgb1saILPSkGXt7bPNtMhTqZVLGOrE9SEbqIhsiVWu7d6rALQ3fJ5hCWuzERDNrI+cpmJEwjtdj
lRUoF1gkWFNad5Y7lGGDUjlAJliJTh+EPB5GZU2dK1+7Lqi3+IHgUmYqRap4eSD1FwSzFrqWVljd
Kmv7AjPhvBksKJp5c920LHF3zMz8a1pialSQIbYePaMBx9GQwjO06xhJvb4IwIOqZac8SqFhX9l0
H3+3Uv8R5P6meMkOTfXy0lw9Ff9z/qPf82KsRBA2/3H8n8C/f//kGcN+9B/rVzz7XftSjfuXuk34
o7+Q4/Pv/D/9xd+o+PuxABX/PW+zZv5phGf2Fv/uUMP4r8H02/YpXf7uX2h5lM8+Ud8FMM8/ZfqL
XCB+oeXnX+Hex52I8vNrs+w3Vl7RPnHJpgJuc5fnKjNX3n5D5fkl0n0MqYBQAjmkPvRPwPJL3DrQ
IaqiEDR4OGVuoixy+oDyu6z2QXrTG0Vzb6dtu/MrLXpWuqqy2fW6jGqzFTo72ZKTs37qS2REBi1Y
sy6Nhsgdq51Qr8QY5sO6bOJgnzqOtNegNaLP6KgPrBdxrxi1/y3Ie22NQK9bcHxd4ysydpshQAp+
jPXPgTS0F8gTSntJxd1HDP7wGX3/CCcS0BGXIQji7748bEhdmjsxxDEs1krvrLWqd3no9cZkn6ck
ovUmp0IBr7AvL4HJqr+BQP8ocK/E9wpp9J/NcZS+Rt7fIfz/W3ijcf9RfO9enqof/zqrk5klMv99
9X2VZ0/JX/+vfhv8rz/rN1dE+zQr8wJLpv2Me+Tcy/kV/Zb6aRaLoVUJt4x/zBD0v7gihvqJix+3
aYs71sx440/9xRUxtE+AZxCaJ165l7EM/skKeHd7n+tis7ca11pQu9aiUIfHTVP7uCCdaaAxN5kz
TeeWZe6wNau2VEY5BzhiIWRUX3MnvH/zBm9/3STfMguWqw+XDeo+EGVArwDmArt3fKN2mskucsdH
6Q7W+W0h107O3cjPH9hO0qckC6V9rhT5urPAeJ01+jB2Hu+Tm0tnxuswy8H26oVyEZHhBx7dAeVC
hFmibKpEzh9FI8kOducd9wtj9O3vHGHjeeCY036K+gmFnlr93mVO+Hmkwv5TitqtnkwD7lZKOx+v
MYW2Ke2f9Ni6HxI1qD2OQ8l2J9QPH0cpQ/zbEVtksTI3MbW0dbEcbzjB5DKiDS758o2ViOjz6zv7
7wX4P5RZrv6/PmAuRCWenxpxtM7mP/JrnSG3ILMuYEyyxGBgvSFlURL+RGkYQg49GorR8wH0e6Fx
/sxMYIS6DUot1HapHv21zuBrcfrM/xvvQWADGB/8dbj+ju2PaFmvPdu/iykMYVKjmpXFXuFi3EyO
Y90QMejaoOluqTOo6yBHoD7uxh9dIvofZYlND84zxio30ZyJZb1eRQoGx30LBUHFL3X95tX9YeW9
VqqPnwYRN/TGIK6zAvnX46dRBpGkoT/Ft31STG4laeeKnCZfBgNPSZK7apcqWYZiiwI0wpmadREq
CJIozg7JpG9a1GOeUtvpqkzt+n7QkmrbVXp5NuVx44WQRi9KLenXWec8DgLp848fXjlunsyvErwS
UnTA0DienaX4/hD5TYuiSHSL4wXAC5k12MA8U2p5xTYc3+VVBxplspvzRu2c28xWgo2vxsm2L4z+
oq2D6nubdvWXIvGvjeE8VZSXj5/wFeezeL1gu8EqwN0FA7zsJnd5outDzBOmSiLv9bTofgo/072w
Mo01XXjjAg9B6LRyGXtKW0urcgJIZ9KwAt6TrMIalVo91fu7LMjrayub8m3sCO6GUo/fpZxicii6
ZJfbgXxTNm1w6QzyCBJhxvUPjn+qxHpceOMqBAaBI4J2HFkad475EHlTCBRtZFWxVGDCqZmoFnRy
penu2GLiYNupvwpEOPSeEU77Gns4XIca+bmk2nMjaqVosKEbuaM0QbK1kiJaBagYXBtNjB+un7eV
V06F9D2l/+57Kdu+B219Kw1GdjvhqfiSjTV33KmZkjtbJh0SRSWtRN7Xu7IUzXaadFL2sqkUTCUm
IEf4QecXw6jJqDUVWvKATKEduX5XXkvOKD36UVwcuM6YmZdr8KtdSMDZNx9kAVjG5oVPVipu0lD+
demFONega9WMKoAoHvVm6Nd+0PntOVWA6kTIzAvuTcRY6EEAw6BtDh5DI7oX24McG2Ud1CI/TArg
/owr/aaxC/0UH2PxJd8Ns8h3dY2buZ3jssaFtthK0RRuk6lyKNnlge9CWLoqlBBQMPaO1B3SL5kv
Z/eO1t6nvLyPF8kr9+NoytbcI5yh25Ci5PdmOVY/oHVkFvspBczZauZwjbqJtTLt3L5sFSX12Myr
bT9QDzC6Xvk5Orl0SXkvuYgrXH+BM+vneungDMiN380AWa3EaDXIBTcZRnql9mPgHrFV9X6XBj3L
pTLrCyWNlZ2pNxDENDs33KyadgmU2IdQ7oarYBiLm8qmLGmFUb4DXCzfOkmv7Pkb+kwZlV+4N9kn
OgsLGAwXEFrcANbA7AHYpv+2yMKG0dTAEA/+vtBUFwz2VcR7qKME6Ro4FL15bhadFzTRRvT5oYTK
9fGnWEifzePzHTCuoNA/M++XRouFKhqz0WN97096eW74ksXb7c/NBF+T0h8TGje+OAgp64AlmDZO
JIPuGiAdV/x/zF2VOLmM47E/gbB4tyjmx6IXqULpk8mFF11d0Rhqq1EiJAscH8xGVa4NEepnH0/e
WK68eRDUT2YG22uKfry5jSHGTIL6xZ7qoLY11d4dzLw6a6vmxOI77nbOL9nANhqGIkCyGWxLrvF2
F1Xx5qx1iAlkn2ngSXke1m6J/OCqBjv4Jc3V4cRBOf/AowUGO92BEMf0ID+B3T4esArLrk0UrdkH
er2Wu/FmqBWvSc0fHazrCg4E4KT0xJh/CGXaVSAMSJmAhdIpOx40KuSYTm9X7AeHqtpUHcLR9qaq
3aZD/WxRqp8ca91yx5Wj8Keqpie6RO/njHgqgljUGUgE9dcrx9ujykz1mkLjsO+lMFhh9zXexVTa
qYo3/U3dqM88knoObLM7tYYXwWrLM4YOEpICTYZgNRY7uJ61NWVdrbqBYTZdy4XwUknJz3tLNSIX
VEqKwqqY1oWf55spTv0Hmjvdhtt/uStbu33iOMpvI79UT7yRha8hwj7gFblbEQskuHTPFkiauBOs
bDLjG7OZxrvW7ozztOxVL01r/zD1tWsOCGQ3fqxtksK5sOoBevfQ/6DWQMXOysSuJW/ZhDkokQlY
+CqViaPSMDkeiuIUgHfR+uRxoTORkfK0SK6A+lwsE0lFeETC7RuoXwdvOHOlrr1UjCtHG1cq4sNB
o256SXL9ZDrxCRexA9aSS7qOjxrwbeiIy062H2RZVFHSuRmzBvzBaO5UkAJu0qOwXSSKsclpv+4c
FMX+0Q70Oi6EUUAlFqVzlurxklESkB16GE43Wi/Eqq7zei1Z+LhQHzuFOlykzhTasLAHvQtPly4q
wXA8FFhPpbGEGd/irCtdW710mU0SfHCLcyb3Wzcc9eHrx7N7Jbv+vQ3N8DiHgshMbOJ4mfWyjsdM
uXqJ0a+mPe72kwv+3qYeX094KmqVsrOSKV3TpkjPtLK1znA7pNBFSyS3MuVcnirFHXqpQyE+sreS
jL2K+/HjLYFm8+ORpKvY0oIgmlvux49nDGGUcX6Ne2TjPucKOhJBWwmYgqMDmUgzPDVAo0ymUfOI
uEZ/6QeivhaA3FcxLhwX3PHz9TTo0UoA3Vzb5ggFDpRO5YZZHX7Vuzo+mx0f7UhYni/M4jpVo+mq
ivXSbQb9sbWnmT/ZDuda3UWnduPjTen13c/yTOCIKTIRaItNSdQWzYKgm/Y0vUzP0QRC63RO1sU0
YAVahrq0SVKlPo/s5xbLAz0sBs9x8P8liD6ro19rXphO7feP3/nxQuOp5nswmguEoaoRFnOUvtmk
AdZ1ceuPyj5qYu2HYbfZDi6V5WH2l61DIQ1fbTBAG8WXT2U6794HIwMNJc2i5gXrdhGLsjXouZHl
yl74WB7TaQq8YXSUEyf9cUoxz89i46KsjN4Cqfxyfn4TmL1S2tWeLa7bVprxgO+XtUKtRToRvcfr
+ddI88tEOXym1SzVzIAWzVi1vNobsE4ejVxp10bmXKgK+IV+oE8VOpSnPv56i2xxHhSC60wDIGUk
d1/S7O2yGDpOg3YPAi7fmFKo3polzqlqLjWHiM1nHY5j/6XFLXMt113j2SF+gzgtpiDzhmAHaiIC
V27Vp3aa+R56tNO8Pti8hiF/YAW7WMpTP2SQxfx2D5mLBESoyjeatO2F72vTWT4W/oUfY/vFmQYw
Si6yc46WiOoBjg2ZP1yG3MI2iW4EW2OK1POkbp7zwH7RMyn2moxy/cfv8VW8c/m4M4wQMzpURInI
42WgZhCIJa2o9pXaG5up7IfUzU052Fplt7GrAsrI1KZb3ar0jWO3w77r7JjurTqF30yUyTx+Zn2m
KFN46Wt1gKgicu5G2aRbYxaVSIMif1EzkZ4HFZT7uAzEhVNQJ+j0Br22wnAuQ9XO1noriusql7/J
tBW+sDGAvkPNyLrWsK6FW9xX12HvO/uuKexNGCHg0dLQQCxWL+kFZ6Yn2jQ8kZS/JsOLd8P2wHk1
782E2GKh2uaAQ0oXlnvNN1H3GXNYlmOpn/e5Xe2kvGhugiSUdl3f3hr5ND34uPF+9Uf0F2F4b9h5
8eGgKOyqBvoGoxOP16Okh+d46GXPH3/G47T+dTVwgsC24vIOVWOJqo3aLG2nUCr2yag3O2dMCprq
KmZsQ2KsmsmY1h+P937Jk80D9+DlkNnDxjyOmqhJDGDMPqAPVZUfYSO6kCVirxIOlZixMc8cAwLQ
x2O+39C4hrFP0xYHg4qq6vGYqWVTr6mCcp8PYA0qVairsIECyXI+Bfz+w+uEDoFWMJ2R2dN5fpQ3
Z8MgdZ2J2l25t1M7R9opCq5zIB2eCOPsPGn9U/TH9+PhLavhoqtQTqTtrR6PZ6VmGJKD5Hvk9KX7
vgAfGfjh6I4yhtmKFBUnXKjenX0zmh2rOUfnmgSLajG/um6aSnSCqkdfmbtJqQoXQ7puY4radAsT
j5CowF+zkrv2RJo5F8ePt8e5yoAXAn2/+ca7PJaQnzOLyGSqwpH6r0MphudCKaYvTYambGlo255t
dRMLWb2WSmFg81EYZwmi5OtCkVpXytR8hRr7+JBEO2zOHRgLAjSG1A/YQm5NfvJqGL5JCueOb9fV
LtM1ySv1tnpA6jJ4aBEyTTJUnVjNYqOVTQaGphv7XdI37UU+5SfIu++Cdp7ubOY+JxuGtpxuUfm4
lXZEUhAmqFOUvtik7KDkuMm4+3h9vFuTi6EWGTyc4GzyFfYAu5AHT0rqRwBYgpuD89CE5aM6Nqcc
POYW+PJjzthMSrJcHCy2oeO41TslyhEqSfZEq3w+YD3dekni5I9mXs6SpkLzNCvM1lWv3pbV1K1M
0Y9XlZzhPxXpspeGlb4GO5TvnWgSm6LXzH1ei4rS/ZC5ozHzTqTmZb5KrM1OymV3qKYC84x8ii5K
e1qVg52fN2l2amaLCyAzmU2m2fFnFRts3d+VLYBF1oB2YnK0PnEnsL8bp23ovhV1v6FVOaycQT+E
ndaAC6myc+TQTqyUd3vC/AQAFV4BC1QRFttd0nfU5OMq3oPUCyN6eab+oqEpsRk6Xbkf+/SU1fWi
avJrzugn0ZLBqQTm32JEOaP7AyEk2WuiNM/tzt9oXG+NGQif9Uq1C6Rcv866KlgVOlo0otQn1wiH
U7Ww96kdM59by9RFKcui134cVZgWWtRHgmRfRaPYto4TbmPdyiPAdv7ktvULJkbhTg0Gew3gzKcS
b1BC7+CN+7Fx1/mV/RRGw5ePV9f7hUwLj3srnSrKKsDaFw9VqxkAQCPbK8jfPMD+TVCNN8XaiCXl
7uOh1DmvOMo74FvSnPtFcbXZoo/HQv6EAhaXhH1Rq7Gb2yES/CPdFTcw6kBDwywNzltNzzZ1OPtL
qyNcXxv1NEiUYASVIvIMcMqUD7Io3ioKUDGQoOBta1VBkUxtNmFoaqWngGPc+b6ThydO6ncXHNqL
QNTnQ9pE+WtJqNQVycergCKjbuMwlw2Z2FDctFcfv6alHsy8Rl9pG7P4DJvQkvTNdgC2oe/yfScF
L6Kzdr2wH/IZNWoIAwCpITVuHgr/ToO86kp+q2wB74+fYyo7XiKrJxUZ//DdEIvF3BG6EUSE5aYB
oBZnXyfL9/TlLS+NE2cdj2p0LgrznqRvusrGGyxNpQtkku7VtG933anbx1zZfBM6VG4IU5P6zXy6
zi7Qx6ETSPgCSE3e3ykUC9Ztg82QHss/U8NC9dKqq20AW2OjZV27TqlfpWl3oly+uP7wAAAvNZQR
KeTTtJvFR9+mTloUxHTx5GpfNJ3pFVOfrPM6+pJF8lNQF5KHKLS+isySeqymnNKeXgTer8HhXnHx
5VCigHY8uJw0RmSaRb1HL+OHKo36JRXw9P7juDPeveM54Z3fMZOEAbDkeZlG1U1Fb7Z76qn2VtP7
YDPRknb5HOiKjkjCkz6Z+QU+TGiuCMC2OliotRSG/r1ZTPE+zu3pyYzy+Dqzo2GrKbH/ODpF8DWo
ZbHFPTzcqOHQbjIEpjd20xibEPW4jUhr4M5UaXZNzwUkzYIbfC8plrZdfTGEVry1lPCxM5N0C1LX
WctjWF2b8Vhzseyl9RiNzsU0DflVOJSJawVWdN8NFh7BtZpsQhUcuV92uhuG+bey3OTjRTeKettZ
enkZbD5+h8vMgXUL1gj6E5+KUginzfGXSjslrrVBm/alI75rCGR4qiPJ50nqCAM7xkmdL/JoOkdC
7bd+MBbfgrD+GrcUiaskFs9FnjZXXVEVd3bYQIQJw3ojFWHudpFtXhQZoHEjzfsbIxwdz+mMDEqE
j71vm4/qldahnF1XQbKbyumU9fq7GLQhrwGlgnoM2ENbRoeWSlba26G858KAUHU0SHfQEfzbf/4C
6augJIdiLwXVpcSXKSBSD36l7NtkWOWDWAejtYbSgMZEtbGV5hDa5g6r6a1g24v7zO2y7FZJt1nw
JahvsiwVrjZe2b3itk62DppdUjX3sehdJAq90WpdFptbaP0XgxP/xPnwh69PKVbBtRXAI8toKUfd
A3dGZq6x962VY8CZxxhI2zm6pLo6gLzVGsFXHmsUk7rcgP5Cb9Ctgii/0staBzdMOacbIT4WQKi8
suvPp9D+DoK42Bqt4ZyX9LDvOpmugi3JyQ8shMMNpxCAdog0KyMw6G2qar/LIyc5cXYvawYENnmj
wcURapCtUsE/Dmwl0vskDBVpP8TauPEB/dIPDm6TqRtup6krriopdL7UJk5pWt9abm9hdtGXEC1y
MNOB0MWmlOWxdEtc41BsQ1CRltFgrmAbJKuPg2iR0/CsSMRwUM+tGaqFr02bN9dcC643cPRW3ec4
yVBdzuGXFJPwYkmVTlxO/jgURUKufNSCWRvHryWANoPVn6zu1TTyuXGVkB1AQKxjwmv/8ayW+eOv
aTEvYNP89Y4jNxiN0k9Noe21aGp3sR4oq3TEJC7U5AsuvW5Y5eIsQYdnOyrOl8YZ1R18g3KFY8e0
UhVWhxzlJ9LHRTb/+kyoAdiUYgGIsS8cz1/PkV80pkrbi7D/SS5dZOq2M/27ROutE1/1j0NxCPNB
qQbRxzoeCkYXQHKAB/tBST9LjgzJKxPmypRkjJzyoDtFE5yz0aOUw2YHAjsJeMCiobNskAd6TsRP
mbPHwiN/NiVcMZXAjleZ0LsEu7JYeRxQh6xXwCJ3k29LP2yjs0HRZLP0vMmV47YYg7UOjutBki3/
bBKiOFOoeNJry6PxxApd3Fn5EhQ8aCXRGp4708uCZ98NKUXEKTqgl4By16T23zWl0HZggzQ6bGp7
VmXilCP78m41jwpeDDQWvS/GfN0R3yy1rugmR+nS8lC3qnkW5fSb0swsNgiLjDdVA/QjawftiW25
WMWQqm8mSDprHdjbr8/139hNsJtsOv81dhNcG+y/9Kn+DaA+xnDyR38zBWTjE9i3WXIC8DM4FHaq
30wBfgXZZCo5CkVNelZkl39hpRX5ExoypL0IbvFbaOK9wXDKaO5byqzF+xoG/MR/gOFcnp2sNaKI
55tpDPSJXzudbyLJ0aYgjkNd2ZVFrZ2rSYxfXymlVrgqCrCbwiknl7bCeJ2VWqh7Tv4lCXT7wm7r
bp92Wn+JMAVFTaWWnyMrKs5CM7iFODp6ca8ehGIhlG1lXXiNhPf4uZT78XtXDooHkZsOZKaP2Znu
11d518e/Glb/KDL/V1s31VMinrJ/uW318tT+K//5r0MD5BbD8+/1Euw//+z/RPv/v8FQ4eb+URRe
v/T/8p6Slx95Jp6OQnD+c79DEFT+DAMA8WhysUVT8T9D0LA/zVEGiJ9G6qz6+CYE7U9URkmpaAPM
+N65Jv8XjFhVPxGAMyCGkxddGrpl/yAEl2e5TvmdQgjAXSrj6LDOGfCbCMxtC6OmoPD3afFME82U
H8JTZdPlJv06BPPkiWm9IE5yPIRUtckY6mDRNCFjofDYOILN8EkJ7htuKG8+wO2vk+otA+Dd3jwP
BioF8BVwC7on83zfzMfHb3mWbZb2/eiG3njtIPVSbm3FRSE81XfZVj1l1Pan6akQfRBz5PO+k6uT
o0Yp9FyX9u3P/Fv+mUIiTaJTgyzzgHlas8IhbHV5rs/O19g304Ix2NtaZoDni2y3swI3DSpPNyI8
XE7Znf1hPsDWaGgiIjPTrBZD+agRBvSH/T36I56kfy6SR7MoXDqDrimUE99recFiXlx8QKjQa2a7
lRfVMQv+cpHDxuaG063N6karTgnHLAP8F7qbKxwlFP6xREL2TRxmQzgGh8KXL231Wg6MldT264/j
bpk3LUeZX+qb76OXqt2NwRQc/G7tS66pPfg35qYDtGGd8nFavrJ5KIQRkUFn5c4V5eOhlDpofdsJ
wgNl0sqL401pqLH38XRe38rbPPB1kJlgMHuvGPJMF3o7n6HXtIy2UXioQG2tRmxQik2VnQ3P+Zn6
HELSzIHlu+pDD4cSfquz+Xj8Zbi/Dg9wC7UKbWbrLXYltdBA4Kt5eOiSz6NeHsI+34Gk+d6XxYkP
t2wOADyY4Qd/D7XYMDiqIkvpy/DgdOhiudYedu1NuVEvh6v0BOz9j1/uzVCLLzeTj61UMJRidmfo
+gLAPdVXXS5eZkPCA72LziPIs1fSyJs4lM1WaZ2kYjZcEOzRuADfuo7s1GsUBUjMqW3p/eKav88M
wWIDBP+yqPzUtaEV1MiCwxCq69hhc21WUKI/DoY/DTJLsaDGTu8GCMNxLLbhBCi0Yo/Iw/inpO4m
I/pMDe5EyL//OJQyUXxHZh0w7Tt8QGRndMZCNTyU1B3vdSVEzcLypX9YTifcGAZJUTIC+tHvDkN5
GCutsI3wYFO0GSdKpwr8zxNz+dMbg4E6pxbQjchXj99Y7SQRTe+AXbWv1m1yHSbitguj7cff5Q9v
DAIc9SpglaiOLQ0X03IyJ8PoxUFJPKWLFa/SpfHETF4lr483InD8bwZZTKVB2GxwKGMdVlc399pO
1V3nobtB48ELds/728kbV/IqXxXn+kU1uPlBvRjdu39jnmRa3PWgCZN7Hb9N3EXyMESB76Ah5jSL
6l0HWbP+vxtjsd+GdQLaQi75Ynqys0e83PsTV/s/fq03s9COZ0HBWGrCphCHvrGrdWi0qwbDhxNL
9c+DUDwAUAIFYUn+7Gskk+A8i0MWV7sIdQiqBP/Oi/p7hMVB2yAYm8LaZAQ2uFoOvDA78aIWXCv0
yGbqCCqBf01imZNYrRP1YhCHaqNucfnYTivh3qeevRIvfsEJIT7ffre2/eoaUMdzj4L33vZOEWv+
+CZx96HINtMJlpA4I+y7ppIncWjj9iyYYlhO+T/MvV7n+fcQSzWmQJQoRotRHJwb2xbbOpNOnOJL
JOyvN0nxXJnpKDMv8jjm9LKwIr/XWLzPqN9s012xqbf5VXxlXPv31vr71/OdteI7mvvkKt6ou3xT
bcP16P74N2LmzWMszl0sWetAxIo42OYBUD1prHEi7pdd3nczXYQlgtVTn8WWOKBys/XPx5c6Xpem
NzVusMb/xR1X2TpZF9ukXc2+u4hO3gSbUyq/f4wZyhMUgl8zt8U8pyaSxNAb4hCY5bZvy/QJ7r//
8vHLnH/Iuw0ZnXpExEBFvtPMalBsIY83Ie/k174GS1K6GFttNiL+d8LzzUCL4FEyyenzjleKaKen
2QUSVKeG+GOAQuLFyYK/gdUuNsUBbveE7UB0uHpOz5ONcqE8BIPb7ax1uZo8zUtXmYfR07q9CFaJ
17qte9fvwnP5YvdvnDEk9HSc6QHxNIvJtpkgJ5jS6KBDz9Si9HpQTskGvgLdjr8cTWTcg2kPIAFA
lnO8Gs28FVNkxfUBsSHrpZ6k7qBEQ1O5GJmhOWlAcvnalcb0sxj65HGcjOapjrXkc6F30ZWpDepe
BLE4r7QxgDM6SjAp8qjzv9tDWbI7TrP+Uxo15VXrR/LPIVCoNpmpLFyzSMKrXsZugIxH0RBHtNkX
KN13EmQItdbvk1LNMQBMpOwOgy/5SjV9/tuoJs3x6nRA3TdOCjtG6ws6AXjyGkSYI5Ts2q8GZKNQ
stH3U5mGV3YtmVgZDYhcrIfGiHPXTiqrcYEW+Lhjg4sV9NBDWqZOOxiQVHQf3gCQ0fxxtOUh51+p
N7sRlVwgKkNt//x49bzLz+mTUQoC/Mjyoam9WKJppheZEFF3wPjoeiz2uW78nFR2B/3AWXACNf5u
P8B/YeZJzE0hzuIlaZjSexz2QyAzmOxaSuNKJ0mmc15yFFPQfIha4orMXEek9Tim5EJXgzTXxb2d
aHyfsUmKr6bdaz/QMgZhZeuZvIeVIXWuMUDOwCbLsM6rKIx+piIOblunJKVSmxj8Bi2CpPrcBl0d
vWqrffEbn5umrNr5D99W01tpGIqfTWvKP9R6ar+NqdrT5fY7DS6wMWDVmbZ2Ua7lqc0KyJtGvDdL
B8ldJdeU0a2VIbgIDDW9s2Nn+GyHtoaNUFSKDNwTmpNrpJDVzK2wALkKKlT2XHgMsbEd0PlC9pcE
TT6xwS0Y/CQa7Dz0kRDkAKQ1V/SOX56FBUnYlN3/Zu88muNG1nT9V27MHh3wZgugHMmiLYqSNgiy
JcHbhP/19wH7nHtUVRxWKGZ3Y1YdoW51ViLdZ14THySE9fYy7FxXViAw49helkiuZO130xLSlR2U
mAcEIYzCIvw7HOphhR98eSGcf+8yH68lsTymeyQmBojZs5+DckZX12V6SOW0Wte5EvpjENhbCeTq
qmyV8BqNbujlMLufmqqy3G7SymdNXhjOI270K1Hb/W1jBOMVyq6yN5eZ9AQSIgJrnhaU4QbrKQiy
tTRM5V5DEmotj7WyziZjuuJGKn2BdOu+zyzHjwYdHGjSaqvPj98Z3INaAp52BHe07mjdnOqJD60c
Nk6ryAfHypZLoNTbX72N6Y5blYp6HePz+A1y/bzTlEbCQjZr9YcBw2yU7uS2uAtJdg+FPTWvnTlP
9yijRV94V5SDmCotd6dQQeBsKofqvs1zXsWJkEDrPZREQfklQ/2AagNxnJV36d5EITF25zoIZK9z
oAUAVhu/Ro1oLJfyR/wTHZ6w8kw76mQvkuo6u5PMtK+9WJZG6AYCjy64f86LhDDePfraCEDISa+2
bp9b6Ve1j+u/EQsKBlepKvkLcFz5aZCSdq+mXae7velIfpClln6pgHhWg2VDL10xyN18aZ1+4vG+
niwzroN+cA6dcELHb0HHiL1wAkj7Iuv6QzelU+zXkagg4nfU57yuFugBAmBOEUuZgu7L58t+dhGC
PoQLQyuHWg+uRifRmQQeB65lnx70DCsVHgoDBEkcXnjDz3rVxmJmpr5j/SginGU/cqjEkhHnxSEI
KsWt0dpAKFfqfdzbtmknZ17urGhem5sAejQPZjveDXlQeMhLBshLD8a94Ayu/3ju4McWlWdYpEsm
fbwYZRtGRq4NxaHAynLdtKWxmuHHX7jLziMp+hWom3CTUdTg2TlJkvNUKBHCaeUhyxtxHZlycGtL
obm1l3S5mtKntqzzGyW09BV6DKw7BoWrPDRyr0PYYoVL1+jWCJV6COPgbBPI+VaRJc2f8xQgPYoN
HWSWrWkGxrZDHnDbSz3uagYOu3aSCm+mKbDijY89EWC7/vknXIKvo4txmRsvNt1A+jVnXebQDo3a
EnV5GOow9IWJKrHQZUq7qRFduIRPEXccQgz4KLFb6mIjbJ88CUD89F6v5/Jg00u/RsnIXFmV7LgI
G1BOzgqQiH2WHhwFG+oK8bfd5zM9OyjL8MB1oRBDlKGdcbxZTBNo6WS21YGQEHcBcwxuZTQkL+Do
1bOogWFoLCyRCVxC+mLHw1RoggpkHOtDNXdojbURxmwpkhyrtDajjZrH7Von5XoM88DkhVf2KKgp
Xq/o0lbNkFzCGS13qzHF+6cdVVQHY+tXLEEESOd6dAvi14jXO489Ww7V9VgVl4jwZ2EcOS0bnera
YhmIKdnxBLAFLoCF9vXBGbvZU4wGeXHZCT1DGE9ttaCcsA/4fGnOOgzvQ0LzX4a10fY4HjLSgoh3
e64PqWQAJYqVYGu3s7YaFFQUsR60XO5XEs00Uy5s/48mazEkUYG8kMpOVqtVnV4N67k5OCneoHbQ
2oEr5jlb6Qgs+mgLdU+lrVYXRv1gK/JtKbfR9mK2Cx7g9w6E3OQ6rHCtOSSibL1pjANPnyLjwr11
frRJZEn8QJCAdgFEcjyKgugm4KJEOYQjupjWGL21uPB5HW6k/ufrd/4VIXCyhuDIOF9npkpdKPrK
jAztEBYcLcdB8Zu3ft5MEuobiLmo2Ppp4YVNcwqrZlZsUQib9J2B6AFxPZ6fGtqdbA6ldEjiEWkz
LKpEj8azEwjfbIer1rGv0WQ7NCqmooGNumpvPLYBxrVBekn9+3xByWsX9avl6BBlLpfCb62JRhN6
jCSLhF8JLSUlsX6NcXfJUnDZi8dX9QKVZs8gyw9g/bRxlGlyLtooCZ8bq3ZWplp2bqliYKuVdr5C
ZT3cfL6q5zE8sc57M568DkL0KUTanuDJyEZrHURsfgevvgmDJnUTPXoYgydjSJGuLmBcdCCkUgWF
bXUNJ/LCUTmftEG137ZAiYFJQ2Ls+MtSECLl1EzroEEA9Qp1mq8mwhPq8eW0wWBLvvBKfBjggUxf
Mj7gB+qpI0Be8HzxWtqHKJYRm45mVf1WgGK4F+qc9G5DM+VRn2anQyh1NGYPv8ohWgdxpv9oefcv
FTLPe3gsAk0V6qTADBaBw+MPAG8kq8YxcQ4pUMw11rJiVRNvaa5UO9K+ayz9jkKYdJ1DNt0DVS7d
SuTOy+db4Xx/0y99Bxv9A9c7OWp5nY09zqDOAQ8Yx5VDSVo0oX99Psi76MfxBgesvgiDwMQAPHTq
Rjc1cpPFgZ4/x0HVo0re5+xuO2m3VTMrs2dkfbsDK64s6tqdPkDStabUhQZf0ktFA9ptcrt/kyvA
vB4SEWPo2/rgZF6FBiFprl3dyVlprMnZ069zblkoHXYVNe5IMULJDc3AvidFLF4qWHwjbCmzcfxB
HYU/GWN6n5Aa3SFO0Mh+m00dabgU9zu1S1CmydJA+kIirxZeEgvnW640PdI4XQ3MoDTMKveltJYe
9WZWn0tnzqkxOYUsuQKTIH5ZUHWhD5jTEGuRxNrkVnjy3U0oKI0eN4FkelFVPmZyLf/4/JN/sNst
dOHY0giWAQM+ZcBEWm+Kvm6r59AxunXtoB/uzJqUuQuf3dMRxvbwZcQdNkmujB5Wd5hU6XMdtJfa
euc7DDEnUEFLnxLpiwVk9PsNWtZVbsGvTJ5lKwuvJzOsXFAczaUrbfnfHG+xRTMKOAuRzcIJPnnv
ZUPISpMGyfMAq2Bbx7J9HVroNlkKXoeYbKbbwI7FKu6k6FHpBstlo11yoj6/0ha0HmgaoEmg7U6J
92WQmfpcmvGz7DTOnmb2+DyMjXyLQvlBm8bmEor9g/GomcOCBvDP83Qa+FagqtNyHuNnEK6Sj9JP
v53V5T000Mg1wuhSN+4cYEE0sNDiCLfpBpOgHa8lhQZpFDFrOUJ+2E5iUW4XeriCYmFiKFnXlEoH
Dp9TmshHOdm6DGzNl4JedXX01rzRiosnDLPELsLXz09IXS70wc4DzuUX8pqQz5E9nn6SQkctj/pc
8mwrLIGBpps3MTzaXCOmGOk84j7W1c9FfLEs/8E+XyCWIJ1I2UHOnW7AGp9vKGbJM4UzLF4IddfU
Ny81/D94uiHzLhxJ8hCiv9PulBnJo97bJmACi2KaKbfKmi7ptDYoWGxC+K7rqrc0N03N5mYyuvTK
wBTCLyJZ8weQG/7n18yy4CenjpoJ4A3K/2BurJPqfK2MdSOhHPEc587dmE6/UK07mEH4LbCSW1H2
b58Pdx74Eo1iegLniZL2WfPe5qW04rJMn4fZqK5NKTQeJXv+SiFVuTCx85QW+CMJ9CKhSm3gVA6n
DQMDYSi1eDZm53sayu29g6PfbTJA928UMayUQBt2easAKrdjc/XH8yRvoSIB7xcrW/NkL9kdTgop
nc5na7bkq7yhEFnJJqLbqAhdyCW0d8Oe4zWEqQaWFhjJ0mlf4Ma/X9BmBcR9doLmueKIVlu5j1El
s3E7gPgh8lWlS2nllYU2fJ8NFCU3gURh1K27pHwtyizprq0gg/A1YLOKn/xc5Sl0mdJ4Uuw6vJ8U
aQ5Xpjara80sUR1R46E5DPihrXq5i7QVNnPZLVwiHduMxpRflX7QfyUZFZNeqRr9ysSN63VMg7Zy
Y6D5JmVIwiV0+boi4CwTEfhhY8ffnLKbug1STvrzQG7+ZqudTjOki/X7sZv0tyJEOtSbOKCr3NSa
xmsza7jRqsIZlkBjegzgu01uT6Hh0SkSbBFIdjrXwUHnWYRQGAqOI5Kk4NiuADdD7ES1BBGQWjf6
ztWMqjW9fsisJ1Ea9d6CBbSohAhM9cZOxQUXaZhccrGIybZTxTKgn8wS4xNcBzur69SrkHrroayl
4Bdp+KL0MHay5RJc9F9npaPnNBtpturKTp7Bz1lj7sVFyZ/IQGZQU5cXaIGMBIe8SZUKc4mwbKPO
k6eBgGZup4gwFxOTjSPRbGIVaFKg7TzNd02YSt9qu5Vbr9AV5BYiq9Ycl0bTZPtDmaj0ewytNnz6
bcjiEjHqsk8hLF2ZRVC9zEZgqqupJ831RtbNvJfqkq5NJSA4uYUjd/iCONhF+EKLzMBPIzPD8aRv
ihdu6rb0OwhXlmv3itSuSipittsO9XSNx6LzFlNWfgt6PceALYxk/kdNaa4MjEdqV8bTEOuWQg1i
v9ONeBc7HbLUPf4xz7wRKgKtmQ1l27F67dYhuCxcKyvJkNkYxTfcYDAcLKmZy+MoVlwBBvowiNRD
kmi90IhHX53RwPFG9IFhgQzjLYdPru5MkTaaCw1FL6B9W2njzXkTPzq09J5UOUpavzDn8Ao6Sr4H
6jS9JnOqm546j7m9TYxull0hWVriht2krIVS5D9tIw8Sd6TKf2icwGEZ7TB6aDl433DytHC3sOt7
qZ2ynx0WLTeNbsbAhGG9XI9yrTq+ZIrwrW5F+ELLUjJ9uyrk+xlQc+kKET/rgw4HO6vLzG80oHwe
2V/+xSpRBKrNKdogZITAua5C3aZCIse5h1Hp9KWcqCnwidLZ9JpIxzQiVAvzanIwb0GMbGxeElEh
hZKq8vdaNA680zluHuumsYTbCIJ0dw56Y49qbNN6iT1H60o3pWKVtPqqmdr0eUK1/7ZS4kFCVCPE
uj5WZow2DaBljGAO8fdCss27cC7CN/hDHWdfMvGShn25LLRz1xe2+TWgG94Q8kiYTlnSPH6ni0rl
APMqzN7MUEv8JstMh4KaUtZ+IKW96YYYEP2obae97sdE3dpi4DNMdeSleDb5Qx/LN+kgmz+ixoYS
GJWd9iJr83DHcrDzQkp/BvZFeI25ZVhqX6CWD8J35NKxvTgzu8M8EuYf0mFWcEVsnfnHqKTKXYeo
8Y9QRb4VpfSqenLCzMKRSMxvljHq9P0gdaCw1GebKbTCVahrBYXiupp/9Ybpily67RNn58j5BKUs
ED9Muie+nkPNV0EDvIR6atYeG1stXa21tb0UktmAHw/qqzzVW5n0DnVxt7WVqXTHEOUIT7Un+Zfa
18E90drwFAbS9AWblunKKYjWXWkITMJJqoQUs6J6+pnYDroLYd3hWj8a3PoVep2St4j4s2RBFmNr
Uta17BK/JKGvz+w97rhYDV3uyeShsNP4Rh6SUvFZuwL7J7vVXxrFCKYLRaRzDB4JB0VaInIApSRA
J7GqrqeJ6nRK86yqFcoDyWQ+DK3+mmOpfGs4tbwqm7LwtLqIN4k2tH6T56M35Fa24j1kHUyrRQtQ
DW4CEfR7M0P+lT+HFRmT2M1hMGIjFZebCvT2Bv0sdTXos72bpH58zBvN3OmUWi8EJefhz1K2AIkJ
/Bxtz1MB6oSrFpk2o3nuZ7x60qlEFTdC8ASNKONCdeY8mv19qLNIy1FLZNolq3meuihcafFg+Jgi
XLKb/mBC0LCB7auUvqisL7/it+raKOvRVMhG8RxI1evQO91daNu1p0mS8evziOqD+YBSAUpPu2sx
mz7ZDRXY7C6MzfK5WZxwRiqdroG72eaPRyGMWqJyIqpFy/p4PnGQ2LXZh9VzNHLPthnqMampXMLS
n+c4UEqJgh3q2u9km+NR2qSVlDqd6ufAFKiaCUP1SttGL90BG5JkkuN3Qz9tu9C4lHC+lztPYkU0
ByiKAQEw8ZQ7Seab0dTScMq655S6UeIFRJTbSC/CFR5LxuDLpWXn9D7aLHXHaSJaq4ZkGjxJyysv
K4S4E4Gc7lU9UVHFxdvsSk6t+ZUwTuwmS2Afi8xLqLs0L7AuznKjvXOIQCyfD9KBmBma+DkLEaHz
VJXUSigW54CuUhZtIiyYJa5ukaWeOtKmQcpVCR86xJv/VOMBkjAtQ9Q+6BKjjXJKN51kKaBx3tdf
Up4Lr+z02KtasCCf76X3TO73b80IbFb4rIuC4qLUeLzMc9ka7aQG/ZfS/e7XrnBnt/Qsr3J/RavC
u4jrOD2Lp8Od7F1EK+JgNBlO9gwXQzlfePFKWnGhM1ayupLdeP35DJcs5nSC9BbAb+DCwI4+aWMQ
DQDx0cPhi1k5d61GeK5VyVuWdj8lUV6o/p6e/2V2v491kuQE8OyFqkv9lz6/0Y2/4+Tw+Vze4QGf
TUY7Xi1VGSgljny+a8etXUTB/G7V+7s33YOB7CreY+RteF98dR25qS+7F1gap3UBUjikHskVF+09
yEmnsCn4IJhmqNr4nNaFrOAIV07U+ibsYr0qVcWVklbgyqoiaeVVWqLMB6JssnBaGOUMBaxuNu4y
WczFhUz2VI3g/XdxvxMQ0zNF2PcklZUblCeksp6egzwev3ZK2+GXSD5rSdG862o98IpSCx6tEqUu
KFf425Rq4OKOMKA/XJnrzmmau7ruHwZFZDcYTbX+VMuhj5pz+vj5Gp7skfefuljw0OxSFkGx0wNH
kkloZ47PzmxJfjfVAF1G8svPRznZ9RxlyLs84mT2UP6QyTneKELvNSnvO+t50Up6iHNJRoRSdF5K
7W0bmMO/3KX/iNT6/6lX1UIR+e/p1qgP/zzmt/Kf/9smBzMcqkg2ypHQ4imocdv9w7GWgAb+RYS1
SGwBhlE4VEcMVwfjWqixywoqPAT/Ybgqzl9U5EDQUGGhf0lZ7E8YrifYbB53kkNqT5DACWAXyPLx
NpmNzAozR6qeZWmpqGC/1lg+dkrKKjAi402V4nDf4qZCRq5O1GO63sRRt1GVDQ2BeXCneExAXeVz
eDM0Tti76pAXj3YytzzHeXsfyfXQgGmtxB53h+gNeE36j8bj/+68/+Lcfrbz7uP279e4Kf7F8xdH
u3D5q//eharOLnwXCSFeRPecN/nfu1CT/wL6hDbzv+jSXFb/pvqr2l9cHUtVUmGTEj3z1vw/nrXx
FxhIhYY1ryf1wz9i+h9fVQC7F9Nt8BN4mtNVOUOgcRvXVd8h42+MpbTCFdBFkjxETg3jBDqFl5gA
J2/YMh5RpQZ9kwgdFvsp1rvRcTVRnAjdzaScMGDCGcFo9k7m+POgfpeVrKSh0CYbKbjP869SWC+u
sup0IYh/hxf85ylf8OwLvGLB3VHPxzn+5IZGGQOUgSjL2wobTURwZjw+kW9T8jG6rsWryItgo6Gi
4pZ6ZG2bxvgViuEJHxYIXmNn3BaWeEDJptiAYDtYqEm6Y64rj6oebNtERrq/zGu/brRmhUWQ5rdh
H+/mbyrCXG6Bs8mFyOCflsDRfFApX7S4scrjKoEmeHyVVEYd5cZYq/s88kKsRBswsK72t8GFEYu1
rl518lbPrvR0F7Zg7baZeEA3u7l3ql3SUeraGpJn/iwpIrhNsxHVq7BXs7pqyPhTj/nieu+ix7Cf
ypskXtuQD1CdkijRuqHuG6twZ9a+ZnmhjiskIkouXshmsVZ/GHh/SWuTbPp2SAhNttGL8j0Dimpt
YgKWaY+v8VDvysyb7pzii0kNVCv/Rg/fNLdo5FsjIt9+sC07z6roIfs43DryBoWpDk20Zp1HfofD
seXj1TCiaA3MKHZz3KfImmO/euzu0dfHxSV7qJ6tb9o37H8m9Gko9KNH5oXJOhcvqe06iV8GID9c
6QZ52s0bppcURixXeSkfpBfHdvEMkM31mK8DFM7E32O76lW/jPYzZrV/xw3OMV6v+/l15Qffa3lr
ONACUBZ103wzNVSRXXWf7K2d4VtPECu1zg1+CguLS5D8bnkdvrFqxpNgVsl2WsThXSATLnDMjb6J
Ngms5n38Mod+MKElhq6L69wNX9b4bd+g+H07Wa5xKK/bdXYzfnUUV98XhddiCRL64RvPhO1NV83a
2AWPmQ5ez02p4lZ7dK9GVOHue8lVBtfx6aOmd863bCPdzN/ytwK77U1e+TSxsRTz1M3wC2YEUkI3
g+fcOLtoJfsCj2yv+j7t7PX4BXEtL/Co3PrWDhP1GqDbCgnvCKHv3Kt+Jb+c0U1+FZObyLve9owr
zJPX5fVAZWt25/tkr5c+H/RbsTG8eFe3PgKT3Vrx0h/pDg5EsnEe7Zt54+wx5tk5P/vb7NZ5gKoK
szO7nV85ts0q1NwaQH/jxvfKqngoHvTUczp/1N14sTl2tcEzZa/6VyHlfx/B/+L9+fQRfK261/+z
qI1surj4+Xr0CC5/9V9SI4bzF66zCIfTxMaV8D+RGP3bv+jkAnoH9Q4ie/k3/34C+TcUwJBDpWfF
31qYKf95A7EsBAawMJYBjy16JMqfRGL8st+zVKosZC0k+fyDx4AG7/HtOWgjyHWELm4EAIQE1k4r
/SogKm1/+zj3/1zHv2uAnDQcl2HAxQB1RvCXXPW0C4dRdYlgcmXfSG2VPcNPmH0d3PNtUxXFC6Ka
+guWtioI/1x+qSPTvNA3P5+lA1cdXSocMlAbtk7SVwnBJ2EURrgv5LndKCmuhvk4/FmCxRwd3neC
a4IJlvUUJxzJVpuVShjtAfFiHz/VjZepzaUw4qSQ8T4KET1icgbRO5aWxwsmYYseOFMc7WW6FHQW
inw12zNAHTu/pNL+0VdDahX5AoAtCMud7I20q9nWTRftkynp/nZKW1rLFH8z9/O98dEwqEDDvEf7
ScUR6HhGbWQbk9Mxo7HP21U04PWXGeklrO4pZGj5cARdrD+rQyB2KuEf96KUlF6O9qFT8gZoJQUn
TV5AHOrPQYy0j4Rpr7Sus9cDTs9+P87lqsGt8M/3Ig0DYJ90pRc3oJNKFD1dPZAQsNxHwuquIhvi
Qzdb2ffPP+pxcAswmNku2irkV6Rt72JFv9eenQlz+JG2xb5O5R8DYCrXMasHo7JROFBRO/x8tA+W
EP4i+4SrigjtFAXV8c2xJjB5qzu94ynXBF1nNH4+H+WDrU/iKC+q+sTPTO54owRI6ptq3iR7bR6D
DdZjxJn59BPbuks4lLP5YFeOgRnKPij8LLY6xyPlaaPQw0ryfVukAeBJNs82cIRy4cY4WySkZnEI
IFGHYADD/SQUB7Wdp7ZVcWPMeeybYZ7+AEDWumaX2w9IsF/qsJxPCwAoPDIWCP9BoL/H05oUOKX0
LuN9MJPj4H0I/VADhPv5Mp2PopqQy1lz9AqR0Vpm/Vvbo866ATtOutojHM7dnEC2Kqv0Em3s/DzD
1aQQCJ6PI00h4eR2KhczqsYK8n1l6nAER/r2iVqPP8ANOOuoDdW7ae4fNLsWv6q+Ke8CtQfUOJfT
+k+nS6+K06zC5llur5O9EhvZVCpREe31SJ9WUSf9CKB8+388CPfw4iwO1YUJn6wc1d2yq2MOmIMt
7ioomtiH0lX/D0c5mUopwkBk2hTtWzV1vEjVRzdECfnCKOe7Hp9HDhdxB6kb0ODj/TFJ1AWwFsr3
1mDUW+BzYm1KUryjczz5aa71F8w4zq4NnjCeF87Xe4p4yuOWS3uwAVyDssgV80nToj7A5HNov6Sg
tC8Bjs43P08Z1yCQRUoYZ84mGApQapKqcm+CEbhu28Bw5T7LLoiAfzgKUqcc5OXmOO3+auk09i1t
/j2uxxJuazHsjym95Jpy/uGYCzYmoFK4BNnixwtlR8hNYcld7mvg9pXXq1KXX9ezCEJvahFzvdDE
WK7v/yTyPFk0fkEXgvyjIAgpfvk5v90bFvhC0c9ptbeEpmA9UM/Zlywyu2Cd4/N8G1qz/WOSOnM/
VlIs3M8P2PmmJAAhzpaBm9LWOx08BI9eaqNV78u2VQo/BbUTYmTSJN8wbNC+R5kM2+nzIc8+L9EO
YH2uMBgYDHvyeVXgmqIOc4EfrQEUW87C+9lJ8BZA7u3CfvloKBPfQ6Kepbd3GnNoVhgbRVe2xD7K
8BN1L3lfj9qwGXvpX2VRhCDDn+UHkf4HQxHX0BPhJsQd7ZS9M0wdegJF1u/n0dJ3urCGTY4b9y6U
guDr5x/wbM2IOMhKFqFOC2e00/1ZOinqRkbT7Rs7Fz6q0NnVMNZA/G2p3epKa1+I3D6YGlUusi4C
VaR/T3klQM6gkTmi20sqE1rYcn7RFAMlhdHafj61s7OwTG2psxMUkByecvjZfs0owwneL/J5r4Oc
JZ4U0twbDWu4LWYEljGE6iEiQte8cF2e3S3L0ASEyG0tWgWn7nnzrKZRK5RuP6SFvK7pfH0vtGi+
oIOwdJuODvvJKCeb36zjOuwctdtrufwNyNq4UvXY2eZSGRySJBu8OUiGP40f38ckvqbFAbj4lK6n
FVo1q3Dc94OdWr4eS1/rJGoQGZguye9/uFMWWgKpvUNwctLeMNV5wR9Z3d6pcoTHtVhzBYxfD7jE
pfDjw6G4o99JP9qZJUMxlCNS7Wa3n3Hq2CmlLH+VA3m+ioVeXFizkwo2NzQfjkrBYtqzCKCeAlqE
avZDiMb73pYwWnIr005uZwjwV4pmhnu5G9ViO1aWAXMU6SzdrcJc/WnVTXGHBbLy0ERGpl64RD/Y
regYkUbR0qKifZoOV8gVyDyG/X4aSsCKwYBbeB8HF56mj0bRuNSWa2YhCp6s5xzjkjS3jDL3GCRI
dTfim6Xoq88P/Qf3Gfk8xZF3WTMEEI8fwDga224CaLJXB57bmGdwIzdJvbOAN37thEj++D6jAWCQ
3C9lC7opy9b67cEdJicSUivP+yEBZJOwUB7SFrUHuLLy/3RqbBrajiQF5AT843ioSVhFOQOt3Sdy
w7WVC6EqbqVRx/AlNCgCL0vG/JJi5vkliucbACyOIYIH0BaOBw2tPAB0GDp7vRudaZ9gaBhvpLbI
GiwQ7KBaYVtZ9PcZznrlPqPgYl3YnOeXHNkd7XBeDIxvzkgTXaTKtdLF0t60G/tqgCh0hx652OQC
qXI3EdhH+IkIYv3CuOfb9R1D5yzUBXzezeV3/bawdFADqlRlsJ8Bca3QfQOyWmLp9Pmano+yvA5U
MlBMpLZ2ehvIajBhom4H+yBt5/Wkq9EK+sKlItQ/9LmjpwLDT7wGIPIRoSH3d/JUGJWkZyy0elf3
fLCH0RolfSXswbAfQqdoxvVSJFXdsYZsdxM6jarDKShKzMySyqFxkcDR6r1cyeE1zMEsm0gPNYCn
sUeDwAaRo9MoiGAzI0s7AppG8w3UcEo31yAg+0bXB18ks5Ao00waSoBpFVSqj05SyUIqyNLg6lLV
wu/o7o2+Lg92DJUYMOX3JpnzyauCfH7JCjVO79Mu5oypcSXM6yIQcZKB1U2r8kmJOwelkAon4nXT
513yGqf90K61nrbafdQByb1Lodn9MkSj9G7kZFJ0U5So0+zUAt+0hy4LK+SxjDBvXb02M3mrtbmc
+oneia9hPluWn+McHN7YdpAhXTBqMI5NMOu5G2Wm3d/ESlbdyPKYfWlbq9FWaBtH8cGcQJ4r2JVq
r6M2ZeptlIoqvkMacZxWcTHb3wVlpRdJpYC1mZ20jdYCanO4mdMh6F6ytE6lmzEZE2s32gFyeStg
c4HykAwKWNMyh1N/N+u9NKwhglmvmj4pth/l4Gh3ZSEWQPOIdfK2tqphdmsAqSBjkFOx3B6/h3bX
60mcAwsYEnsdqNL4BDxVyfxKrpOvTZtXEYpSVl6uhM5TRe9Jw5w2dIL4tYoWwF0NNjPyWiq5O6kN
08RXhJCFW405Yhh5Goi3YFDNx3YYKQwSTvaAe1u9jFZVpdOGaTN7RjEk62MvbskaNkGEGaE/m1Kl
76WiN4Z1OluDwq8QxImriEKFdZdrktl6tZR11hvvISwOKbW6EHRDZtT2qrJmLfZKycHpYbbFm9mU
lepBmci6tS6GMH1Im1gdgR3nsvp9pBwX/USLdVC3UoxR7yYL5EyssO5FCygKzahbz6OO461lJJm8
C8DsOGthpIMCQTO1UEWgWIcbti1H9XhF11iYu7TVoL27RmZ3dI+cvh38oq016KOpLGW+mCEweCLF
LPTaRBgIbZusadB+mpRarJ0BbcF1nGpNvMKvqRqucNyshcC2yRiLa9sY6LbVksF2T3qRx9eNKDLE
B02pVX4MoMWLCm3cJKr2Hdaqg1cKlIB4L+pA3bWIIscbIwkq6dXs87JwK2zier9U5TLb9CIGxw2s
xHygixDhXgOhT5FdM6hDY2fSeA/XVlaVzWbu4Nvs4pS/7E4Jti+ruWk7+nntgMsiL6WOm0ef0cej
VhEHq6GTq3szLAYg+gPNjTvRNC3OGqNdVN+TsY4o2dF2aIovs4LnyI9ZaYvw60SWNADdz8KxgiQr
51G3w5wK0TZXAsQvXqusNtrHlNM+3UgVWc4mtXLq3m2lUTdwk2gMqsYv5lr8gEUi2BZFUsrcWWu5
KIQZXc2GNm21dPgFsP1thBPrpUqGfHHbVVdNoSo/IQh/axvrLnSizDcr42kaaIJKAcQP0RjyyjJE
/kt0I0SIQu2AoU6OW8AnyaUQda5Ya7qNaMUtVPKXQuhspTgEDJqod20s6bRe5zR5nghR3Jia+lXX
VRuMVsXKgYu6kHVoaAdhdRvUyrB2Zl13k3oq1wnUDCCwqIUoY1Q/JIFEw3Oe6VTH9V1c6S1KD5a0
tbsSKbmYcp00GSjXNYNrxOY+aUIQ4YEhPeZ1qe8y1bnTiqBY9YiqbRGye5uifvBTS7rRjFasIDhU
a4NK1qbt0M7SJlpO0+J9mVF3+mpq7daykwoPsFg7dEN54/TJvBonWEvo8iVbAtreKxT1ftajxO/a
QtlMfXqNbJ61/DEqAmJuNraYxF0GD5qIOMRUxCyqva7k37XcwA8Qg5XaQhRV6qFJI5lRX1PoCL8G
Q4KFyzh9FYpKmU2VB3cmq74yo6zYNDUq8nb+E+jKOhuCYKu3ZvB/OTuvZbltbV0/EaqYw22nGaRJ
JUu2fMOyFZjBHJ9+f9A+dY6azdOsad+s8pJLaIADwMAYf5hp7Vf1pLd0JQCZPOo9vKVj4xQ4rarG
3Vh+qrqoBtuXdn35fixSf3kEq2zlH2Ak2/4Rv1ddPHNO+v2zk4PLeGyiwrSPThN75TvU4Ub5bVrk
Mr2fG+naJ000pTcdUw0v7x9zM5fDzyyZjeGjn5VRF6SptVB9p1JiPlQNBuE/CgP2Rsc9Zi/LH8ot
dcAqQ6Cy8VwjwNF8y8tJa95rZSGTk8aOTs9t1ef+c4FaJaekoeUfBXHuPuTjYs4PetoXSA6lOk+2
QRFGL12bR+XPoi7wGjzG3LWph/UQxiD9EaVE820YudY3fXET/5+QQxpqXqvVPVQuXPMOpfR0kBhN
lnTmYwpIhmojO8qujhUaEPlxCl3IMwZI67+GHDn6t9xebnjw4jTOTsKIsqBsJ785U6jyrJPbDv6X
Ii48LlwAvd99X1bGwevg6LzxixYeyVQ6BSiaafSg0+AgYj3G+uBrCOMtFZ5pceHy2SBV8VqSmvVT
dmGzHMbCrrEMIyPNEWVKk7+50s3mgOZ8LY+V6OPnuIGFDnPOBOZh4A1bXOox16ABgjGGT9NDSSl7
NNP+sLo4/lYXI2aM2sCt8rbWfck16HFRn7yx67Wgs2WOlqZMZHtiXUjeZm+yKp4BUfUdlFCon0qM
ryv4NDN9sUnElvNeTsXSPPqo1IL9n0SddZcwj/35oQkXP37bTLEGtKFsdHN6m3ZuRFG8hNZ4KoxG
F0/eFDnjUWtMsz3KwUGYY+lqJN0ORT750IzSVEfus69TLjCnsO0PdTOl0THSe/mx8in5cDNr2fwu
RssNY7babq2PvfSi5n1T52lzWhLcieBej8BhONbbMvBxWcsOXTP6PPrt2qkfE33Uw4fRLUfj2W3i
QXwozAr9tqLWKkAstvM+zumzHqQxYtqXRlOfnHOS/L/J8rXiuWZL8qA3zLT73oM0fIvf/eDWhyTO
jeWBy8JOj12fZcN0MLOk747hEtryAYwSLMpyiEPrIRtIQY/DUGrGgQu4RztO5zY5mFNLni68FEc1
Cw1855S7SEzFh7buHO0NrTE8NHxBpe/ScHL9nAcjTZ74zxGYtdruS9tUUzMchknlEnEzVdnRqzKB
Ts9UTsYpS2yixraaQnyUZo0cizvP3At1FEInRI+x5ZjgaqnwO5R59d1WiebTMEhXOQXGKY2WKaqg
Qhhs0/EBKiQed7o24cNYLdJcHkK6t/2DUQwp2wI0dnEs0iIrTs3oVNmT34n4S+IWjWLflu4nCR/P
O9RQqsoHrw/970miIyvWNkiCEhaohh3wS4v+oWxSy8eZnF5e8hS898GMunSPknDzWqPgptPC4VA1
aCn90in87dVEvT7x9ARnHollT5BigsHZost3XGThuTC6eUZVYTR3Cs839Ztfo4LKI/mj6bhunZLU
Z00JDSlwucaeGlsmZ3SB3BNC0HsTvKkvqKFAVFJgUAjeda2EArquV90SBz6b5tAIuCozBpLAxpbQ
ODZGmeyA825eiAxI0cQ0iEfqCzf+dxEySHZpxMFUmO5fEaCGr5lv7Ynobo5Cpxa8sokp7JoboNVT
X03YYAf6YtTto7AxWH/nz4sWX1754GU6qvyrISZD63FNWRnwRUSKtEuCGsbwk5G3yxkZyj2tj62A
4FntgSRBKdZYG09WXRuLGVhlAGYlevSBIZBppvLFzZ29AslWQBAOkHxUG5o+xHWdIG9mkvVxTAJb
az52uc8xIRXa0eq/0t796/7qbc6LuEPrk71F/fV6sLSM3QakRxLINrfeaUimflvaqTmas7FXqN+K
CKo+lHuVwBb9seuhZC7z0uxyipO6iRdP1wxh+0X4bjz8cX9OmwNRfKXTwbFxIxGdW0kizc5KgjCU
MFAd4TpfTIxDX2lFAARMaYaZKN04lJPRbrieUM6tgF1fmqK1kvV/urMzdadyqfJXKvkzjrL0wBIL
gREQU2sfm6WWobH0BIQbY0YQxbpxmV0v/vTaVaOxCm8VOygcpHm0Xc8GMbCZ27TOAq+Zprd5PWhv
CyfLdyiyt/EGvYxqkaVqQ3ydVckxH2jL4DDvvvRlrh1DgDI4IgN0pv5nnF87oeuhVhUqrc0H1IJn
l452r78gnuS9ozkld26KjWBT7TvAhJRSKduuNpAXVUVtydF/qVLhPtX9EB2w1up2St23ywa8gB6o
Ui+DYbxuLQ9+TiTmTRRUQzyim1sYPPmtWkyHvPbTL69dOKTBuPh8MCnAGdeqMu7gInxb+FEg8khr
3kkwgsULLV5r5+TeuNqvxlkVRDFFKfxYFHHQGQPceinOevtDuCjRuaG9XFov6h7uz2xrGYGF0DlH
XUUdDtcxnk2dl6gEPECNLu+PRjYWzyhwGsnjaM/xt/uDbUQG7hiQKOGDm8D71Y/5LXOZjTEVqLjE
QVK4euDqXeaSJaPMfX+Y2zlRLgZShgc61CHoE9fDUPxE+YlsNWijPP26oLV5sfuSt34ulj0W6t5Y
qrb/25RSL/dQR1iyYEiM5QOYUutUttp4znNsZe9P63b1VFkZ2VP0XUGI/OL4/TZUT7UvjKYpCbrC
DL9QGNAv9Ffd1zZbIGKpLp3y22O0dTOicCrTapIiDYYsad2z7mAM/LEBzTYc/WzxzJ1tvDkpPhXQ
Xhsoyvqw0GAHu3ZvkkWMIxUBVECOnY7GxP2lU32vq9K8B9CLK5abSSG+tFVEGKreb/dctOGQTDwG
gZHUHEq2kub2yre9N6ZvUxGLwLLKieqHXqBTev8nbAQKTDZAbajB0bL2V4Fityl1oLlOA7elZM6T
bUFwuC/T8k89UrI790dTf9vNhCH0qq4HCZpiyP0ellZkVWMsmjSwerO98AqiyelU3VHpMTw7ad+9
iWRrPDY+Hd/7I298UIQoVEuHDFf9cz1yMiSJnyOWGKRzDhmk1pNzPxrzTpRujYIdAlg24EvIRa5O
EtubMq2ouzRASmP409HSuDjxfybR8f5s1BW/Xkfk7By1jLQ814ETUuoI7Yl1FOa4fHI6q/qUuhEk
ipBXV0X9198ZcCtMSKDYe5AbgT6qH/TbJi9cDLKjUSQBKpM2VQ4xXPJW+M8ddLNP9+emvsTN3DiE
UYMEwH/z6pFySevUCpMgi9r+wp6IwI6+VIOhfSlTdzily7DX8NucnfpgZFXouK4T3pFqfJ6IJA3s
QbcuMLjksysmcUARp905Lbd2AN1MEnh4++Rxqx3QJB24jYlzrE+6/JODbcebuhPF89hJ7TTodmof
mrDyn9vMHc73F3ZzlvAI1EQphyh+7O/fcKIsbtnob2PE4rR/m36XwhhoF7SzZhPi3M5W2AxRFMpw
6+B84YS7Hi2Oi3pGQycNvB6WeViZFaKqWXaWgy7fONpifb0/u82w+W08ddb+HqFVQ2GLuldQjBjV
p27+I+oFMqGIID/TuEKoPcuLHUTH1orCtQRJiHolT83VimKxEY++UJXNMESUKo298TDEvfwaxjA3
d87OX0y89cb4fbRV6FB2oruVGmmgN21lnSZZI8w0QHdM+3R6kKmM6SlSCJ47r3cPrWvKP6GN7GUW
a/1l9cjBTBUaM0AWEJTrOo8fxos/Jij4DeNIxVPmrvxeZzH1pM41qdgOeLjnR+nQNKSFVY4fGtsI
3/dJFT0W6FI/TXiAnWM8cf4Pl/3/C53bigBDqcwDUdINTAKvI8BDqMnBpicNZr2PkTFIx/Yi9YwC
MTiGPnsYpfsvl321U6XZDALUJAG18TBHrXg1bOOFYd/TCO9tej1I4X1Z0lA717kjds6OrduF9xhZ
loLXgxC8Hqn2RBN6HWeHOdEcGkKJufE8aJf7G2nrhKK4Rdv2V2qyxgt0JfLObT+nQQlwBq18p/2U
x0P71rDG4uPidv4bM7S6R70Oo9fCLFVkoUvLt0PDEv7W9fysJtOqVuppkPmZffbbpT5HxmA+gzmp
d9IB9Vet9xKAEnR4bEU5ugFRe6JPSMOzYJmaH4VPqHZtvfxoa9P4Su1vfohjb/5aemXxg55nu4MR
3NxDiEkYUMcAcuPgcj3TXItq/iTMgoY3wQPa+x1UliVFj9SYquZTViXdnyjK5XTtR/37VNhfZzlY
l8rrzU+NJuj+xva4fH39h4eFYoMRAaflrPGZ2Tw3lI5JkbTSpHjaYAB3Caul+8cY54FSXS7/pqvQ
fhS64ewsyFbMQeXRuHsd0Crr7Gw0s8EvNeBwbhmO7jHG+Z0WSEqfDOUtbZQnYdo0fnUEgcpTXvh+
v7O1ts4OE/UGkFwmoNF1qVVgRcBjoE0DY0GLrQZa8Rl+UfqiTwJ7DC22H/x4wIT+/opv3ZFg+OGu
UEJUe/o6DFCinai+VWmQY6IVHezSKlXzKhbvBirlT6bU9/wLtw4rhAGot7HaZB+rWzma4ymjo5UG
janXEYpmUNFP+STQhkItKd/LdraW1UJtCcIRT3kyj+sJDkuoFR5amYEeNx7jjPW/aOiB2/HjJL6M
4+j/jHlpffkPy6psJUANILR14w9TZb2TQJIM+mGin7pEeUHLnJ7rgyJI9hez19vP94fcWlcF21ZV
YFLW9bpOHZoESFEx5GTKd24cTfOpaqIBdnZoZR/+w2Do5YDbBlDKs+16VZMIn51Zdjzu7Sb/Yveg
Ay/llOT/Nm5GA/3+YLeoVU5lBsMwG6tY8HgrWOXky7bGJEgp9vKOESnqowIc65mO7HJ09Og45Jb+
IdFaeXJTIz7Ni0v7J2rRWRdTvNeE2Tq4AeVxQ4CaotiwiihVpurdpMjovfbZ17DouiArY4qT5Dte
YGZT/a5HiNE5mPRd39oeTYCdq+OWOaUWhLMKIi43FWf49fLX0IdqW/ATmqy1jr7eatPbZbDnE85r
y7vK84VyiR3fd3pnvRWJq+MnrvcQE8Zx7x24dW6CkKYPxJOMQu0q5RmiNK7NqMkC3Bm8C4UrZLSt
Jarf9JU3X/o+9r9ZU5G/VCXKqDtxob77+gpVrGCwEtiB3eSBbdPPUS6yPJAF6NQDp5b1V+el/V8C
t+nm6Mxt+2AOPbqhy1h1SuGtnmzAvzCpdzKWrVOG1xRVDNggBOoqJtKxyLMM161ARzV1wBKR/tLR
woIKkdGZiv+ly6LwpxC5tuzkflsjuzToUAPBH+ymsdAxL4mQJjIC/CcoWqCtGp970Vkf8x5owqHB
5R0RDJTadlZ/67yBUaxanujAYKd7HYPW5JezhfVZkNtl/laf6vFoabL+OBiJu/Pu2JojHE5CjMSM
qa6eHcJZ4gQoB+0GwO2XcOokHkS68wTuV7xpi/hLKgdtZ123p/f/xlxluq3tAQusZBZoVMbejHP0
ESyBfBOWVfF0P4y3rmCqlvSsXXp4kG+vF7IE4ldroA2CsKzd6TAaqB4/1LLv/aNryKg/jL1odrKd
zTEhI8J3h+cGJP56zNA3oSjNVRaMknb8weqWXhzY4bCnMtM/4xC7d+1vnRMklCq5wnzZXtdoJ5H0
dWYaWTAl4NbCokKV0JBh/WgYmfNmdJMYURZuyZPwm73m22b8kFFRVlHZtqn+/LeHeTyA3hoM4kdE
zXOJiZqTTpA6nP6DSPDsmYu9OsfmQxm9iP874mp9JUaIujelWSAN8LNoKCI4UtXhGUB58+ziS3Ba
XPm1MCb/weiG5SGJe2PnSNp6qikfTLJ7aB+czdeTpmYLGLYirIxC2g8JBhsHD/nEnRrL5mdVxLRf
qASqjtej5Ets4vzXZkEs3exiU9vHm8fxkF8a4rcDkPXL0M3YDAvcxV/dHkRy47ehV1/ViRFPB99E
M4PusDj4Th5/rj0wjwfNVSDi+7t0czmV6oDaNAAIVl80Stqhsdo8D2axIJvqDQOZVVWP0151Y+vg
ASinkPKgFNx1j8boKMjriXqYeShCH1LHnjrAv3pBQaHRwMTfn9fmcGTj9IQsZGfXnafKqJYkjTwi
1aHjgKFSXv8JCLb9KZywz/9DTPK2U61p1akxV2ljPqWxkIvgqOvz6tSC18fPdIp3YnJzSmjTKZgv
7ZM1SR5mQFtGfpIHHT0NDUMesLEPpoy7T2Preu1/eEGRCsKEh8OEVN8qORUtXXK/b/KgL83sU2d1
89fG9OO/kGWxvGNLCeE/VJl4sCkkC8Qf3qqrZCOUukTZYskD2xUuOX5RPQx+BxYxB5p+LOPZel+H
7fz46kBBWhfnGFWAx/tntdM73Hg8U5JsWYuJ/SlGGDnNQ/BpB0+0xs77YivDxcrw12McmUHotdfn
Cid26DQG1Z8ml/A2MAt6Tqw8f6pnOT84UWNcOiMs3qYgz6qD3Wj1ScBU/SvXW7kTTWpeqyTTp21D
JNlQOXmHXP8Spw1FzgmKt8ZgTdVT34QgCsNCAyvaJIv5Ryeb9u/7S71xX6E3pMrzsLoIq1VGgE8y
x8oyktNRZ/1XLyM4K02inQttMN9B+QovAODdYeck2DjhKFsqvip7U8OR83qibVzhUYHaamDJZRan
JnY7MJKj4WXn+9Pbqj1xwmGHRJFHyeyscitIiK4oZYMfezNb2VlvfBpw2Mrln5cOWX8F6U8fU0x5
08FOz6QNxSmuIxjWqK68hHlbPzpyEu/v/6qt76y6Zja7mBxzTblasDaoeUEXAeAn/dzhIJ0fBJL8
DxBptCfIqNXX+wNuJQnIIKriHx5z7ObVDW2EYzcUKKUHZEAhwvqdf1wqY4bpoI2KVYHwKg1gPD56
ULEaK/aHJjK5M+2tWOOoJPWkH8MlsLrX6C8BD/LZ1pRVlz+SevnHE/n8KKzB/VSB178QbnsSCyqS
1lvKxDqPdjNzubFpmrLcEiNd58ArzPljH2nO8qaifN8cfWoKuEDkf2a0pGaQPn00HybfN5cv9xd/
62uTDlLKhldIU391hlYjxBIbh4Agm9PIPTmTtK2zzfPwh9vIoXvjL71d7twUG7kSX5raFyxKnu1r
DaumwWAEr408aEU+fDbSRTyFGLw/lUny1p2HCnc3TTzGUAIv9ye79Y2pCcH1o4iC8M7q/TRN9mw2
XVQErjGUZ0hc4kGbE7jGGLtBPxHpV2Npip3A+hW+668M+pGCJiURaKOr8BZ5F+adsIvATJPyTwq+
CaBxd/zSLOX4oJkR3hHJfAa+vxyEFUYnB1WnI22d6klfuvjsNaX1UFYQ+O4vxubpg0guxX3Sbso4
q9MnLEXCua0VgfSgEQyi809A80Z8bcEFHIUO9wvvJOcwJDMOEUhT042YD7BAwyM60Q0l4DjduVu3
opGnCa9p0gjEaFY/CYOsajTiughoNbvY9w3QUVmdXhERE63hphlmuSf0vLULVetBvaj533XNQu/K
OET+uQjEXOkXG6XSJ+xrkido/PVlssEN+B4GgEMxhchOVuO8FyBbYYkgMZVgEkLEJtSf//Ysy5Mx
lpLOc4ArHYodY0+v7jCYJlQCMO3IJeJM+0JwHWtYnujYUPx2IGAeOFhQBsbX8Dltm/knTi7UOabG
K78jkI0dumaM+ff7QaNi9TqW2XXqlaM6jrgarG5kxIEaKw2BifaVNvZHGBP6ZzNvrGVnp96mrrB9
VU+T05FC57oLkaUTuiqqv9bVVO5m/tXmIqz68lnPXSiLr54VbEGAgirsGGwVdvXS+1AWHAC9ueVE
eMeX9fJgRUk9vjq1YN0Qk0KwViWQa+wGLlYFdiN0xrFXqeGUlQXuRdGeDN3t+cqNgjovEQ3tlO7k
dTwJw2yZLSUGmuBlAgTMq7wTUJKkR7fWjL8UQhaw6FoAK4da87Phn/vLebuhGN+hgqMAuKhzr4IE
zWB86tMkC0BbIdMKe2k5S2PQor8q0VTUI6Eff8NcKeF66bq2PY+iRDH1/o+43VTqWv2FMUUp3F4n
znVMVyIRYxa4yZyf8wypYBrxSZmxY/QZ1FPtsVnq3NjJZm6PMC41AAgKSM0eWadP6NNEJekKT7tm
MkIUb2N81abWK+YHu2D4UzxY1etRoQwK2tXi3cVnX6MfJJKQlTHxxRsrX75TElyO7mAPD1Zu1m95
nCd/1f7g73zmjZkCgKdJR7NFCVOtUgchIqfqewqf/Si14pCMnhkes1xCvTQnP4EOlWvezlfdOBdU
Tkq2iKS2cgu6Dm0EIxeMO6myQ1mdpJIPy70H3+ftd9AzY9x5f2zNkMaGQlRy4FlrA5GaigDGmAUP
TGc0oQtLOE74VYnPXtuNARX3TuwcEBvzowuJzqFlc7wC8LqeXwmcwqn8MA90o9Ocp6XT6vHc0YKp
vqD50Lz6ulWK9eDFEeug5Lru8i9W2tuzYcrAzJfypKGzEAxFA0WNctaDRafi8/09ubGeyq2RNwVw
OWrUq4tunrxMYoADGzZ18selM81D4RvzD+m07XTs4LPuHYUbpwDYCaD5CuFlkGNfr6fIYz1Nll4G
kCsMcaqm8F2IeMcBb8L8EUNA/42fIy6+E6UbtyQlAg5gqhKAdNa4HOoVMQDaRQYcQMZnAWnu37qO
56f7q7k5CspbiICCpr9RVtKbyOpTIPpBOZXlOTbb4eiJcS9N3PhmrB30HdZPQfJWEYlyq6yteiqB
Z/AmvlgJmKPDmNipcVkMLzYurTHr2c42uB0UDCysQGR6eJzAR7n+bGYcNUnf+jKIu8T+6MaL9clE
eODHEof2p7zsHfv02rWEpcSrD6CogrqvqUqpVFq0mlkGveOIc19BEQ+HTuz0UramhXQrlXc6degG
rqJRRpaVxjivBn3hwk40cpjgBaLlbovaersY5uU/zEpBOYCBqIRj9e3SOXQ7D6WAwBGj+RJ3EDLN
ct65Bm63GH+/pW4f3lXAz7Xrb9UJQaetyepgzGX6LMMlP4fRMHDPFviMIlQz/RVGXqjvhMjtSamG
pXyCPCzsmHW/tQrBa06mXwWIqAzvMM/V8cJrEQXAnCYTrw8PoEZoRZkgYgCHrBYy6XnDGVFcB40z
fOurosf57/VaN6hIEnlqpyEfeBMdNfTw2R/GJkj7WpoHyt/1X3NL9e98Pyo2opDUGn8bdKCIijVX
bg6lFeUUtQLDgFI2VG70jNXOTyOvZDCJag/ufTscJzB1fLy4ANfgi3cdH3NpIbyRLWMQl9HXqfbc
o9DaD46Nfjwu7ntEwNvc99d5/ysHoza81nwrOlyV0LeYAr0UDpi1ED/1UEu77Mz17b+VQxH7qHnV
RX0esZTda8XfbgYOSyhU9Pe4WKnqXE/Wk8D7ZVbP7HDEn6XX/Nnpy5cITNWxtsd3stLqyyu/Jpca
cEeFdaHAwMPsesTexsvarH3xEuPneWom6ywMpC1i6XG/LfprM4Zfo7lsO5AOrO/qBNO1Fh5apYuX
JDe0Rx5oHTS0pFseufCd6hByPuyMeLPPKTqT8P16CBo0nFYrqtx1y7zmxYmc2+KcMDjB0jcKDfd7
o8WTvbM3bu5URuPeVo8mJkcufb2aNGJNkBSKQTPgvYlLiPhg9fMe6HBrTkonH+FzNgTe1dejTGMT
mZwCSTBOCxIf3qyfvMITzyKX42uTBCak6G/sdyWKv75y8thOJTrJaVCXU/UMmic/z/po7LTR1Ue4
KgswClKb6j1H4nNDU+W0x0EWPaagp7zyRwloFC3XJG2cQ1dEofx3lEmm5ZiNRHr0pjfDqTzgyGv4
e+p2WwtLHkvDi+VDqm+1sLHQwghzN7CDlh+W596oy/aE1IM9vKS+0/+HYAGiST7LOUpZUf2a3+o2
fjvYvYtbauBJwNaGppXJqStl1+3cPluz4kZQIDoyMdoS1+OMzVzMYG0A1eRuuiivbO974hnLUQ9R
r/lPg4EfoQDH026NoQ5xY4TVwWAAQQeqBn4anVEMaD4uRTG/Wqv216y4VAHrqdN6lTuMqO10zijo
UBa1D9/KbroEgQgz/QZxPHlnOEX66v3AOnIR0cWiNqGvU6KiQtCEylUR0EtQLJ3RleLSFSUKXa89
l8GTULyC4sGhB5Xl+qMNqQxju6Gq2OTdUKMko2MrjqhSOZ/coUpw16lVBeL+oDfXD+tJ9ANg5QnJ
NFfx7yy8H5O6iIKotESQaEK7CBSw0GVpiselar8abWzu5H839zstOh7j6oChhnzTxEppYKQJuNzA
Sqfk3DWV9bX06/EjZ3p6EiG6jDuTvN0OuG0ppw/aoeCTzVVCUXmlP00j7YNsoipx8ku3/Sa0aP6j
EZheP9xf0dvZ0amgPwLPgmyT19z1Z6xLrG8dUG1BMQlRHg2j0arTWM2iRiHHjRGMsot6zxnj9jMi
LgBeRYGweQGt5S1S38odp+gwx8G1/Rl1ZQS88tnqPhokdocunSKkyvpE3znFN+YKkhL8IGkT3a61
qqwjgbEtLp0/vF5/dGac/Myl7L94lqwBcdJ6/nR/bVcfkt4qzyDUEBV6Fqb2ei8uoAhbYZTTC+dQ
eNRV38tDkegUd+6eQrXabb9dUGooYsWg5QNc1IWZcv0ZNUBHWuU584u0PedTk5QOVcgl2clVtkah
eYH3DL+YEtVq+3UL+kqym6cXzWqpMXBmn1PL3DUvVqfiajJqq1FZBdMBiXJ179ghpu5lbOO7RWKY
HU09rY2z9BskEJOaKD75Q+tOR7d2559RZ1TlAYiI8zbiQWUGI3qGX/WodD+WWldP51YWpoFCWh4i
pZS0OcuPiJPAEgyREMzMgZE+jRrSXM9WmYrupR2I3WM5FnV+oWtrjQ/GbJbxRcvDwnnXN2M9nAwr
9n+MkhcpzSMZowo2W24UvU0dt41fsspr5dmv5mY8RlqjsVIWD55HDbjK/CT9uvicZbGLm1tTmdPl
fsytYlwFgoLAkylTFULcfvWJFkOvEDfytJe6ly1tx8o/60WORpmf1qiR1cbriDRqPArNwGJoY/A+
Xlcy9CITlihG/cUca+uom5V9VqDAQ7+Y6c5RtRF9uCqQInCfKsfBVYxTzR+cOVz0Fy3rukMfgRZY
2mjvXlMLtAo+vLmV8i0hiCjragEtF1W3rJnMFyw/BMqEzRReRrfVz5GeiaMx9z+7VHfKyzxAPbv/
7bYmCE+IpMQF9HPTLjfFOOBNm08vtS2LkxQy+qAZubsTIavDly9GKRCsEsUuGgiU766PCjaC5kwI
hrygUPWHkyA+NXnaoZbxjwg5lsMc7r0GbqdlGew82moKeEDb83pAIfvRaaTQX1Lk9h7bVH6erWqP
SrY5yC8hDAoLKuG6HsQv275LHbwFow7oex/p8YXzYjnd/0K3Jzr1ZIOqJ1UZZeK+yue6vOpMQb/5
BfBAWF6GamntA6BkasqouO6y8DY+FYUnyOSo9gJoXU/Kdbs6nMPBepliX//ao/j3ZEInf6bLH73U
UNovE7CGnVtyY47gSBkWygfgpLXMlbD1dkbgznrhISm+W14Tfl7GBGIUfiP16zBXxCJgaHYbZsc0
Jq11a9oeZz1pUs96QVwLTXBhZyerimFlIZ13Cmlk7eyw29OR8VTTSmkQUEtQUfTbiyYrnDEKKWK8
pGGGGWNoF0d3atFeLIf+gCTj9OF+vNx+QJWr/vLKwPSAZt31eEmZQLhDY+KFLNUdjuFsVt2TKzzZ
POl+69ZvWvgtgNzzIrN3ssjbc8w28fWBC2CBqKeYcT10p5F8jYtuvyRIeR7DSQv/BUAMyAh80cPU
RPNHCxbgcdKHPfGtjUVWaEwgrbyaYVea1yOndIGj2UNjhx7kiENi2CHEOIcHUJreQcrJefVHpdLA
SW1TvFe3w6pPh951XUEgpULkRhJPyyJ7yJYkPppJng14Lc7Dz/tf9fasYTy0wnk8AjwlSb+e4Owv
sZUnnXhh9a1D1+FkOXn1Xsl+DY1kczAM1CM1MXoFN/o+02JlbuaIF1vg5Wply6kdqn9GW/tpd2Z0
8JLuUxJ77cnV5nejbj966TTtBNGq7vG/PwHKB5uU2XLuXc8UvDVASTKboLecPgY9hS/4p6xkjyG5
6HsdOqrw8bEE9bM4/NHrOmqLroYI4c65e7uPeHfRvOA1xIOTzvP171gso46zJIsCvw79w9z0lU5v
GwdYp4K4WqUw/qx4wo/z/oe+nb5yCORZRHWP58paCWZw/YnmYpEEpTM7j4Dq2/lsVUWlHdrYcGZU
ITXnH9OYbftQLWb3Weq19eP+T7iNNcr/FCNN1bzhsl5tY9dtNDcZgXTFiDO9tJmeYjZbjzsRfbtl
qb+ocjkWRQTcGpeUTm6Y5eBsAykM7TCm4zP9FixnB/FM733vFb8xJ45Eqo/kAxZvidWG5bDq6jTq
igALGvk1M6V19vx0fLy/cr9eI9eZnHIpYvEQl4Prva5Vx2hwW4shyiBJvcUxDjWrp5yDKSY+9L2e
/CilpS0nX44Vsp0CMfHxOUJJYjx5EpVHp9IG9+gUuA19QhdbxAd7HikH6z643WPaanV5mnU/Mp84
ctx0h/SwtUaUaLl+qbWrevt1xBdp75ay94sg1XvnSMdcHN0Sadz7a3R714MKUtaDMHUA6t5U+Cas
XWY/lIErDAsjTM85jWHuHCvww5f7Q91MiHI6kCfwr+ScvO1WCVofLk4l3bAMOt1PjuMQi6OHwupO
B/LmoGAUNgtBxSOIptnqwCrDtJd6Plbs2CK54G1NLtHMjjiEIS41B1Dkw6V3jHgn1jYmp4QgSJjg
OTPNVUSb5pg7SIDUQed0y7EVPXRVS5/Or15CHlg8iDGUpaC4ribmuJJnM+4BwRjqw7Fru4h3Z5Wc
7o9yExOou6ljlvYZFyqGI9eRhyy6ndTJyFzQzn1cZid9ycltThRl9jp1t0OhLPQr2YTgCl9stWzT
gofK4C9VsIyt89D2losftAPfT8SvvkHIgOBswGugsKZgY9ezohSTYZWe1kGvT8affJsM+RC8+s4o
nU/JoR77EL2YxXhtgquGxfgKA8Rf8LvVDLUulUZcNXWQGiZMtG5O0T8Pl69hFhcXv8jFK2k+0CEZ
kE4/uTSPLTKI63kmXa1KEbIONC+vHj3gzQ9xlnXnPnNf2Sv7NRSLqQCTtFkp6F0PNdl6b+WNzlCJ
Xj1qKRqXbWL154zi0JsUDdQP9wPzdpMhRkI2ROmOJx6+KdfjWW6V+iI06wBMr3MuC1teCl28Epn5
v7OiRMgWACtPDeV6FBtZ7iQf/DpAu1M7RZ5eHPLRWS62MVc7ievmhKhD0lvC9xUW2PVQrp45Y7d4
dbDYevgP8KTxfdvNy84Zf3sksmy/jbL6TPSJMB0oqiaAX4FrueN209FMjQZDCcCg34U9fuudIf38
Hz4Wcu7qrOKTrV92tSttHUZ0EyyRFz2PSqrcxAni9StIuFNn4yGJOMHa99i2ulDEjdMEPZq4bOUU
H5I4mV99IpKSKDyw0uyCr7e6i0NU7OvGI9DbMM2OFrqrgVdH07OLrv/7+8u2cSJivU3XSRF2uSJW
MT6gqgDja6mDaPCjT3mzaE+zHr+J5mTYubI2R6KoAIZUAVbXtdyEup0tO7dG9lLrT16LOKQep95x
Tij935/URpwrMynOXSAmCvN8HeekMZ05FGkTdFMkjkVlyIsRmR//wyCUIlU5gZblOoUtNKfHyFM2
ga6e9l2xjIdu1vc2002i/CsSyH0VxYIq5Oo8bwYE6qt+IODYqU91hUB+PeP9QbJWP0WF3LNr3vpK
hkKXqDRW+UFeL52bUNby+5lZJeGUkgfOvbhIkXTv+sEu+52Y2PpQ/8PZmfVIjWzR+hdZ8jy82s7M
qgLSBd1ANy9WQ9OeZ4enX38/c6V7STuVVh31w0FCh8gIx7D32muvBd0OCteqvgFidzuaRo9mWMxL
S9+0Vl+SSMat18A05/GXuj+n/zfKllAVOvR0IU7aXrskaX1w/tJrUkxdqjj6+Xike/OhhEAQQ2Cm
UTi/nQ/Ne/0CMtleWykZntNx0b2om8LT/zAKKSIfie234wlHalmh4Oe01xpNOL9V5h9KgR3D/zDI
qjJDOYSIfRupJ20zStGYdddQjXU/GvvxEs/G24N0gmdePj4OtLodYRbJPtsRdtVdYRnY3xRtMJxn
HYdL9fI/zIbO0bU5jLd8m9Xi4dSbS1h0SKziwus62SSbbluWzZHm6N0dABf1VzMW1ZB1L/4G+PWO
0dMFlbBsxTz7pAaWi7PXmxNa7mz6KNf2VVSlePNuR8mFMSWDjiYbJlHaKaw7XJcs+AtvXjRytFWN
Bg0nyP/qZpQBQrHRmii/5YPipWki+Vot3n7DEYxAwlhtmNf/3YwSDamJ96YB1R4Ph1c1SeQftI9p
H6Olz54nLqF/Hs9qjadusnRwJeZDoQ+8C1h987ja5VBZkw2DebFqWTwlhRizTwVWS0UQjnPVfCin
MDTPiYW99RM14j56c4gOdAgUjCgYKQh849tlHQuWfNKH+pq1HRhtHEXKzzrHjtGjpUr6C2UecXQD
7l8Rsh5GXIWG2TPbgEJ3UkymZp1jRgQjvLKU9OIMxWC5aAYuIq6lFsURHrwfcxWMWpnOQDdESpuT
IAs6LFO4ZddolsfYd+S8Mb/mizZEnyW9lbR/6iyNDkCM9d+8/ba3Y66/6bfTF3XjMAH69tdeyOp7
BS973wBQ/DZnxKCPt9H+oK/XCVc9JXcFtbvNV7TtpdMlxBGvtDlJ/tRCPc6bqD54IO8tIlsVEXTA
MjTxNxNKBqUf5K4R11nLvhR6J1y8p96LRX0WaXUU3N5bvdUmliI3fbvoYN6uXlUpSwamK644tHUv
KHF9hw48X+wFV+/Hi7cbab292NEQ96lr8cTcjiRpQH91P/VXu6olP0Vmky4erXOTZW4Phtp9J+4t
XmQoxjrhzK5hoZibKjExSL6GJXJZWeoIP+3rowN2Z0JEgbCmYUCtlOPNhdw106AkOIIhGZI0qhv1
yb9TFha4hRt4d7958YDHTRgLnGUqnZs9oWM13Yy2OsAPMivau2saPPEOcpTaa7B8PJra7r78RUNX
uafWPBhs+PZbETcZbVfo41W1R54BAT+v9LCZMNsnbLwM6sZzhwEVtbrhS0PKJw4Ckf3SEoiuMpa8
Q4BdO8LljO0Fn1i+mnmenAagFq9TQnEZF+NIqGCXuQIRszHpbuNsU3jdBNvwjpa4GQsNaizunJi4
VWQndnrG01i/qnlrfc+1MHlr+ZOKGXczb9KqmUzqfLu+djQ1lHJb6ypsGgoulIAi44KYuYL/7SDN
R5JF+/MA6opuMXuHchlF0NvhplEMWdRXNh3Bg+z1sWK6snp4O+4/2uoWQhWexjLO3jZtkTSEwRwt
Xa55TD+239o9u9PqO7vEMhHFrYNDvh6vm3sfRVUKV1Tj4OGvHa63k6qVdHU2mLUrHt66H1dwnszZ
bs+qMcnYMTeq14mEgjIg8FPXqEdvwW7foNb3S3iaaiC3zFYXxowhcRTCWq6oo7XR2R5bhui0rs/f
UedqDRw5iS/8Jcao5fz4MtidToaGNQI5BeyZNEq7nbmuxBhThpWCvLdd1+d00GLl7NRxrJ44qcPk
8+watmfEU76caqnT36hSs1KmdHpiAUT40qgPbBLGxiSKqpRBv6YLtm1G5tivSiyWD/HYKX9gYnpU
Zdl9anhnkHLIFfiPUujmpu1F4STLYho0FkntkyqFmflsVEZOnZI38pSVCY53Y2PBjdB7FcswnUxZ
Oz1e9d0hWn/E6sa9tjhZhMa3qy5BkyjmPDMAGFCs4UrKX5bSUA9qC7tDBG8e3WXyFTBWFcbk7ShF
Vy/2YKMqNsZK9TLOVubX4P6+MA792+8OtdZb4ZtzyTqbA0SlhKRFscOr4fT6fO4xXym8CM++xdMF
QqruW9cPLV5Qav4jDAZCvp2ZpTVWMQ29dZ2cOnLNCI3iJknqg6RvFzytqnAke5A+QVF2mtK16lBs
ymzrOoDTBZbdqj8smCzP9Yipt1OU8kF3634R2RRkyxAvWUg+3O2s8kHSll7YzjWe7YzeDTQEPCq6
+UcTvbK33ni8ToDua7l+bYDfmni0qpHjj9mFVxrQS+TJpbn1pbqtT3KnG/hs4o0LV1KyC/WkSLGZ
oxqvLwfre2e+FJ8oea566Wvx5na+aW3Y1FPYNBVi6U+VIoSfFJV9Giwxf3y8YX41XN/c8HhBAMZD
8ACnpCq/GcvU8rVFYcyCNlSa3o0pkNaXlA+vBZnciPZkJly4Pj6EmI20RAr9WW7bVr/UwzxLT9yI
ue6bRtTRvjCuxpqpFqfzZ4RRyvYspckYumrZm9m7dtHaAeKmY/zXdo1RuRXGCTMOrHkxDK7Z1Kg3
x5mjiS/tnOiMgpJ466ciF70/52mFstHMadLdLGrpRaQ1qgz/zHQ9HJ/krLIjt+VCkdxRMbvLDEAd
eujx6Nol0/spUArY+x9DxwzD51TAl3uvjFLTflCipm39zqkRoZjKRNeeS9WoUuw59b6AQZfrxVea
wubl3OptOHlzukzFn8Kio/XSRnIUnVK17xZfNsiLXDs3p38QRSlTT9Y4EKekKFDWq1O6XU92EU22
O9qL1nzMOnXAH7k1DekJOd5w8DhnY3RmXWX9tGTo3HwUJaW7zlXmeXTOcmJ17ddYZOhduznZmIbu
RtP0etBKY/O34HsNn9OhtYtvkypE8SolLThwVEdZ+OfUYC2GG3s4xeGLrSWleA0nVZ4/OVrVzZBS
EiV6XsZWqd0aXaf6AsPJIP4l8jQ/wpy1q6fHm25/f4DtguVB3KYwSSxzu78hn3ZY7BVZQLipfRub
ZvkSa7gTaLVdnCW5Lg8iwf1bTvZKgQuzQmoziGfejldOyoKC0VAH1Zgb7xRe7MEP0QX/Cvgcv4xU
aj/AvRp+dpMyHSTO94ZeEUWeqpWDuk3IsjwqMAfVm6CkI214qsscYUma8heMO2bNqi4zjfv9y6hM
i3NZAL4PWL37CIriFykhvt/8BDoubqceano3D9L6/pi56mNRVP3Zyqjqnkoh4Zejd6VjgHmnw1+P
P/H+CgO6Z7mRymLrattmOHQdkhYDozSQmnScPAUfJk9FFTbybIyfD+7L/X6i+oEWK/rzVBMpQ99O
sqkyXRa8rMGY9VwEQ6Xm/+V0+n7hhEJ2anPFqE9vnh/UUZBCsnkbLdhNeKjFKvZsjZYFUrZU6lnF
LD0/lfT6Du8XOV/sp8fD7eMiUjH0HleVs5VUvHkBkwogyZZRPSjQpj7lw6ycw+KtzeyEnHARoPKs
YS9/cDbnspzGaKGNMbxmmt5fagicnyqxDE8ygnanDJ6GeHO4woB8sFUKZK1WrLv3N1hJ1VM9xfIl
vNIPp16cFHMKrJ7e6LC4Tos+SZgkvKi/NLVuRymAyUrTTNLA4agH2hKbniVF1ps/kU15lFebbJOS
y9YvcrASoqZKq4MYi4hTh6mkW6tRd7Dv9hsBzQ36dgE42Qvkm5u5GF1R5yIfA9BF8bEu9OGUxupR
6fzOKOskAEMg/UG8Wv/+t++SR+oCdGCOga6W8wtK0aFbgM68ecUwz1uTZrKbX+yu21HCDCTfNPIp
+EXybAop+TnV9XKkrLEuyW2EA/DAWSVuZI8h9n07TAlxjL6gYQrStnwXh5LlZX2UYjxDa83jU7oV
UFtRb4oGpOXkL3CEt5BObRoT12I6B44hQZbtSWbsy6COi/1ad1Ern4g8jOZ1ysxecUe6VMZ/okIC
OWvGpYzc1BCSfcLofnxvjJFk/LtgQVMc7KA7y7G2FxHt0WXLj9xcJZKVRwrxzhwQ+qwYZC4/TUov
Atsijnm8Hne2EcLsXJIrjWstQdyufKTJg1jodQvov7BaN4x0qzxJ5th258cD3ZsTIQ75HEI7XMib
tEcLs3bMjHQJhkwML7QOFt4MoOjbi6UcLN+dOTmkjWsHO2I0UGZu5xS2mRTpfVYE8iwrT320xF6U
5dnByu2fbZ5s7is04oE+ybVuR7ESWVukaCoC0QziSU31+gvdi8ZJAgh0HXQf/VyI+aB+cm9qkK5X
cXFEfXa56qqdHk1Oz6A17ep1UhaeCih6dEjufCyoF0BYyIvwcG5Dg6gdRCqlZRkkNfiBQ+XiAvmo
9EZZy171eam/CdrlC5c2sfEStuPLJOvjNz2N8pccR8N3lMvbU1TBazP14kgDYrcGoJOrDPFKEqH9
7pcU4W83HyLEszpbQgmGogQVMOzOlSVLfX68X/ejrJg5XFDoPICU24NBGY6WsgjL2niGpbskmXKy
YdofbNX9dQRHbo371g6klXq62UUpSW6Vqb245moxm66jEwr+RAhBdO+jxWjkD6Ugh32iBj3ThLdY
dn3JJXuxX5qojFQvFGnan/AsXyZ3MscBvGSZiyP5s912WLWHCLTZ5aCM0D1vt7qpUBUUbSuuqqQ2
ON5rEOuQvnElNVMPtt5+2dfGAjA12P6Aw1t0BNoAGRc91VdKJ603WHF10dLM8d/6cdcjywjrIKvk
y+2EhmKobGtpBjQT5tIvUnIa1J/Vt4ZOa7fvSsSBWgw+uLXxlfWsU2DPy9dFMpWXasgKXxazdLCF
dpH1r1Ho/wAYxMdxS15u6GKDGd8yClmDK1Lju9CWp6rBosUMoyNr0/1WALViI1CQWKtyW1zOGFOy
zVxTALedMHG1jAYQo2sioO1c+/r4K90day2Orw5OGIBszkYVdjRtIgp5lcoUHe421r1K4t1wTBDe
x0Pttx3TWs1n0PaCt7oN3nGWywVSBcp17CPTU+Qo9JOlOSoL754MPhVkX1qG0engEt88tkuWj726
sHi4r1X+KMoZQEZIf/QazTqtVtVnxUyO2r7uTg2oVl6zrn16OZl23IEVKtdlnruzVgICxpk4wuTu
jkIkQdcIhGbe+dsTpYg+6uJKV66xZhae6MrmnSaiIwuI+6PAmUHGe23T2ADgZj/NUwOBEweo3vDC
NG2eJak76qm6Owqd3dxCtEzs6JSZESNkOdvsu9ZC6T7lXm566Yj7cXcz0LG1NruQnm7Zh8WcleYA
HHHFb2nx1CIJTDn8M6+0P9Oq/jCU4dtMLYnt2Hz/f7wtbh/LqYGTDF8orftvZYQpiHCi2jdKcUT/
3pUp1pFIsihyAx3tTGw6RIaFPkvKVRuxrRxU+ymJyicrRpRDa5bPzVJ9C0X4EWeEN6o5/Jojq0nv
K7k4Zcz1y/4WGnR5a/Rpwv5AGzy8qGKYIRU75VMOqPTWeJZJrnwq2DSkEiDet0NlPdtiWdgksXBU
D0tp260cDfhx7I9ylnv7kQsX5jfPCBHJ5h6UQZg76rMqBpgO/n1OIb2Y9E1fHl+B925bE+xt5b2B
9225SMmkC2NuG/XahpZ9wrDmZwgfwrej7KiqvrUe4zNBAQLJppALh4Qqxe3a0b3R1aGolmupZTEq
nxNko7lWvbyyysuI8UMglnj6IAZlONdKH54BOOunso9GcE/rSG9ov7ywwokjkcZAepS2rNtfU5Ta
bOiLvlwnI5q9MneQpF5K7c2BDUknpKuVpEPBdqvLTLGnjRDjVK8ly+pH/fDNmJojQYL9VLgW2Y8I
4FAx2GlFUuPNgG21+RpJtXRWogHHMLvXD3bKLuJARgTyBfXttcWcx/l2wcIwFkrsxNY1acz3s218
GGjedGNErqg3H22W3ZQMyiuIN9MTCQkIDsbtYM6E6OaQdsYV4SndHwsdg5hCOxKmvDcKjZQrp5By
Dt/odhSYvkPqTINxNVqjcU11cM56Jo46ou+OAgJKpyr8Aygdt6PYdgv7hsaAK43tCW3CkoYXfBT+
8fgg3xllVaNYH0mEAKiQ3Y5Sw7PQF9pCr5FWLT6W6cpp6KXJfzzK7rqgBkfzC2K2K0F7F0JPs9N3
k5Ta6Eh1/R9NTpko0bL+B0oo4uDo3BsKnSVaMvk8KyfzdkJ2guxxyw+5FmIo3WpRh4ulU1VMnLR9
a9mZWcFgWr1CiYnIfm+HAoPMUXUqKC1KWezjVCrcWUbFuyuWIx7Ync+ENdDaB0pBnW23GSqpqr6Q
OqqYkYw1qggV8UGx+/mtr/46IdqFAKRJdCjN3k6ojcH2Ei1hQo7+d4KB8rMmHIQG7OmtSOEq1QAV
CbM1Yk0kDW4HKnuUW5KoiAJNUsTJrtUfFdJtBxkVnXf8MzdIIZkAqDe5G9jdvuVKLomlVFPY17Ft
58qvVTt6bXB0mzxBcUyH16xWVsBj2uR+PGdj9CWZq8n+aOGmqL5EwPbj1zyRs/I0lw0SZCbhY+1R
VVSvdZsN4VdlHOvFjbWeimelSIPhqulgas+1Idmti5w+vSlub3YT1sIo85YXLEKzzi+cec7dypYj
yVdxk5m8zCQiPod93pmuoqajfqrkadTOhUNj69lRurG4RPgITi9isM3m4lhhcU6Q9rJml1rFpH6a
i2oZ/4LdRkXVbCb7JcpivXlCqtSJn0cnq/7LOYM/CWA15byMqR29d8pYT86rDLvo3Ulf5MQfawgs
n6aJuP1jmOlxfJlHpQWjkZK5fa+OtoEpAAgsheWyy2aazKvkW1UINjwBqiPT5I9PgptUZYGvPYxP
b6p1NXMrJHXL9zzlU3tu9HT5JOed9XemjHnFr83r2J8WSf9m64AHJ3suF/UPc9CMHtaxnasevV6S
6qIH0SABbIW1qZ5MKAv1v10hso9QQxQF4Q9Cr3PZG5jKFi1eU0GqoDn2Mrf1OF6mDmOic5bSCP4U
kh0i+YBI2fBxTJThb2kWPeQY3kIj95xYCvWfwI+R7JnLlM//YWlmqV6KYUfvlVNRd15upqH1aSHE
cs7NoNeDVxbDMlwMpTTSp960Jhrwi2oepQ88iTQw6q0evVYsUfLdscYwO8mgZvG5sTPtr9godc2j
my+vT86YFdZHOZtz+ruHMP4UjZKTe7XZ1RJCS3LT+IOVjjIbQwyqP05xjOsm3dr6uywbMuWlGMM5
IVGcnfS1py15ftLbMltcPoZE3b2zGtsraOmfPar7afzfMke97TlRW/wIo678ZEb4c7kGsVbn1dGY
fhKzNsl/5ovQPszylOMRzE5THLTBTDn15tKQKh/j0Wp57nu56BH3d9T4o7Hoeer3sS4lgaLnUnpJ
yS2jC7QQMz4tUmWrpznuBTSM9TN8bWqlU88ABKrhyWk61uepSmv5AilEqJ6SWXHjUuF2pgtV13R2
4yRfviGoZw6rMQbnydWbUM/9BGWZb4OCr4/fQYKoXdr0J9W3tUYx/BrzdOPU9p1s/lSUppC9WGvV
DEKGo742mpyYr4pcdVXm0oLV/ZVxbhXPNLJIhS6WK/256nT5x+OXcX+xc71ADaOWS7vcDp8UTZQA
riqUzsfyE76o8WcJfcpPbxyEVxwQXQFgsigxbTkwFHRFMmRLGQwytdu2Q4/cUqXRezzK7uU1QZRW
7Xh6kyGHbgELZZTHMZeqNoiAsM69UydPRiKpX9oe4dvHQ+1WbQ1WMHqAtUSYTP54+37gz2HEate1
gVH35lM8jIWnDYrmPx5lF7quo6z1LBq7eUG2VbOyp/MLq+g2aMiDXqCwt7QYkuXANT8jD/7v49H2
c4KlBIbJyhGPE/HdzqmRnFDOx1QETjXOKJCZlStHcnN64ygUGyme0phJOroSQW9HQbsgpMQx9EHm
DLbhF+MovzMmZ3qj6TdtULRzg7yz8eCGAAPfjqN22jTXNKshQkk/Zp3FQ+HCskw/UxvRTxOUonNk
ijI6+GRrMnj74lOvQ0IIzuNq4rNtGcmTeAr7kWyjsYbw2bK+p8qIf1jU0cWblVT049501VagGfHW
dV1NPyiMkagiX7SNaCIZ4aelNs1rWSvTRV8N01BP+uPxIPvZEWmSbP9KOwyojreL2mqLVqy6Y1fN
DqWzKenau5Syom/Utn7OM/VdniA/43Sj9uZ4jRiXdBdVS4IeYrfbgTXR8FpqvXMdG9Yvgjb2rsMO
7SCe3p03NN0AFchCVgO4nc8feVXTjKbkXFsRph+dzErPil5LX/uYsjtCB8vnx8u5r6esSCfar7Ta
rnInW0ouHZSWiLi2glkqytFVpBKbqaaO6CwPU0UVbmZrdnzqskIU/yrOvGqqZlIIhy4bq+59mWfV
dM4bOsU/ZFZuCBfv8/Coire/VvmRwOi8jCu3atuUqdT8w3HojAG3r0zU0qZ+SijsxmI6cli9MxQJ
HtUlon/uoW3ZNYr4uvEki6Aw5sFHiS77jE6m9q6uJHFQm7w7FAgzNEUqhvT23+4oKW5mZ4x1EbRJ
NFkelwKQjhFFglhRbhvzfPCp1/vm5mIARFmLc6udCsmHvv6e38C+uc57WZ2tMej5ijSwqbGEidSS
G2hA2higeZ3g//ZcGq2lupU2yM1nW8fdFjpjnVqIZCtJ9IR3OBWTUYmTIyxml6nw82Bpc2eyDVdj
1tufZ49S30PEHwJLUhJPG1PiVspo7xPVoY/ZaOjHnKSjCsOdFwdAkrYfeswB1tT1R/22JrGGrMdM
4TXgMhWI6KCU+hqyJgdrv//U67vGjlr7FvcZ+ZyjtJkVyxSogpKwp0nVEmBY6iS+mBc9OriI74z2
f9tcrJVfvIML5yJZFLCzJaAjcn5KEgFrNcTej+af74/31P6bra2RwKxrtowM1eY2diosYIs5nAJe
bukj6oyR8QxmrvplYWvFGf2XZvbybGzjg0DrzsAU20GRubp+KdjefrfcimCaQE0NgB9qH0hdcmNF
Gn0hO1WgNE3+NK7x/OPZ7i5nvFDWoAuwfH3prPXvf9ss1oJAdjVEc1Dms/MpGZboXSkZDgJ9yfC+
KzJ01x8PeOdDAk6SoHNF4Ii61UtVdNGRGZYMyOJ/iKwUERP0uT+H4SHfcH8QeNzAKfmQYP3Otk5p
lqGiLVYxB51sx+/UNEN3sEiO/ATurSCvJw3C6JfuobZK1yKF7GwO9DCev1hG0vmRYuQXWaShL1Cr
PqCK3pnVKhZJQwRFRBhTmy/WOS02mEkpBxk01D+41wo3spLmy+PPdHeUVdJplTVfmXm3+wKAaC7D
uZGDXBRI7mlJfXZ69Uiu/c4oK3kelJJyIdfkNgAp8jwu0Z0OjLHXn7PRmT8A4xxpOtwbhUsYLA/k
kFxss2Jj2XVUplsl6CyIElneT3SRToX/eMV+WYXdvkXMAGAXtVfufOqGt0s2Wkkk2VYoBwPlQs0P
aw2OXAXmgmJgNcnfpcmGvt7D8P04t3HjnKH5d1EEYFRLztPcymrmqaEzfZmtaV7+Uccyt06lbAnD
wz9ztINWLeXck02YhC9Z2LY/rDAx+5eqSQb7M2loLaMjllCk1Iw4Ts9zPEhv9FAnM6NwsXoZQ5pj
ObekiR4ltnwoGyXQi8S6ktYgr5/VyUo+VJSvjxd0Xa/Neq6NjZxeUkIAvc3mmNqC+yOVlSCvZHq0
FQPyqUsfnfYKRtx2pzZPVfMgVt1vFZ5DThVA2GrSti2Q2j1SZdNUYqwiZepFtRMoTIveHWyV9Zff
zgwgm5ZplnFtzVU3M8tUZSgzBBkCx6yG77nRDWc2rvapXIC05qk1v+qYXz8rs6wf8Nz3ty8JHHxR
cmw0J3j5b/eoCDXYQjF7FMGM+n3ezsoXkcF8GWfwy8ef785SMhQlYOAJWp22BEbeml7qKoYKtXz8
oLFVXhJVWM+PR9k/mgQDgBJ0j3KBoPl1OyGrR6Aar3QtAPNt/dIYjXMxlfaHSW2jP7LEzP91MFg/
Px50PzXkt1FQg6pKlycM39tBkVXO26pUtYACjOPhHph8sZ3YeHMsvZKg+Erov1NB31qIzXWqzxXe
SgGuh8l7rGs56vZofjAb64jiu98WIC7QTLkkiaf58+2Eislyaon6Z+DI8fd2cfpnWdTzeYy7o1Le
nVsS5Tl40ZSmkCbkwrwdKjY1bK8bzQhggWcSpr8086WnLEXk6VnRMUT0E32s6TTCdUh5MeNl6fzG
bKpAdhq7PanJVM9fk2RykCUd9LW4Nely+hRZQ/LazFk0+3MrNf9iihwlHy0oItGTipxGcTJLOYlp
R7JxRFZEkTgudJUmpNUp7+ajKGddsNsTzgGn5w49OPYAONPtLBFjL8PRrrSg7ZL/qr7RPEsXz3VI
s4+adP/MQ/w8Zy2mX9JB9Hpna64dO+TaRCMrF+x2YDPvlhHAWw00pzLfL7ok/ZMbrXJwAH5R8Dbz
o8jOI4D+CuNskboB9ZV2sVsjoP3J9oD+jWtum8KP0r7/qFhdF8hI9l5mQ1TeNI/1Kx4DiV+Z/ZGR
2n7nrr6+vOnEk1QilfV++C1+JX8TCZIDdmDhMeECVEpeOzUVwP2Snd566tcuv/Uw8gCuylq3Q/Vm
FRUhZbRAl+zkpOFkQUGEqsjjUe5MCDYxvBUQtpVdsma8v01ojuTejs3CIP2Ie2/JS9mtikSm0GQ6
BwnH/hmy1gI+MesKHO5K0Qi5ZY6oOyNQIkvy50j0n00lG7yotQE9FDum+29S5tSftLw+6PXa71PG
Bh/n4ma3gsjeTtMpWkI+pG6DWqpSH4/S6GKP83zwye4uJuYFNNmChiNMfTuKTfMUFhSDEYw1lL60
t8JAmGlzbionPbit9yeeCVkrB3z1ZYA0djtU00oTnqOyEcywMdEJ5Y345CRF9zVm2/qZphX/5m0q
/gqBAiM3ikznSK303mRXB1t8Lqk47N4LPdHjoa4llhTj7j8mKR4+oKsYfWUzHUF6d84/Ty7CfLBM
IGHvjEmqVkeWIlTNAPGewXpqG5FFbh1iMuMqVppaXuXE45eqS9qC4HXKh4vsdEnzwWwVe/EbuFjl
5fG5ubf+BMy8YiTvxKmbDaVns4XaZ2sGetTNQOw5v0Sd/6y75qRXpuF2ofK9c6KzUuVvFvWFJk+P
JIwRBQQKUv7tp1/wNxlXO5qA0Nn2hkQOIaNH7SVpe3Ewy3vfeNVY4Q1l+WkAuB2qo2YCihpbwVBO
qgudyQyk3kSPJAv1T48XdM/QYlqI1LChiEAAejZj9SOm5U00WuynfpB8sQzjzzRvUGQspGL5OCrd
PLvWIvJgHrNk8umoDbNzX/XiU5cW5nTRMjU+Aknu3BvsbQIvAATQwy2Faiijvmuq2A5GudWvFSzu
DxNEsj8fz/3OKOQ4iDWifbo6NW2+qJlENe0jwgmsUUzQTcqu+jYY5vz2u35tYaDfiSybj7VhHJlV
bIlFKmxelCKDcTTPn0ZDGc9KbOoHM1oDjtsHG0iJzBRu3yrSvQUFrVRfLDHIdpDb/fB5MOLwHcw6
KrdWLruyHoovb15BRGtgAtM5QqFT39y8pVQ1KnCWHZhWmLt1n9PFa/dHjuF3jgOFT877KqnJu7xZ
QDF0WuTYmRNkRSlOoS2Ep1RWgfiu3B6EPHe2xK/GNPhAq4zYVl+VjksBTyt3AjNXBn/QKTWFeBEd
PMn3RgEqpj0RuUvu1c0tFslSK9H4yMbLzMYzksTxNFkXb85yycc4RoQxPI1E4re3yKTEJfFHFr0u
tTAuZTUKV9bCo76WO3OBR8UuYL+tLnKb0MxEOxhJDeSf6lHLPZFY2XPGDXkAh/3yZLnZ2ZzTX4K+
VIwJzrYOonY6KlaB5+yrXthi8WcureWzknVl7poG5fHnlerS+HpYGj+GQlnM19Eo5MlLK7WsPyJY
rk6fMJWEdkGE1eYesTnu1KuihJS6Brfc34mMvorb4PHq+Fg7Ofw5E6X0lIdgVR9se6ygcshWSUUl
MYzic4tmyWvP1ZJgSGv2suuIEcUthBTm/HuFo2X7obJQT3CVKMo/lSIT859jiR5+5qpmquseM9C6
d3UbwgbSIilBTAG/S8fNVCP9MWb4b35KUqOvnlq1Uo2TjojR+G5CvspyZQWM+O+xlZMFeSplNt9J
eqJYQeLkVfOcYJoQ0oAyIiJVqrNDaXHpltnF+WKoXQk10qz1I5iC+nelx3fn5xsvBQtS8S9onTtv
L6U1EAEgDDLbgeD9902tiPy+QDH+8Si7q24dhZYeeuPW+GQbiXWSpKg0Q9mBXYn01cSayC2GSH+X
a9N0Cse8++vxeLt9vsrrg7la4Cp0+mxvcUdvnIq/VYJUJNW5UVGnjVvdePOs1k5DYkxgB0Btc3Oa
DNo1ZDQm1KCNrNavrLQ+04smvTPqSXo21Oaot3i/iqSQaw8zvGgFDG6T7RSpLAmz7bQAryX9Fa87
J3ZjWNpfolCTIlcWGB4/Xsd1BrcHGZiDmSEOsFJwt9jU3Dl9nWkDEVxbFJZvWHXzE4KzlF3UojfU
S6SqVflkdBRGnh6P/EvZbzM0DTlwWWE002e0LVvCI1z95xwnKLpJzNd6cvIfmVVmf7XWmEVnK1PF
N6yFqOHl2RRNiDk6CKkIJxQ/677opGcnxybK1cxccnz2pA1jUKPu/Dk27U69kC+2i58k9NV6YzP1
9d+aVURoxol0Nrw6a0VyqgB7Wl8kRtX/4RBI/xeqg/WVtlJtcJMZMUJXhoP4z9BRtD142n49k5vp
Q1ei1kWnxtp6v9lbiqTMwqRVPkDto3YbKm1B6oyG7qazY3zXhvlLaQ/+jIT+j7Yaur/11qyPrvHt
x1/xO0I64B4o3gR2t09SG0PlQr/ACaQ0Sy5j3yotFWM1yry5z7IDFHSX+FI90YDtViV48JktOzoc
NVLPtnMCJ4LEOJIzufStfjMnSh2l1FzKUv0Y2TwCj7fZ7qIgMaTBGgYLHA9awNYj91tqP2gtLSig
U4HKhj73HSlpEdEu8tZRQENgPgCHktubu5VsrUI2siR9HZNK/DVKVe4iXKx+eTzKLvKyGYVuCQWi
BTPZortGs2DhlZXpazdwQK1Ckd/TPZmdQbiO0qvdTUTezkAgBSAGoGnbm8gZuwJFNXCX3ME4wpz+
nrLI8kJ68HsxxAe30H5i9Leu2BbvlIq0wma0KC6nKqrr6LUdh9obGPJ9ndfaVSnEm+0HQT9gZoOP
MylAJfV2PxTThCAedhWv6VRR42na4jzko/7mXccs0EsEmwCMJGm8HUUCqyPSaXgJ2zD3iDvi5yqN
nMtb9wPVDMp4K9GB8q6+wR2b2KqsbIwzli3TIr+unPqbvdDI66ZdGcv+49F2TwU1E15aZmQhB0xB
43ZORpiMZjHyustGtLhGgYia00g/2np493/YO7PduJFtTb+KUddNH85D4+wNNJmjxtSUHm4I2ZY5
B+fx6fuj7KpSpryVx41uYDdwUFVC2ZnKSJIRK1as9Q9S3OVrsKSnJBZ/MS/YCcGbo+4y78BHQ7ZE
JHNKmmQHwL3Y+kZD52tspJTV1fjdp7ev73WkQM6Q5gnb/cxBfEbAv4gUoTUEuhwU6EPldXDpoEN9
H+tZvvz9Uei9quzys8LT8V3s1JGKVGpnO1RhUdGqG2fZOeOpZ/Wra5m7r0hUsqwoSR8+qzCIFYFk
QbZTW9tfwUwxHwNM5D//7rWgG6UDkJo1x6kEH41i1vhfaL2f7Ux/SPAOwS8tadCifHuU1xsHoxg8
FGhiKFcer9jJkic1r4XY5ak2rTP4XEtnTKYV4k3NVpfwpS2RCj9vysw8BYB5PeU56D2bR3Aimakc
h7fR75UC5HSY7XLF6vpbtcrM+ApWjDrsKuy4xP2oFu0Xs/CN+Lc13Z/NF9BMQbSQ6tbxbKyLtFbi
vs53aWj2tpcXDqZzGOr+/hKjeU5PiNSIJ4hIy+ElptHoW5Md5Du/mwTqAphFGhk6Z05qWr8dFGex
BfYvdi4kWo9zTS3OcrDnTb4TxdSuKI6Yuzxu8hM14ddl0lnTAXIUgjZkLyBsDq8oqmOtlaQ033Vx
0m/MRE9WoSX5a85i0VLtC3ORZeBmKY/b3oDH1LKze/1KEPNOhOfXeyh8fZY6be25gXE8e1jbKWVK
K98VuOqs+1KYbtaHYqlJlb9QEtpoby+U14ue8WDrUzWk8v6qjpGXo1EaQVzs/DyKIWmVI/7B4lTi
+qur4lDLhj2Lgbzqwwo11QlfbbGD1xN4k+bEnnB82KSqXyyzSa43b1/VL9YgBEGAzxxTgDcen4k4
ukzVWFnFjqWieWxP2jKiu71yUvCN9iSjgFA2wePbg/7iVpIfzCXPmfFEEe9wDhG3fQQVZzkiX3U8
H+FLw1PJYO0Tj+wXN5PKFhVs+Fu4MR3DLRRwzYMxyuUub4T8PTJFfpslptjXuPkt1SL6bVQqJDGI
WuylOCAiQneUl9hq1ROx7WIHOlc7m+WzV+qg06XR9I9v38FXrQFGIq5QjiR8kbEe1SKrqgTyGXBl
lGG0ZR2kZedx2oFjVaoJEiZRmskP5ghn2+nCZlvFRX7iG/xi4lBMhqoGCo0I6syvv9jP61Ytu2mK
6x0xLteWxOtKXWpK32ZnTq4U5RZVA+lW5LKRnzgNPDOXD852M3SGBimbx5wCHqulh2EUgwlqjV1a
4plhsUEZBYKp6B4UwRlan2W0dQqAURchYubV98IaJmst91lc3wlrgjznJrk5md8Vs87Lc2nQnHHd
DGpZz8wkWWzfflTHkxDuAlOBZzTjK+Yj2uGNanuQ1t2kpLvOEvWim5KzQPJ3Qg8+0Dv+3ZPSPBgA
HGpF82nwlaaqquStYk2x2IV5rWDvmnYYrsq/e3xhFGSaCVIzlImz0tEl1WmhNploqh1OhaZnGJKz
Zqo9GE6ReyAlmhN7zvFkn4cDscc5npMFPbr5Dr+YaoUOaNO2x3oXFZK1bnT2mNTplCW8sM7r7SFd
12NvL6vKDDx1LMMTUeQ4WjE8rDySJNIj9vFjvZu0KeqGxKvZaRI+M1qqBCvJhGD39jR5PQrr+Fnk
gahISD6KHWaN1K82Be0OgRr7soTylm2GrOxPZcjPbZGXq0eF5a5QEUEOgXq5eZwnmHUqCadt+x3l
IRxzVC0e7HXtTPIZ2rKTWKX2FH/SDalUbsIKrYlpAXMJqViQAQ0ySbbc1iUVDBV2b1oE0X3cafK0
hp0XD57d9ajLjB1CMxBFnTh228S0p3XgZ+aXxJKz+8inNuFmVRhjq2wHzscR3VdYDbL0oJm1Gf9m
UsTFUjbg3DvLFc1FisOpoyUQFodSDLvckT6rnR6uwzw2T6zwV+yMeRSbKIh6AEOxzI9GKQPVzqJi
pDLbKcqyGoxGd0tAb+NikgSCT84wUBWThsZBmTcYArFLNVb/OjYCu15hah2jxVIBrXMHZG2kBY0m
rf/No9Hss8BMZtnS2KWKcnTaK0q7p+g3FbvOsUm2M8W6krKWxv3zPP6Pr8P/DJ5yTgHg7EX9z//k
z1/zYoT0EDZHf/zndfEk7prq6am5fCz+c/7Vv956+Iv/vIwor9X59+b4XQe/xOf/HH/x2Dwe/GEp
mqgZb9qnarx9qtu0eR6Abzq/87/64run50+5H4unf/zxNW8JXXxaAPf3j58vbb/94w/ATy+W9Pz5
P1+8esz4vbvHSDTvNk/pk3j8H+/+V/31SdR8wrtH8e3dPe4qzaN49+3xndeKkHTpx4h/fezTY938
4w9Jf0/SR3uJZAyiHj05Imv/9PySor/n0VGWmkvllCRmPpzIYSTya9Z7dH5nTR96U1R4EDj+412d
t8+v6fJ7OomIwJOWEFmMP/68QQeP8u9H+06g0ZxzKfU//jiqqs51CZzxaHSQ/MOdZKs5nOgoUA/I
gYdnMiy5dFVblDPTBZYhpdhUQumyB8rvRf4lSPSh8FH01qrui6a0s0WqaoXhKcm8o34+Zt6cdjg5
ctFUMOY+wuH3AbqCGLwjGjelvuAKG9Vw3+viIqs0z9TGPPoqdbXdhKvcyCg7u/VkOPUGdrYmwcCF
YSik5WBOqgmL0bFOlGSPjkqg5XSHmhtI3zksgJ8++nYB3qyO1WmtmzexOkwIfLQlMOfGCoGRNSji
ta6grRLGnj/TCiavMVK73MUCJvyK47Jk3dBOs+VT32veSv7eAajzMLlwX4HLRIUalwlm0sv9VNVK
TbCDnVXCSPNxOcmtPlxIAKfMelmCN6PnVpnosOpuCxWx3EPv17ttgueyZXtKF/umDfFHGieoXQ7I
6YVujnV8n+GM9kHp0L3pFkkVR+iaVZ3R1oBogP3+rDT+Vpz5l9HjIOLc5xn/HgeYg7f8yw/6dwxD
c6vnP/5cxa/C0H2ePKWP7UGEmX/jZ4RBe/A9uz/QHmC44GBm/tafEcZS388kYpDpbJrPseKvCGO/
Z43RLObYjlY/pS9W/p8RxnlPrZfARPpC80GGk/Lnl/svhBh7Lvr8PTnpIJPQY+MGH4QO+Nw2OZqc
lLFHbL7lO1W50RAvDxb+KhY3o3qeq+d9sNXk2yK4GIXmIoqfmVdFtqzj1XSmO271wUm8KbxInbNW
rPPiLGBC+4MbfM8XGUYm99WqzxelQoTYWcNVUHttugj06yz0Bipc5q5rL51+HYzLQbso2YxVfWtO
pNGxh4AEqzX2H8LqkxzhP+qV63zwms6+l8xi0ZSRp8RnhthF0WdJ+WSK60GmyAkP6DpVr0WIlicU
f9u8VJAG1+FQOJM76psxuEiDu0hxk0V5XZdnhPAf2zGz91+E7Hkxv7qfbF08cE4Er9DkvaziDBRm
8l0dGR+NLogw4datc1hEn60B3mjjLPJSWvUfyE6MS0uDThn3bXHqaxymt/NjhZYL2gSmxcyFPy7M
ClHbhVbr010SqnulVexbVCui81w7N6L4I7jiR7PQHwAxSJ5qV2tVnkmWWjregbhZTJ3y8GJN/Jx2
L3eywxDI16F+w+SaSX7z9zk+QuaoOgSjZvd3lVrJq7aInFU96R8bbVxnsXk2dzq3VBZ+Svj+Pwha
b6ZQ/5ZR6c3k6D4Xc5HoRdaj8f6/YpL2nl415eeZjD+nMi9iEtEFJX80xog8mBjwIP/MehTj/fxu
whh4M3a1+aTzZ0xS9fccpgzY9TCRf8Sr3whKRwk+UZJzrsHMJQg+WyocFTsseo8GVFrjYbBz50Jv
8nrrxJm0ELEZ3KIj3m3URBb3egT7yUUfKN/oQh22NEYrr5Q7muANHWi4j9W0fHsiz0eLl8ubLIyj
nDaLWVC9M44zsmwosAKJpObBl8Nq4TddSzuxVHal2SWrStJPUWSP1/HzePPWMRvUcGOODlRhp/cd
Z73uAQmWdpnOtAbqKsqpcDF/zPFlgfQnZ5op16+U00O/SBRfhN1DYSXJUkgOJixVaEtrP3T6W0BR
tofRdHORUbBcNFbdeXiqtLu37+1h3YGLQyEZUCZSAgg0zATWw60oSmK99h073wvRj5u6GYNPYzmm
UKzt9oOkF8pC5L5/o5a5fFPpvrZ4e/ijbHsef+YBzbYI85aMs9vh+Jhr15OSK8NeNHCr/TxDgVQd
7J0mIx6bG1a3aI1YPdfKeriKB/1jS9Z14kG8etyAr0HKzr0hSm3UYQ6/gmgSaarToNlXqup7TqbW
i6ayfk999/lCn82j4JvCQjA4pBwkpMMQ96USDs2+NJFxVaOkd+UQGF8Vn1S/ODoyzGMB3kPFmRa1
DpP8mL8+FV2vAEwZ99ikTttpCqS1lPvaVuYgcdap0AzdvAiVj06Db2tfmWuMshOSjcBXMy/SUvNE
ceuwjvrj+7ARwQRHGB8twKMmmG4hgZm1Vb83NelzC5JnWfliEw/GzZDClo6KU4qN8808WFrz2Q35
fYPq6cyUPoplqg0wzizScZ8PUEeB7jmLgGIOhnbRKcXUV0PNwHWFqUvJgV7GK2plaYw1R4xuD+O2
cDPAQouJevRy0OtTAtvHGzobBA+UvJbxSGKPwRuiKOMi9Pt230oiW0H+kpDBMSvPrwzjNh9NealY
lQUeMDtlHPeri4QuRFKDYAOIgfmbvahOxk0bFnpSDfsMfcQNfgbSgrpyutKN8RSQ41Ww5yJnnBxq
FJAnQT8fDjWA5IicSR32vu5fWHXyEbhz6g74f7hhrX15O/y8mpjz0ZWDAGtkJlceiwZYhWqlXQeK
OhkKQCrkVMJLYqveFGNWXEyRlJ23ws5PBL1fjIoG2qxZTeSm4DHfghd3EyfvZBRWKO+nJPO/JL34
qkGGWmuRKm2kttYW1ihp39++0ldBjuSCTgY4EvAx1MaOVgTfQu86p5T3XRB0noPomTexpDa/Pcpz
wVwHSgKw8tihQ3Q9ZZ/Gn/ZmHTrL0Kgb19aGUzzO52r0wfKmyzxXqgncnOHIWg5voE8zpiuMztzH
hX2JRSX0QNmTm4I+TXvRVUtF+9RYhuvEmzDdD/T3UIvbDM2IZR+pw7B/+6J/sTjmLAG6ILkYfdOj
xVFqiLmleWbu7YrqCziqKR8WKlXmt4f55VUDfWObVGde1HE/bEysfuroQezDcKFG2z51tfPo0r5D
nlC74Sao2/IroODgmyNc/xTp7FcX+XJw9fCWg15IIX/V5l44l3p7YSFRGp6At78egqoeZzhOLYCA
afAcDtFBzZPRpms+aIOcrtMJXFWWwCCPUyP57XnKLszCJ6dUaHUfY40ltGh1lNSdPQpH/TJRKazB
VT3lxXGET2VOOOozFGieGWTvx5g+KFVVBP3I2dt2h45dmObNUwCG2kf/3IrzRZVXseoNhki2RdOE
32kWDDxALclxRi51/RNwXWDrim+GySKXdPEtMwRiBKJRJkSR9LAMvMFOomYd4ofuu1OJTL1na814
rhdlt6taEwkl22wW6EXqs2y9hONhEJVMk1pvfNnVutD5bucUPE/EuNfxhkvXyC1nmAY75Pz6ixhn
KEkZTFpv7UWd5ssCBqZXFfWpev/r9JE7TNzmfIBCKh3ao0ggaEtWql07ewRftEXiK6Jz/QY/rzPV
ifqtNtoogo664bdL5G6mXewnSblU6jQ7IdY6x+zDkAQX87ky/UvblYmCYj1EUrA3etXZDkNbL1Q5
STZSn4tlEia/fUZBhoUCOXQqNuTZLerw/ub6VGZK1SR7uQqShTXpyGMi+3LiKb46HcyjzOUyqmEA
bo8lztRB8YdYrZN9yF4N/VErjFU8lv4m6TtjJ4KuOg+E8LdaCa1tDILiREj45fjzoRSZ4plwdXSV
Fere6QSge4/9SnQ1ZCNsBzkwN1FOnmPi7YTm5mCFrpZLH8tQOaXze1Tdnhcw148s7uyYAbLvWJ9v
SHtbCkMz3qeh7vaytGaHrc4tQAmUz8biPg6DyDVHH297jdTBRK5pU46KfmJyvV5MVB0pTc7FHAru
x/g1v1TyRvN5DPZYJV5nt/ZSKabxxAbzy1GQX8MBD0okGfThlOqnwClLiymVlw0Fx3RAKVCO1ROV
+V+OQshFDgq7SGTzDkdJ+wzIn50ke0jluHT1YbGIM+uUvfMzRfhwPc7pHAx+bCnnJO9oU279Dnhn
J8f7qBjS2lWVOHlqpETG39OKfPSB+zK8TDMnewCRKn+daa4eB90Bgrj/3bKG7rslt1LpDj0aC640
ifG7kkjqWh+0KXENmmvLNEqMz7WfKJ7fKeWpauIvpj4XAOJxvoL5hH54n9QBhtys+rHPpjJdt9jV
zFCzwK0lRXHbUdU9yc+/ZEDei248ZV7/+gTJbKdHR56IJgFJ1tGJLc/qNILgEO+RzDCWbZTFeBR1
1pnjY4mXYFy+RojW2kz0GS+x2FTXeeePt4MvRys8UcP/g/mPntHsWk0rDO2Vw3thUuxx+kzEeyeV
rW0tw9dBre4UFXn+lFdThpTgeRyqakcpcudYQ9V0U7Sf7D7x/GQIV5ETZFtsZjlE58awPpHQzQnN
4YDAeBElmPkF9L6Os2VEBCqmaFXvnb77VFgG1IlQNVw8dsftNGjmR6XpPnZ6HSy6vI+3SivL7iB3
9blW5adUEl7tpJReSKpnnBOikrTijq4+jDIrjUfRULpXkcmW/aY+43yULQOnDtfM+voDN06szEDP
4IyHwT6MStk9cUuOo8P8LdjGacJSkOGYe/SkkV3ts0SzmrlSYNO6KJsPZKXBtpfzdtnLbelmgmoG
VCOxGo0k/dK02njvS+qTcGj5js3taFTOiRrZM8zyxYMi/s8lFdqJWE8BcnKOVoOS9zYqcn730WKL
vwjaIv5o1nXTuz5qKapbWXbWuTBTFOGO/WhcBnZafjTLUW9cJZ7M0B1TLb0qRet/DpVGRtEZfcpL
0wq12u36rtbdzEzNwp2CTrnP9GFsXGkM82u0hlDkJvOWP6qB06J/1fTiHt6aIrsStZ1d3dfKDRW2
DLCmFun3al1oAzpSpYyeRh6Un4MoDb/mbKP3aZbHGiShWrCUOZ1Bti+muHFVwy9vu14Sn0VWKfvR
dgbDRf8jjFxd8+nbKghXPapyM+HbjIP0eT6Y4pLMNYCWqQlCq6HmX7RpzO9zJdS+NZakaW6MdvQX
rYNA5anmAC3RCcobNM2bygUUGchuUcgkshNz6SJCjP1r4VhZ5oqenFwz4Ky70Lqqe5SIxoHiKwqC
nhFOUujlYRF/kkXm/zgR/HfX4g84ji8W4ate6t1jlh92Leb3/9W1UN5TPXMcZPupyDyzAF50UiFq
wrkhPYPQz2nur6aF9h40KlAkin3AMiCv/920AOLBZjx3UtlecOmDkPEbTYvnE9SLlcmpe9Z7BLb2
Q2rp2I4mKFspy+xJuVdFNCZYCMCM8Cx/Kr4VkR8uw8YwXClQAnjDfZHmnq1MPrILkZpYW9HJZb+K
8kJIXmY59TLo+2xy69Q0dzqzDa6trNUJBpSjai1idczv4kn6XHU1WYRQ+/wLNpI0TUWucbDxwVvc
ckiZIJij6JG5Ktr7xbKVjfBbZhZQC3sBFsGNQxR4VlmTFrtI07NV2fRd6fVqN7SYQpal9EkKDec6
GgLWSkYSs0XEn2p0IJLcLcdhOhHcjiMu2zxyR/M2hFskeOyjfAwitYFdWqrcp3KEqbuKrHaG7+3i
xZza/XgiL3uRr/ZWRpkVzznsIqdKTfpwB0+rtGnLIiK6Cb1G9zmvVoNWtysJqYml1mXS6u3xnnEn
hxODS6GrASVxVoI4hm+2aiZAyRrjvSkXI4eUvPs0aLakrXrfKU23oI+A416TRJdtFWj+WihWn7m1
VpReN+RUVIrGj/GO1PpzZ/SFm461dmWXqd67Y2lbGwMPB8trrB4j+2DM9Ts9spl6aqGPD601YvA+
aIBzlth+EtbGHuE7zvJm64EeSvLFNHO83aTtp8YLCwtcv57p8XWt1A6cd60YVXZg/0pyplZZmHpR
nKu+Vd6aoT98xgEZDodUt9qjEZnVdz1L4tKL9cLKXJ1iZnZiU3717OYaG36BcPlQHXiFVuiHmoLv
YA73TSC++1N+HkjcpQnDYinxox8P7r/j8B8G7Q9Kouiw05yh6swp68WcfhWXPRLs4qlqQNdt6xSA
3cvO8i8/68+YLTvvkYaacWM/8XB/d5p5aZYS4SGiHcVy5FH/DNqK/H6m71BGobo/215SSfnZaOal
WUOdiE7hmOoc2q+/EbIB4xymvce34TjPdoIa8a9Wj7dtdh7qsWspTxnxUqdUJYXCVcarxFqoPZIQ
3jg9lMFKFkunWsTG0g49w8em1sVmQ2f14cuSbKyvCatH3jrmbVnCI7uanDXAPD3dWNMHu72IrW9Q
KT0xKm7UfC31G0W/8IN7BOnDYAEhVUk8xXiMwjs7uZLaK6s4K9XzGmKRfaHHO7LthJ/nkn8+Rdf1
sLZt4aX+uaKQ2URXlUR+Nk7e1FxZ+jqglScnXyyx8f3b3tkb0XUuPSWVcFv9qpqLbpjACYzR0sss
3oE3M5VV558bOSp396Rdieap5UKKNypGj/2j2pVulYfU/2ovbm+z8S7U7id5KyUfFHw1kq0VXvr1
Jmu2JiGuX1d8Tr8yi02crg3nwlSoCKZ7x1igUIp4ap5cD+PajOjaXIfOhdIvY4Tji80Qnmn95djt
Rhm5pUUYnk2YsOSrtBau3K00gESS62sbq9tU08cFynzScDb/m68m/UM43LTJfdGTkcbnWXYpjKtK
vyvrOz+9jMONZHhxsgztZSRcUbrJtGg4O5pnlbSxCldNLgtlpRbrMvxBTP+tOPJrUNy/IbCEUEA8
gAiJ+RdtS7h0b6ZsDyJqnr69u2sem6f63WXEEn533TbpGIngZ7CoD6LFrz7+Z7SwjPdUZ2m0YROC
gB34qT+jBWpV72GdoYROV4Nz6tyx/hksVPv9TKZ8loKGHXeAxSWO2HMHj1blDKXl1GT9Vrg4zE8g
/xDJYKRBNyIGwUs7yhzUtkbkJTKDT2VXCLerQuNWqeOrop7Oset+KrNmXSYskiFIm5UyBNjfZMvG
LisXBk2/rIRGZP0LaviLVGY+CP+dWfz8QnDaQS7Mpddj8eO+anRpHLvgU5YU5UoKzJQMkx8JQvQL
KbFsN2vlD2+PeXQ6n1HPIMuI2bM+AJANY96jX5TTa00VCNtE2v1ooh2iVMss69H0GDHiaaowXVbl
oHuiBD1RipDu2yn7u8NqFFpAM5iW3WFuuOEZd1wIzZB75pYO9u1kjK4TdW5YaiM+e1Q/pS2nBMMV
kXaF3fa0ffvKXw9M8kELAQIvrWf+Obzwqsb34FlkVzUlZaFZSecikCBcze/usNZY1bp5ZyjFpsz1
T2+PzO538KSZwjxgMHQzxwgGPkWAw7HjTjc4E4fZDRZErsZ/l5eft9vMs7xgTZvhwrhylhgCbuyF
uTW30drcVufmFsrBMlzYC8dzlpI3//38vmJTbcSmcXfVpuF/naW6VXeN27gmb/zaeV935kJs5E/V
ubPUFxYvx1/6T+MuPZ/Ww81wS1FhWyxxAr7CKexhuOkhvrrjTt12ruQ1ruV1rrWsll93fOjXr/iK
L7FVW3CfvGhxYyxaz15KK/pOHv2hpeZKG3NZLeS1vM6X8rpbVavse7wtl82i95yNszEW8TrfAPSy
hDt9k6+ULdW9a8T1z7Nzc2ldqJfSRl6PZ9ghLFsv59OUbfX8+fbS2EorzXU2006/0rbzJ7Wu733f
nOdu69qetZi/hrPADe283qTeXeZSWfC0bbj2PWNrXoVr577e9O4pka5nLNPfK/fn81RlColwQ2D1
HT3PyGkbvzSk9Ga1uL5HxumcLts6uOm+RIOn4aFmuw78U/gp59MmWE5utFRcxU1X0wadlzVvXZJm
r57WV2dYXrmVdze6/SZYcJ50+YslcrgLToNeyi0X83+Xo+L17k3Izuj2jSseHChxLmq20qLfSItg
Jbz5dzenmptHCdY8b2eraoyhCew/jt8vg0WhZz3nRi0DXeMEnmb09tnQlfHWybFojcJ6kY8xbcbA
/tLITXnx40cWnoVtFm6f/wTX7BPdnXqNKGbjFhbFt0iMnafgHwcBCpUI11RKeesrvVepQ372/EOJ
m6+hWgSe1bJCaSiZlMYIDSwj/bxR+mtfxPKZz4M6Iwn8+UPkc+HLD6zF33/3/L5yaG3v7SU9VzJe
xO7nGQCTYq5m0OCAejJvNi/CqD+JIR7xbLkBM3Qm6dKFLsLbuAkv7OwJz487xTcWVpRcYYR4icMN
eGJ7NZXbLnCWE4wwdTqL5W9BqF0Ivb/HA+Exz52b0orOFApjbdZ8aAFM+zWtefEFPeRPdZNt8iFc
IB+ziqr2CnHfdaTsqULQwdGcHST0dVkMk+tP4drUooXfDhdDk0Btj5a97i/z8BoJqWXTFEs/IN21
TK8xOyTMnCVdj4WuN+cxWaaWkiWW6S0t9LsePjzKbScOgUc70POtoxUAcP25N6TN54OXty6LbcyS
1SzEDo+tpolpzNOroin2XQabeE4PWjF2oBNWNC663xycR8YTYwvkFEIyAv3ncPChsmqjaBR/icRi
4fllZHjjWGKTyK5BXcV/UIabUKTtbaVLC4cvd2LiHM2bOX/6oYdHjkYZ4xgiaPSVXQ+9MV3HtfqU
ZGTxYVdmqylQr/HpM9y40Qx3wmMNzEmtrN+etc924n/HLboDCDWjUUtJnCoXSeJRiabQWx8SviHf
l0qibkY9uI0zOzlX2hoNSF9KV/Q0Orcx8su8yBGLi9rLxMhXncL5ip7KpamLR12fBNbFWBsEQ/EV
TYr6PrOq31TT/flN6fnTNYYNdEwOFzatmZQ84r5Vok/gyQwvk2UMKDXrHCLZpzYx3DwqxSLF6ufE
HDmq+ND8R9YWDCe1SlAdCLzP8JIXa1vps8pWmza/SUW7SPveXxbdtF1BgSqydVghigwRUN9myVRf
ZVEIVs8SDyOThupQGbl92ToXVk7kr8LmvNOVjxhf9jdNr1brqsJ/8fmPaH+WS0PvMZserWjdyFR7
giy9Ql7u2kZP+8ZqCv9Bb66mrB8v4uDMscLujsJ4RZknGFy04eVFOBixV/eiO5uAvCwmUTe3VuBf
yWZnLIDsPzzPn/8LR6EDftD/b2j8OfH+K29/VT5ZP9GBiB5fHoPmX/hx6tHN95wl6HFhYgK0gfr1
n4cemIQIfryA1PPKz0OPrkEyJBLNNn3kwM+T+2eFRFfeU+0GkgnahyIqhZffOfLwVZiqfy94dGKo
p0P5g7RB33fWfzqcyqBlHQtOXbWc7KZM1ukYcw7vrcLcR+joYXeIqGDtlUGnmStTr4YHtUvtR77x
sPXtPFbdjqZT6CZhixmRCvevPUO2fD7tJ5rzETBMlLpNk8EksiMnQUo0SPrKNaauux5Uqy7JDVQO
W1lQ25+RwtRaChfyaKwmp/Qvhe0A66v6JsRr18ql3AOlVZAe42Z50TSK5rs2dEgvsODJXfedH2+i
TmZtVY1/EWh9EJIQxOV36u79AvCz/DhNI+ASoFLJp9wRKSo1Y9oL+l6hfBVFyfCpKTvrwRFZH61D
WlK528Uh0kfmGESR6/e6VSMhn01kbkFWP5pJqXwLRabo9O2j7IPasKm58sjYYIOmTKCO3s0OAiEC
Za7SVMlHIzSnc7Q6TXMr0f1kj06vVb2yS6/tnepMDamxrrNaSBgoGn3uOnkcfwvjRAJSqOvjWWUW
DrG4ayxzGfZjjW9tQnvTM9SmTz29krpuAXiwxkfGFxqdNQkkMeUXTfOXvmgL2qpCKwjfUdC5hdSq
n/VaKLGbm2l1Q1kxkJZaLecf42aiGywnOuGzVBv7uko0U/LSwA4nr0QFsXIHHVPCpSTp1QctN5wv
EDcS2S21hKZbnfXKYweAoPKCkIbmIgn75qwLK9vcIFNJDUcrYphi6BI1rZuWemm7FnbCO7NG643u
HJYAGzvW4xrvImjnK6kX6oZ6ea8uTLlPERkis3kAxyyEp4SqJrlDazSIrDQKPrjCEpG0bgcH2XrU
IK3yrKyLkYEMmYNkKfIy81Agq1uPKnahbpoyLVeDjrWXS7XB7pY41/NhVVTZCIfFlXpn9411K4Ym
3AoGBn8wkMRHqsBQ19SYY9BGxtqz6rp7GJJq6jzLikeeudNm5tkUirjFSNjSH9NghPHmI8N2Xtot
loKjaeeZp9p+nbocidEmRq1Mizx6kPalNeVm4um9ZWP3DPFTcf1UMm03sepp2sTl6AeuHgHK3uT2
rNcAkU/YYM+TMFqOujJ8Fs3gfCokVSo9vbERNrdrHatp3xk7/j/tx5U8Vg6OHg2fVLatgxRgUV3i
TqEYXqTE8qbJujRZ9nHOutXMoVddxwytcOlIw/g9Gdh9kahmV7O6pqEbG9MJ2aJPTN7kyIQId5LL
6rtCn1pDUFfSk4ViJMqMM6CL46aYws3Kv77xwcpykXiaPiBz0Dh6yc3U9Wpfiyj9ntI1xvW3KTW3
rwr/qSkKXFJZgf2V0alTvEiLWW+nrfNM8cCSlJmboNTLYTBSwg/IP6u912ulqXjWEMqBBwISIegk
UoLJddI4xbp9wqHCS9Gel71REfnkJvPk8bB1rq0zoTel6urYGoeelnQDetU66AFKn9K0s7GviPDq
C7NsIdtNJkP3LdrKtWxJ+AvIipa8NWu7j9cN5wHfK1IQzat8ytV+NUoBocmkc69tRifBFgBgAfFQ
C/SKUstUCR3b8QKC5FT0UrUKJ7LhlV9y3FrJXaJ/zA20azyM2qO90fakhv+bu2tZbhzJrr/C3cxE
mD0E+N5MhACSokRRxRJVqpraMJIkGkjiSTwJOBzhjT/Ca69m4Z2X3tWf+Et8EiSqmSAlSkK6qt2a
iIkmpbpI5OPmfZx7LnA8m7oqNfTIn7StVrYbobI9fOzvUvTk3lix2RlHXiiD2CmNAmm0qG+6yQgR
a92D1mk0NysMZRfd0I6NXoeNTtD6uuu3okTBS0cPYPTSjaHt1eNk7LvoYXKtW5kUPrR8A7ujXk/b
nZkv7Rz0LekvPFdxgNY0R0kSJN6gC6DPur7pIMDcRWsr8L/bA7AofuxvmiBQ726jjaQaoOY2ldj0
xg5ca6W9gFnnZxRrCvQl1q4Nilmd0Zd12vY1RfLsLnOBCkrgHWztxU0b696jzqTnprO+3Bz2dRD4
UAkNPu3o3tSbgw7OsO3FH1rbxirw6EfQYMZKcyPdmn503YwQVVssEgXNNcJxbCaDZs+ZdHJLG6Ck
JloLBt4W4WVgDwO//aXVaK3TwJnvEEtvoXF1LMlE0mdxuJ3a6OMNTtZxMzBugnBz48GrS5F4yBpQ
Vrr1YUfTob01vvhxrz4I29vtuOsnjxHa0VFlQ3dj0MRGquM8IFupq/1tW7EWvaljNGXV2raHDbAT
daMVODIcNY6Bte3jaVZDv974CUi7Fr3bfnPzuZ02jVFoNYBq3lgDGUTR9ayjgHuxNchMaxA001ua
eeZtK2jWb8GR9QiaAVtpo5WV5ybuODHHsmvjmKb+DXrmoNrO6Y193QahSfwQSNFN3Onf9hEOc3sb
XW3tllncQJf0pJve4N9/Xvj652DTChS0J5pbJr2Nu8YETc/vzDiNlUYP7dwbjfQ63u4QzW9ArKe3
PoI9eNWub5yhHRtBXwXTPeiI2kAtOQ1dccAFHfjhsN6SR6ibw/nMJhuvcWs50iQBQa1qO5LitVsf
IiPBroG6QbX9jb4I4PT3etsvyJ8MbEDz3E5/uG1Y42gjjxtp78kLGCQ7g9mcwtV5yhottQHy2kBG
TIYCX5L17CkUUVMB+SsdGruNOzQyoLYMR3pCQwlHCSVmxljhirryg7+1ASYK3b4aZY1BFx7T1t0+
xvLmC3SpCtSPcQNCz49x0vBhF7lQALSNS3oLAPkIhs9823UnaORIZMv4jI7GPfB9SNLjzjFGUdsG
XznqkhXbkCKl3ttNA8CUBpu+oUZtd/cxNiATmVlz6EbbhOI4yq0JaqFWvVZ9o7rdWJomkpQq4e5L
y7McXGsdDY9Du2Lz3qC+0x2EcRv85e0FDDRbmm4k5KaNxfa6B1tjIHv1dYaWw46XDDMrW9zKnu/N
gxY4skBugEx2/bZuzlqbxFCc5sOm4QHd0I+o4sqdFA2t49bfIz/O7jJTH5hbRAatLaqlnfSj3EpG
9sYYSI6MhFUPa7hxWjPb8eAK3ft6rN8Aq3rvZKaKPvY3vuX0MfN0mVFjmtkhwjm4M3b6fb3TvgnT
zqwbojd9ghsWlZzox9mcy20nVY0kGcgdfWi0utHQ8DIPdRygqAbbBbJo21AetAAsVELTHodRQ5Hr
5jT1ddBXdWayZD84wLsHXXOILmzXeqM/A9mL2oZjbkoSat4X5riP7k1oPoVS94HRQ/zW+mqY8qju
B59gYXxBKkXpGyvHQ5bP+khTpP58bGd3HqXN284Cy9+OCSzAOljwAvxjOm7qWTKL9CfLompXQrDT
D0dRf113w7u0sxkitriYAiw5aYSbUd1CJL6XLuByaonUVC2nJQ23hrlVAmPnKbhgvOsgkzPF8aOx
hH7KG4BRBjF7VECdr4u+O2uhpkW6XoAuSQHoeKCDamgUJ+aHdowLut9Bdm4BzSxnK3ObUpBRt7MB
8veRgl4qPaWRhWvQzY9c1K4ONhn4KRKnNe537PukHUycne8MTAvqJKBfwCcI7vgMRq2bMK769pbA
ro7HfZfsZJbo7zRSlEZ1Qtv4Cue2rt/oWaO7blrhB/TP3BpwCsKwNzTQ5S8AsKzXcEauGfnp2Ace
/Wu/YfZ76qZj9TYj30XvHBqEDWNguJ0kUcNFVB8BvIC7IPAiet+KQRmMRiy05aDA126t/PbGJlLL
TuMhcLIgB0RXio6vLDzbRpit3bZgZzkO9QdxZEnjdidugAtu18GVGKJWX2l5C9Dxo1mwq6DLT/MW
7kukYW7N+EbuLLp00AFT0wabstf5uNFt+1erLYGzwI4brXm33rOYStyCSY2i0vCzFLq+jUZZm2gH
SFzS6d13FjScdVHrh57UVtyae7Iu9VBY2W9ZcPHtlgwe7p23xgFrZMrOt1CEb8fdDAWuTgSs0g59
uDYDrxuC3lfCBfExSeQgUKUwTD9YdS8OhwD4I3m7C+1dMsYF1OgN0p0OCGTS2rBhOrCRbhteB5AU
oycz27JvyZ1b16T1z0nm1u9hm6TbiZl2zKEdpN21BDwhoC9eBMzKrr7Jlm+PMzxLMvJDQg2HkAgL
BgzLnEl7/iYQSrDf5uQ/j+77/qgAP5wXdKj/v8Sz1ACGlIte5EPKOZ5ekmARUEFFa1AxdVq/oCAB
BCKMDJ39IJthgYHg8Ot+9xfwpKKgG+Ub+Q9Cpnje0Qw9Nwcvv94pAdWpnJdeQMvXhXFCsQBepRlo
dn5BOIYVhiA2m/9wM4Awzi/AV7OGer+3V5cZG2i1d+//wuDayJ4gE3y07GjugQAWo+hkCEz2g9//
vtadYf8qvXudYZXyH1aPdPzy7eYv+90Outz85w2b/hUn47sKUQ1qrXPlQbXgiJft4h8UZ+tUwOHM
5GRpDIb5PYCY/ynTJnvh+/PDPv9tdUzilp/so18y7rqjj9zfBid/fHj542cdf8W96tl3KL4cU80n
/spI83+SHt5qTx6nEoesuYgso4r+bZAntHTfd8lLUq9BweeU8XHsyFcVPNV2dOUWctjCABFTfDyr
3l813j2F3gzz5Gs5b96UwurALi5E51uAHduqL8DBhApxuXSmfqpKVyHAJ1btytZ8uuKWFSSwrGn7
s08IjhTAS0urEp8ulxrhpgYkpSw8jxzYBfnnNvD3C/D0APIX29t/fxgOm1+G0ql+gI/Hfzj/x18N
2UVaqJ/i+HHDLr58aYoVYvjgdCwmM9/lMCSendrXrhzCkRGWeS+HSc2LCvK7//1H55pkBKg3n3rH
kkENVHx8v+gbv7TLWKlp1Vm4CXyiWYWcfG4lAZOLsW45oaz4sepYb11/XZoCVmZXVewkSggNCzn5
FDQFiL3TlsThVSbgEsVj3r8NPtilOegI0JQf4XD4xdjyKWC2etWZnZNoTWtXPlnyWU5UawsQDs5b
XqUzyEXVIR8uJDbm2tCmPoOvFlLZvAAvUnx8/xJ+BpVsTSGOWYjKJaPMqPLw/67ZGqcpwVZRXeq9
W8Om+1NQK9swbRF67dqF2No8Wq4RWME9zR1FFP6IUMsIgS/PwY5R5CChdkzAHF0to9o0CrgdeZAu
YFv+88NwPnx4Gg7+pcY2j+Zjwsr7H+l4oEuaIK9CRh6UbYADXVr6c5f1j7E/UI6HMhMUFDN2E/Rm
A5tKZXfi+G3Y4YQ3cvzVkLdGnv2VQCsLdBTdxqveC2NzoLtOvB7eRXJXsDQv/M3vwY26+rVsb+eg
eF45H175lebalYMbahWWzHj0ODvZ5G+UG5RuEUC1y8fmbRKHke96WiEjv0wbaLJSfFFcG28Tes8o
xs86MrknXro43ib7KoLeJVZpHuAgVZyIOaM+PzdmANYZMVyV7fCBnQR+xEhhgRgA7RQYNImxGZ2a
MG+blxmMIpDsl57SQfUj2K0YxQND+6Out/wm0W+89a91I7FnSGkjonEaWLRAz4SaRsYyACSigAcp
xMIZOtTlFPLYHs3rV0BIiNo5ULgiWvmiOfLa95pqAfCcIbH5SWTIMXDWoFKjgT7eAIIz+kd+O7xj
Eqfo7uZry0JS/lZAz7H/sWputFdCLYyIB313+mv3WmhoPjOLOCvx3O126f3O3UcvXGACb6lzq1E4
5sfhNv4u4u6Zkzvp+G1+H3fx96DMj301TBoSOm8Oelz50ZK3JYttXdwfRwfk9Vco1SOSR/QU4i8j
PtIpwEy9cnTgMi1+4C+prVeOnI2WrF3ujDEOw2dVxivlPhoa/DCD2IQTLcKRVEkKn+mcz8F4LasO
XC3tDpZiqSpz4AL3U7KvOk1xcp3ag+ZFS4uuCplMQ7NeIVVHjvh6OWwvwqW7jsgaUe+IN+ZOLZfo
t/v+lftujIATLd57byEKmOhb7OPS+gFOUTzm/XpjSnx4JywFUMjKh8xqPKqu3NRFgxukGQjn9KP3
TnXRM/QiCt3aQylBIosIWewTJCgYCoNcm95rMeU1CGt0XnVy9k+5i1a88YSy3uqy0QnJoWuy3rdF
cpcwdAuhbHFlVklddfyPEWpO8geo2JducE4Zou1N9QftJ+qJOuj1FOYPhFVW22sFuNX8yoAaovKb
Ab8d0sCoPVEUcJxV8ojFVH/Mp/mLTxBwYSuuQ6jPnWtwolYfuQp/ZkX4LdUVoOLmhLeK0M2k+mDn
FLtmCCcYwBU+I5T3R6l6DPa7EyZMaHz7h6XZaTFidtBycsnKT2AvMCV4Ah/8BfKGFYRXFp93VNvf
ArU/j5CGWml/KcSylwCH7uVk8LFHMIQjzhKDP8a/2ed6/1+Y/Ypm0Yw/jgI2uOpib7ObkDPMGW19
1a0xtGpzYsWwzf1CGNsQIlQIrK9QswnvTJxG+6K3G1+us2bhluMBI1JffHy/nXSPCfYJPKxCFJsK
6UWYwSvtxRlgKTYvlnWLe3n1ft6BA9kd4p1VD9wL4YafhA66spDS5Y0xAdvmysHp8bnVFWCi5EFd
fqyM4PzlLbMPVrwIxtAsnUZ2IYjtcBGpfcVFOdY+MjHW/EzT3Zg63JSIMEihXUkJ8yHC/FQiSwcM
iBtuU4D9PNAcm/hcklhENvfGxzTwXG2MerrqzhgG4IHjJwG5r8pi1UxbGSWxAuZ2RE8AeYzrruok
jIjvauf8nBcD3K+8BfaWVzFIdvRYUXjVIV/TJZI/JfgH43muLBgOuBNonLl7+da6rIKuNR+RNV6s
iHkASHPFmV6s93fVSQCFMbwKTjVIDQFyxxEa+fncJIAZrfp4b1YnygFtXATIDYnFj1ZEFONW80sb
DLyt1Qd7i8DtlKS8M5WTy1XdDncETcT53dASMLvgnzaismkineacozcby3O0BSNmecgC5viOQq/D
XwWYpYTtZEUXlec52mn20kU9XCErt8VFhN6nrrXGnHByWVOuqkNGKJSUsNxtAYpiynR7Mbp8EkTE
9J/Je6KXTvGoCm6U6yeE1xUirmbQJpasHjTBrT7aGYAZkU54CK0IbP+Di1uOP3goHKk+YHaitbJg
ScAGnudaE3FlPuwnwuuYeyUAOEBjAmYiJnDo/HUhKXdmZBFTnGhr/vKQRThJ84SG2R5twA9ZgDr+
ZDKMPWf+AHhSPOb9h/mAp52gVnnt8m4jo0mtqjSfYFytsO9UGnIaI+/fWVU4S05pjqb7/IYW4dXM
Nb+MiWYc1FVHDBZureb+CuOFAwGjTYkIoPwegzYlK21d9vQYA66Ay2riBm7MzTZ4yFs5uVTVqfn2
b0z9n3PNuq0mqhHRjBU0qgA0gzv8oh3980JrDEf5Rwys6ajQ4swUAR4d0Ci484tTxbT7xYW97H0q
bhgkCMcei2VsiFX3p4I7mTu0jJiwstDIj5w1LQSxKWDk2VXFqgbhLk0RF0WBDWHqi2VvVdSJc5qA
9VWpOvCBZrsrgA2AgLz8PAE7UCWoPHT5IqDLqPzLm1B1bdfn4VAi8s3f6yVz+PZ5vI4IaIZKPK32
pPlrzt54EUj7yhDZYEPh9fHYGkYEXnXjDPXUCwsx7BiJyKsOt0hxudB7Vu06gvHF6RRGr1951IAp
+LxYEVbGMDTQcYhX1yKS+wyNd03skmHUE+BSXpMlfwgZr3bV2b02StfAZbvh8sk+3QjArVYfq/rt
v0Kttv7TTeyW4B4g7K0ufqI5Kbd7zxRRRG+OPd3RZdkqkEQ4DXcApYcGd7nAyKw+CxhvaRZEYI2m
ICTQSYDUcjFCpn8kEdcIYpxuGHJKGA3Yi8e83+lDzIkknNWRd4OoeuAgtiRUwCme4iJdleNuAo7E
lEQMJMbjidAhRMTsMsnl2JAk4pqbuhnTv2Wkp4j04D2FiV+8fL6DRVwZuVT+JpJYT4WqW22vhusK
DQISFeLyUYuA/z58+0fkoAMIL1iAYf4Az6QE6m8IMGPnWroyNMvSguMRyyLyWIcasZN6QVlEMmvO
ojd8aBb9g4p3eL9+mzNmFFK709xSxEwSoDzniPuWa/FEMD3MUe7B7TgU3VafikeX99LytolVT9/8
23+4NXTG+vaPHMw787/9p7OiPAxfbgqYa5SF01LZHeI/AmaFOFlZQcsiyB8+6ScHXET+UAFSG3ib
2ogEnFkki8jFgVmJlmx6sMdXn+Qh4jCsLqGQxNQzWnAUH99/vL+e+CCyiJzZV2ovyTLhzC1ZBHnH
Xoeenm8RyTiF+rVHGHNcfgu1tdVn+WqZatzaoUkbQrBoodLrIpoMRX3Zn/p5cdi88PwPGIg9W2Xf
voyO/XkrITNf8w+4Er/qiC+AEYW/tAVcelfIIS4J3fCCBRjNVz7IZ3hjXICDBp4c3UIhXmAUOidX
9AImYpoSBrDkxIoYsBGVF03Abacgks/ry6aAsSJAvXTX/JqJMCjmPq3dgeCICwqJiN2gkJrPvYiw
UMbINdQm7P/mVw/H20ES4T3dAN+NIjR+kiWw71X2UiG5LFXAsbglHq8aJBH10BMQn6dZWZ3hvq8+
Dfu89MQthbrRF7O67L1tdUa2gCM9AVegaZxOiYBzfUf47BBS29XnApl/4p4ckbaAWQbSAqna0l4W
4SMgZIjO2XzcQhJRcs5CnGn5TItICt1rHh+xkLoClm6GwiQge8/BH9BksvrWmAEjerKRRYDIZ6Ax
RpP5kyreF3lcXpksRN2nTjyojeL9c8NCEmAJPRqEltGGsizgXD+SDT2daThOxSu83+t9JBTRw0LO
3sYSMWKEFphZWN4dsgiN9ClbamemQwTM94lqIYruuPkQoeo+gGvLjWs3IaAZXu2vtSEywG4YHU7m
8eMk1qyv+OL963p44CRySIBuLHhk8Z/03EO7LRGxjrkHlIWVntM3aJMuwvaZ0vUaYLchCcJijtie
3fMaP29ZBa/UDYdZmxvUBH2Vg1n7/p8A2ZWAxCChA4uVgGhqfqsQLJBPrf/5138PTJIS8BikSAFi
BGNkscHwcW5SQdaGFuQCojKPFMiSOjKkfFoQ/R/7TdYPonJoV4NTYBbbPfjrgBI3hb9Eax+BVCJc
9LHfbaMFioCHDlxz7WICH4kJN5LylbRomw7GMwGLNyER9SlXriehUWen2xdgK85I3aL1FSrh6kEQ
FevAdvzhGQLWHgBu/YxkATrojnihUTJr9lNz8eL6eYGlc4x4VeNMx2/DVPpLDAg/jhzhDxk/O0dq
KaLMAd7mr65lnrk7O4BZg/a/3+kAtNzrgZjz4tE53g/DH0qKsefgrLqfAWj67Ubgu338rBp9X2cj
4oNEIgwOBQ5qqXZPBKhe8UnGZ1dY85nfJvV9HUdUuE2cWyPCNlBdyy2j80SYxMMViNZ4AhERXUxG
YIVbGQxaWcLpiciLjYhlPltQIMCYuI4QnOaip7jnq++LOSxLeDXc1pBE1KazAAOYT9JiiLll0hPg
Ss80nzd3LivVyyjLT35UHqws4oQ8AXCSoVMOt3Ag0y1m5Tkv7uddA+dIk/+Al8K+ARBI84ntcosj
Ag6kgJCgzKUqIKw9Z+rWPcsuJyJqrrqMku/PEw2UU47+l3NepQj4ah6cZ/0KwB/GFPG554gon1Zd
t7DJ4OPv70+mhETUUI/ohh7LFBGRHaFElHUXWR+4uPOyPYquvCepohf7SL0ynHG4C1EDnZ7KF2Bv
HOTn2RK22AiQ1L4z9rNM4JpbFBEXA/jBuOjcKdt79GbE+VhDOfBhh+bvMF0NUJZvFd9xLwGWq2JT
PKfXL99EE4QMloAxFZLye1MEtE01fMRcQWx8xlGRRLAT3WtJTSXWmVpQEQWy97TENiuicOWJOKi4
4c0JEQSS98B681JFnFk2wV815Jl4ribUqhab5f3bbkbDFYg/z14u6DUg4AHEA9M4e4UzFS1iAmJW
GZkt4DjikgoQqDqfKBNBPrgnAx1rFhir/6l2FYCxNgASPFc24ORlWZIagr3or2xwdgpaQFRflEfX
hG3K7VRZhCnxiPQtP1oRqffHCPwMpcEK2Jmfsbx0T0s8ikJkRYp5ZaoXHSmKj+8/XCdGpiwivKyy
PCijtC4ObTHQ3MoBA2u3i45KbRTMNxDQFsGY8smhR/bJFMQefu1DhLQO7MWzZlyXhdIbaELVQxQM
XVgu1zD+RMfnTB+Xqo7P8duw7fPzo7vnmsj82Lfcm0AsHvW9G3ExgJd4Jq81F9Ta3NkUgVN4iIIS
aEMWkdV6/PbfANCn2vGRRIug4uNzquR4vwx/aPS3e6YvTrEs+Vodtu8L8d3/65Yv5yaH72PN/mJl
wWT/2/8CAAD//w==</cx:binary>
              </cx:geoCache>
            </cx:geography>
          </cx:layoutPr>
        </cx:series>
      </cx:plotAreaRegion>
    </cx:plotArea>
    <cx:legend pos="r" align="min" overlay="0"/>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data id="1">
      <cx:numDim type="val">
        <cx:f>_xlchart.v1.9</cx:f>
      </cx:numDim>
    </cx:data>
    <cx:data id="2">
      <cx:numDim type="val">
        <cx:f>_xlchart.v1.10</cx:f>
      </cx:numDim>
    </cx:data>
  </cx:chartData>
  <cx:chart>
    <cx:title pos="t" align="ctr" overlay="0">
      <cx:tx>
        <cx:txData>
          <cx:v>Waterfall</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Waterfall</a:t>
          </a:r>
        </a:p>
      </cx:txPr>
    </cx:title>
    <cx:plotArea>
      <cx:plotAreaRegion>
        <cx:series layoutId="waterfall" uniqueId="{AB8CF9AB-28F1-44ED-8B49-E2D2553612C2}" formatIdx="0">
          <cx:dataLabels pos="outEnd">
            <cx:visibility seriesName="0" categoryName="0" value="1"/>
          </cx:dataLabels>
          <cx:dataId val="0"/>
          <cx:layoutPr>
            <cx:subtotals/>
          </cx:layoutPr>
        </cx:series>
        <cx:series layoutId="waterfall" hidden="1" uniqueId="{02E193A6-CAD0-4C52-AE4C-7E0F32282E18}" formatIdx="1">
          <cx:dataLabels pos="outEnd">
            <cx:visibility seriesName="0" categoryName="0" value="1"/>
          </cx:dataLabels>
          <cx:dataId val="1"/>
          <cx:layoutPr>
            <cx:subtotals/>
          </cx:layoutPr>
        </cx:series>
        <cx:series layoutId="waterfall" hidden="1" uniqueId="{F9576C4A-F7D8-4395-80B7-4BA92C4215FF}" formatIdx="2">
          <cx:dataLabels pos="outEnd">
            <cx:visibility seriesName="0" categoryName="0" value="1"/>
          </cx:dataLabels>
          <cx:dataId val="2"/>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8EFF17D-CF70-41A8-8675-680E4A67068B}" type="doc">
      <dgm:prSet loTypeId="urn:microsoft.com/office/officeart/2005/8/layout/cycle4" loCatId="cycle" qsTypeId="urn:microsoft.com/office/officeart/2005/8/quickstyle/simple1" qsCatId="simple" csTypeId="urn:microsoft.com/office/officeart/2005/8/colors/accent1_2" csCatId="accent1" phldr="1"/>
      <dgm:spPr/>
      <dgm:t>
        <a:bodyPr/>
        <a:lstStyle/>
        <a:p>
          <a:endParaRPr lang="en-GB"/>
        </a:p>
      </dgm:t>
    </dgm:pt>
    <dgm:pt modelId="{160AA31F-90CA-4C5D-A2EC-3FBF38CE169D}">
      <dgm:prSet phldrT="[Text]"/>
      <dgm:spPr/>
      <dgm:t>
        <a:bodyPr/>
        <a:lstStyle/>
        <a:p>
          <a:r>
            <a:rPr lang="en-GB"/>
            <a:t>Linux</a:t>
          </a:r>
        </a:p>
      </dgm:t>
    </dgm:pt>
    <dgm:pt modelId="{DBCFF6AE-D1FD-48B8-A096-44F76563D180}" type="parTrans" cxnId="{E9C3ACA3-AD30-486F-8162-41C51443ACE2}">
      <dgm:prSet/>
      <dgm:spPr/>
      <dgm:t>
        <a:bodyPr/>
        <a:lstStyle/>
        <a:p>
          <a:endParaRPr lang="en-GB"/>
        </a:p>
      </dgm:t>
    </dgm:pt>
    <dgm:pt modelId="{DAC0C57E-6CC1-42A9-AD15-D8BB0E097E31}" type="sibTrans" cxnId="{E9C3ACA3-AD30-486F-8162-41C51443ACE2}">
      <dgm:prSet/>
      <dgm:spPr/>
      <dgm:t>
        <a:bodyPr/>
        <a:lstStyle/>
        <a:p>
          <a:endParaRPr lang="en-GB"/>
        </a:p>
      </dgm:t>
    </dgm:pt>
    <dgm:pt modelId="{6EE3EFF5-B52B-4026-92F5-DDAA99DC4D5A}">
      <dgm:prSet phldrT="[Text]"/>
      <dgm:spPr/>
      <dgm:t>
        <a:bodyPr/>
        <a:lstStyle/>
        <a:p>
          <a:r>
            <a:rPr lang="en-GB"/>
            <a:t>Ubuntu</a:t>
          </a:r>
        </a:p>
      </dgm:t>
    </dgm:pt>
    <dgm:pt modelId="{A608480B-D194-474C-91C2-2124F35FF160}" type="parTrans" cxnId="{1D6C33DE-BB3F-45D7-B943-02474F8C11B0}">
      <dgm:prSet/>
      <dgm:spPr/>
      <dgm:t>
        <a:bodyPr/>
        <a:lstStyle/>
        <a:p>
          <a:endParaRPr lang="en-GB"/>
        </a:p>
      </dgm:t>
    </dgm:pt>
    <dgm:pt modelId="{43C2BA19-B804-4E95-B050-3888BF9FC8EC}" type="sibTrans" cxnId="{1D6C33DE-BB3F-45D7-B943-02474F8C11B0}">
      <dgm:prSet/>
      <dgm:spPr/>
      <dgm:t>
        <a:bodyPr/>
        <a:lstStyle/>
        <a:p>
          <a:endParaRPr lang="en-GB"/>
        </a:p>
      </dgm:t>
    </dgm:pt>
    <dgm:pt modelId="{F8E09F45-BA24-43EB-86F9-0DA4A0264CC2}">
      <dgm:prSet phldrT="[Text]"/>
      <dgm:spPr/>
      <dgm:t>
        <a:bodyPr/>
        <a:lstStyle/>
        <a:p>
          <a:r>
            <a:rPr lang="en-GB"/>
            <a:t>BSD</a:t>
          </a:r>
        </a:p>
      </dgm:t>
    </dgm:pt>
    <dgm:pt modelId="{7665FA8E-952B-4F08-B1C3-0F436BD5FFCB}" type="parTrans" cxnId="{DECCD589-B4C3-4FE0-B0E6-C0A2B2CAD74A}">
      <dgm:prSet/>
      <dgm:spPr/>
      <dgm:t>
        <a:bodyPr/>
        <a:lstStyle/>
        <a:p>
          <a:endParaRPr lang="en-GB"/>
        </a:p>
      </dgm:t>
    </dgm:pt>
    <dgm:pt modelId="{055EE3CA-862E-4062-9652-891062EDB7A1}" type="sibTrans" cxnId="{DECCD589-B4C3-4FE0-B0E6-C0A2B2CAD74A}">
      <dgm:prSet/>
      <dgm:spPr/>
      <dgm:t>
        <a:bodyPr/>
        <a:lstStyle/>
        <a:p>
          <a:endParaRPr lang="en-GB"/>
        </a:p>
      </dgm:t>
    </dgm:pt>
    <dgm:pt modelId="{F7B2F35A-B1AD-4BEC-ACD8-5D5CD143B173}">
      <dgm:prSet phldrT="[Text]"/>
      <dgm:spPr/>
      <dgm:t>
        <a:bodyPr/>
        <a:lstStyle/>
        <a:p>
          <a:r>
            <a:rPr lang="en-GB"/>
            <a:t>FreeBSD</a:t>
          </a:r>
        </a:p>
      </dgm:t>
    </dgm:pt>
    <dgm:pt modelId="{3F3EF670-5AE1-40FF-B57B-BCBCB7E5A0EB}" type="parTrans" cxnId="{BB98411D-80CB-46E8-8965-53A9A0D3C74D}">
      <dgm:prSet/>
      <dgm:spPr/>
      <dgm:t>
        <a:bodyPr/>
        <a:lstStyle/>
        <a:p>
          <a:endParaRPr lang="en-GB"/>
        </a:p>
      </dgm:t>
    </dgm:pt>
    <dgm:pt modelId="{4E6AE155-AF72-4626-8BE5-0E734593B81E}" type="sibTrans" cxnId="{BB98411D-80CB-46E8-8965-53A9A0D3C74D}">
      <dgm:prSet/>
      <dgm:spPr/>
      <dgm:t>
        <a:bodyPr/>
        <a:lstStyle/>
        <a:p>
          <a:endParaRPr lang="en-GB"/>
        </a:p>
      </dgm:t>
    </dgm:pt>
    <dgm:pt modelId="{C1108548-9947-4C7C-9F4C-50E16E8B4BAE}">
      <dgm:prSet phldrT="[Text]"/>
      <dgm:spPr/>
      <dgm:t>
        <a:bodyPr/>
        <a:lstStyle/>
        <a:p>
          <a:r>
            <a:rPr lang="en-GB"/>
            <a:t>Windows</a:t>
          </a:r>
        </a:p>
      </dgm:t>
    </dgm:pt>
    <dgm:pt modelId="{C4D4ED25-472B-4B7E-A669-2986325646DF}" type="parTrans" cxnId="{7228E7AC-0369-42BE-A787-8961ADC485E5}">
      <dgm:prSet/>
      <dgm:spPr/>
      <dgm:t>
        <a:bodyPr/>
        <a:lstStyle/>
        <a:p>
          <a:endParaRPr lang="en-GB"/>
        </a:p>
      </dgm:t>
    </dgm:pt>
    <dgm:pt modelId="{0C9D9E74-68FA-47B9-8BE2-DDBF9169C401}" type="sibTrans" cxnId="{7228E7AC-0369-42BE-A787-8961ADC485E5}">
      <dgm:prSet/>
      <dgm:spPr/>
      <dgm:t>
        <a:bodyPr/>
        <a:lstStyle/>
        <a:p>
          <a:endParaRPr lang="en-GB"/>
        </a:p>
      </dgm:t>
    </dgm:pt>
    <dgm:pt modelId="{56BFD135-C481-4BB0-87A4-92EC1A07B036}">
      <dgm:prSet phldrT="[Text]"/>
      <dgm:spPr/>
      <dgm:t>
        <a:bodyPr/>
        <a:lstStyle/>
        <a:p>
          <a:r>
            <a:rPr lang="en-GB"/>
            <a:t>NT</a:t>
          </a:r>
        </a:p>
      </dgm:t>
    </dgm:pt>
    <dgm:pt modelId="{43BFFE8A-A611-4F13-A5F9-187086E3365E}" type="parTrans" cxnId="{B784EAE9-1324-476A-ACDA-D6515A5706C3}">
      <dgm:prSet/>
      <dgm:spPr/>
      <dgm:t>
        <a:bodyPr/>
        <a:lstStyle/>
        <a:p>
          <a:endParaRPr lang="en-GB"/>
        </a:p>
      </dgm:t>
    </dgm:pt>
    <dgm:pt modelId="{83C66A01-FC0D-4A74-BD2C-4D26F6A77F37}" type="sibTrans" cxnId="{B784EAE9-1324-476A-ACDA-D6515A5706C3}">
      <dgm:prSet/>
      <dgm:spPr/>
      <dgm:t>
        <a:bodyPr/>
        <a:lstStyle/>
        <a:p>
          <a:endParaRPr lang="en-GB"/>
        </a:p>
      </dgm:t>
    </dgm:pt>
    <dgm:pt modelId="{898F50EE-D3A9-4544-A04A-E78BF167094F}">
      <dgm:prSet phldrT="[Text]"/>
      <dgm:spPr/>
      <dgm:t>
        <a:bodyPr/>
        <a:lstStyle/>
        <a:p>
          <a:r>
            <a:rPr lang="en-GB"/>
            <a:t>MacOS</a:t>
          </a:r>
        </a:p>
      </dgm:t>
    </dgm:pt>
    <dgm:pt modelId="{71A1ED55-F4BC-48BF-BC1C-8129EB1B6999}" type="parTrans" cxnId="{2F960687-F18D-49FD-8A3F-2847CF6EC2D7}">
      <dgm:prSet/>
      <dgm:spPr/>
      <dgm:t>
        <a:bodyPr/>
        <a:lstStyle/>
        <a:p>
          <a:endParaRPr lang="en-GB"/>
        </a:p>
      </dgm:t>
    </dgm:pt>
    <dgm:pt modelId="{AE133C4F-FD57-4489-B5AA-082DEB2D1779}" type="sibTrans" cxnId="{2F960687-F18D-49FD-8A3F-2847CF6EC2D7}">
      <dgm:prSet/>
      <dgm:spPr/>
      <dgm:t>
        <a:bodyPr/>
        <a:lstStyle/>
        <a:p>
          <a:endParaRPr lang="en-GB"/>
        </a:p>
      </dgm:t>
    </dgm:pt>
    <dgm:pt modelId="{59843638-85AF-415B-893B-F5D0148B4C24}">
      <dgm:prSet phldrT="[Text]" phldr="1"/>
      <dgm:spPr/>
      <dgm:t>
        <a:bodyPr/>
        <a:lstStyle/>
        <a:p>
          <a:endParaRPr lang="en-GB"/>
        </a:p>
      </dgm:t>
    </dgm:pt>
    <dgm:pt modelId="{0D79EA49-B681-4933-8D73-BFA00D72D4C0}" type="parTrans" cxnId="{6CFEC38C-6993-4649-AEB6-3E6029178368}">
      <dgm:prSet/>
      <dgm:spPr/>
      <dgm:t>
        <a:bodyPr/>
        <a:lstStyle/>
        <a:p>
          <a:endParaRPr lang="en-GB"/>
        </a:p>
      </dgm:t>
    </dgm:pt>
    <dgm:pt modelId="{D1ADFBAF-9302-428B-B202-12138F50D7FE}" type="sibTrans" cxnId="{6CFEC38C-6993-4649-AEB6-3E6029178368}">
      <dgm:prSet/>
      <dgm:spPr/>
      <dgm:t>
        <a:bodyPr/>
        <a:lstStyle/>
        <a:p>
          <a:endParaRPr lang="en-GB"/>
        </a:p>
      </dgm:t>
    </dgm:pt>
    <dgm:pt modelId="{B1F0B6B5-B327-4ACE-AA98-CD060AF135F7}">
      <dgm:prSet phldrT="[Text]"/>
      <dgm:spPr/>
      <dgm:t>
        <a:bodyPr/>
        <a:lstStyle/>
        <a:p>
          <a:r>
            <a:rPr lang="en-GB"/>
            <a:t>SUSE</a:t>
          </a:r>
        </a:p>
      </dgm:t>
    </dgm:pt>
    <dgm:pt modelId="{CFCA6AF5-390A-414B-A5DE-0E96397C0907}" type="parTrans" cxnId="{4654F9B3-C92F-4D99-95C7-612734292FC3}">
      <dgm:prSet/>
      <dgm:spPr/>
      <dgm:t>
        <a:bodyPr/>
        <a:lstStyle/>
        <a:p>
          <a:endParaRPr lang="en-GB"/>
        </a:p>
      </dgm:t>
    </dgm:pt>
    <dgm:pt modelId="{562320FE-C465-40FB-BF06-E00D76DE9E99}" type="sibTrans" cxnId="{4654F9B3-C92F-4D99-95C7-612734292FC3}">
      <dgm:prSet/>
      <dgm:spPr/>
      <dgm:t>
        <a:bodyPr/>
        <a:lstStyle/>
        <a:p>
          <a:endParaRPr lang="en-GB"/>
        </a:p>
      </dgm:t>
    </dgm:pt>
    <dgm:pt modelId="{0524BAE0-8E6B-42BE-B63D-F9CAEA55B909}">
      <dgm:prSet phldrT="[Text]"/>
      <dgm:spPr/>
      <dgm:t>
        <a:bodyPr/>
        <a:lstStyle/>
        <a:p>
          <a:r>
            <a:rPr lang="en-GB"/>
            <a:t>NetBSD</a:t>
          </a:r>
        </a:p>
      </dgm:t>
    </dgm:pt>
    <dgm:pt modelId="{2E1C6AD5-EEEB-4988-B73B-C217F46F1FCC}" type="parTrans" cxnId="{FC345F65-0ED2-404E-BB5A-26555D642D2C}">
      <dgm:prSet/>
      <dgm:spPr/>
      <dgm:t>
        <a:bodyPr/>
        <a:lstStyle/>
        <a:p>
          <a:endParaRPr lang="en-GB"/>
        </a:p>
      </dgm:t>
    </dgm:pt>
    <dgm:pt modelId="{34A87A5B-F4CC-420E-BFE9-B831D7DCAF63}" type="sibTrans" cxnId="{FC345F65-0ED2-404E-BB5A-26555D642D2C}">
      <dgm:prSet/>
      <dgm:spPr/>
      <dgm:t>
        <a:bodyPr/>
        <a:lstStyle/>
        <a:p>
          <a:endParaRPr lang="en-GB"/>
        </a:p>
      </dgm:t>
    </dgm:pt>
    <dgm:pt modelId="{80C958E4-F829-456F-A2D6-E6DE284B6AAC}" type="pres">
      <dgm:prSet presAssocID="{F8EFF17D-CF70-41A8-8675-680E4A67068B}" presName="cycleMatrixDiagram" presStyleCnt="0">
        <dgm:presLayoutVars>
          <dgm:chMax val="1"/>
          <dgm:dir/>
          <dgm:animLvl val="lvl"/>
          <dgm:resizeHandles val="exact"/>
        </dgm:presLayoutVars>
      </dgm:prSet>
      <dgm:spPr/>
    </dgm:pt>
    <dgm:pt modelId="{83EDAB12-3D34-4B8E-BB2F-F50714CF5346}" type="pres">
      <dgm:prSet presAssocID="{F8EFF17D-CF70-41A8-8675-680E4A67068B}" presName="children" presStyleCnt="0"/>
      <dgm:spPr/>
    </dgm:pt>
    <dgm:pt modelId="{7122B6F0-D6C9-40CF-A3CD-1279C1003788}" type="pres">
      <dgm:prSet presAssocID="{F8EFF17D-CF70-41A8-8675-680E4A67068B}" presName="child1group" presStyleCnt="0"/>
      <dgm:spPr/>
    </dgm:pt>
    <dgm:pt modelId="{F74F0DD7-FF7C-42F7-A285-680240CEDCB4}" type="pres">
      <dgm:prSet presAssocID="{F8EFF17D-CF70-41A8-8675-680E4A67068B}" presName="child1" presStyleLbl="bgAcc1" presStyleIdx="0" presStyleCnt="4"/>
      <dgm:spPr/>
    </dgm:pt>
    <dgm:pt modelId="{1B9EEF2C-FB45-4238-8F31-7B0E8A4794E1}" type="pres">
      <dgm:prSet presAssocID="{F8EFF17D-CF70-41A8-8675-680E4A67068B}" presName="child1Text" presStyleLbl="bgAcc1" presStyleIdx="0" presStyleCnt="4">
        <dgm:presLayoutVars>
          <dgm:bulletEnabled val="1"/>
        </dgm:presLayoutVars>
      </dgm:prSet>
      <dgm:spPr/>
    </dgm:pt>
    <dgm:pt modelId="{7E287DCA-43C0-4945-9EE5-1109ABFD72D1}" type="pres">
      <dgm:prSet presAssocID="{F8EFF17D-CF70-41A8-8675-680E4A67068B}" presName="child2group" presStyleCnt="0"/>
      <dgm:spPr/>
    </dgm:pt>
    <dgm:pt modelId="{72F05B5E-5171-45C6-9C77-EADBE347D9DD}" type="pres">
      <dgm:prSet presAssocID="{F8EFF17D-CF70-41A8-8675-680E4A67068B}" presName="child2" presStyleLbl="bgAcc1" presStyleIdx="1" presStyleCnt="4"/>
      <dgm:spPr/>
    </dgm:pt>
    <dgm:pt modelId="{B66D4774-5069-426E-89CC-B5035F69FEBE}" type="pres">
      <dgm:prSet presAssocID="{F8EFF17D-CF70-41A8-8675-680E4A67068B}" presName="child2Text" presStyleLbl="bgAcc1" presStyleIdx="1" presStyleCnt="4">
        <dgm:presLayoutVars>
          <dgm:bulletEnabled val="1"/>
        </dgm:presLayoutVars>
      </dgm:prSet>
      <dgm:spPr/>
    </dgm:pt>
    <dgm:pt modelId="{D9D7867D-7582-4F51-B94F-709F87F2D0D3}" type="pres">
      <dgm:prSet presAssocID="{F8EFF17D-CF70-41A8-8675-680E4A67068B}" presName="child3group" presStyleCnt="0"/>
      <dgm:spPr/>
    </dgm:pt>
    <dgm:pt modelId="{63435747-6D19-458B-AE50-B8CE38B9C308}" type="pres">
      <dgm:prSet presAssocID="{F8EFF17D-CF70-41A8-8675-680E4A67068B}" presName="child3" presStyleLbl="bgAcc1" presStyleIdx="2" presStyleCnt="4"/>
      <dgm:spPr/>
    </dgm:pt>
    <dgm:pt modelId="{8A88034D-C8F1-46B1-8663-4EA27E1BCC3F}" type="pres">
      <dgm:prSet presAssocID="{F8EFF17D-CF70-41A8-8675-680E4A67068B}" presName="child3Text" presStyleLbl="bgAcc1" presStyleIdx="2" presStyleCnt="4">
        <dgm:presLayoutVars>
          <dgm:bulletEnabled val="1"/>
        </dgm:presLayoutVars>
      </dgm:prSet>
      <dgm:spPr/>
    </dgm:pt>
    <dgm:pt modelId="{4000751E-5666-4314-8D4C-2717041C6826}" type="pres">
      <dgm:prSet presAssocID="{F8EFF17D-CF70-41A8-8675-680E4A67068B}" presName="child4group" presStyleCnt="0"/>
      <dgm:spPr/>
    </dgm:pt>
    <dgm:pt modelId="{A8462995-7350-48F3-B9E4-A910D76ECDC6}" type="pres">
      <dgm:prSet presAssocID="{F8EFF17D-CF70-41A8-8675-680E4A67068B}" presName="child4" presStyleLbl="bgAcc1" presStyleIdx="3" presStyleCnt="4"/>
      <dgm:spPr/>
    </dgm:pt>
    <dgm:pt modelId="{78E73474-DE4A-455A-A55A-4A9E5DCFC392}" type="pres">
      <dgm:prSet presAssocID="{F8EFF17D-CF70-41A8-8675-680E4A67068B}" presName="child4Text" presStyleLbl="bgAcc1" presStyleIdx="3" presStyleCnt="4">
        <dgm:presLayoutVars>
          <dgm:bulletEnabled val="1"/>
        </dgm:presLayoutVars>
      </dgm:prSet>
      <dgm:spPr/>
    </dgm:pt>
    <dgm:pt modelId="{878FE7AE-E19D-4C2B-BAFE-6BC55D8C26DD}" type="pres">
      <dgm:prSet presAssocID="{F8EFF17D-CF70-41A8-8675-680E4A67068B}" presName="childPlaceholder" presStyleCnt="0"/>
      <dgm:spPr/>
    </dgm:pt>
    <dgm:pt modelId="{E95A31A9-8190-4F52-B7D7-B284D671ACC5}" type="pres">
      <dgm:prSet presAssocID="{F8EFF17D-CF70-41A8-8675-680E4A67068B}" presName="circle" presStyleCnt="0"/>
      <dgm:spPr/>
    </dgm:pt>
    <dgm:pt modelId="{B987A4B2-2B69-42FD-9D12-8F38C435192B}" type="pres">
      <dgm:prSet presAssocID="{F8EFF17D-CF70-41A8-8675-680E4A67068B}" presName="quadrant1" presStyleLbl="node1" presStyleIdx="0" presStyleCnt="4">
        <dgm:presLayoutVars>
          <dgm:chMax val="1"/>
          <dgm:bulletEnabled val="1"/>
        </dgm:presLayoutVars>
      </dgm:prSet>
      <dgm:spPr/>
    </dgm:pt>
    <dgm:pt modelId="{7D7884EC-3D9C-4D3E-A786-32A8764BEBFD}" type="pres">
      <dgm:prSet presAssocID="{F8EFF17D-CF70-41A8-8675-680E4A67068B}" presName="quadrant2" presStyleLbl="node1" presStyleIdx="1" presStyleCnt="4">
        <dgm:presLayoutVars>
          <dgm:chMax val="1"/>
          <dgm:bulletEnabled val="1"/>
        </dgm:presLayoutVars>
      </dgm:prSet>
      <dgm:spPr/>
    </dgm:pt>
    <dgm:pt modelId="{ED5AC25C-EDAA-4514-884E-F89AE0CF16A9}" type="pres">
      <dgm:prSet presAssocID="{F8EFF17D-CF70-41A8-8675-680E4A67068B}" presName="quadrant3" presStyleLbl="node1" presStyleIdx="2" presStyleCnt="4">
        <dgm:presLayoutVars>
          <dgm:chMax val="1"/>
          <dgm:bulletEnabled val="1"/>
        </dgm:presLayoutVars>
      </dgm:prSet>
      <dgm:spPr/>
    </dgm:pt>
    <dgm:pt modelId="{3531E87C-6284-4C58-82C3-CB7F8E02C3EE}" type="pres">
      <dgm:prSet presAssocID="{F8EFF17D-CF70-41A8-8675-680E4A67068B}" presName="quadrant4" presStyleLbl="node1" presStyleIdx="3" presStyleCnt="4">
        <dgm:presLayoutVars>
          <dgm:chMax val="1"/>
          <dgm:bulletEnabled val="1"/>
        </dgm:presLayoutVars>
      </dgm:prSet>
      <dgm:spPr/>
    </dgm:pt>
    <dgm:pt modelId="{2FA6839A-1A94-498B-B639-D2BA5C038AA0}" type="pres">
      <dgm:prSet presAssocID="{F8EFF17D-CF70-41A8-8675-680E4A67068B}" presName="quadrantPlaceholder" presStyleCnt="0"/>
      <dgm:spPr/>
    </dgm:pt>
    <dgm:pt modelId="{C18F30FF-9FC7-4AF5-9196-7207DA332DF3}" type="pres">
      <dgm:prSet presAssocID="{F8EFF17D-CF70-41A8-8675-680E4A67068B}" presName="center1" presStyleLbl="fgShp" presStyleIdx="0" presStyleCnt="2"/>
      <dgm:spPr/>
    </dgm:pt>
    <dgm:pt modelId="{439C0517-4EB0-475E-8788-21698BEFD867}" type="pres">
      <dgm:prSet presAssocID="{F8EFF17D-CF70-41A8-8675-680E4A67068B}" presName="center2" presStyleLbl="fgShp" presStyleIdx="1" presStyleCnt="2"/>
      <dgm:spPr/>
    </dgm:pt>
  </dgm:ptLst>
  <dgm:cxnLst>
    <dgm:cxn modelId="{F5B36F1C-25C9-4AAA-9317-F4D3742850CC}" type="presOf" srcId="{160AA31F-90CA-4C5D-A2EC-3FBF38CE169D}" destId="{B987A4B2-2B69-42FD-9D12-8F38C435192B}" srcOrd="0" destOrd="0" presId="urn:microsoft.com/office/officeart/2005/8/layout/cycle4"/>
    <dgm:cxn modelId="{BB98411D-80CB-46E8-8965-53A9A0D3C74D}" srcId="{F8E09F45-BA24-43EB-86F9-0DA4A0264CC2}" destId="{F7B2F35A-B1AD-4BEC-ACD8-5D5CD143B173}" srcOrd="0" destOrd="0" parTransId="{3F3EF670-5AE1-40FF-B57B-BCBCB7E5A0EB}" sibTransId="{4E6AE155-AF72-4626-8BE5-0E734593B81E}"/>
    <dgm:cxn modelId="{A94AF42C-6CBD-4DD1-90DA-D41F02F93CC5}" type="presOf" srcId="{B1F0B6B5-B327-4ACE-AA98-CD060AF135F7}" destId="{F74F0DD7-FF7C-42F7-A285-680240CEDCB4}" srcOrd="0" destOrd="1" presId="urn:microsoft.com/office/officeart/2005/8/layout/cycle4"/>
    <dgm:cxn modelId="{DEAD0D3F-A805-4EA0-BCD5-BE6CA48A57DC}" type="presOf" srcId="{6EE3EFF5-B52B-4026-92F5-DDAA99DC4D5A}" destId="{1B9EEF2C-FB45-4238-8F31-7B0E8A4794E1}" srcOrd="1" destOrd="0" presId="urn:microsoft.com/office/officeart/2005/8/layout/cycle4"/>
    <dgm:cxn modelId="{FC345F65-0ED2-404E-BB5A-26555D642D2C}" srcId="{F8E09F45-BA24-43EB-86F9-0DA4A0264CC2}" destId="{0524BAE0-8E6B-42BE-B63D-F9CAEA55B909}" srcOrd="1" destOrd="0" parTransId="{2E1C6AD5-EEEB-4988-B73B-C217F46F1FCC}" sibTransId="{34A87A5B-F4CC-420E-BFE9-B831D7DCAF63}"/>
    <dgm:cxn modelId="{C902AE46-88C5-4D1E-AC73-B78CB19A5B82}" type="presOf" srcId="{898F50EE-D3A9-4544-A04A-E78BF167094F}" destId="{3531E87C-6284-4C58-82C3-CB7F8E02C3EE}" srcOrd="0" destOrd="0" presId="urn:microsoft.com/office/officeart/2005/8/layout/cycle4"/>
    <dgm:cxn modelId="{4F48BA57-3D19-481D-9857-DAA14E738212}" type="presOf" srcId="{F8EFF17D-CF70-41A8-8675-680E4A67068B}" destId="{80C958E4-F829-456F-A2D6-E6DE284B6AAC}" srcOrd="0" destOrd="0" presId="urn:microsoft.com/office/officeart/2005/8/layout/cycle4"/>
    <dgm:cxn modelId="{E6B15C5A-292C-4058-B36D-58C66FE4EAA2}" type="presOf" srcId="{F7B2F35A-B1AD-4BEC-ACD8-5D5CD143B173}" destId="{B66D4774-5069-426E-89CC-B5035F69FEBE}" srcOrd="1" destOrd="0" presId="urn:microsoft.com/office/officeart/2005/8/layout/cycle4"/>
    <dgm:cxn modelId="{2F960687-F18D-49FD-8A3F-2847CF6EC2D7}" srcId="{F8EFF17D-CF70-41A8-8675-680E4A67068B}" destId="{898F50EE-D3A9-4544-A04A-E78BF167094F}" srcOrd="3" destOrd="0" parTransId="{71A1ED55-F4BC-48BF-BC1C-8129EB1B6999}" sibTransId="{AE133C4F-FD57-4489-B5AA-082DEB2D1779}"/>
    <dgm:cxn modelId="{5C2A7E88-C21A-4E28-80CE-6AE697151114}" type="presOf" srcId="{F7B2F35A-B1AD-4BEC-ACD8-5D5CD143B173}" destId="{72F05B5E-5171-45C6-9C77-EADBE347D9DD}" srcOrd="0" destOrd="0" presId="urn:microsoft.com/office/officeart/2005/8/layout/cycle4"/>
    <dgm:cxn modelId="{DECCD589-B4C3-4FE0-B0E6-C0A2B2CAD74A}" srcId="{F8EFF17D-CF70-41A8-8675-680E4A67068B}" destId="{F8E09F45-BA24-43EB-86F9-0DA4A0264CC2}" srcOrd="1" destOrd="0" parTransId="{7665FA8E-952B-4F08-B1C3-0F436BD5FFCB}" sibTransId="{055EE3CA-862E-4062-9652-891062EDB7A1}"/>
    <dgm:cxn modelId="{586C0A8B-26F0-4CDB-80E5-528C5B5D1839}" type="presOf" srcId="{C1108548-9947-4C7C-9F4C-50E16E8B4BAE}" destId="{ED5AC25C-EDAA-4514-884E-F89AE0CF16A9}" srcOrd="0" destOrd="0" presId="urn:microsoft.com/office/officeart/2005/8/layout/cycle4"/>
    <dgm:cxn modelId="{6CFEC38C-6993-4649-AEB6-3E6029178368}" srcId="{898F50EE-D3A9-4544-A04A-E78BF167094F}" destId="{59843638-85AF-415B-893B-F5D0148B4C24}" srcOrd="0" destOrd="0" parTransId="{0D79EA49-B681-4933-8D73-BFA00D72D4C0}" sibTransId="{D1ADFBAF-9302-428B-B202-12138F50D7FE}"/>
    <dgm:cxn modelId="{A2B22F92-FFC4-4509-ABF2-190953F19B73}" type="presOf" srcId="{59843638-85AF-415B-893B-F5D0148B4C24}" destId="{A8462995-7350-48F3-B9E4-A910D76ECDC6}" srcOrd="0" destOrd="0" presId="urn:microsoft.com/office/officeart/2005/8/layout/cycle4"/>
    <dgm:cxn modelId="{BCD57A9C-B839-4963-8C18-1300F7AF3C2A}" type="presOf" srcId="{F8E09F45-BA24-43EB-86F9-0DA4A0264CC2}" destId="{7D7884EC-3D9C-4D3E-A786-32A8764BEBFD}" srcOrd="0" destOrd="0" presId="urn:microsoft.com/office/officeart/2005/8/layout/cycle4"/>
    <dgm:cxn modelId="{DABD8DA0-56D5-4ED4-A6CA-03570D0C561F}" type="presOf" srcId="{59843638-85AF-415B-893B-F5D0148B4C24}" destId="{78E73474-DE4A-455A-A55A-4A9E5DCFC392}" srcOrd="1" destOrd="0" presId="urn:microsoft.com/office/officeart/2005/8/layout/cycle4"/>
    <dgm:cxn modelId="{E9C3ACA3-AD30-486F-8162-41C51443ACE2}" srcId="{F8EFF17D-CF70-41A8-8675-680E4A67068B}" destId="{160AA31F-90CA-4C5D-A2EC-3FBF38CE169D}" srcOrd="0" destOrd="0" parTransId="{DBCFF6AE-D1FD-48B8-A096-44F76563D180}" sibTransId="{DAC0C57E-6CC1-42A9-AD15-D8BB0E097E31}"/>
    <dgm:cxn modelId="{6A8CB7AC-26C8-4215-B1AB-C935A997D42B}" type="presOf" srcId="{6EE3EFF5-B52B-4026-92F5-DDAA99DC4D5A}" destId="{F74F0DD7-FF7C-42F7-A285-680240CEDCB4}" srcOrd="0" destOrd="0" presId="urn:microsoft.com/office/officeart/2005/8/layout/cycle4"/>
    <dgm:cxn modelId="{7228E7AC-0369-42BE-A787-8961ADC485E5}" srcId="{F8EFF17D-CF70-41A8-8675-680E4A67068B}" destId="{C1108548-9947-4C7C-9F4C-50E16E8B4BAE}" srcOrd="2" destOrd="0" parTransId="{C4D4ED25-472B-4B7E-A669-2986325646DF}" sibTransId="{0C9D9E74-68FA-47B9-8BE2-DDBF9169C401}"/>
    <dgm:cxn modelId="{4654F9B3-C92F-4D99-95C7-612734292FC3}" srcId="{160AA31F-90CA-4C5D-A2EC-3FBF38CE169D}" destId="{B1F0B6B5-B327-4ACE-AA98-CD060AF135F7}" srcOrd="1" destOrd="0" parTransId="{CFCA6AF5-390A-414B-A5DE-0E96397C0907}" sibTransId="{562320FE-C465-40FB-BF06-E00D76DE9E99}"/>
    <dgm:cxn modelId="{E7878ACA-A21A-44BF-BE90-AD5D6C456B46}" type="presOf" srcId="{56BFD135-C481-4BB0-87A4-92EC1A07B036}" destId="{63435747-6D19-458B-AE50-B8CE38B9C308}" srcOrd="0" destOrd="0" presId="urn:microsoft.com/office/officeart/2005/8/layout/cycle4"/>
    <dgm:cxn modelId="{1D6C33DE-BB3F-45D7-B943-02474F8C11B0}" srcId="{160AA31F-90CA-4C5D-A2EC-3FBF38CE169D}" destId="{6EE3EFF5-B52B-4026-92F5-DDAA99DC4D5A}" srcOrd="0" destOrd="0" parTransId="{A608480B-D194-474C-91C2-2124F35FF160}" sibTransId="{43C2BA19-B804-4E95-B050-3888BF9FC8EC}"/>
    <dgm:cxn modelId="{AB679AE0-1CB4-4302-BDDC-46290087EB81}" type="presOf" srcId="{0524BAE0-8E6B-42BE-B63D-F9CAEA55B909}" destId="{B66D4774-5069-426E-89CC-B5035F69FEBE}" srcOrd="1" destOrd="1" presId="urn:microsoft.com/office/officeart/2005/8/layout/cycle4"/>
    <dgm:cxn modelId="{A3FB8AE7-AC94-4D60-8FFC-9B79BC2DEFA3}" type="presOf" srcId="{0524BAE0-8E6B-42BE-B63D-F9CAEA55B909}" destId="{72F05B5E-5171-45C6-9C77-EADBE347D9DD}" srcOrd="0" destOrd="1" presId="urn:microsoft.com/office/officeart/2005/8/layout/cycle4"/>
    <dgm:cxn modelId="{B784EAE9-1324-476A-ACDA-D6515A5706C3}" srcId="{C1108548-9947-4C7C-9F4C-50E16E8B4BAE}" destId="{56BFD135-C481-4BB0-87A4-92EC1A07B036}" srcOrd="0" destOrd="0" parTransId="{43BFFE8A-A611-4F13-A5F9-187086E3365E}" sibTransId="{83C66A01-FC0D-4A74-BD2C-4D26F6A77F37}"/>
    <dgm:cxn modelId="{F103E9EF-2A5D-422D-A75F-DCCDBE37D13E}" type="presOf" srcId="{56BFD135-C481-4BB0-87A4-92EC1A07B036}" destId="{8A88034D-C8F1-46B1-8663-4EA27E1BCC3F}" srcOrd="1" destOrd="0" presId="urn:microsoft.com/office/officeart/2005/8/layout/cycle4"/>
    <dgm:cxn modelId="{12E5A3F4-57AD-4CEA-8548-24747CF144AD}" type="presOf" srcId="{B1F0B6B5-B327-4ACE-AA98-CD060AF135F7}" destId="{1B9EEF2C-FB45-4238-8F31-7B0E8A4794E1}" srcOrd="1" destOrd="1" presId="urn:microsoft.com/office/officeart/2005/8/layout/cycle4"/>
    <dgm:cxn modelId="{A8F62B63-BD32-4DC8-B1A8-D1A85FA5CFAD}" type="presParOf" srcId="{80C958E4-F829-456F-A2D6-E6DE284B6AAC}" destId="{83EDAB12-3D34-4B8E-BB2F-F50714CF5346}" srcOrd="0" destOrd="0" presId="urn:microsoft.com/office/officeart/2005/8/layout/cycle4"/>
    <dgm:cxn modelId="{F9F625F8-DD6D-4A64-A033-B95156779F9C}" type="presParOf" srcId="{83EDAB12-3D34-4B8E-BB2F-F50714CF5346}" destId="{7122B6F0-D6C9-40CF-A3CD-1279C1003788}" srcOrd="0" destOrd="0" presId="urn:microsoft.com/office/officeart/2005/8/layout/cycle4"/>
    <dgm:cxn modelId="{7EAFCF40-7FEC-43F5-A1B8-97574495BCEB}" type="presParOf" srcId="{7122B6F0-D6C9-40CF-A3CD-1279C1003788}" destId="{F74F0DD7-FF7C-42F7-A285-680240CEDCB4}" srcOrd="0" destOrd="0" presId="urn:microsoft.com/office/officeart/2005/8/layout/cycle4"/>
    <dgm:cxn modelId="{76242F48-C034-4559-86A4-120649BD98A2}" type="presParOf" srcId="{7122B6F0-D6C9-40CF-A3CD-1279C1003788}" destId="{1B9EEF2C-FB45-4238-8F31-7B0E8A4794E1}" srcOrd="1" destOrd="0" presId="urn:microsoft.com/office/officeart/2005/8/layout/cycle4"/>
    <dgm:cxn modelId="{030BA638-E310-4DF3-8C92-B81C99653A78}" type="presParOf" srcId="{83EDAB12-3D34-4B8E-BB2F-F50714CF5346}" destId="{7E287DCA-43C0-4945-9EE5-1109ABFD72D1}" srcOrd="1" destOrd="0" presId="urn:microsoft.com/office/officeart/2005/8/layout/cycle4"/>
    <dgm:cxn modelId="{A3B4D52A-044E-4A49-B9B1-8E8C5E751D88}" type="presParOf" srcId="{7E287DCA-43C0-4945-9EE5-1109ABFD72D1}" destId="{72F05B5E-5171-45C6-9C77-EADBE347D9DD}" srcOrd="0" destOrd="0" presId="urn:microsoft.com/office/officeart/2005/8/layout/cycle4"/>
    <dgm:cxn modelId="{B8B51A70-EE62-4D93-B011-49C2347C02A3}" type="presParOf" srcId="{7E287DCA-43C0-4945-9EE5-1109ABFD72D1}" destId="{B66D4774-5069-426E-89CC-B5035F69FEBE}" srcOrd="1" destOrd="0" presId="urn:microsoft.com/office/officeart/2005/8/layout/cycle4"/>
    <dgm:cxn modelId="{5CCBB96E-FB60-4BCA-86D5-188AB730C17E}" type="presParOf" srcId="{83EDAB12-3D34-4B8E-BB2F-F50714CF5346}" destId="{D9D7867D-7582-4F51-B94F-709F87F2D0D3}" srcOrd="2" destOrd="0" presId="urn:microsoft.com/office/officeart/2005/8/layout/cycle4"/>
    <dgm:cxn modelId="{059D78E3-D331-41AB-A882-C8705A1DC114}" type="presParOf" srcId="{D9D7867D-7582-4F51-B94F-709F87F2D0D3}" destId="{63435747-6D19-458B-AE50-B8CE38B9C308}" srcOrd="0" destOrd="0" presId="urn:microsoft.com/office/officeart/2005/8/layout/cycle4"/>
    <dgm:cxn modelId="{07D5F058-1AD7-44BE-B40F-D461415A28C0}" type="presParOf" srcId="{D9D7867D-7582-4F51-B94F-709F87F2D0D3}" destId="{8A88034D-C8F1-46B1-8663-4EA27E1BCC3F}" srcOrd="1" destOrd="0" presId="urn:microsoft.com/office/officeart/2005/8/layout/cycle4"/>
    <dgm:cxn modelId="{D97B2A81-7B35-4D4B-8A08-00ED098CB1A0}" type="presParOf" srcId="{83EDAB12-3D34-4B8E-BB2F-F50714CF5346}" destId="{4000751E-5666-4314-8D4C-2717041C6826}" srcOrd="3" destOrd="0" presId="urn:microsoft.com/office/officeart/2005/8/layout/cycle4"/>
    <dgm:cxn modelId="{32740FD6-B131-4127-AA97-D093742F3074}" type="presParOf" srcId="{4000751E-5666-4314-8D4C-2717041C6826}" destId="{A8462995-7350-48F3-B9E4-A910D76ECDC6}" srcOrd="0" destOrd="0" presId="urn:microsoft.com/office/officeart/2005/8/layout/cycle4"/>
    <dgm:cxn modelId="{6475FC00-43F0-4D75-8FFB-40A5FDFD3BC3}" type="presParOf" srcId="{4000751E-5666-4314-8D4C-2717041C6826}" destId="{78E73474-DE4A-455A-A55A-4A9E5DCFC392}" srcOrd="1" destOrd="0" presId="urn:microsoft.com/office/officeart/2005/8/layout/cycle4"/>
    <dgm:cxn modelId="{2F2EC70E-8A00-4267-ACC2-6F2E50C2E3CD}" type="presParOf" srcId="{83EDAB12-3D34-4B8E-BB2F-F50714CF5346}" destId="{878FE7AE-E19D-4C2B-BAFE-6BC55D8C26DD}" srcOrd="4" destOrd="0" presId="urn:microsoft.com/office/officeart/2005/8/layout/cycle4"/>
    <dgm:cxn modelId="{09B5162F-F364-4F88-AE71-81DC2AAC7E10}" type="presParOf" srcId="{80C958E4-F829-456F-A2D6-E6DE284B6AAC}" destId="{E95A31A9-8190-4F52-B7D7-B284D671ACC5}" srcOrd="1" destOrd="0" presId="urn:microsoft.com/office/officeart/2005/8/layout/cycle4"/>
    <dgm:cxn modelId="{7DF076B5-2D06-4946-9173-AE4FF378D41A}" type="presParOf" srcId="{E95A31A9-8190-4F52-B7D7-B284D671ACC5}" destId="{B987A4B2-2B69-42FD-9D12-8F38C435192B}" srcOrd="0" destOrd="0" presId="urn:microsoft.com/office/officeart/2005/8/layout/cycle4"/>
    <dgm:cxn modelId="{5ACF1895-F23E-462A-BB57-4765A1366D05}" type="presParOf" srcId="{E95A31A9-8190-4F52-B7D7-B284D671ACC5}" destId="{7D7884EC-3D9C-4D3E-A786-32A8764BEBFD}" srcOrd="1" destOrd="0" presId="urn:microsoft.com/office/officeart/2005/8/layout/cycle4"/>
    <dgm:cxn modelId="{60C0A3A4-6548-4DAC-8B6D-E67DFAC9E211}" type="presParOf" srcId="{E95A31A9-8190-4F52-B7D7-B284D671ACC5}" destId="{ED5AC25C-EDAA-4514-884E-F89AE0CF16A9}" srcOrd="2" destOrd="0" presId="urn:microsoft.com/office/officeart/2005/8/layout/cycle4"/>
    <dgm:cxn modelId="{668075A9-13E3-4477-AB91-87244CAE88E2}" type="presParOf" srcId="{E95A31A9-8190-4F52-B7D7-B284D671ACC5}" destId="{3531E87C-6284-4C58-82C3-CB7F8E02C3EE}" srcOrd="3" destOrd="0" presId="urn:microsoft.com/office/officeart/2005/8/layout/cycle4"/>
    <dgm:cxn modelId="{9F086C81-0960-4695-BDCF-798EF70D9020}" type="presParOf" srcId="{E95A31A9-8190-4F52-B7D7-B284D671ACC5}" destId="{2FA6839A-1A94-498B-B639-D2BA5C038AA0}" srcOrd="4" destOrd="0" presId="urn:microsoft.com/office/officeart/2005/8/layout/cycle4"/>
    <dgm:cxn modelId="{EEBE3DBE-F9D6-4AB9-B486-AB5C975EEF39}" type="presParOf" srcId="{80C958E4-F829-456F-A2D6-E6DE284B6AAC}" destId="{C18F30FF-9FC7-4AF5-9196-7207DA332DF3}" srcOrd="2" destOrd="0" presId="urn:microsoft.com/office/officeart/2005/8/layout/cycle4"/>
    <dgm:cxn modelId="{2AA1472A-D6FE-460D-AC90-D92E5ABA6DEF}" type="presParOf" srcId="{80C958E4-F829-456F-A2D6-E6DE284B6AAC}" destId="{439C0517-4EB0-475E-8788-21698BEFD867}" srcOrd="3" destOrd="0" presId="urn:microsoft.com/office/officeart/2005/8/layout/cycle4"/>
  </dgm:cxnLst>
  <dgm:bg/>
  <dgm:whole/>
  <dgm:extLst>
    <a:ext uri="http://schemas.microsoft.com/office/drawing/2008/diagram">
      <dsp:dataModelExt xmlns:dsp="http://schemas.microsoft.com/office/drawing/2008/diagram" relId="rId8"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FA8F2CEA-4796-4349-8DE0-EB97FBFF7B14}" type="doc">
      <dgm:prSet loTypeId="urn:microsoft.com/office/officeart/2011/layout/ConvergingText" loCatId="process" qsTypeId="urn:microsoft.com/office/officeart/2005/8/quickstyle/simple1" qsCatId="simple" csTypeId="urn:microsoft.com/office/officeart/2005/8/colors/accent1_2" csCatId="accent1" phldr="0"/>
      <dgm:spPr/>
      <dgm:t>
        <a:bodyPr/>
        <a:lstStyle/>
        <a:p>
          <a:endParaRPr lang="en-GB"/>
        </a:p>
      </dgm:t>
    </dgm:pt>
    <dgm:pt modelId="{00105225-ED6A-4585-BAC1-097B13056386}">
      <dgm:prSet phldrT="[Text]" phldr="1"/>
      <dgm:spPr/>
      <dgm:t>
        <a:bodyPr/>
        <a:lstStyle/>
        <a:p>
          <a:endParaRPr lang="en-GB"/>
        </a:p>
      </dgm:t>
    </dgm:pt>
    <dgm:pt modelId="{ECF3BA96-6964-487F-ACD9-AD432179CA7F}" type="parTrans" cxnId="{E8BD480B-0F5B-48CB-84B8-A00A19782ECF}">
      <dgm:prSet/>
      <dgm:spPr/>
      <dgm:t>
        <a:bodyPr/>
        <a:lstStyle/>
        <a:p>
          <a:endParaRPr lang="en-GB"/>
        </a:p>
      </dgm:t>
    </dgm:pt>
    <dgm:pt modelId="{7CEA9820-D534-4E5C-B46C-210F2A685856}" type="sibTrans" cxnId="{E8BD480B-0F5B-48CB-84B8-A00A19782ECF}">
      <dgm:prSet/>
      <dgm:spPr/>
      <dgm:t>
        <a:bodyPr/>
        <a:lstStyle/>
        <a:p>
          <a:endParaRPr lang="en-GB"/>
        </a:p>
      </dgm:t>
    </dgm:pt>
    <dgm:pt modelId="{C2DB16B0-7551-4C92-9E44-09774E3BD415}">
      <dgm:prSet phldrT="[Text]" phldr="1"/>
      <dgm:spPr/>
      <dgm:t>
        <a:bodyPr/>
        <a:lstStyle/>
        <a:p>
          <a:endParaRPr lang="en-GB"/>
        </a:p>
      </dgm:t>
    </dgm:pt>
    <dgm:pt modelId="{39B0AA22-A740-4057-A67C-98F691452F63}" type="parTrans" cxnId="{555FF1E8-7590-4935-8B24-A9CA812F6DDF}">
      <dgm:prSet/>
      <dgm:spPr/>
      <dgm:t>
        <a:bodyPr/>
        <a:lstStyle/>
        <a:p>
          <a:endParaRPr lang="en-GB"/>
        </a:p>
      </dgm:t>
    </dgm:pt>
    <dgm:pt modelId="{B9829D68-6426-4C66-A348-B1C9F154C433}" type="sibTrans" cxnId="{555FF1E8-7590-4935-8B24-A9CA812F6DDF}">
      <dgm:prSet/>
      <dgm:spPr/>
      <dgm:t>
        <a:bodyPr/>
        <a:lstStyle/>
        <a:p>
          <a:endParaRPr lang="en-GB"/>
        </a:p>
      </dgm:t>
    </dgm:pt>
    <dgm:pt modelId="{ABFB2769-8C0A-4DAF-AB37-2212C3DE91B2}">
      <dgm:prSet phldrT="[Text]" phldr="1"/>
      <dgm:spPr/>
      <dgm:t>
        <a:bodyPr/>
        <a:lstStyle/>
        <a:p>
          <a:endParaRPr lang="en-GB"/>
        </a:p>
      </dgm:t>
    </dgm:pt>
    <dgm:pt modelId="{8343F95C-FF2E-49A1-919A-1B349E95FDDC}" type="parTrans" cxnId="{F710C3D2-C333-4A17-B567-248F13CB5F9A}">
      <dgm:prSet/>
      <dgm:spPr/>
      <dgm:t>
        <a:bodyPr/>
        <a:lstStyle/>
        <a:p>
          <a:endParaRPr lang="en-GB"/>
        </a:p>
      </dgm:t>
    </dgm:pt>
    <dgm:pt modelId="{9FD979D0-0980-47F2-8976-ABDE8EEAAF60}" type="sibTrans" cxnId="{F710C3D2-C333-4A17-B567-248F13CB5F9A}">
      <dgm:prSet/>
      <dgm:spPr/>
      <dgm:t>
        <a:bodyPr/>
        <a:lstStyle/>
        <a:p>
          <a:endParaRPr lang="en-GB"/>
        </a:p>
      </dgm:t>
    </dgm:pt>
    <dgm:pt modelId="{48BF8390-7084-40D4-AE3A-8D502C4733BB}">
      <dgm:prSet phldrT="[Text]" phldr="1"/>
      <dgm:spPr/>
      <dgm:t>
        <a:bodyPr/>
        <a:lstStyle/>
        <a:p>
          <a:endParaRPr lang="en-GB"/>
        </a:p>
      </dgm:t>
    </dgm:pt>
    <dgm:pt modelId="{439D5EC6-B8CB-48AC-9F66-11F109EA2DB3}" type="parTrans" cxnId="{76D4851F-CF0B-4ACE-AD17-DE8E17B7A1A8}">
      <dgm:prSet/>
      <dgm:spPr/>
      <dgm:t>
        <a:bodyPr/>
        <a:lstStyle/>
        <a:p>
          <a:endParaRPr lang="en-GB"/>
        </a:p>
      </dgm:t>
    </dgm:pt>
    <dgm:pt modelId="{5B41FD76-8363-4722-A730-29E4251560BF}" type="sibTrans" cxnId="{76D4851F-CF0B-4ACE-AD17-DE8E17B7A1A8}">
      <dgm:prSet/>
      <dgm:spPr/>
      <dgm:t>
        <a:bodyPr/>
        <a:lstStyle/>
        <a:p>
          <a:endParaRPr lang="en-GB"/>
        </a:p>
      </dgm:t>
    </dgm:pt>
    <dgm:pt modelId="{CEA353BB-05D6-498D-BAE0-46AA1E3147D2}" type="pres">
      <dgm:prSet presAssocID="{FA8F2CEA-4796-4349-8DE0-EB97FBFF7B14}" presName="Name0" presStyleCnt="0">
        <dgm:presLayoutVars>
          <dgm:chMax/>
          <dgm:chPref val="1"/>
          <dgm:dir/>
          <dgm:animOne val="branch"/>
          <dgm:animLvl val="lvl"/>
          <dgm:resizeHandles/>
        </dgm:presLayoutVars>
      </dgm:prSet>
      <dgm:spPr/>
    </dgm:pt>
    <dgm:pt modelId="{18AE7068-AFEC-44FA-B97A-62812BA33B7E}" type="pres">
      <dgm:prSet presAssocID="{00105225-ED6A-4585-BAC1-097B13056386}" presName="composite" presStyleCnt="0"/>
      <dgm:spPr/>
    </dgm:pt>
    <dgm:pt modelId="{5109D015-8F52-4CF7-87F0-86937E9B654A}" type="pres">
      <dgm:prSet presAssocID="{00105225-ED6A-4585-BAC1-097B13056386}" presName="ParentAccent1" presStyleLbl="alignNode1" presStyleIdx="0" presStyleCnt="34"/>
      <dgm:spPr/>
    </dgm:pt>
    <dgm:pt modelId="{3D127B67-9CC8-4120-B0C0-A5AD08A57FD0}" type="pres">
      <dgm:prSet presAssocID="{00105225-ED6A-4585-BAC1-097B13056386}" presName="ParentAccent2" presStyleLbl="alignNode1" presStyleIdx="1" presStyleCnt="34"/>
      <dgm:spPr/>
    </dgm:pt>
    <dgm:pt modelId="{35E3FE5D-285B-4F3F-8C87-6FB5866711CB}" type="pres">
      <dgm:prSet presAssocID="{00105225-ED6A-4585-BAC1-097B13056386}" presName="ParentAccent3" presStyleLbl="alignNode1" presStyleIdx="2" presStyleCnt="34"/>
      <dgm:spPr/>
    </dgm:pt>
    <dgm:pt modelId="{CDAE9A8E-4A0B-4C71-9EAF-8729AA048F00}" type="pres">
      <dgm:prSet presAssocID="{00105225-ED6A-4585-BAC1-097B13056386}" presName="ParentAccent4" presStyleLbl="alignNode1" presStyleIdx="3" presStyleCnt="34"/>
      <dgm:spPr/>
    </dgm:pt>
    <dgm:pt modelId="{845DAE2E-794E-407B-86A6-633D7744FCB8}" type="pres">
      <dgm:prSet presAssocID="{00105225-ED6A-4585-BAC1-097B13056386}" presName="ParentAccent5" presStyleLbl="alignNode1" presStyleIdx="4" presStyleCnt="34"/>
      <dgm:spPr/>
    </dgm:pt>
    <dgm:pt modelId="{3184909F-7FEE-4FA4-A0BE-B8B7F9D5316E}" type="pres">
      <dgm:prSet presAssocID="{00105225-ED6A-4585-BAC1-097B13056386}" presName="ParentAccent6" presStyleLbl="alignNode1" presStyleIdx="5" presStyleCnt="34"/>
      <dgm:spPr/>
    </dgm:pt>
    <dgm:pt modelId="{1D897666-41FB-4A91-BB59-9CBF82A4AD2E}" type="pres">
      <dgm:prSet presAssocID="{00105225-ED6A-4585-BAC1-097B13056386}" presName="ParentAccent7" presStyleLbl="alignNode1" presStyleIdx="6" presStyleCnt="34"/>
      <dgm:spPr/>
    </dgm:pt>
    <dgm:pt modelId="{BA99D47B-39A6-4DBD-ACDC-1C6AA99282E5}" type="pres">
      <dgm:prSet presAssocID="{00105225-ED6A-4585-BAC1-097B13056386}" presName="ParentAccent8" presStyleLbl="alignNode1" presStyleIdx="7" presStyleCnt="34"/>
      <dgm:spPr/>
    </dgm:pt>
    <dgm:pt modelId="{D5CE7310-5B54-4D57-AEEF-8A95B0E5E3CD}" type="pres">
      <dgm:prSet presAssocID="{00105225-ED6A-4585-BAC1-097B13056386}" presName="ParentAccent9" presStyleLbl="alignNode1" presStyleIdx="8" presStyleCnt="34"/>
      <dgm:spPr/>
    </dgm:pt>
    <dgm:pt modelId="{05E5F483-2A32-47CD-A962-1A0B5C08F8A6}" type="pres">
      <dgm:prSet presAssocID="{00105225-ED6A-4585-BAC1-097B13056386}" presName="ParentAccent10" presStyleLbl="alignNode1" presStyleIdx="9" presStyleCnt="34"/>
      <dgm:spPr/>
    </dgm:pt>
    <dgm:pt modelId="{FBE1D256-7DDE-4521-836E-7A7C4C36E870}" type="pres">
      <dgm:prSet presAssocID="{00105225-ED6A-4585-BAC1-097B13056386}" presName="Parent" presStyleLbl="alignNode1" presStyleIdx="10" presStyleCnt="34" custLinFactNeighborX="2151" custLinFactNeighborY="-1434">
        <dgm:presLayoutVars>
          <dgm:chMax val="5"/>
          <dgm:chPref val="3"/>
          <dgm:bulletEnabled val="1"/>
        </dgm:presLayoutVars>
      </dgm:prSet>
      <dgm:spPr/>
    </dgm:pt>
    <dgm:pt modelId="{ACEAD0C8-4079-420C-8ABD-E64968BC24F0}" type="pres">
      <dgm:prSet presAssocID="{C2DB16B0-7551-4C92-9E44-09774E3BD415}" presName="Child1Accent1" presStyleLbl="alignNode1" presStyleIdx="11" presStyleCnt="34"/>
      <dgm:spPr/>
    </dgm:pt>
    <dgm:pt modelId="{7C3F9AD9-E8EB-4B83-B3BE-E0DA0D7BFE56}" type="pres">
      <dgm:prSet presAssocID="{C2DB16B0-7551-4C92-9E44-09774E3BD415}" presName="Child1Accent2" presStyleLbl="alignNode1" presStyleIdx="12" presStyleCnt="34"/>
      <dgm:spPr/>
    </dgm:pt>
    <dgm:pt modelId="{DE8537F1-32B3-4F7D-AF23-13489E9D427C}" type="pres">
      <dgm:prSet presAssocID="{C2DB16B0-7551-4C92-9E44-09774E3BD415}" presName="Child1Accent3" presStyleLbl="alignNode1" presStyleIdx="13" presStyleCnt="34"/>
      <dgm:spPr/>
    </dgm:pt>
    <dgm:pt modelId="{28153D10-8335-447E-8B1B-AE1A6D364AEA}" type="pres">
      <dgm:prSet presAssocID="{C2DB16B0-7551-4C92-9E44-09774E3BD415}" presName="Child1Accent4" presStyleLbl="alignNode1" presStyleIdx="14" presStyleCnt="34"/>
      <dgm:spPr/>
    </dgm:pt>
    <dgm:pt modelId="{C5753342-DC17-4E16-B313-AEAE8025DE15}" type="pres">
      <dgm:prSet presAssocID="{C2DB16B0-7551-4C92-9E44-09774E3BD415}" presName="Child1Accent5" presStyleLbl="alignNode1" presStyleIdx="15" presStyleCnt="34"/>
      <dgm:spPr/>
    </dgm:pt>
    <dgm:pt modelId="{CCAA8673-6E81-4619-9E90-67903F5DBD02}" type="pres">
      <dgm:prSet presAssocID="{C2DB16B0-7551-4C92-9E44-09774E3BD415}" presName="Child1Accent6" presStyleLbl="alignNode1" presStyleIdx="16" presStyleCnt="34"/>
      <dgm:spPr/>
    </dgm:pt>
    <dgm:pt modelId="{9E55E0BB-60DF-46A4-8740-F2F11B345B4C}" type="pres">
      <dgm:prSet presAssocID="{C2DB16B0-7551-4C92-9E44-09774E3BD415}" presName="Child1Accent7" presStyleLbl="alignNode1" presStyleIdx="17" presStyleCnt="34"/>
      <dgm:spPr/>
    </dgm:pt>
    <dgm:pt modelId="{FC551991-CFB1-4EA3-A7A1-E4BCC4B1B6EF}" type="pres">
      <dgm:prSet presAssocID="{C2DB16B0-7551-4C92-9E44-09774E3BD415}" presName="Child1Accent8" presStyleLbl="alignNode1" presStyleIdx="18" presStyleCnt="34"/>
      <dgm:spPr/>
    </dgm:pt>
    <dgm:pt modelId="{A9E5CCE3-A50F-4411-9289-8ED9A7D9786B}" type="pres">
      <dgm:prSet presAssocID="{C2DB16B0-7551-4C92-9E44-09774E3BD415}" presName="Child1Accent9" presStyleLbl="alignNode1" presStyleIdx="19" presStyleCnt="34"/>
      <dgm:spPr/>
    </dgm:pt>
    <dgm:pt modelId="{17B2BD0F-3555-4513-8720-1F188C58D091}" type="pres">
      <dgm:prSet presAssocID="{C2DB16B0-7551-4C92-9E44-09774E3BD415}" presName="Child1" presStyleLbl="revTx" presStyleIdx="0" presStyleCnt="3">
        <dgm:presLayoutVars>
          <dgm:chMax/>
          <dgm:chPref val="0"/>
          <dgm:bulletEnabled val="1"/>
        </dgm:presLayoutVars>
      </dgm:prSet>
      <dgm:spPr/>
    </dgm:pt>
    <dgm:pt modelId="{F918D41B-1406-44EE-9DC7-FD65A14AFFFD}" type="pres">
      <dgm:prSet presAssocID="{ABFB2769-8C0A-4DAF-AB37-2212C3DE91B2}" presName="Child2Accent1" presStyleLbl="alignNode1" presStyleIdx="20" presStyleCnt="34"/>
      <dgm:spPr/>
    </dgm:pt>
    <dgm:pt modelId="{0183AFED-DFF6-4CD1-A675-DA5DB57182D6}" type="pres">
      <dgm:prSet presAssocID="{ABFB2769-8C0A-4DAF-AB37-2212C3DE91B2}" presName="Child2Accent2" presStyleLbl="alignNode1" presStyleIdx="21" presStyleCnt="34"/>
      <dgm:spPr/>
    </dgm:pt>
    <dgm:pt modelId="{FBAFEADD-42E9-4569-962B-E7A2D5739333}" type="pres">
      <dgm:prSet presAssocID="{ABFB2769-8C0A-4DAF-AB37-2212C3DE91B2}" presName="Child2Accent3" presStyleLbl="alignNode1" presStyleIdx="22" presStyleCnt="34"/>
      <dgm:spPr/>
    </dgm:pt>
    <dgm:pt modelId="{A76A3BED-5642-476E-BE69-83BD758CCDAA}" type="pres">
      <dgm:prSet presAssocID="{ABFB2769-8C0A-4DAF-AB37-2212C3DE91B2}" presName="Child2Accent4" presStyleLbl="alignNode1" presStyleIdx="23" presStyleCnt="34"/>
      <dgm:spPr/>
    </dgm:pt>
    <dgm:pt modelId="{29240832-00FB-498B-BEA1-2CC4B16FD4FB}" type="pres">
      <dgm:prSet presAssocID="{ABFB2769-8C0A-4DAF-AB37-2212C3DE91B2}" presName="Child2Accent5" presStyleLbl="alignNode1" presStyleIdx="24" presStyleCnt="34"/>
      <dgm:spPr/>
    </dgm:pt>
    <dgm:pt modelId="{ED312E71-C885-41E3-A2D0-84523AF2073E}" type="pres">
      <dgm:prSet presAssocID="{ABFB2769-8C0A-4DAF-AB37-2212C3DE91B2}" presName="Child2Accent6" presStyleLbl="alignNode1" presStyleIdx="25" presStyleCnt="34"/>
      <dgm:spPr/>
    </dgm:pt>
    <dgm:pt modelId="{27984CE8-CE57-4DA7-996B-EE01194E18BB}" type="pres">
      <dgm:prSet presAssocID="{ABFB2769-8C0A-4DAF-AB37-2212C3DE91B2}" presName="Child2Accent7" presStyleLbl="alignNode1" presStyleIdx="26" presStyleCnt="34"/>
      <dgm:spPr/>
    </dgm:pt>
    <dgm:pt modelId="{8C236ABC-AD05-4845-904C-C5B8B7AC0791}" type="pres">
      <dgm:prSet presAssocID="{ABFB2769-8C0A-4DAF-AB37-2212C3DE91B2}" presName="Child2" presStyleLbl="revTx" presStyleIdx="1" presStyleCnt="3">
        <dgm:presLayoutVars>
          <dgm:chMax/>
          <dgm:chPref val="0"/>
          <dgm:bulletEnabled val="1"/>
        </dgm:presLayoutVars>
      </dgm:prSet>
      <dgm:spPr/>
    </dgm:pt>
    <dgm:pt modelId="{A1E629A4-01DE-4FF2-991B-BDD4861D93F4}" type="pres">
      <dgm:prSet presAssocID="{48BF8390-7084-40D4-AE3A-8D502C4733BB}" presName="Child3Accent1" presStyleLbl="alignNode1" presStyleIdx="27" presStyleCnt="34"/>
      <dgm:spPr/>
    </dgm:pt>
    <dgm:pt modelId="{CAC32224-F041-4222-910C-1AC22C43C498}" type="pres">
      <dgm:prSet presAssocID="{48BF8390-7084-40D4-AE3A-8D502C4733BB}" presName="Child3Accent2" presStyleLbl="alignNode1" presStyleIdx="28" presStyleCnt="34"/>
      <dgm:spPr/>
    </dgm:pt>
    <dgm:pt modelId="{4BD0F437-3660-4486-BAD2-906F37645360}" type="pres">
      <dgm:prSet presAssocID="{48BF8390-7084-40D4-AE3A-8D502C4733BB}" presName="Child3Accent3" presStyleLbl="alignNode1" presStyleIdx="29" presStyleCnt="34"/>
      <dgm:spPr/>
    </dgm:pt>
    <dgm:pt modelId="{0CE11FCA-8E77-4DD4-B0BA-8B2B3C608BA6}" type="pres">
      <dgm:prSet presAssocID="{48BF8390-7084-40D4-AE3A-8D502C4733BB}" presName="Child3Accent4" presStyleLbl="alignNode1" presStyleIdx="30" presStyleCnt="34"/>
      <dgm:spPr/>
    </dgm:pt>
    <dgm:pt modelId="{8AB45F0F-021B-4822-86B8-99A488FEF502}" type="pres">
      <dgm:prSet presAssocID="{48BF8390-7084-40D4-AE3A-8D502C4733BB}" presName="Child3Accent5" presStyleLbl="alignNode1" presStyleIdx="31" presStyleCnt="34"/>
      <dgm:spPr/>
    </dgm:pt>
    <dgm:pt modelId="{0A81B4DE-6857-4817-B3D3-944C3F8E85D7}" type="pres">
      <dgm:prSet presAssocID="{48BF8390-7084-40D4-AE3A-8D502C4733BB}" presName="Child3Accent6" presStyleLbl="alignNode1" presStyleIdx="32" presStyleCnt="34"/>
      <dgm:spPr/>
    </dgm:pt>
    <dgm:pt modelId="{8D2C79BD-FC11-471C-B702-D2B614D1771A}" type="pres">
      <dgm:prSet presAssocID="{48BF8390-7084-40D4-AE3A-8D502C4733BB}" presName="Child3Accent7" presStyleLbl="alignNode1" presStyleIdx="33" presStyleCnt="34"/>
      <dgm:spPr/>
    </dgm:pt>
    <dgm:pt modelId="{B42FC542-37A9-45A3-A6A1-8B3E793914F1}" type="pres">
      <dgm:prSet presAssocID="{48BF8390-7084-40D4-AE3A-8D502C4733BB}" presName="Child3" presStyleLbl="revTx" presStyleIdx="2" presStyleCnt="3">
        <dgm:presLayoutVars>
          <dgm:chMax/>
          <dgm:chPref val="0"/>
          <dgm:bulletEnabled val="1"/>
        </dgm:presLayoutVars>
      </dgm:prSet>
      <dgm:spPr/>
    </dgm:pt>
  </dgm:ptLst>
  <dgm:cxnLst>
    <dgm:cxn modelId="{E8BD480B-0F5B-48CB-84B8-A00A19782ECF}" srcId="{FA8F2CEA-4796-4349-8DE0-EB97FBFF7B14}" destId="{00105225-ED6A-4585-BAC1-097B13056386}" srcOrd="0" destOrd="0" parTransId="{ECF3BA96-6964-487F-ACD9-AD432179CA7F}" sibTransId="{7CEA9820-D534-4E5C-B46C-210F2A685856}"/>
    <dgm:cxn modelId="{A5850919-06EE-4848-80AD-C3DBB7664EE5}" type="presOf" srcId="{ABFB2769-8C0A-4DAF-AB37-2212C3DE91B2}" destId="{8C236ABC-AD05-4845-904C-C5B8B7AC0791}" srcOrd="0" destOrd="0" presId="urn:microsoft.com/office/officeart/2011/layout/ConvergingText"/>
    <dgm:cxn modelId="{76D4851F-CF0B-4ACE-AD17-DE8E17B7A1A8}" srcId="{00105225-ED6A-4585-BAC1-097B13056386}" destId="{48BF8390-7084-40D4-AE3A-8D502C4733BB}" srcOrd="2" destOrd="0" parTransId="{439D5EC6-B8CB-48AC-9F66-11F109EA2DB3}" sibTransId="{5B41FD76-8363-4722-A730-29E4251560BF}"/>
    <dgm:cxn modelId="{0271DF3E-99CE-47B9-AA8C-6775E5F1D6FC}" type="presOf" srcId="{00105225-ED6A-4585-BAC1-097B13056386}" destId="{FBE1D256-7DDE-4521-836E-7A7C4C36E870}" srcOrd="0" destOrd="0" presId="urn:microsoft.com/office/officeart/2011/layout/ConvergingText"/>
    <dgm:cxn modelId="{AF8F3C62-7227-4D04-B940-CFDE182CA655}" type="presOf" srcId="{C2DB16B0-7551-4C92-9E44-09774E3BD415}" destId="{17B2BD0F-3555-4513-8720-1F188C58D091}" srcOrd="0" destOrd="0" presId="urn:microsoft.com/office/officeart/2011/layout/ConvergingText"/>
    <dgm:cxn modelId="{6CDBDC82-C927-44E0-9B61-CF0FA3AFB3A3}" type="presOf" srcId="{48BF8390-7084-40D4-AE3A-8D502C4733BB}" destId="{B42FC542-37A9-45A3-A6A1-8B3E793914F1}" srcOrd="0" destOrd="0" presId="urn:microsoft.com/office/officeart/2011/layout/ConvergingText"/>
    <dgm:cxn modelId="{A9179BAA-27A9-4251-BAA0-4B804985975F}" type="presOf" srcId="{FA8F2CEA-4796-4349-8DE0-EB97FBFF7B14}" destId="{CEA353BB-05D6-498D-BAE0-46AA1E3147D2}" srcOrd="0" destOrd="0" presId="urn:microsoft.com/office/officeart/2011/layout/ConvergingText"/>
    <dgm:cxn modelId="{F710C3D2-C333-4A17-B567-248F13CB5F9A}" srcId="{00105225-ED6A-4585-BAC1-097B13056386}" destId="{ABFB2769-8C0A-4DAF-AB37-2212C3DE91B2}" srcOrd="1" destOrd="0" parTransId="{8343F95C-FF2E-49A1-919A-1B349E95FDDC}" sibTransId="{9FD979D0-0980-47F2-8976-ABDE8EEAAF60}"/>
    <dgm:cxn modelId="{555FF1E8-7590-4935-8B24-A9CA812F6DDF}" srcId="{00105225-ED6A-4585-BAC1-097B13056386}" destId="{C2DB16B0-7551-4C92-9E44-09774E3BD415}" srcOrd="0" destOrd="0" parTransId="{39B0AA22-A740-4057-A67C-98F691452F63}" sibTransId="{B9829D68-6426-4C66-A348-B1C9F154C433}"/>
    <dgm:cxn modelId="{4B3CF9B8-9D2A-4503-A7B0-617C821C787A}" type="presParOf" srcId="{CEA353BB-05D6-498D-BAE0-46AA1E3147D2}" destId="{18AE7068-AFEC-44FA-B97A-62812BA33B7E}" srcOrd="0" destOrd="0" presId="urn:microsoft.com/office/officeart/2011/layout/ConvergingText"/>
    <dgm:cxn modelId="{A669A916-3F33-4A77-90D5-3E5C34DDE695}" type="presParOf" srcId="{18AE7068-AFEC-44FA-B97A-62812BA33B7E}" destId="{5109D015-8F52-4CF7-87F0-86937E9B654A}" srcOrd="0" destOrd="0" presId="urn:microsoft.com/office/officeart/2011/layout/ConvergingText"/>
    <dgm:cxn modelId="{DFCD87D8-D003-4920-B8EA-8DF329510DEF}" type="presParOf" srcId="{18AE7068-AFEC-44FA-B97A-62812BA33B7E}" destId="{3D127B67-9CC8-4120-B0C0-A5AD08A57FD0}" srcOrd="1" destOrd="0" presId="urn:microsoft.com/office/officeart/2011/layout/ConvergingText"/>
    <dgm:cxn modelId="{C3D676EE-667F-4BBF-83CD-01CFEB4BFA81}" type="presParOf" srcId="{18AE7068-AFEC-44FA-B97A-62812BA33B7E}" destId="{35E3FE5D-285B-4F3F-8C87-6FB5866711CB}" srcOrd="2" destOrd="0" presId="urn:microsoft.com/office/officeart/2011/layout/ConvergingText"/>
    <dgm:cxn modelId="{63F61D0A-61D5-4CBA-BBF0-D4DA9300C798}" type="presParOf" srcId="{18AE7068-AFEC-44FA-B97A-62812BA33B7E}" destId="{CDAE9A8E-4A0B-4C71-9EAF-8729AA048F00}" srcOrd="3" destOrd="0" presId="urn:microsoft.com/office/officeart/2011/layout/ConvergingText"/>
    <dgm:cxn modelId="{B9DB184D-1D7C-4B7F-B6F5-0398B445879B}" type="presParOf" srcId="{18AE7068-AFEC-44FA-B97A-62812BA33B7E}" destId="{845DAE2E-794E-407B-86A6-633D7744FCB8}" srcOrd="4" destOrd="0" presId="urn:microsoft.com/office/officeart/2011/layout/ConvergingText"/>
    <dgm:cxn modelId="{6A14C636-11DE-4FA6-9F02-9D9EE3EF9737}" type="presParOf" srcId="{18AE7068-AFEC-44FA-B97A-62812BA33B7E}" destId="{3184909F-7FEE-4FA4-A0BE-B8B7F9D5316E}" srcOrd="5" destOrd="0" presId="urn:microsoft.com/office/officeart/2011/layout/ConvergingText"/>
    <dgm:cxn modelId="{C1FA6805-F3A9-4B5C-BDA4-544F43F9817E}" type="presParOf" srcId="{18AE7068-AFEC-44FA-B97A-62812BA33B7E}" destId="{1D897666-41FB-4A91-BB59-9CBF82A4AD2E}" srcOrd="6" destOrd="0" presId="urn:microsoft.com/office/officeart/2011/layout/ConvergingText"/>
    <dgm:cxn modelId="{8618D27A-27B1-4C49-A4AF-535447361944}" type="presParOf" srcId="{18AE7068-AFEC-44FA-B97A-62812BA33B7E}" destId="{BA99D47B-39A6-4DBD-ACDC-1C6AA99282E5}" srcOrd="7" destOrd="0" presId="urn:microsoft.com/office/officeart/2011/layout/ConvergingText"/>
    <dgm:cxn modelId="{5F2F6B54-6649-4AB6-BD71-E94A0B630A26}" type="presParOf" srcId="{18AE7068-AFEC-44FA-B97A-62812BA33B7E}" destId="{D5CE7310-5B54-4D57-AEEF-8A95B0E5E3CD}" srcOrd="8" destOrd="0" presId="urn:microsoft.com/office/officeart/2011/layout/ConvergingText"/>
    <dgm:cxn modelId="{E3C8751E-36A7-4E81-B037-A15170744667}" type="presParOf" srcId="{18AE7068-AFEC-44FA-B97A-62812BA33B7E}" destId="{05E5F483-2A32-47CD-A962-1A0B5C08F8A6}" srcOrd="9" destOrd="0" presId="urn:microsoft.com/office/officeart/2011/layout/ConvergingText"/>
    <dgm:cxn modelId="{549CEE2A-49CD-4EFE-B70B-8388DC909733}" type="presParOf" srcId="{18AE7068-AFEC-44FA-B97A-62812BA33B7E}" destId="{FBE1D256-7DDE-4521-836E-7A7C4C36E870}" srcOrd="10" destOrd="0" presId="urn:microsoft.com/office/officeart/2011/layout/ConvergingText"/>
    <dgm:cxn modelId="{BC22E45F-581B-4D84-BCFE-8529B387A51C}" type="presParOf" srcId="{18AE7068-AFEC-44FA-B97A-62812BA33B7E}" destId="{ACEAD0C8-4079-420C-8ABD-E64968BC24F0}" srcOrd="11" destOrd="0" presId="urn:microsoft.com/office/officeart/2011/layout/ConvergingText"/>
    <dgm:cxn modelId="{D1028C85-9F21-4DDB-A6E1-0FD254F4F59B}" type="presParOf" srcId="{18AE7068-AFEC-44FA-B97A-62812BA33B7E}" destId="{7C3F9AD9-E8EB-4B83-B3BE-E0DA0D7BFE56}" srcOrd="12" destOrd="0" presId="urn:microsoft.com/office/officeart/2011/layout/ConvergingText"/>
    <dgm:cxn modelId="{C81B320E-FB31-47A6-BD14-237B4033A3D7}" type="presParOf" srcId="{18AE7068-AFEC-44FA-B97A-62812BA33B7E}" destId="{DE8537F1-32B3-4F7D-AF23-13489E9D427C}" srcOrd="13" destOrd="0" presId="urn:microsoft.com/office/officeart/2011/layout/ConvergingText"/>
    <dgm:cxn modelId="{5800A273-F3EA-4087-968A-917AFC48835A}" type="presParOf" srcId="{18AE7068-AFEC-44FA-B97A-62812BA33B7E}" destId="{28153D10-8335-447E-8B1B-AE1A6D364AEA}" srcOrd="14" destOrd="0" presId="urn:microsoft.com/office/officeart/2011/layout/ConvergingText"/>
    <dgm:cxn modelId="{94586C41-AEA9-4DF5-83A5-33E1CDA327C5}" type="presParOf" srcId="{18AE7068-AFEC-44FA-B97A-62812BA33B7E}" destId="{C5753342-DC17-4E16-B313-AEAE8025DE15}" srcOrd="15" destOrd="0" presId="urn:microsoft.com/office/officeart/2011/layout/ConvergingText"/>
    <dgm:cxn modelId="{DE11E759-E499-475F-B0A0-81AC0A715699}" type="presParOf" srcId="{18AE7068-AFEC-44FA-B97A-62812BA33B7E}" destId="{CCAA8673-6E81-4619-9E90-67903F5DBD02}" srcOrd="16" destOrd="0" presId="urn:microsoft.com/office/officeart/2011/layout/ConvergingText"/>
    <dgm:cxn modelId="{2647DE62-F061-48C1-B13F-AC59A51C2D22}" type="presParOf" srcId="{18AE7068-AFEC-44FA-B97A-62812BA33B7E}" destId="{9E55E0BB-60DF-46A4-8740-F2F11B345B4C}" srcOrd="17" destOrd="0" presId="urn:microsoft.com/office/officeart/2011/layout/ConvergingText"/>
    <dgm:cxn modelId="{DD486FE7-5018-473D-AB05-0224F8B48431}" type="presParOf" srcId="{18AE7068-AFEC-44FA-B97A-62812BA33B7E}" destId="{FC551991-CFB1-4EA3-A7A1-E4BCC4B1B6EF}" srcOrd="18" destOrd="0" presId="urn:microsoft.com/office/officeart/2011/layout/ConvergingText"/>
    <dgm:cxn modelId="{37DF6CCD-7EFF-47FA-8790-13FC9B966FBB}" type="presParOf" srcId="{18AE7068-AFEC-44FA-B97A-62812BA33B7E}" destId="{A9E5CCE3-A50F-4411-9289-8ED9A7D9786B}" srcOrd="19" destOrd="0" presId="urn:microsoft.com/office/officeart/2011/layout/ConvergingText"/>
    <dgm:cxn modelId="{7AB3EC48-AA6B-4814-84A2-B9E2D8E49D12}" type="presParOf" srcId="{18AE7068-AFEC-44FA-B97A-62812BA33B7E}" destId="{17B2BD0F-3555-4513-8720-1F188C58D091}" srcOrd="20" destOrd="0" presId="urn:microsoft.com/office/officeart/2011/layout/ConvergingText"/>
    <dgm:cxn modelId="{9E372351-4F96-4C42-8F93-880212A582F1}" type="presParOf" srcId="{18AE7068-AFEC-44FA-B97A-62812BA33B7E}" destId="{F918D41B-1406-44EE-9DC7-FD65A14AFFFD}" srcOrd="21" destOrd="0" presId="urn:microsoft.com/office/officeart/2011/layout/ConvergingText"/>
    <dgm:cxn modelId="{2FD197A0-80CF-408B-BD10-76F82CC59787}" type="presParOf" srcId="{18AE7068-AFEC-44FA-B97A-62812BA33B7E}" destId="{0183AFED-DFF6-4CD1-A675-DA5DB57182D6}" srcOrd="22" destOrd="0" presId="urn:microsoft.com/office/officeart/2011/layout/ConvergingText"/>
    <dgm:cxn modelId="{8E307F67-0071-4475-B929-41D45E94A236}" type="presParOf" srcId="{18AE7068-AFEC-44FA-B97A-62812BA33B7E}" destId="{FBAFEADD-42E9-4569-962B-E7A2D5739333}" srcOrd="23" destOrd="0" presId="urn:microsoft.com/office/officeart/2011/layout/ConvergingText"/>
    <dgm:cxn modelId="{060FEB7A-5D66-4243-ACA5-D9D78C129C5B}" type="presParOf" srcId="{18AE7068-AFEC-44FA-B97A-62812BA33B7E}" destId="{A76A3BED-5642-476E-BE69-83BD758CCDAA}" srcOrd="24" destOrd="0" presId="urn:microsoft.com/office/officeart/2011/layout/ConvergingText"/>
    <dgm:cxn modelId="{5FB6207B-1A14-4DCC-861C-2436426A41F2}" type="presParOf" srcId="{18AE7068-AFEC-44FA-B97A-62812BA33B7E}" destId="{29240832-00FB-498B-BEA1-2CC4B16FD4FB}" srcOrd="25" destOrd="0" presId="urn:microsoft.com/office/officeart/2011/layout/ConvergingText"/>
    <dgm:cxn modelId="{3332FF1F-F923-4FCA-8634-F386C417CAFE}" type="presParOf" srcId="{18AE7068-AFEC-44FA-B97A-62812BA33B7E}" destId="{ED312E71-C885-41E3-A2D0-84523AF2073E}" srcOrd="26" destOrd="0" presId="urn:microsoft.com/office/officeart/2011/layout/ConvergingText"/>
    <dgm:cxn modelId="{90A7F628-8201-499B-B77E-794A5023D1BA}" type="presParOf" srcId="{18AE7068-AFEC-44FA-B97A-62812BA33B7E}" destId="{27984CE8-CE57-4DA7-996B-EE01194E18BB}" srcOrd="27" destOrd="0" presId="urn:microsoft.com/office/officeart/2011/layout/ConvergingText"/>
    <dgm:cxn modelId="{3D1EE6B8-9817-4860-A2EC-43E3A23B741B}" type="presParOf" srcId="{18AE7068-AFEC-44FA-B97A-62812BA33B7E}" destId="{8C236ABC-AD05-4845-904C-C5B8B7AC0791}" srcOrd="28" destOrd="0" presId="urn:microsoft.com/office/officeart/2011/layout/ConvergingText"/>
    <dgm:cxn modelId="{34ADC879-B4F7-47AC-BD7B-EB04D9E295DC}" type="presParOf" srcId="{18AE7068-AFEC-44FA-B97A-62812BA33B7E}" destId="{A1E629A4-01DE-4FF2-991B-BDD4861D93F4}" srcOrd="29" destOrd="0" presId="urn:microsoft.com/office/officeart/2011/layout/ConvergingText"/>
    <dgm:cxn modelId="{7D9C1B56-3322-4824-95BF-D87B3C0D063D}" type="presParOf" srcId="{18AE7068-AFEC-44FA-B97A-62812BA33B7E}" destId="{CAC32224-F041-4222-910C-1AC22C43C498}" srcOrd="30" destOrd="0" presId="urn:microsoft.com/office/officeart/2011/layout/ConvergingText"/>
    <dgm:cxn modelId="{F684FF7C-5313-4C69-9DBE-F49E3EDDBE2A}" type="presParOf" srcId="{18AE7068-AFEC-44FA-B97A-62812BA33B7E}" destId="{4BD0F437-3660-4486-BAD2-906F37645360}" srcOrd="31" destOrd="0" presId="urn:microsoft.com/office/officeart/2011/layout/ConvergingText"/>
    <dgm:cxn modelId="{FBC9C232-4C04-4FA2-80C9-EA661304A0D9}" type="presParOf" srcId="{18AE7068-AFEC-44FA-B97A-62812BA33B7E}" destId="{0CE11FCA-8E77-4DD4-B0BA-8B2B3C608BA6}" srcOrd="32" destOrd="0" presId="urn:microsoft.com/office/officeart/2011/layout/ConvergingText"/>
    <dgm:cxn modelId="{853786BB-7FBF-4D98-A019-E6E58C6627BB}" type="presParOf" srcId="{18AE7068-AFEC-44FA-B97A-62812BA33B7E}" destId="{8AB45F0F-021B-4822-86B8-99A488FEF502}" srcOrd="33" destOrd="0" presId="urn:microsoft.com/office/officeart/2011/layout/ConvergingText"/>
    <dgm:cxn modelId="{3DA5F431-9B82-4D9D-B706-BEB17D6EF39D}" type="presParOf" srcId="{18AE7068-AFEC-44FA-B97A-62812BA33B7E}" destId="{0A81B4DE-6857-4817-B3D3-944C3F8E85D7}" srcOrd="34" destOrd="0" presId="urn:microsoft.com/office/officeart/2011/layout/ConvergingText"/>
    <dgm:cxn modelId="{61CAE3BD-A326-41BF-90C1-DAE8D3441A25}" type="presParOf" srcId="{18AE7068-AFEC-44FA-B97A-62812BA33B7E}" destId="{8D2C79BD-FC11-471C-B702-D2B614D1771A}" srcOrd="35" destOrd="0" presId="urn:microsoft.com/office/officeart/2011/layout/ConvergingText"/>
    <dgm:cxn modelId="{03F82E6F-6D60-455F-B448-0581150DD17C}" type="presParOf" srcId="{18AE7068-AFEC-44FA-B97A-62812BA33B7E}" destId="{B42FC542-37A9-45A3-A6A1-8B3E793914F1}" srcOrd="36" destOrd="0" presId="urn:microsoft.com/office/officeart/2011/layout/ConvergingText"/>
  </dgm:cxnLst>
  <dgm:bg/>
  <dgm:whole/>
  <dgm:extLst>
    <a:ext uri="http://schemas.microsoft.com/office/drawing/2008/diagram">
      <dsp:dataModelExt xmlns:dsp="http://schemas.microsoft.com/office/drawing/2008/diagram" relId="rId13"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17548448-476D-4B5A-A736-BA5C81479A66}" type="doc">
      <dgm:prSet loTypeId="urn:microsoft.com/office/officeart/2005/8/layout/target2" loCatId="relationship" qsTypeId="urn:microsoft.com/office/officeart/2005/8/quickstyle/simple1" qsCatId="simple" csTypeId="urn:microsoft.com/office/officeart/2005/8/colors/accent1_2" csCatId="accent1" phldr="0"/>
      <dgm:spPr/>
      <dgm:t>
        <a:bodyPr/>
        <a:lstStyle/>
        <a:p>
          <a:endParaRPr lang="en-GB"/>
        </a:p>
      </dgm:t>
    </dgm:pt>
    <dgm:pt modelId="{114BFF19-7677-4CE6-BC72-6996C481FD97}">
      <dgm:prSet phldrT="[Text]" phldr="1"/>
      <dgm:spPr/>
      <dgm:t>
        <a:bodyPr/>
        <a:lstStyle/>
        <a:p>
          <a:endParaRPr lang="en-GB"/>
        </a:p>
      </dgm:t>
    </dgm:pt>
    <dgm:pt modelId="{404ED386-48EA-4E9B-A26F-E86EBFA3D59F}" type="parTrans" cxnId="{A5F43E5E-50F7-4545-BEF4-1212B66B9562}">
      <dgm:prSet/>
      <dgm:spPr/>
      <dgm:t>
        <a:bodyPr/>
        <a:lstStyle/>
        <a:p>
          <a:endParaRPr lang="en-GB"/>
        </a:p>
      </dgm:t>
    </dgm:pt>
    <dgm:pt modelId="{7DBB73C0-2632-435A-BEC9-25DE11C1D2BD}" type="sibTrans" cxnId="{A5F43E5E-50F7-4545-BEF4-1212B66B9562}">
      <dgm:prSet/>
      <dgm:spPr/>
      <dgm:t>
        <a:bodyPr/>
        <a:lstStyle/>
        <a:p>
          <a:endParaRPr lang="en-GB"/>
        </a:p>
      </dgm:t>
    </dgm:pt>
    <dgm:pt modelId="{15978E61-46F7-4075-96AA-B2E054625820}">
      <dgm:prSet phldrT="[Text]" phldr="1"/>
      <dgm:spPr/>
      <dgm:t>
        <a:bodyPr/>
        <a:lstStyle/>
        <a:p>
          <a:endParaRPr lang="en-GB"/>
        </a:p>
      </dgm:t>
    </dgm:pt>
    <dgm:pt modelId="{C2017030-2D13-408F-8880-8FAFE33F6609}" type="parTrans" cxnId="{397AA7E5-6D4B-4521-B19E-8061B97121F0}">
      <dgm:prSet/>
      <dgm:spPr/>
      <dgm:t>
        <a:bodyPr/>
        <a:lstStyle/>
        <a:p>
          <a:endParaRPr lang="en-GB"/>
        </a:p>
      </dgm:t>
    </dgm:pt>
    <dgm:pt modelId="{58837B6E-5EC8-49A6-B4A1-20F45770A291}" type="sibTrans" cxnId="{397AA7E5-6D4B-4521-B19E-8061B97121F0}">
      <dgm:prSet/>
      <dgm:spPr/>
      <dgm:t>
        <a:bodyPr/>
        <a:lstStyle/>
        <a:p>
          <a:endParaRPr lang="en-GB"/>
        </a:p>
      </dgm:t>
    </dgm:pt>
    <dgm:pt modelId="{6218B139-D8B4-4287-81F2-67D6C0D573DE}">
      <dgm:prSet phldrT="[Text]" phldr="1"/>
      <dgm:spPr/>
      <dgm:t>
        <a:bodyPr/>
        <a:lstStyle/>
        <a:p>
          <a:endParaRPr lang="en-GB"/>
        </a:p>
      </dgm:t>
    </dgm:pt>
    <dgm:pt modelId="{65214125-40A7-4AA3-A4ED-95398E99C84E}" type="parTrans" cxnId="{A7A4E75C-0A20-4371-9C7A-7724AE9E5AD1}">
      <dgm:prSet/>
      <dgm:spPr/>
      <dgm:t>
        <a:bodyPr/>
        <a:lstStyle/>
        <a:p>
          <a:endParaRPr lang="en-GB"/>
        </a:p>
      </dgm:t>
    </dgm:pt>
    <dgm:pt modelId="{0546FD6E-BCCF-40A7-A73D-494FF2B81CC7}" type="sibTrans" cxnId="{A7A4E75C-0A20-4371-9C7A-7724AE9E5AD1}">
      <dgm:prSet/>
      <dgm:spPr/>
      <dgm:t>
        <a:bodyPr/>
        <a:lstStyle/>
        <a:p>
          <a:endParaRPr lang="en-GB"/>
        </a:p>
      </dgm:t>
    </dgm:pt>
    <dgm:pt modelId="{44742328-BD60-458B-BD16-5CC2353F5742}">
      <dgm:prSet phldrT="[Text]" phldr="1"/>
      <dgm:spPr/>
      <dgm:t>
        <a:bodyPr/>
        <a:lstStyle/>
        <a:p>
          <a:endParaRPr lang="en-GB"/>
        </a:p>
      </dgm:t>
    </dgm:pt>
    <dgm:pt modelId="{B014B4BC-8515-4788-93AC-0A05CA8CB55B}" type="parTrans" cxnId="{124A30E9-3251-46A5-857B-6490EDB90813}">
      <dgm:prSet/>
      <dgm:spPr/>
      <dgm:t>
        <a:bodyPr/>
        <a:lstStyle/>
        <a:p>
          <a:endParaRPr lang="en-GB"/>
        </a:p>
      </dgm:t>
    </dgm:pt>
    <dgm:pt modelId="{8B71B871-04BE-42AF-9CFF-1C21FBA47D75}" type="sibTrans" cxnId="{124A30E9-3251-46A5-857B-6490EDB90813}">
      <dgm:prSet/>
      <dgm:spPr/>
      <dgm:t>
        <a:bodyPr/>
        <a:lstStyle/>
        <a:p>
          <a:endParaRPr lang="en-GB"/>
        </a:p>
      </dgm:t>
    </dgm:pt>
    <dgm:pt modelId="{20443F85-B5EC-4E32-9D04-6AAA5805D4AD}">
      <dgm:prSet phldrT="[Text]" phldr="1"/>
      <dgm:spPr/>
      <dgm:t>
        <a:bodyPr/>
        <a:lstStyle/>
        <a:p>
          <a:endParaRPr lang="en-GB"/>
        </a:p>
      </dgm:t>
    </dgm:pt>
    <dgm:pt modelId="{D39DDC43-BAC4-4A92-ABD9-5F9848F83596}" type="parTrans" cxnId="{B6657472-81A3-47F8-81A6-E5A7D0320CAF}">
      <dgm:prSet/>
      <dgm:spPr/>
      <dgm:t>
        <a:bodyPr/>
        <a:lstStyle/>
        <a:p>
          <a:endParaRPr lang="en-GB"/>
        </a:p>
      </dgm:t>
    </dgm:pt>
    <dgm:pt modelId="{85CBA099-F243-48AC-A545-7E6D8FC90037}" type="sibTrans" cxnId="{B6657472-81A3-47F8-81A6-E5A7D0320CAF}">
      <dgm:prSet/>
      <dgm:spPr/>
      <dgm:t>
        <a:bodyPr/>
        <a:lstStyle/>
        <a:p>
          <a:endParaRPr lang="en-GB"/>
        </a:p>
      </dgm:t>
    </dgm:pt>
    <dgm:pt modelId="{6BF60729-72B3-43A7-B8D6-CFEB39FC44FA}">
      <dgm:prSet phldrT="[Text]" phldr="1"/>
      <dgm:spPr/>
      <dgm:t>
        <a:bodyPr/>
        <a:lstStyle/>
        <a:p>
          <a:endParaRPr lang="en-GB"/>
        </a:p>
      </dgm:t>
    </dgm:pt>
    <dgm:pt modelId="{C59E63BA-0646-4AFB-970A-F0E5C579BF30}" type="parTrans" cxnId="{28E93E8F-6D9F-4A89-8F5F-CA5A76DB180F}">
      <dgm:prSet/>
      <dgm:spPr/>
      <dgm:t>
        <a:bodyPr/>
        <a:lstStyle/>
        <a:p>
          <a:endParaRPr lang="en-GB"/>
        </a:p>
      </dgm:t>
    </dgm:pt>
    <dgm:pt modelId="{B484D2D6-D81B-42F5-86E2-1EF8BCF2F5EC}" type="sibTrans" cxnId="{28E93E8F-6D9F-4A89-8F5F-CA5A76DB180F}">
      <dgm:prSet/>
      <dgm:spPr/>
      <dgm:t>
        <a:bodyPr/>
        <a:lstStyle/>
        <a:p>
          <a:endParaRPr lang="en-GB"/>
        </a:p>
      </dgm:t>
    </dgm:pt>
    <dgm:pt modelId="{9843C33D-C17C-477E-9902-B2E7ED0881BF}">
      <dgm:prSet phldrT="[Text]" phldr="1"/>
      <dgm:spPr/>
      <dgm:t>
        <a:bodyPr/>
        <a:lstStyle/>
        <a:p>
          <a:endParaRPr lang="en-GB"/>
        </a:p>
      </dgm:t>
    </dgm:pt>
    <dgm:pt modelId="{18CA7F5E-FE9D-489A-A1E2-94063A21D770}" type="parTrans" cxnId="{2E5C5DA5-6387-49B2-BAF6-86B946A16C7A}">
      <dgm:prSet/>
      <dgm:spPr/>
      <dgm:t>
        <a:bodyPr/>
        <a:lstStyle/>
        <a:p>
          <a:endParaRPr lang="en-GB"/>
        </a:p>
      </dgm:t>
    </dgm:pt>
    <dgm:pt modelId="{15B0A7E0-18E6-4FE3-B476-ECD56DF5800F}" type="sibTrans" cxnId="{2E5C5DA5-6387-49B2-BAF6-86B946A16C7A}">
      <dgm:prSet/>
      <dgm:spPr/>
      <dgm:t>
        <a:bodyPr/>
        <a:lstStyle/>
        <a:p>
          <a:endParaRPr lang="en-GB"/>
        </a:p>
      </dgm:t>
    </dgm:pt>
    <dgm:pt modelId="{7985F8E3-C7B3-4F7F-9B11-4C207A22DFBD}">
      <dgm:prSet phldrT="[Text]" phldr="1"/>
      <dgm:spPr/>
      <dgm:t>
        <a:bodyPr/>
        <a:lstStyle/>
        <a:p>
          <a:endParaRPr lang="en-GB"/>
        </a:p>
      </dgm:t>
    </dgm:pt>
    <dgm:pt modelId="{404534AB-DE9B-48C1-A20D-24E079552850}" type="parTrans" cxnId="{DB6DBD37-2632-4E5A-AA7B-9222B150B8E4}">
      <dgm:prSet/>
      <dgm:spPr/>
      <dgm:t>
        <a:bodyPr/>
        <a:lstStyle/>
        <a:p>
          <a:endParaRPr lang="en-GB"/>
        </a:p>
      </dgm:t>
    </dgm:pt>
    <dgm:pt modelId="{ECA480ED-FB17-4B3A-8905-6E94054F699C}" type="sibTrans" cxnId="{DB6DBD37-2632-4E5A-AA7B-9222B150B8E4}">
      <dgm:prSet/>
      <dgm:spPr/>
      <dgm:t>
        <a:bodyPr/>
        <a:lstStyle/>
        <a:p>
          <a:endParaRPr lang="en-GB"/>
        </a:p>
      </dgm:t>
    </dgm:pt>
    <dgm:pt modelId="{FFCF8C03-CCAE-46A1-9D43-D7963B5EE9E2}">
      <dgm:prSet phldrT="[Text]" phldr="1"/>
      <dgm:spPr/>
      <dgm:t>
        <a:bodyPr/>
        <a:lstStyle/>
        <a:p>
          <a:endParaRPr lang="en-GB"/>
        </a:p>
      </dgm:t>
    </dgm:pt>
    <dgm:pt modelId="{63ACE4D7-307F-4BB7-87CE-8BB88599D72B}" type="parTrans" cxnId="{244B078E-9CEA-46C4-A950-8E9EF772A7E3}">
      <dgm:prSet/>
      <dgm:spPr/>
      <dgm:t>
        <a:bodyPr/>
        <a:lstStyle/>
        <a:p>
          <a:endParaRPr lang="en-GB"/>
        </a:p>
      </dgm:t>
    </dgm:pt>
    <dgm:pt modelId="{9FC25D58-1AFA-4027-9CAB-DE68697A6A24}" type="sibTrans" cxnId="{244B078E-9CEA-46C4-A950-8E9EF772A7E3}">
      <dgm:prSet/>
      <dgm:spPr/>
      <dgm:t>
        <a:bodyPr/>
        <a:lstStyle/>
        <a:p>
          <a:endParaRPr lang="en-GB"/>
        </a:p>
      </dgm:t>
    </dgm:pt>
    <dgm:pt modelId="{91A379AE-2803-4193-BE55-6C7F381AB6B1}" type="pres">
      <dgm:prSet presAssocID="{17548448-476D-4B5A-A736-BA5C81479A66}" presName="Name0" presStyleCnt="0">
        <dgm:presLayoutVars>
          <dgm:chMax val="3"/>
          <dgm:chPref val="1"/>
          <dgm:dir/>
          <dgm:animLvl val="lvl"/>
          <dgm:resizeHandles/>
        </dgm:presLayoutVars>
      </dgm:prSet>
      <dgm:spPr/>
    </dgm:pt>
    <dgm:pt modelId="{0C5647B2-78A2-4337-B41C-679CF5E1A511}" type="pres">
      <dgm:prSet presAssocID="{17548448-476D-4B5A-A736-BA5C81479A66}" presName="outerBox" presStyleCnt="0"/>
      <dgm:spPr/>
    </dgm:pt>
    <dgm:pt modelId="{9934A0FA-33C4-40A6-A343-D42BC2DBE214}" type="pres">
      <dgm:prSet presAssocID="{17548448-476D-4B5A-A736-BA5C81479A66}" presName="outerBoxParent" presStyleLbl="node1" presStyleIdx="0" presStyleCnt="3" custLinFactX="-18125" custLinFactNeighborX="-100000" custLinFactNeighborY="-25000"/>
      <dgm:spPr/>
    </dgm:pt>
    <dgm:pt modelId="{E57BE00E-E051-4206-8827-FA84C95BE092}" type="pres">
      <dgm:prSet presAssocID="{17548448-476D-4B5A-A736-BA5C81479A66}" presName="outerBoxChildren" presStyleCnt="0"/>
      <dgm:spPr/>
    </dgm:pt>
    <dgm:pt modelId="{EC4B2A49-C84A-4433-AB81-50929C5130B9}" type="pres">
      <dgm:prSet presAssocID="{15978E61-46F7-4075-96AA-B2E054625820}" presName="oChild" presStyleLbl="fgAcc1" presStyleIdx="0" presStyleCnt="6">
        <dgm:presLayoutVars>
          <dgm:bulletEnabled val="1"/>
        </dgm:presLayoutVars>
      </dgm:prSet>
      <dgm:spPr/>
    </dgm:pt>
    <dgm:pt modelId="{13A191A5-6D83-4F6F-8955-9C16B7C826E4}" type="pres">
      <dgm:prSet presAssocID="{58837B6E-5EC8-49A6-B4A1-20F45770A291}" presName="outerSibTrans" presStyleCnt="0"/>
      <dgm:spPr/>
    </dgm:pt>
    <dgm:pt modelId="{4A963067-E500-4659-92B5-6D8C0FD7F456}" type="pres">
      <dgm:prSet presAssocID="{6218B139-D8B4-4287-81F2-67D6C0D573DE}" presName="oChild" presStyleLbl="fgAcc1" presStyleIdx="1" presStyleCnt="6">
        <dgm:presLayoutVars>
          <dgm:bulletEnabled val="1"/>
        </dgm:presLayoutVars>
      </dgm:prSet>
      <dgm:spPr/>
    </dgm:pt>
    <dgm:pt modelId="{DE1BE4FB-46EB-41F8-9EFD-175EBF896E41}" type="pres">
      <dgm:prSet presAssocID="{17548448-476D-4B5A-A736-BA5C81479A66}" presName="middleBox" presStyleCnt="0"/>
      <dgm:spPr/>
    </dgm:pt>
    <dgm:pt modelId="{F458F7AE-F67E-44F6-802D-FF234B10DAC3}" type="pres">
      <dgm:prSet presAssocID="{17548448-476D-4B5A-A736-BA5C81479A66}" presName="middleBoxParent" presStyleLbl="node1" presStyleIdx="1" presStyleCnt="3"/>
      <dgm:spPr/>
    </dgm:pt>
    <dgm:pt modelId="{9695D808-00CB-403F-85FC-57E60BF30400}" type="pres">
      <dgm:prSet presAssocID="{17548448-476D-4B5A-A736-BA5C81479A66}" presName="middleBoxChildren" presStyleCnt="0"/>
      <dgm:spPr/>
    </dgm:pt>
    <dgm:pt modelId="{FCD4888C-FC2B-4F99-97AD-2DAF058836FD}" type="pres">
      <dgm:prSet presAssocID="{20443F85-B5EC-4E32-9D04-6AAA5805D4AD}" presName="mChild" presStyleLbl="fgAcc1" presStyleIdx="2" presStyleCnt="6">
        <dgm:presLayoutVars>
          <dgm:bulletEnabled val="1"/>
        </dgm:presLayoutVars>
      </dgm:prSet>
      <dgm:spPr/>
    </dgm:pt>
    <dgm:pt modelId="{BA0223B4-B653-4B49-8F70-3FB6E508F131}" type="pres">
      <dgm:prSet presAssocID="{85CBA099-F243-48AC-A545-7E6D8FC90037}" presName="middleSibTrans" presStyleCnt="0"/>
      <dgm:spPr/>
    </dgm:pt>
    <dgm:pt modelId="{D062EDF9-5035-45ED-91F4-4A21588B5804}" type="pres">
      <dgm:prSet presAssocID="{6BF60729-72B3-43A7-B8D6-CFEB39FC44FA}" presName="mChild" presStyleLbl="fgAcc1" presStyleIdx="3" presStyleCnt="6">
        <dgm:presLayoutVars>
          <dgm:bulletEnabled val="1"/>
        </dgm:presLayoutVars>
      </dgm:prSet>
      <dgm:spPr/>
    </dgm:pt>
    <dgm:pt modelId="{1E75805B-9D91-47E1-A805-C94A3C4CECAD}" type="pres">
      <dgm:prSet presAssocID="{17548448-476D-4B5A-A736-BA5C81479A66}" presName="centerBox" presStyleCnt="0"/>
      <dgm:spPr/>
    </dgm:pt>
    <dgm:pt modelId="{A6C8733D-D6E1-45CC-A4BE-EC7D4B90E8BB}" type="pres">
      <dgm:prSet presAssocID="{17548448-476D-4B5A-A736-BA5C81479A66}" presName="centerBoxParent" presStyleLbl="node1" presStyleIdx="2" presStyleCnt="3"/>
      <dgm:spPr/>
    </dgm:pt>
    <dgm:pt modelId="{9D2672D8-B155-48F3-98A0-FCBBB939E641}" type="pres">
      <dgm:prSet presAssocID="{17548448-476D-4B5A-A736-BA5C81479A66}" presName="centerBoxChildren" presStyleCnt="0"/>
      <dgm:spPr/>
    </dgm:pt>
    <dgm:pt modelId="{35119849-402D-4732-9E36-73BFA5F66A63}" type="pres">
      <dgm:prSet presAssocID="{7985F8E3-C7B3-4F7F-9B11-4C207A22DFBD}" presName="cChild" presStyleLbl="fgAcc1" presStyleIdx="4" presStyleCnt="6">
        <dgm:presLayoutVars>
          <dgm:bulletEnabled val="1"/>
        </dgm:presLayoutVars>
      </dgm:prSet>
      <dgm:spPr/>
    </dgm:pt>
    <dgm:pt modelId="{70C36D9A-99FB-4869-8404-2425C4BEA551}" type="pres">
      <dgm:prSet presAssocID="{ECA480ED-FB17-4B3A-8905-6E94054F699C}" presName="centerSibTrans" presStyleCnt="0"/>
      <dgm:spPr/>
    </dgm:pt>
    <dgm:pt modelId="{052AC7DA-72F9-45FF-906E-B86CBE8CF44F}" type="pres">
      <dgm:prSet presAssocID="{FFCF8C03-CCAE-46A1-9D43-D7963B5EE9E2}" presName="cChild" presStyleLbl="fgAcc1" presStyleIdx="5" presStyleCnt="6">
        <dgm:presLayoutVars>
          <dgm:bulletEnabled val="1"/>
        </dgm:presLayoutVars>
      </dgm:prSet>
      <dgm:spPr/>
    </dgm:pt>
  </dgm:ptLst>
  <dgm:cxnLst>
    <dgm:cxn modelId="{EF397A06-80F9-4B05-802A-56A698A45682}" type="presOf" srcId="{20443F85-B5EC-4E32-9D04-6AAA5805D4AD}" destId="{FCD4888C-FC2B-4F99-97AD-2DAF058836FD}" srcOrd="0" destOrd="0" presId="urn:microsoft.com/office/officeart/2005/8/layout/target2"/>
    <dgm:cxn modelId="{90833D08-8DA7-431A-90A2-A3A50C57B396}" type="presOf" srcId="{7985F8E3-C7B3-4F7F-9B11-4C207A22DFBD}" destId="{35119849-402D-4732-9E36-73BFA5F66A63}" srcOrd="0" destOrd="0" presId="urn:microsoft.com/office/officeart/2005/8/layout/target2"/>
    <dgm:cxn modelId="{0C0DBA0C-FD5B-4093-8A91-F718D6BFC18C}" type="presOf" srcId="{15978E61-46F7-4075-96AA-B2E054625820}" destId="{EC4B2A49-C84A-4433-AB81-50929C5130B9}" srcOrd="0" destOrd="0" presId="urn:microsoft.com/office/officeart/2005/8/layout/target2"/>
    <dgm:cxn modelId="{677A6211-520A-476D-B7F6-FB32327058D5}" type="presOf" srcId="{6BF60729-72B3-43A7-B8D6-CFEB39FC44FA}" destId="{D062EDF9-5035-45ED-91F4-4A21588B5804}" srcOrd="0" destOrd="0" presId="urn:microsoft.com/office/officeart/2005/8/layout/target2"/>
    <dgm:cxn modelId="{E47AD01D-89DC-4323-B70C-6341881616D3}" type="presOf" srcId="{44742328-BD60-458B-BD16-5CC2353F5742}" destId="{F458F7AE-F67E-44F6-802D-FF234B10DAC3}" srcOrd="0" destOrd="0" presId="urn:microsoft.com/office/officeart/2005/8/layout/target2"/>
    <dgm:cxn modelId="{3AD0732E-3244-41C1-BEC3-B1F95CF8D342}" type="presOf" srcId="{9843C33D-C17C-477E-9902-B2E7ED0881BF}" destId="{A6C8733D-D6E1-45CC-A4BE-EC7D4B90E8BB}" srcOrd="0" destOrd="0" presId="urn:microsoft.com/office/officeart/2005/8/layout/target2"/>
    <dgm:cxn modelId="{DB6DBD37-2632-4E5A-AA7B-9222B150B8E4}" srcId="{9843C33D-C17C-477E-9902-B2E7ED0881BF}" destId="{7985F8E3-C7B3-4F7F-9B11-4C207A22DFBD}" srcOrd="0" destOrd="0" parTransId="{404534AB-DE9B-48C1-A20D-24E079552850}" sibTransId="{ECA480ED-FB17-4B3A-8905-6E94054F699C}"/>
    <dgm:cxn modelId="{A7A4E75C-0A20-4371-9C7A-7724AE9E5AD1}" srcId="{114BFF19-7677-4CE6-BC72-6996C481FD97}" destId="{6218B139-D8B4-4287-81F2-67D6C0D573DE}" srcOrd="1" destOrd="0" parTransId="{65214125-40A7-4AA3-A4ED-95398E99C84E}" sibTransId="{0546FD6E-BCCF-40A7-A73D-494FF2B81CC7}"/>
    <dgm:cxn modelId="{A5F43E5E-50F7-4545-BEF4-1212B66B9562}" srcId="{17548448-476D-4B5A-A736-BA5C81479A66}" destId="{114BFF19-7677-4CE6-BC72-6996C481FD97}" srcOrd="0" destOrd="0" parTransId="{404ED386-48EA-4E9B-A26F-E86EBFA3D59F}" sibTransId="{7DBB73C0-2632-435A-BEC9-25DE11C1D2BD}"/>
    <dgm:cxn modelId="{B6657472-81A3-47F8-81A6-E5A7D0320CAF}" srcId="{44742328-BD60-458B-BD16-5CC2353F5742}" destId="{20443F85-B5EC-4E32-9D04-6AAA5805D4AD}" srcOrd="0" destOrd="0" parTransId="{D39DDC43-BAC4-4A92-ABD9-5F9848F83596}" sibTransId="{85CBA099-F243-48AC-A545-7E6D8FC90037}"/>
    <dgm:cxn modelId="{244B078E-9CEA-46C4-A950-8E9EF772A7E3}" srcId="{9843C33D-C17C-477E-9902-B2E7ED0881BF}" destId="{FFCF8C03-CCAE-46A1-9D43-D7963B5EE9E2}" srcOrd="1" destOrd="0" parTransId="{63ACE4D7-307F-4BB7-87CE-8BB88599D72B}" sibTransId="{9FC25D58-1AFA-4027-9CAB-DE68697A6A24}"/>
    <dgm:cxn modelId="{28E93E8F-6D9F-4A89-8F5F-CA5A76DB180F}" srcId="{44742328-BD60-458B-BD16-5CC2353F5742}" destId="{6BF60729-72B3-43A7-B8D6-CFEB39FC44FA}" srcOrd="1" destOrd="0" parTransId="{C59E63BA-0646-4AFB-970A-F0E5C579BF30}" sibTransId="{B484D2D6-D81B-42F5-86E2-1EF8BCF2F5EC}"/>
    <dgm:cxn modelId="{2E5C5DA5-6387-49B2-BAF6-86B946A16C7A}" srcId="{17548448-476D-4B5A-A736-BA5C81479A66}" destId="{9843C33D-C17C-477E-9902-B2E7ED0881BF}" srcOrd="2" destOrd="0" parTransId="{18CA7F5E-FE9D-489A-A1E2-94063A21D770}" sibTransId="{15B0A7E0-18E6-4FE3-B476-ECD56DF5800F}"/>
    <dgm:cxn modelId="{BB1F62A9-5450-440A-8A1F-CF36C7A1C7BB}" type="presOf" srcId="{FFCF8C03-CCAE-46A1-9D43-D7963B5EE9E2}" destId="{052AC7DA-72F9-45FF-906E-B86CBE8CF44F}" srcOrd="0" destOrd="0" presId="urn:microsoft.com/office/officeart/2005/8/layout/target2"/>
    <dgm:cxn modelId="{A32BB7D9-05D1-4BAB-BB39-B7683EDB2687}" type="presOf" srcId="{6218B139-D8B4-4287-81F2-67D6C0D573DE}" destId="{4A963067-E500-4659-92B5-6D8C0FD7F456}" srcOrd="0" destOrd="0" presId="urn:microsoft.com/office/officeart/2005/8/layout/target2"/>
    <dgm:cxn modelId="{780874E5-36F3-4494-B377-320D9584A722}" type="presOf" srcId="{114BFF19-7677-4CE6-BC72-6996C481FD97}" destId="{9934A0FA-33C4-40A6-A343-D42BC2DBE214}" srcOrd="0" destOrd="0" presId="urn:microsoft.com/office/officeart/2005/8/layout/target2"/>
    <dgm:cxn modelId="{397AA7E5-6D4B-4521-B19E-8061B97121F0}" srcId="{114BFF19-7677-4CE6-BC72-6996C481FD97}" destId="{15978E61-46F7-4075-96AA-B2E054625820}" srcOrd="0" destOrd="0" parTransId="{C2017030-2D13-408F-8880-8FAFE33F6609}" sibTransId="{58837B6E-5EC8-49A6-B4A1-20F45770A291}"/>
    <dgm:cxn modelId="{124A30E9-3251-46A5-857B-6490EDB90813}" srcId="{17548448-476D-4B5A-A736-BA5C81479A66}" destId="{44742328-BD60-458B-BD16-5CC2353F5742}" srcOrd="1" destOrd="0" parTransId="{B014B4BC-8515-4788-93AC-0A05CA8CB55B}" sibTransId="{8B71B871-04BE-42AF-9CFF-1C21FBA47D75}"/>
    <dgm:cxn modelId="{93FA42EF-2A13-4E80-B7E3-99992DAA4EC1}" type="presOf" srcId="{17548448-476D-4B5A-A736-BA5C81479A66}" destId="{91A379AE-2803-4193-BE55-6C7F381AB6B1}" srcOrd="0" destOrd="0" presId="urn:microsoft.com/office/officeart/2005/8/layout/target2"/>
    <dgm:cxn modelId="{E3E9FF36-CB49-416D-89B8-EA973FE9344A}" type="presParOf" srcId="{91A379AE-2803-4193-BE55-6C7F381AB6B1}" destId="{0C5647B2-78A2-4337-B41C-679CF5E1A511}" srcOrd="0" destOrd="0" presId="urn:microsoft.com/office/officeart/2005/8/layout/target2"/>
    <dgm:cxn modelId="{053D9141-5120-4122-A25E-922D843BAE8F}" type="presParOf" srcId="{0C5647B2-78A2-4337-B41C-679CF5E1A511}" destId="{9934A0FA-33C4-40A6-A343-D42BC2DBE214}" srcOrd="0" destOrd="0" presId="urn:microsoft.com/office/officeart/2005/8/layout/target2"/>
    <dgm:cxn modelId="{3953210E-007D-4AC1-AC5A-FD432E394CBF}" type="presParOf" srcId="{0C5647B2-78A2-4337-B41C-679CF5E1A511}" destId="{E57BE00E-E051-4206-8827-FA84C95BE092}" srcOrd="1" destOrd="0" presId="urn:microsoft.com/office/officeart/2005/8/layout/target2"/>
    <dgm:cxn modelId="{2FD0CC5C-A752-467F-9275-7F00BC154BE8}" type="presParOf" srcId="{E57BE00E-E051-4206-8827-FA84C95BE092}" destId="{EC4B2A49-C84A-4433-AB81-50929C5130B9}" srcOrd="0" destOrd="0" presId="urn:microsoft.com/office/officeart/2005/8/layout/target2"/>
    <dgm:cxn modelId="{ACD7131F-07C8-4DF0-9352-E23D5D1912A4}" type="presParOf" srcId="{E57BE00E-E051-4206-8827-FA84C95BE092}" destId="{13A191A5-6D83-4F6F-8955-9C16B7C826E4}" srcOrd="1" destOrd="0" presId="urn:microsoft.com/office/officeart/2005/8/layout/target2"/>
    <dgm:cxn modelId="{4A561334-7739-4D78-BE3F-6515B2BF9EAD}" type="presParOf" srcId="{E57BE00E-E051-4206-8827-FA84C95BE092}" destId="{4A963067-E500-4659-92B5-6D8C0FD7F456}" srcOrd="2" destOrd="0" presId="urn:microsoft.com/office/officeart/2005/8/layout/target2"/>
    <dgm:cxn modelId="{B2A1CF3A-534D-49A9-A120-E8ACA977A75C}" type="presParOf" srcId="{91A379AE-2803-4193-BE55-6C7F381AB6B1}" destId="{DE1BE4FB-46EB-41F8-9EFD-175EBF896E41}" srcOrd="1" destOrd="0" presId="urn:microsoft.com/office/officeart/2005/8/layout/target2"/>
    <dgm:cxn modelId="{F7DB1BB4-880F-4EA0-AA42-FF7D0DAE9E14}" type="presParOf" srcId="{DE1BE4FB-46EB-41F8-9EFD-175EBF896E41}" destId="{F458F7AE-F67E-44F6-802D-FF234B10DAC3}" srcOrd="0" destOrd="0" presId="urn:microsoft.com/office/officeart/2005/8/layout/target2"/>
    <dgm:cxn modelId="{DD9AA6F8-F6F2-48BE-AEA4-64CAE2C4E843}" type="presParOf" srcId="{DE1BE4FB-46EB-41F8-9EFD-175EBF896E41}" destId="{9695D808-00CB-403F-85FC-57E60BF30400}" srcOrd="1" destOrd="0" presId="urn:microsoft.com/office/officeart/2005/8/layout/target2"/>
    <dgm:cxn modelId="{42AE7152-332F-4E9C-ABD5-5B3F99728CB4}" type="presParOf" srcId="{9695D808-00CB-403F-85FC-57E60BF30400}" destId="{FCD4888C-FC2B-4F99-97AD-2DAF058836FD}" srcOrd="0" destOrd="0" presId="urn:microsoft.com/office/officeart/2005/8/layout/target2"/>
    <dgm:cxn modelId="{5E0A1175-94A3-4613-BC47-BE972D7B5660}" type="presParOf" srcId="{9695D808-00CB-403F-85FC-57E60BF30400}" destId="{BA0223B4-B653-4B49-8F70-3FB6E508F131}" srcOrd="1" destOrd="0" presId="urn:microsoft.com/office/officeart/2005/8/layout/target2"/>
    <dgm:cxn modelId="{555936B1-4151-401B-952F-0A25CC95760A}" type="presParOf" srcId="{9695D808-00CB-403F-85FC-57E60BF30400}" destId="{D062EDF9-5035-45ED-91F4-4A21588B5804}" srcOrd="2" destOrd="0" presId="urn:microsoft.com/office/officeart/2005/8/layout/target2"/>
    <dgm:cxn modelId="{280333EB-B18A-4492-9894-FED4AA2A7634}" type="presParOf" srcId="{91A379AE-2803-4193-BE55-6C7F381AB6B1}" destId="{1E75805B-9D91-47E1-A805-C94A3C4CECAD}" srcOrd="2" destOrd="0" presId="urn:microsoft.com/office/officeart/2005/8/layout/target2"/>
    <dgm:cxn modelId="{3E551971-AE8D-44E2-9844-4421987EB617}" type="presParOf" srcId="{1E75805B-9D91-47E1-A805-C94A3C4CECAD}" destId="{A6C8733D-D6E1-45CC-A4BE-EC7D4B90E8BB}" srcOrd="0" destOrd="0" presId="urn:microsoft.com/office/officeart/2005/8/layout/target2"/>
    <dgm:cxn modelId="{66814258-901F-4DC6-B919-6864E374CCA6}" type="presParOf" srcId="{1E75805B-9D91-47E1-A805-C94A3C4CECAD}" destId="{9D2672D8-B155-48F3-98A0-FCBBB939E641}" srcOrd="1" destOrd="0" presId="urn:microsoft.com/office/officeart/2005/8/layout/target2"/>
    <dgm:cxn modelId="{F7B52D03-9969-4AE1-AE03-4C744B2458ED}" type="presParOf" srcId="{9D2672D8-B155-48F3-98A0-FCBBB939E641}" destId="{35119849-402D-4732-9E36-73BFA5F66A63}" srcOrd="0" destOrd="0" presId="urn:microsoft.com/office/officeart/2005/8/layout/target2"/>
    <dgm:cxn modelId="{8A39F7B7-6ADF-4807-996B-4CA30D5EDE29}" type="presParOf" srcId="{9D2672D8-B155-48F3-98A0-FCBBB939E641}" destId="{70C36D9A-99FB-4869-8404-2425C4BEA551}" srcOrd="1" destOrd="0" presId="urn:microsoft.com/office/officeart/2005/8/layout/target2"/>
    <dgm:cxn modelId="{CC82D940-9E3C-4C16-ACB5-C12350C209B7}" type="presParOf" srcId="{9D2672D8-B155-48F3-98A0-FCBBB939E641}" destId="{052AC7DA-72F9-45FF-906E-B86CBE8CF44F}" srcOrd="2" destOrd="0" presId="urn:microsoft.com/office/officeart/2005/8/layout/target2"/>
  </dgm:cxnLst>
  <dgm:bg/>
  <dgm:whole/>
  <dgm:extLst>
    <a:ext uri="http://schemas.microsoft.com/office/drawing/2008/diagram">
      <dsp:dataModelExt xmlns:dsp="http://schemas.microsoft.com/office/drawing/2008/diagram" relId="rId18"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3435747-6D19-458B-AE50-B8CE38B9C308}">
      <dsp:nvSpPr>
        <dsp:cNvPr id="0" name=""/>
        <dsp:cNvSpPr/>
      </dsp:nvSpPr>
      <dsp:spPr>
        <a:xfrm>
          <a:off x="2662588" y="1637385"/>
          <a:ext cx="1189512" cy="770534"/>
        </a:xfrm>
        <a:prstGeom prst="roundRect">
          <a:avLst>
            <a:gd name="adj" fmla="val 10000"/>
          </a:avLst>
        </a:prstGeom>
        <a:solidFill>
          <a:schemeClr val="lt1">
            <a:alpha val="90000"/>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60960" tIns="60960" rIns="60960" bIns="60960" numCol="1" spcCol="1270" anchor="t" anchorCtr="0">
          <a:noAutofit/>
        </a:bodyPr>
        <a:lstStyle/>
        <a:p>
          <a:pPr marL="114300" lvl="1" indent="-114300" algn="l" defTabSz="533400">
            <a:lnSpc>
              <a:spcPct val="90000"/>
            </a:lnSpc>
            <a:spcBef>
              <a:spcPct val="0"/>
            </a:spcBef>
            <a:spcAft>
              <a:spcPct val="15000"/>
            </a:spcAft>
            <a:buChar char="•"/>
          </a:pPr>
          <a:r>
            <a:rPr lang="en-GB" sz="1200" kern="1200"/>
            <a:t>NT</a:t>
          </a:r>
        </a:p>
      </dsp:txBody>
      <dsp:txXfrm>
        <a:off x="3036367" y="1846945"/>
        <a:ext cx="798806" cy="544048"/>
      </dsp:txXfrm>
    </dsp:sp>
    <dsp:sp modelId="{A8462995-7350-48F3-B9E4-A910D76ECDC6}">
      <dsp:nvSpPr>
        <dsp:cNvPr id="0" name=""/>
        <dsp:cNvSpPr/>
      </dsp:nvSpPr>
      <dsp:spPr>
        <a:xfrm>
          <a:off x="721804" y="1637385"/>
          <a:ext cx="1189512" cy="770534"/>
        </a:xfrm>
        <a:prstGeom prst="roundRect">
          <a:avLst>
            <a:gd name="adj" fmla="val 10000"/>
          </a:avLst>
        </a:prstGeom>
        <a:solidFill>
          <a:schemeClr val="lt1">
            <a:alpha val="90000"/>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60960" tIns="60960" rIns="60960" bIns="60960" numCol="1" spcCol="1270" anchor="t" anchorCtr="0">
          <a:noAutofit/>
        </a:bodyPr>
        <a:lstStyle/>
        <a:p>
          <a:pPr marL="114300" lvl="1" indent="-114300" algn="l" defTabSz="533400">
            <a:lnSpc>
              <a:spcPct val="90000"/>
            </a:lnSpc>
            <a:spcBef>
              <a:spcPct val="0"/>
            </a:spcBef>
            <a:spcAft>
              <a:spcPct val="15000"/>
            </a:spcAft>
            <a:buChar char="•"/>
          </a:pPr>
          <a:endParaRPr lang="en-GB" sz="1200" kern="1200"/>
        </a:p>
      </dsp:txBody>
      <dsp:txXfrm>
        <a:off x="738730" y="1846945"/>
        <a:ext cx="798806" cy="544048"/>
      </dsp:txXfrm>
    </dsp:sp>
    <dsp:sp modelId="{72F05B5E-5171-45C6-9C77-EADBE347D9DD}">
      <dsp:nvSpPr>
        <dsp:cNvPr id="0" name=""/>
        <dsp:cNvSpPr/>
      </dsp:nvSpPr>
      <dsp:spPr>
        <a:xfrm>
          <a:off x="2662588" y="0"/>
          <a:ext cx="1189512" cy="770534"/>
        </a:xfrm>
        <a:prstGeom prst="roundRect">
          <a:avLst>
            <a:gd name="adj" fmla="val 10000"/>
          </a:avLst>
        </a:prstGeom>
        <a:solidFill>
          <a:schemeClr val="lt1">
            <a:alpha val="90000"/>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60960" tIns="60960" rIns="60960" bIns="60960" numCol="1" spcCol="1270" anchor="t" anchorCtr="0">
          <a:noAutofit/>
        </a:bodyPr>
        <a:lstStyle/>
        <a:p>
          <a:pPr marL="114300" lvl="1" indent="-114300" algn="l" defTabSz="533400">
            <a:lnSpc>
              <a:spcPct val="90000"/>
            </a:lnSpc>
            <a:spcBef>
              <a:spcPct val="0"/>
            </a:spcBef>
            <a:spcAft>
              <a:spcPct val="15000"/>
            </a:spcAft>
            <a:buChar char="•"/>
          </a:pPr>
          <a:r>
            <a:rPr lang="en-GB" sz="1200" kern="1200"/>
            <a:t>FreeBSD</a:t>
          </a:r>
        </a:p>
        <a:p>
          <a:pPr marL="114300" lvl="1" indent="-114300" algn="l" defTabSz="533400">
            <a:lnSpc>
              <a:spcPct val="90000"/>
            </a:lnSpc>
            <a:spcBef>
              <a:spcPct val="0"/>
            </a:spcBef>
            <a:spcAft>
              <a:spcPct val="15000"/>
            </a:spcAft>
            <a:buChar char="•"/>
          </a:pPr>
          <a:r>
            <a:rPr lang="en-GB" sz="1200" kern="1200"/>
            <a:t>NetBSD</a:t>
          </a:r>
        </a:p>
      </dsp:txBody>
      <dsp:txXfrm>
        <a:off x="3036367" y="16926"/>
        <a:ext cx="798806" cy="544048"/>
      </dsp:txXfrm>
    </dsp:sp>
    <dsp:sp modelId="{F74F0DD7-FF7C-42F7-A285-680240CEDCB4}">
      <dsp:nvSpPr>
        <dsp:cNvPr id="0" name=""/>
        <dsp:cNvSpPr/>
      </dsp:nvSpPr>
      <dsp:spPr>
        <a:xfrm>
          <a:off x="721804" y="0"/>
          <a:ext cx="1189512" cy="770534"/>
        </a:xfrm>
        <a:prstGeom prst="roundRect">
          <a:avLst>
            <a:gd name="adj" fmla="val 10000"/>
          </a:avLst>
        </a:prstGeom>
        <a:solidFill>
          <a:schemeClr val="lt1">
            <a:alpha val="90000"/>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60960" tIns="60960" rIns="60960" bIns="60960" numCol="1" spcCol="1270" anchor="t" anchorCtr="0">
          <a:noAutofit/>
        </a:bodyPr>
        <a:lstStyle/>
        <a:p>
          <a:pPr marL="114300" lvl="1" indent="-114300" algn="l" defTabSz="533400">
            <a:lnSpc>
              <a:spcPct val="90000"/>
            </a:lnSpc>
            <a:spcBef>
              <a:spcPct val="0"/>
            </a:spcBef>
            <a:spcAft>
              <a:spcPct val="15000"/>
            </a:spcAft>
            <a:buChar char="•"/>
          </a:pPr>
          <a:r>
            <a:rPr lang="en-GB" sz="1200" kern="1200"/>
            <a:t>Ubuntu</a:t>
          </a:r>
        </a:p>
        <a:p>
          <a:pPr marL="114300" lvl="1" indent="-114300" algn="l" defTabSz="533400">
            <a:lnSpc>
              <a:spcPct val="90000"/>
            </a:lnSpc>
            <a:spcBef>
              <a:spcPct val="0"/>
            </a:spcBef>
            <a:spcAft>
              <a:spcPct val="15000"/>
            </a:spcAft>
            <a:buChar char="•"/>
          </a:pPr>
          <a:r>
            <a:rPr lang="en-GB" sz="1200" kern="1200"/>
            <a:t>SUSE</a:t>
          </a:r>
        </a:p>
      </dsp:txBody>
      <dsp:txXfrm>
        <a:off x="738730" y="16926"/>
        <a:ext cx="798806" cy="544048"/>
      </dsp:txXfrm>
    </dsp:sp>
    <dsp:sp modelId="{B987A4B2-2B69-42FD-9D12-8F38C435192B}">
      <dsp:nvSpPr>
        <dsp:cNvPr id="0" name=""/>
        <dsp:cNvSpPr/>
      </dsp:nvSpPr>
      <dsp:spPr>
        <a:xfrm>
          <a:off x="1220243" y="137251"/>
          <a:ext cx="1042629" cy="1042629"/>
        </a:xfrm>
        <a:prstGeom prst="pieWedge">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None/>
          </a:pPr>
          <a:r>
            <a:rPr lang="en-GB" sz="1200" kern="1200"/>
            <a:t>Linux</a:t>
          </a:r>
        </a:p>
      </dsp:txBody>
      <dsp:txXfrm>
        <a:off x="1525622" y="442630"/>
        <a:ext cx="737250" cy="737250"/>
      </dsp:txXfrm>
    </dsp:sp>
    <dsp:sp modelId="{7D7884EC-3D9C-4D3E-A786-32A8764BEBFD}">
      <dsp:nvSpPr>
        <dsp:cNvPr id="0" name=""/>
        <dsp:cNvSpPr/>
      </dsp:nvSpPr>
      <dsp:spPr>
        <a:xfrm rot="5400000">
          <a:off x="2311031" y="137251"/>
          <a:ext cx="1042629" cy="1042629"/>
        </a:xfrm>
        <a:prstGeom prst="pieWedge">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None/>
          </a:pPr>
          <a:r>
            <a:rPr lang="en-GB" sz="1200" kern="1200"/>
            <a:t>BSD</a:t>
          </a:r>
        </a:p>
      </dsp:txBody>
      <dsp:txXfrm rot="-5400000">
        <a:off x="2311031" y="442630"/>
        <a:ext cx="737250" cy="737250"/>
      </dsp:txXfrm>
    </dsp:sp>
    <dsp:sp modelId="{ED5AC25C-EDAA-4514-884E-F89AE0CF16A9}">
      <dsp:nvSpPr>
        <dsp:cNvPr id="0" name=""/>
        <dsp:cNvSpPr/>
      </dsp:nvSpPr>
      <dsp:spPr>
        <a:xfrm rot="10800000">
          <a:off x="2311031" y="1228039"/>
          <a:ext cx="1042629" cy="1042629"/>
        </a:xfrm>
        <a:prstGeom prst="pieWedge">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None/>
          </a:pPr>
          <a:r>
            <a:rPr lang="en-GB" sz="1200" kern="1200"/>
            <a:t>Windows</a:t>
          </a:r>
        </a:p>
      </dsp:txBody>
      <dsp:txXfrm rot="10800000">
        <a:off x="2311031" y="1228039"/>
        <a:ext cx="737250" cy="737250"/>
      </dsp:txXfrm>
    </dsp:sp>
    <dsp:sp modelId="{3531E87C-6284-4C58-82C3-CB7F8E02C3EE}">
      <dsp:nvSpPr>
        <dsp:cNvPr id="0" name=""/>
        <dsp:cNvSpPr/>
      </dsp:nvSpPr>
      <dsp:spPr>
        <a:xfrm rot="16200000">
          <a:off x="1220243" y="1228039"/>
          <a:ext cx="1042629" cy="1042629"/>
        </a:xfrm>
        <a:prstGeom prst="pieWedge">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None/>
          </a:pPr>
          <a:r>
            <a:rPr lang="en-GB" sz="1200" kern="1200"/>
            <a:t>MacOS</a:t>
          </a:r>
        </a:p>
      </dsp:txBody>
      <dsp:txXfrm rot="5400000">
        <a:off x="1525622" y="1228039"/>
        <a:ext cx="737250" cy="737250"/>
      </dsp:txXfrm>
    </dsp:sp>
    <dsp:sp modelId="{C18F30FF-9FC7-4AF5-9196-7207DA332DF3}">
      <dsp:nvSpPr>
        <dsp:cNvPr id="0" name=""/>
        <dsp:cNvSpPr/>
      </dsp:nvSpPr>
      <dsp:spPr>
        <a:xfrm>
          <a:off x="2106960" y="987247"/>
          <a:ext cx="359984" cy="313029"/>
        </a:xfrm>
        <a:prstGeom prst="circularArrow">
          <a:avLst/>
        </a:prstGeom>
        <a:solidFill>
          <a:schemeClr val="accent1">
            <a:tint val="60000"/>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439C0517-4EB0-475E-8788-21698BEFD867}">
      <dsp:nvSpPr>
        <dsp:cNvPr id="0" name=""/>
        <dsp:cNvSpPr/>
      </dsp:nvSpPr>
      <dsp:spPr>
        <a:xfrm rot="10800000">
          <a:off x="2106960" y="1107643"/>
          <a:ext cx="359984" cy="313029"/>
        </a:xfrm>
        <a:prstGeom prst="circularArrow">
          <a:avLst/>
        </a:prstGeom>
        <a:solidFill>
          <a:schemeClr val="accent1">
            <a:tint val="60000"/>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109D015-8F52-4CF7-87F0-86937E9B654A}">
      <dsp:nvSpPr>
        <dsp:cNvPr id="0" name=""/>
        <dsp:cNvSpPr/>
      </dsp:nvSpPr>
      <dsp:spPr>
        <a:xfrm>
          <a:off x="3668843" y="912840"/>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3D127B67-9CC8-4120-B0C0-A5AD08A57FD0}">
      <dsp:nvSpPr>
        <dsp:cNvPr id="0" name=""/>
        <dsp:cNvSpPr/>
      </dsp:nvSpPr>
      <dsp:spPr>
        <a:xfrm>
          <a:off x="3484265" y="912840"/>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35E3FE5D-285B-4F3F-8C87-6FB5866711CB}">
      <dsp:nvSpPr>
        <dsp:cNvPr id="0" name=""/>
        <dsp:cNvSpPr/>
      </dsp:nvSpPr>
      <dsp:spPr>
        <a:xfrm>
          <a:off x="3299687" y="912840"/>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CDAE9A8E-4A0B-4C71-9EAF-8729AA048F00}">
      <dsp:nvSpPr>
        <dsp:cNvPr id="0" name=""/>
        <dsp:cNvSpPr/>
      </dsp:nvSpPr>
      <dsp:spPr>
        <a:xfrm>
          <a:off x="3115461" y="912840"/>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845DAE2E-794E-407B-86A6-633D7744FCB8}">
      <dsp:nvSpPr>
        <dsp:cNvPr id="0" name=""/>
        <dsp:cNvSpPr/>
      </dsp:nvSpPr>
      <dsp:spPr>
        <a:xfrm>
          <a:off x="2930883" y="912840"/>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3184909F-7FEE-4FA4-A0BE-B8B7F9D5316E}">
      <dsp:nvSpPr>
        <dsp:cNvPr id="0" name=""/>
        <dsp:cNvSpPr/>
      </dsp:nvSpPr>
      <dsp:spPr>
        <a:xfrm>
          <a:off x="2645595" y="862486"/>
          <a:ext cx="201421" cy="201583"/>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1D897666-41FB-4A91-BB59-9CBF82A4AD2E}">
      <dsp:nvSpPr>
        <dsp:cNvPr id="0" name=""/>
        <dsp:cNvSpPr/>
      </dsp:nvSpPr>
      <dsp:spPr>
        <a:xfrm>
          <a:off x="3504618" y="704797"/>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BA99D47B-39A6-4DBD-ACDC-1C6AA99282E5}">
      <dsp:nvSpPr>
        <dsp:cNvPr id="0" name=""/>
        <dsp:cNvSpPr/>
      </dsp:nvSpPr>
      <dsp:spPr>
        <a:xfrm>
          <a:off x="3504618" y="1122375"/>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D5CE7310-5B54-4D57-AEEF-8A95B0E5E3CD}">
      <dsp:nvSpPr>
        <dsp:cNvPr id="0" name=""/>
        <dsp:cNvSpPr/>
      </dsp:nvSpPr>
      <dsp:spPr>
        <a:xfrm>
          <a:off x="3594450" y="795236"/>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05E5F483-2A32-47CD-A962-1A0B5C08F8A6}">
      <dsp:nvSpPr>
        <dsp:cNvPr id="0" name=""/>
        <dsp:cNvSpPr/>
      </dsp:nvSpPr>
      <dsp:spPr>
        <a:xfrm>
          <a:off x="3600415" y="1032432"/>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FBE1D256-7DDE-4521-836E-7A7C4C36E870}">
      <dsp:nvSpPr>
        <dsp:cNvPr id="0" name=""/>
        <dsp:cNvSpPr/>
      </dsp:nvSpPr>
      <dsp:spPr>
        <a:xfrm>
          <a:off x="1564275" y="438731"/>
          <a:ext cx="1019738" cy="1019844"/>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1066800">
            <a:lnSpc>
              <a:spcPct val="90000"/>
            </a:lnSpc>
            <a:spcBef>
              <a:spcPct val="0"/>
            </a:spcBef>
            <a:spcAft>
              <a:spcPct val="35000"/>
            </a:spcAft>
            <a:buNone/>
          </a:pPr>
          <a:endParaRPr lang="en-GB" sz="2400" kern="1200"/>
        </a:p>
      </dsp:txBody>
      <dsp:txXfrm>
        <a:off x="1713612" y="588084"/>
        <a:ext cx="721064" cy="721138"/>
      </dsp:txXfrm>
    </dsp:sp>
    <dsp:sp modelId="{ACEAD0C8-4079-420C-8ABD-E64968BC24F0}">
      <dsp:nvSpPr>
        <dsp:cNvPr id="0" name=""/>
        <dsp:cNvSpPr/>
      </dsp:nvSpPr>
      <dsp:spPr>
        <a:xfrm>
          <a:off x="1466194" y="366229"/>
          <a:ext cx="201421" cy="201583"/>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7C3F9AD9-E8EB-4B83-B3BE-E0DA0D7BFE56}">
      <dsp:nvSpPr>
        <dsp:cNvPr id="0" name=""/>
        <dsp:cNvSpPr/>
      </dsp:nvSpPr>
      <dsp:spPr>
        <a:xfrm>
          <a:off x="1337059" y="259888"/>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DE8537F1-32B3-4F7D-AF23-13489E9D427C}">
      <dsp:nvSpPr>
        <dsp:cNvPr id="0" name=""/>
        <dsp:cNvSpPr/>
      </dsp:nvSpPr>
      <dsp:spPr>
        <a:xfrm>
          <a:off x="1121953" y="259888"/>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28153D10-8335-447E-8B1B-AE1A6D364AEA}">
      <dsp:nvSpPr>
        <dsp:cNvPr id="0" name=""/>
        <dsp:cNvSpPr/>
      </dsp:nvSpPr>
      <dsp:spPr>
        <a:xfrm>
          <a:off x="906846" y="259888"/>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C5753342-DC17-4E16-B313-AEAE8025DE15}">
      <dsp:nvSpPr>
        <dsp:cNvPr id="0" name=""/>
        <dsp:cNvSpPr/>
      </dsp:nvSpPr>
      <dsp:spPr>
        <a:xfrm>
          <a:off x="691740" y="259888"/>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CCAA8673-6E81-4619-9E90-67903F5DBD02}">
      <dsp:nvSpPr>
        <dsp:cNvPr id="0" name=""/>
        <dsp:cNvSpPr/>
      </dsp:nvSpPr>
      <dsp:spPr>
        <a:xfrm>
          <a:off x="476282" y="259888"/>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9E55E0BB-60DF-46A4-8740-F2F11B345B4C}">
      <dsp:nvSpPr>
        <dsp:cNvPr id="0" name=""/>
        <dsp:cNvSpPr/>
      </dsp:nvSpPr>
      <dsp:spPr>
        <a:xfrm>
          <a:off x="261176" y="259888"/>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17B2BD0F-3555-4513-8720-1F188C58D091}">
      <dsp:nvSpPr>
        <dsp:cNvPr id="0" name=""/>
        <dsp:cNvSpPr/>
      </dsp:nvSpPr>
      <dsp:spPr>
        <a:xfrm>
          <a:off x="260474" y="0"/>
          <a:ext cx="1180454" cy="25906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0" bIns="0" numCol="1" spcCol="1270" anchor="b" anchorCtr="0">
          <a:noAutofit/>
        </a:bodyPr>
        <a:lstStyle/>
        <a:p>
          <a:pPr marL="0" lvl="0" indent="0" algn="l" defTabSz="800100">
            <a:lnSpc>
              <a:spcPct val="90000"/>
            </a:lnSpc>
            <a:spcBef>
              <a:spcPct val="0"/>
            </a:spcBef>
            <a:spcAft>
              <a:spcPct val="35000"/>
            </a:spcAft>
            <a:buNone/>
          </a:pPr>
          <a:endParaRPr lang="en-GB" sz="1800" kern="1200"/>
        </a:p>
      </dsp:txBody>
      <dsp:txXfrm>
        <a:off x="260474" y="0"/>
        <a:ext cx="1180454" cy="259060"/>
      </dsp:txXfrm>
    </dsp:sp>
    <dsp:sp modelId="{F918D41B-1406-44EE-9DC7-FD65A14AFFFD}">
      <dsp:nvSpPr>
        <dsp:cNvPr id="0" name=""/>
        <dsp:cNvSpPr/>
      </dsp:nvSpPr>
      <dsp:spPr>
        <a:xfrm>
          <a:off x="1257052" y="862486"/>
          <a:ext cx="201421" cy="201583"/>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0183AFED-DFF6-4CD1-A675-DA5DB57182D6}">
      <dsp:nvSpPr>
        <dsp:cNvPr id="0" name=""/>
        <dsp:cNvSpPr/>
      </dsp:nvSpPr>
      <dsp:spPr>
        <a:xfrm>
          <a:off x="1057737" y="912840"/>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FBAFEADD-42E9-4569-962B-E7A2D5739333}">
      <dsp:nvSpPr>
        <dsp:cNvPr id="0" name=""/>
        <dsp:cNvSpPr/>
      </dsp:nvSpPr>
      <dsp:spPr>
        <a:xfrm>
          <a:off x="858772" y="912840"/>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A76A3BED-5642-476E-BE69-83BD758CCDAA}">
      <dsp:nvSpPr>
        <dsp:cNvPr id="0" name=""/>
        <dsp:cNvSpPr/>
      </dsp:nvSpPr>
      <dsp:spPr>
        <a:xfrm>
          <a:off x="659456" y="912840"/>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29240832-00FB-498B-BEA1-2CC4B16FD4FB}">
      <dsp:nvSpPr>
        <dsp:cNvPr id="0" name=""/>
        <dsp:cNvSpPr/>
      </dsp:nvSpPr>
      <dsp:spPr>
        <a:xfrm>
          <a:off x="460491" y="912840"/>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ED312E71-C885-41E3-A2D0-84523AF2073E}">
      <dsp:nvSpPr>
        <dsp:cNvPr id="0" name=""/>
        <dsp:cNvSpPr/>
      </dsp:nvSpPr>
      <dsp:spPr>
        <a:xfrm>
          <a:off x="261176" y="912840"/>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8C236ABC-AD05-4845-904C-C5B8B7AC0791}">
      <dsp:nvSpPr>
        <dsp:cNvPr id="0" name=""/>
        <dsp:cNvSpPr/>
      </dsp:nvSpPr>
      <dsp:spPr>
        <a:xfrm>
          <a:off x="260474" y="655105"/>
          <a:ext cx="892709" cy="25906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0" bIns="0" numCol="1" spcCol="1270" anchor="b" anchorCtr="0">
          <a:noAutofit/>
        </a:bodyPr>
        <a:lstStyle/>
        <a:p>
          <a:pPr marL="0" lvl="0" indent="0" algn="l" defTabSz="800100">
            <a:lnSpc>
              <a:spcPct val="90000"/>
            </a:lnSpc>
            <a:spcBef>
              <a:spcPct val="0"/>
            </a:spcBef>
            <a:spcAft>
              <a:spcPct val="35000"/>
            </a:spcAft>
            <a:buNone/>
          </a:pPr>
          <a:endParaRPr lang="en-GB" sz="1800" kern="1200"/>
        </a:p>
      </dsp:txBody>
      <dsp:txXfrm>
        <a:off x="260474" y="655105"/>
        <a:ext cx="892709" cy="259060"/>
      </dsp:txXfrm>
    </dsp:sp>
    <dsp:sp modelId="{A1E629A4-01DE-4FF2-991B-BDD4861D93F4}">
      <dsp:nvSpPr>
        <dsp:cNvPr id="0" name=""/>
        <dsp:cNvSpPr/>
      </dsp:nvSpPr>
      <dsp:spPr>
        <a:xfrm>
          <a:off x="1466194" y="1350461"/>
          <a:ext cx="201421" cy="201583"/>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CAC32224-F041-4222-910C-1AC22C43C498}">
      <dsp:nvSpPr>
        <dsp:cNvPr id="0" name=""/>
        <dsp:cNvSpPr/>
      </dsp:nvSpPr>
      <dsp:spPr>
        <a:xfrm>
          <a:off x="1337059" y="1555689"/>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4BD0F437-3660-4486-BAD2-906F37645360}">
      <dsp:nvSpPr>
        <dsp:cNvPr id="0" name=""/>
        <dsp:cNvSpPr/>
      </dsp:nvSpPr>
      <dsp:spPr>
        <a:xfrm>
          <a:off x="1121953" y="1555689"/>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0CE11FCA-8E77-4DD4-B0BA-8B2B3C608BA6}">
      <dsp:nvSpPr>
        <dsp:cNvPr id="0" name=""/>
        <dsp:cNvSpPr/>
      </dsp:nvSpPr>
      <dsp:spPr>
        <a:xfrm>
          <a:off x="906846" y="1555689"/>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8AB45F0F-021B-4822-86B8-99A488FEF502}">
      <dsp:nvSpPr>
        <dsp:cNvPr id="0" name=""/>
        <dsp:cNvSpPr/>
      </dsp:nvSpPr>
      <dsp:spPr>
        <a:xfrm>
          <a:off x="691740" y="1555689"/>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0A81B4DE-6857-4817-B3D3-944C3F8E85D7}">
      <dsp:nvSpPr>
        <dsp:cNvPr id="0" name=""/>
        <dsp:cNvSpPr/>
      </dsp:nvSpPr>
      <dsp:spPr>
        <a:xfrm>
          <a:off x="476282" y="1555689"/>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8D2C79BD-FC11-471C-B702-D2B614D1771A}">
      <dsp:nvSpPr>
        <dsp:cNvPr id="0" name=""/>
        <dsp:cNvSpPr/>
      </dsp:nvSpPr>
      <dsp:spPr>
        <a:xfrm>
          <a:off x="261176" y="1555689"/>
          <a:ext cx="100710" cy="100708"/>
        </a:xfrm>
        <a:prstGeom prst="ellips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B42FC542-37A9-45A3-A6A1-8B3E793914F1}">
      <dsp:nvSpPr>
        <dsp:cNvPr id="0" name=""/>
        <dsp:cNvSpPr/>
      </dsp:nvSpPr>
      <dsp:spPr>
        <a:xfrm>
          <a:off x="260474" y="1295634"/>
          <a:ext cx="1180454" cy="25906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0" bIns="0" numCol="1" spcCol="1270" anchor="b" anchorCtr="0">
          <a:noAutofit/>
        </a:bodyPr>
        <a:lstStyle/>
        <a:p>
          <a:pPr marL="0" lvl="0" indent="0" algn="l" defTabSz="800100">
            <a:lnSpc>
              <a:spcPct val="90000"/>
            </a:lnSpc>
            <a:spcBef>
              <a:spcPct val="0"/>
            </a:spcBef>
            <a:spcAft>
              <a:spcPct val="35000"/>
            </a:spcAft>
            <a:buNone/>
          </a:pPr>
          <a:endParaRPr lang="en-GB" sz="1800" kern="1200"/>
        </a:p>
      </dsp:txBody>
      <dsp:txXfrm>
        <a:off x="260474" y="1295634"/>
        <a:ext cx="1180454" cy="259060"/>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934A0FA-33C4-40A6-A343-D42BC2DBE214}">
      <dsp:nvSpPr>
        <dsp:cNvPr id="0" name=""/>
        <dsp:cNvSpPr/>
      </dsp:nvSpPr>
      <dsp:spPr>
        <a:xfrm>
          <a:off x="0" y="0"/>
          <a:ext cx="4357688" cy="1951673"/>
        </a:xfrm>
        <a:prstGeom prst="roundRect">
          <a:avLst>
            <a:gd name="adj" fmla="val 85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390" tIns="72390" rIns="72390" bIns="1514715" numCol="1" spcCol="1270" anchor="t" anchorCtr="0">
          <a:noAutofit/>
        </a:bodyPr>
        <a:lstStyle/>
        <a:p>
          <a:pPr marL="0" lvl="0" indent="0" algn="l" defTabSz="844550">
            <a:lnSpc>
              <a:spcPct val="90000"/>
            </a:lnSpc>
            <a:spcBef>
              <a:spcPct val="0"/>
            </a:spcBef>
            <a:spcAft>
              <a:spcPct val="35000"/>
            </a:spcAft>
            <a:buNone/>
          </a:pPr>
          <a:endParaRPr lang="en-GB" sz="1900" kern="1200"/>
        </a:p>
      </dsp:txBody>
      <dsp:txXfrm>
        <a:off x="48588" y="48588"/>
        <a:ext cx="4260512" cy="1854497"/>
      </dsp:txXfrm>
    </dsp:sp>
    <dsp:sp modelId="{EC4B2A49-C84A-4433-AB81-50929C5130B9}">
      <dsp:nvSpPr>
        <dsp:cNvPr id="0" name=""/>
        <dsp:cNvSpPr/>
      </dsp:nvSpPr>
      <dsp:spPr>
        <a:xfrm>
          <a:off x="108942" y="487918"/>
          <a:ext cx="653653" cy="667075"/>
        </a:xfrm>
        <a:prstGeom prst="roundRect">
          <a:avLst>
            <a:gd name="adj" fmla="val 10500"/>
          </a:avLst>
        </a:prstGeom>
        <a:solidFill>
          <a:schemeClr val="lt1">
            <a:alpha val="90000"/>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endParaRPr lang="en-GB" sz="1800" kern="1200"/>
        </a:p>
      </dsp:txBody>
      <dsp:txXfrm>
        <a:off x="129044" y="508020"/>
        <a:ext cx="613449" cy="626871"/>
      </dsp:txXfrm>
    </dsp:sp>
    <dsp:sp modelId="{4A963067-E500-4659-92B5-6D8C0FD7F456}">
      <dsp:nvSpPr>
        <dsp:cNvPr id="0" name=""/>
        <dsp:cNvSpPr/>
      </dsp:nvSpPr>
      <dsp:spPr>
        <a:xfrm>
          <a:off x="108942" y="1186910"/>
          <a:ext cx="653653" cy="667075"/>
        </a:xfrm>
        <a:prstGeom prst="roundRect">
          <a:avLst>
            <a:gd name="adj" fmla="val 10500"/>
          </a:avLst>
        </a:prstGeom>
        <a:solidFill>
          <a:schemeClr val="lt1">
            <a:alpha val="90000"/>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endParaRPr lang="en-GB" sz="1800" kern="1200"/>
        </a:p>
      </dsp:txBody>
      <dsp:txXfrm>
        <a:off x="129044" y="1207012"/>
        <a:ext cx="613449" cy="626871"/>
      </dsp:txXfrm>
    </dsp:sp>
    <dsp:sp modelId="{F458F7AE-F67E-44F6-802D-FF234B10DAC3}">
      <dsp:nvSpPr>
        <dsp:cNvPr id="0" name=""/>
        <dsp:cNvSpPr/>
      </dsp:nvSpPr>
      <dsp:spPr>
        <a:xfrm>
          <a:off x="871537" y="487918"/>
          <a:ext cx="3377208" cy="1366171"/>
        </a:xfrm>
        <a:prstGeom prst="roundRect">
          <a:avLst>
            <a:gd name="adj" fmla="val 105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7630" tIns="87630" rIns="87630" bIns="867519" numCol="1" spcCol="1270" anchor="t" anchorCtr="0">
          <a:noAutofit/>
        </a:bodyPr>
        <a:lstStyle/>
        <a:p>
          <a:pPr marL="0" lvl="0" indent="0" algn="l" defTabSz="1022350">
            <a:lnSpc>
              <a:spcPct val="90000"/>
            </a:lnSpc>
            <a:spcBef>
              <a:spcPct val="0"/>
            </a:spcBef>
            <a:spcAft>
              <a:spcPct val="35000"/>
            </a:spcAft>
            <a:buNone/>
          </a:pPr>
          <a:endParaRPr lang="en-GB" sz="2300" kern="1200"/>
        </a:p>
      </dsp:txBody>
      <dsp:txXfrm>
        <a:off x="913551" y="529932"/>
        <a:ext cx="3293180" cy="1282143"/>
      </dsp:txXfrm>
    </dsp:sp>
    <dsp:sp modelId="{FCD4888C-FC2B-4F99-97AD-2DAF058836FD}">
      <dsp:nvSpPr>
        <dsp:cNvPr id="0" name=""/>
        <dsp:cNvSpPr/>
      </dsp:nvSpPr>
      <dsp:spPr>
        <a:xfrm>
          <a:off x="955967" y="966078"/>
          <a:ext cx="675441" cy="377047"/>
        </a:xfrm>
        <a:prstGeom prst="roundRect">
          <a:avLst>
            <a:gd name="adj" fmla="val 10500"/>
          </a:avLst>
        </a:prstGeom>
        <a:solidFill>
          <a:schemeClr val="lt1">
            <a:alpha val="90000"/>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endParaRPr lang="en-GB" sz="1600" kern="1200"/>
        </a:p>
      </dsp:txBody>
      <dsp:txXfrm>
        <a:off x="967562" y="977673"/>
        <a:ext cx="652251" cy="353857"/>
      </dsp:txXfrm>
    </dsp:sp>
    <dsp:sp modelId="{D062EDF9-5035-45ED-91F4-4A21588B5804}">
      <dsp:nvSpPr>
        <dsp:cNvPr id="0" name=""/>
        <dsp:cNvSpPr/>
      </dsp:nvSpPr>
      <dsp:spPr>
        <a:xfrm>
          <a:off x="955967" y="1374500"/>
          <a:ext cx="675441" cy="377047"/>
        </a:xfrm>
        <a:prstGeom prst="roundRect">
          <a:avLst>
            <a:gd name="adj" fmla="val 10500"/>
          </a:avLst>
        </a:prstGeom>
        <a:solidFill>
          <a:schemeClr val="lt1">
            <a:alpha val="90000"/>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endParaRPr lang="en-GB" sz="1600" kern="1200"/>
        </a:p>
      </dsp:txBody>
      <dsp:txXfrm>
        <a:off x="967562" y="1386095"/>
        <a:ext cx="652251" cy="353857"/>
      </dsp:txXfrm>
    </dsp:sp>
    <dsp:sp modelId="{A6C8733D-D6E1-45CC-A4BE-EC7D4B90E8BB}">
      <dsp:nvSpPr>
        <dsp:cNvPr id="0" name=""/>
        <dsp:cNvSpPr/>
      </dsp:nvSpPr>
      <dsp:spPr>
        <a:xfrm>
          <a:off x="1721286" y="975836"/>
          <a:ext cx="2418516" cy="780669"/>
        </a:xfrm>
        <a:prstGeom prst="roundRect">
          <a:avLst>
            <a:gd name="adj" fmla="val 105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440644" numCol="1" spcCol="1270" anchor="t" anchorCtr="0">
          <a:noAutofit/>
        </a:bodyPr>
        <a:lstStyle/>
        <a:p>
          <a:pPr marL="0" lvl="0" indent="0" algn="l" defTabSz="711200">
            <a:lnSpc>
              <a:spcPct val="90000"/>
            </a:lnSpc>
            <a:spcBef>
              <a:spcPct val="0"/>
            </a:spcBef>
            <a:spcAft>
              <a:spcPct val="35000"/>
            </a:spcAft>
            <a:buNone/>
          </a:pPr>
          <a:endParaRPr lang="en-GB" sz="1600" kern="1200"/>
        </a:p>
      </dsp:txBody>
      <dsp:txXfrm>
        <a:off x="1745294" y="999844"/>
        <a:ext cx="2370500" cy="732653"/>
      </dsp:txXfrm>
    </dsp:sp>
    <dsp:sp modelId="{35119849-402D-4732-9E36-73BFA5F66A63}">
      <dsp:nvSpPr>
        <dsp:cNvPr id="0" name=""/>
        <dsp:cNvSpPr/>
      </dsp:nvSpPr>
      <dsp:spPr>
        <a:xfrm>
          <a:off x="1781749" y="1327137"/>
          <a:ext cx="1131967" cy="351301"/>
        </a:xfrm>
        <a:prstGeom prst="roundRect">
          <a:avLst>
            <a:gd name="adj" fmla="val 10500"/>
          </a:avLst>
        </a:prstGeom>
        <a:solidFill>
          <a:schemeClr val="lt1">
            <a:alpha val="90000"/>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endParaRPr lang="en-GB" sz="1500" kern="1200"/>
        </a:p>
      </dsp:txBody>
      <dsp:txXfrm>
        <a:off x="1792553" y="1337941"/>
        <a:ext cx="1110359" cy="329693"/>
      </dsp:txXfrm>
    </dsp:sp>
    <dsp:sp modelId="{052AC7DA-72F9-45FF-906E-B86CBE8CF44F}">
      <dsp:nvSpPr>
        <dsp:cNvPr id="0" name=""/>
        <dsp:cNvSpPr/>
      </dsp:nvSpPr>
      <dsp:spPr>
        <a:xfrm>
          <a:off x="2945921" y="1327137"/>
          <a:ext cx="1131967" cy="351301"/>
        </a:xfrm>
        <a:prstGeom prst="roundRect">
          <a:avLst>
            <a:gd name="adj" fmla="val 10500"/>
          </a:avLst>
        </a:prstGeom>
        <a:solidFill>
          <a:schemeClr val="lt1">
            <a:alpha val="90000"/>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endParaRPr lang="en-GB" sz="1500" kern="1200"/>
        </a:p>
      </dsp:txBody>
      <dsp:txXfrm>
        <a:off x="2956725" y="1337941"/>
        <a:ext cx="1110359" cy="329693"/>
      </dsp:txXfrm>
    </dsp:sp>
  </dsp:spTree>
</dsp:drawing>
</file>

<file path=xl/diagrams/layout1.xml><?xml version="1.0" encoding="utf-8"?>
<dgm:layoutDef xmlns:dgm="http://schemas.openxmlformats.org/drawingml/2006/diagram" xmlns:a="http://schemas.openxmlformats.org/drawingml/2006/main" uniqueId="urn:microsoft.com/office/officeart/2005/8/layout/cycle4">
  <dgm:title val=""/>
  <dgm:desc val=""/>
  <dgm:catLst>
    <dgm:cat type="relationship" pri="26000"/>
    <dgm:cat type="cycle" pri="13000"/>
    <dgm:cat type="matrix" pri="4000"/>
  </dgm:catLst>
  <dgm:samp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 modelId="4">
          <dgm:prSet phldr="1"/>
        </dgm:pt>
        <dgm:pt modelId="41">
          <dgm:prSet phldr="1"/>
        </dgm:pt>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sampData>
  <dgm:style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cycleMatrixDiagram">
    <dgm:varLst>
      <dgm:chMax val="1"/>
      <dgm:dir/>
      <dgm:animLvl val="lvl"/>
      <dgm:resizeHandles val="exact"/>
    </dgm:varLst>
    <dgm:alg type="composite">
      <dgm:param type="ar" val="1.3"/>
    </dgm:alg>
    <dgm:shape xmlns:r="http://schemas.openxmlformats.org/officeDocument/2006/relationships" r:blip="">
      <dgm:adjLst/>
    </dgm:shape>
    <dgm:presOf/>
    <dgm:constrLst>
      <dgm:constr type="w" for="ch" forName="children" refType="w"/>
      <dgm:constr type="h" for="ch" forName="children" refType="w" refFor="ch" refForName="children" fact="0.77"/>
      <dgm:constr type="ctrX" for="ch" forName="children" refType="w" fact="0.5"/>
      <dgm:constr type="ctrY" for="ch" forName="children" refType="h" fact="0.5"/>
      <dgm:constr type="w" for="ch" forName="circle" refType="w"/>
      <dgm:constr type="h" for="ch" forName="circle" refType="h"/>
      <dgm:constr type="ctrX" for="ch" forName="circle" refType="w" fact="0.5"/>
      <dgm:constr type="ctrY" for="ch" forName="circle" refType="h" fact="0.5"/>
      <dgm:constr type="w" for="ch" forName="center1" refType="w" fact="0.115"/>
      <dgm:constr type="h" for="ch" forName="center1" refType="w" fact="0.1"/>
      <dgm:constr type="ctrX" for="ch" forName="center1" refType="w" fact="0.5"/>
      <dgm:constr type="ctrY" for="ch" forName="center1" refType="h" fact="0.475"/>
      <dgm:constr type="w" for="ch" forName="center2" refType="w" fact="0.115"/>
      <dgm:constr type="h" for="ch" forName="center2" refType="w" fact="0.1"/>
      <dgm:constr type="ctrX" for="ch" forName="center2" refType="w" fact="0.5"/>
      <dgm:constr type="ctrY" for="ch" forName="center2" refType="h" fact="0.525"/>
    </dgm:constrLst>
    <dgm:ruleLst/>
    <dgm:choose name="Name0">
      <dgm:if name="Name1" axis="ch" ptType="node" func="cnt" op="gte" val="1">
        <dgm:layoutNode name="children">
          <dgm:alg type="composite">
            <dgm:param type="ar" val="1.3"/>
          </dgm:alg>
          <dgm:shape xmlns:r="http://schemas.openxmlformats.org/officeDocument/2006/relationships" r:blip="">
            <dgm:adjLst/>
          </dgm:shape>
          <dgm:presOf/>
          <dgm:choose name="Name2">
            <dgm:if name="Name3" func="var" arg="dir" op="equ" val="norm">
              <dgm:constrLst>
                <dgm:constr type="primFontSz" for="des" ptType="node" op="equ" val="65"/>
                <dgm:constr type="w" for="ch" forName="child1group" refType="w" fact="0.38"/>
                <dgm:constr type="h" for="ch" forName="child1group" refType="h" fact="0.32"/>
                <dgm:constr type="t" for="ch" forName="child1group"/>
                <dgm:constr type="l" for="ch" forName="child1group"/>
                <dgm:constr type="w" for="ch" forName="child2group" refType="w" fact="0.38"/>
                <dgm:constr type="h" for="ch" forName="child2group" refType="h" fact="0.32"/>
                <dgm:constr type="t" for="ch" forName="child2group"/>
                <dgm:constr type="r" for="ch" forName="child2group" refType="w"/>
                <dgm:constr type="w" for="ch" forName="child3group" refType="w" fact="0.38"/>
                <dgm:constr type="h" for="ch" forName="child3group" refType="h" fact="0.32"/>
                <dgm:constr type="b" for="ch" forName="child3group" refType="h"/>
                <dgm:constr type="r" for="ch" forName="child3group" refType="w"/>
                <dgm:constr type="w" for="ch" forName="child4group" refType="w" fact="0.38"/>
                <dgm:constr type="h" for="ch" forName="child4group" refType="h" fact="0.32"/>
                <dgm:constr type="b" for="ch" forName="child4group" refType="h"/>
                <dgm:constr type="l" for="ch" forName="child4group"/>
              </dgm:constrLst>
            </dgm:if>
            <dgm:else name="Name4">
              <dgm:constrLst>
                <dgm:constr type="primFontSz" for="des" ptType="node" op="equ" val="65"/>
                <dgm:constr type="w" for="ch" forName="child1group" refType="w" fact="0.38"/>
                <dgm:constr type="h" for="ch" forName="child1group" refType="h" fact="0.32"/>
                <dgm:constr type="t" for="ch" forName="child1group"/>
                <dgm:constr type="r" for="ch" forName="child1group" refType="w"/>
                <dgm:constr type="w" for="ch" forName="child2group" refType="w" fact="0.38"/>
                <dgm:constr type="h" for="ch" forName="child2group" refType="h" fact="0.32"/>
                <dgm:constr type="t" for="ch" forName="child2group"/>
                <dgm:constr type="l" for="ch" forName="child2group"/>
                <dgm:constr type="w" for="ch" forName="child3group" refType="w" fact="0.38"/>
                <dgm:constr type="h" for="ch" forName="child3group" refType="h" fact="0.32"/>
                <dgm:constr type="b" for="ch" forName="child3group" refType="h"/>
                <dgm:constr type="l" for="ch" forName="child3group"/>
                <dgm:constr type="w" for="ch" forName="child4group" refType="w" fact="0.38"/>
                <dgm:constr type="h" for="ch" forName="child4group" refType="h" fact="0.32"/>
                <dgm:constr type="b" for="ch" forName="child4group" refType="h"/>
                <dgm:constr type="r" for="ch" forName="child4group" refType="w"/>
              </dgm:constrLst>
            </dgm:else>
          </dgm:choose>
          <dgm:ruleLst/>
          <dgm:choose name="Name5">
            <dgm:if name="Name6" axis="ch ch" ptType="node node" st="1 1" cnt="1 0" func="cnt" op="gte" val="1">
              <dgm:layoutNode name="child1group">
                <dgm:alg type="composite">
                  <dgm:param type="horzAlign" val="none"/>
                  <dgm:param type="vertAlign" val="none"/>
                </dgm:alg>
                <dgm:shape xmlns:r="http://schemas.openxmlformats.org/officeDocument/2006/relationships" r:blip="">
                  <dgm:adjLst/>
                </dgm:shape>
                <dgm:presOf/>
                <dgm:choose name="Name7">
                  <dgm:if name="Name8" func="var" arg="dir" op="equ" val="norm">
                    <dgm:constrLst>
                      <dgm:constr type="w" for="ch" forName="child1" refType="w"/>
                      <dgm:constr type="h" for="ch" forName="child1" refType="h"/>
                      <dgm:constr type="t" for="ch" forName="child1"/>
                      <dgm:constr type="l" for="ch" forName="child1"/>
                      <dgm:constr type="w" for="ch" forName="child1Text" refType="w" fact="0.7"/>
                      <dgm:constr type="h" for="ch" forName="child1Text" refType="h" fact="0.75"/>
                      <dgm:constr type="t" for="ch" forName="child1Text"/>
                      <dgm:constr type="l" for="ch" forName="child1Text"/>
                    </dgm:constrLst>
                  </dgm:if>
                  <dgm:else name="Name9">
                    <dgm:constrLst>
                      <dgm:constr type="w" for="ch" forName="child1" refType="w"/>
                      <dgm:constr type="h" for="ch" forName="child1" refType="h"/>
                      <dgm:constr type="t" for="ch" forName="child1"/>
                      <dgm:constr type="r" for="ch" forName="child1" refType="w"/>
                      <dgm:constr type="w" for="ch" forName="child1Text" refType="w" fact="0.7"/>
                      <dgm:constr type="h" for="ch" forName="child1Text" refType="h" fact="0.75"/>
                      <dgm:constr type="t" for="ch" forName="child1Text"/>
                      <dgm:constr type="r" for="ch" forName="child1Text" refType="w"/>
                    </dgm:constrLst>
                  </dgm:else>
                </dgm:choose>
                <dgm:ruleLst/>
                <dgm:layoutNode name="child1" styleLbl="bgAcc1">
                  <dgm:alg type="sp"/>
                  <dgm:shape xmlns:r="http://schemas.openxmlformats.org/officeDocument/2006/relationships" type="roundRect" r:blip="" zOrderOff="-2">
                    <dgm:adjLst>
                      <dgm:adj idx="1" val="0.1"/>
                    </dgm:adjLst>
                  </dgm:shape>
                  <dgm:presOf axis="ch des" ptType="node node" st="1 1" cnt="1 0"/>
                  <dgm:constrLst/>
                  <dgm:ruleLst/>
                </dgm:layoutNode>
                <dgm:layoutNode name="child1Text" styleLbl="bgAcc1">
                  <dgm:varLst>
                    <dgm:bulletEnabled val="1"/>
                  </dgm:varLst>
                  <dgm:alg type="tx">
                    <dgm:param type="stBulletLvl" val="1"/>
                  </dgm:alg>
                  <dgm:shape xmlns:r="http://schemas.openxmlformats.org/officeDocument/2006/relationships" type="roundRect" r:blip="" zOrderOff="-2" hideGeom="1">
                    <dgm:adjLst>
                      <dgm:adj idx="1" val="0.1"/>
                    </dgm:adjLst>
                  </dgm:shape>
                  <dgm:presOf axis="ch des" ptType="node node" st="1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if>
            <dgm:else name="Name10"/>
          </dgm:choose>
          <dgm:choose name="Name11">
            <dgm:if name="Name12" axis="ch ch" ptType="node node" st="2 1" cnt="1 0" func="cnt" op="gte" val="1">
              <dgm:layoutNode name="child2group">
                <dgm:alg type="composite">
                  <dgm:param type="horzAlign" val="none"/>
                  <dgm:param type="vertAlign" val="none"/>
                </dgm:alg>
                <dgm:shape xmlns:r="http://schemas.openxmlformats.org/officeDocument/2006/relationships" r:blip="">
                  <dgm:adjLst/>
                </dgm:shape>
                <dgm:choose name="Name13">
                  <dgm:if name="Name14" func="var" arg="dir" op="equ" val="norm">
                    <dgm:constrLst>
                      <dgm:constr type="w" for="ch" forName="child2" refType="w"/>
                      <dgm:constr type="h" for="ch" forName="child2" refType="h"/>
                      <dgm:constr type="t" for="ch" forName="child2"/>
                      <dgm:constr type="r" for="ch" forName="child2" refType="w"/>
                      <dgm:constr type="w" for="ch" forName="child2Text" refType="w" fact="0.7"/>
                      <dgm:constr type="h" for="ch" forName="child2Text" refType="h" fact="0.75"/>
                      <dgm:constr type="t" for="ch" forName="child2Text"/>
                      <dgm:constr type="r" for="ch" forName="child2Text" refType="w"/>
                    </dgm:constrLst>
                  </dgm:if>
                  <dgm:else name="Name15">
                    <dgm:constrLst>
                      <dgm:constr type="w" for="ch" forName="child2" refType="w"/>
                      <dgm:constr type="h" for="ch" forName="child2" refType="h"/>
                      <dgm:constr type="t" for="ch" forName="child2"/>
                      <dgm:constr type="l" for="ch" forName="child2"/>
                      <dgm:constr type="w" for="ch" forName="child2Text" refType="w" fact="0.7"/>
                      <dgm:constr type="h" for="ch" forName="child2Text" refType="h" fact="0.75"/>
                      <dgm:constr type="t" for="ch" forName="child2Text"/>
                      <dgm:constr type="l" for="ch" forName="child2Text"/>
                    </dgm:constrLst>
                  </dgm:else>
                </dgm:choose>
                <dgm:ruleLst/>
                <dgm:layoutNode name="child2" styleLbl="bgAcc1">
                  <dgm:alg type="sp"/>
                  <dgm:shape xmlns:r="http://schemas.openxmlformats.org/officeDocument/2006/relationships" type="roundRect" r:blip="" zOrderOff="-2">
                    <dgm:adjLst>
                      <dgm:adj idx="1" val="0.1"/>
                    </dgm:adjLst>
                  </dgm:shape>
                  <dgm:presOf axis="ch des" ptType="node node" st="2 1" cnt="1 0"/>
                  <dgm:constrLst/>
                  <dgm:ruleLst/>
                </dgm:layoutNode>
                <dgm:layoutNode name="child2Text" styleLbl="bgAcc1">
                  <dgm:varLst>
                    <dgm:bulletEnabled val="1"/>
                  </dgm:varLst>
                  <dgm:alg type="tx">
                    <dgm:param type="stBulletLvl" val="1"/>
                  </dgm:alg>
                  <dgm:shape xmlns:r="http://schemas.openxmlformats.org/officeDocument/2006/relationships" type="roundRect" r:blip="" zOrderOff="-2" hideGeom="1">
                    <dgm:adjLst>
                      <dgm:adj idx="1" val="0.1"/>
                    </dgm:adjLst>
                  </dgm:shape>
                  <dgm:presOf axis="ch des" ptType="node node" st="2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if>
            <dgm:else name="Name16"/>
          </dgm:choose>
          <dgm:choose name="Name17">
            <dgm:if name="Name18" axis="ch ch" ptType="node node" st="3 1" cnt="1 0" func="cnt" op="gte" val="1">
              <dgm:layoutNode name="child3group">
                <dgm:alg type="composite">
                  <dgm:param type="horzAlign" val="none"/>
                  <dgm:param type="vertAlign" val="none"/>
                </dgm:alg>
                <dgm:shape xmlns:r="http://schemas.openxmlformats.org/officeDocument/2006/relationships" r:blip="">
                  <dgm:adjLst/>
                </dgm:shape>
                <dgm:presOf/>
                <dgm:choose name="Name19">
                  <dgm:if name="Name20" func="var" arg="dir" op="equ" val="norm">
                    <dgm:constrLst>
                      <dgm:constr type="w" for="ch" forName="child3" refType="w"/>
                      <dgm:constr type="h" for="ch" forName="child3" refType="h"/>
                      <dgm:constr type="b" for="ch" forName="child3" refType="h"/>
                      <dgm:constr type="r" for="ch" forName="child3" refType="w"/>
                      <dgm:constr type="w" for="ch" forName="child3Text" refType="w" fact="0.7"/>
                      <dgm:constr type="h" for="ch" forName="child3Text" refType="h" fact="0.75"/>
                      <dgm:constr type="b" for="ch" forName="child3Text" refType="h"/>
                      <dgm:constr type="r" for="ch" forName="child3Text" refType="w"/>
                    </dgm:constrLst>
                  </dgm:if>
                  <dgm:else name="Name21">
                    <dgm:constrLst>
                      <dgm:constr type="w" for="ch" forName="child3" refType="w"/>
                      <dgm:constr type="h" for="ch" forName="child3" refType="h"/>
                      <dgm:constr type="b" for="ch" forName="child3" refType="h"/>
                      <dgm:constr type="l" for="ch" forName="child3"/>
                      <dgm:constr type="w" for="ch" forName="child3Text" refType="w" fact="0.7"/>
                      <dgm:constr type="h" for="ch" forName="child3Text" refType="h" fact="0.75"/>
                      <dgm:constr type="b" for="ch" forName="child3Text" refType="h"/>
                      <dgm:constr type="l" for="ch" forName="child3Text"/>
                    </dgm:constrLst>
                  </dgm:else>
                </dgm:choose>
                <dgm:ruleLst/>
                <dgm:layoutNode name="child3" styleLbl="bgAcc1">
                  <dgm:alg type="sp"/>
                  <dgm:shape xmlns:r="http://schemas.openxmlformats.org/officeDocument/2006/relationships" type="roundRect" r:blip="" zOrderOff="-4">
                    <dgm:adjLst>
                      <dgm:adj idx="1" val="0.1"/>
                    </dgm:adjLst>
                  </dgm:shape>
                  <dgm:presOf axis="ch des" ptType="node node" st="3 1" cnt="1 0"/>
                  <dgm:constrLst/>
                  <dgm:ruleLst/>
                </dgm:layoutNode>
                <dgm:layoutNode name="child3Text" styleLbl="bgAcc1">
                  <dgm:varLst>
                    <dgm:bulletEnabled val="1"/>
                  </dgm:varLst>
                  <dgm:alg type="tx">
                    <dgm:param type="stBulletLvl" val="1"/>
                  </dgm:alg>
                  <dgm:shape xmlns:r="http://schemas.openxmlformats.org/officeDocument/2006/relationships" type="roundRect" r:blip="" zOrderOff="-4" hideGeom="1">
                    <dgm:adjLst>
                      <dgm:adj idx="1" val="0.1"/>
                    </dgm:adjLst>
                  </dgm:shape>
                  <dgm:presOf axis="ch des" ptType="node node" st="3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if>
            <dgm:else name="Name22"/>
          </dgm:choose>
          <dgm:choose name="Name23">
            <dgm:if name="Name24" axis="ch ch" ptType="node node" st="4 1" cnt="1 0" func="cnt" op="gte" val="1">
              <dgm:layoutNode name="child4group">
                <dgm:alg type="composite">
                  <dgm:param type="horzAlign" val="none"/>
                  <dgm:param type="vertAlign" val="none"/>
                </dgm:alg>
                <dgm:shape xmlns:r="http://schemas.openxmlformats.org/officeDocument/2006/relationships" r:blip="">
                  <dgm:adjLst/>
                </dgm:shape>
                <dgm:presOf/>
                <dgm:choose name="Name25">
                  <dgm:if name="Name26" func="var" arg="dir" op="equ" val="norm">
                    <dgm:constrLst>
                      <dgm:constr type="w" for="ch" forName="child4" refType="w"/>
                      <dgm:constr type="h" for="ch" forName="child4" refType="h"/>
                      <dgm:constr type="b" for="ch" forName="child4" refType="h"/>
                      <dgm:constr type="l" for="ch" forName="child4"/>
                      <dgm:constr type="w" for="ch" forName="child4Text" refType="w" fact="0.7"/>
                      <dgm:constr type="h" for="ch" forName="child4Text" refType="h" fact="0.75"/>
                      <dgm:constr type="b" for="ch" forName="child4Text" refType="h"/>
                      <dgm:constr type="l" for="ch" forName="child4Text"/>
                    </dgm:constrLst>
                  </dgm:if>
                  <dgm:else name="Name27">
                    <dgm:constrLst>
                      <dgm:constr type="w" for="ch" forName="child4" refType="w"/>
                      <dgm:constr type="h" for="ch" forName="child4" refType="h"/>
                      <dgm:constr type="b" for="ch" forName="child4" refType="h"/>
                      <dgm:constr type="r" for="ch" forName="child4" refType="w"/>
                      <dgm:constr type="w" for="ch" forName="child4Text" refType="w" fact="0.7"/>
                      <dgm:constr type="h" for="ch" forName="child4Text" refType="h" fact="0.75"/>
                      <dgm:constr type="b" for="ch" forName="child4Text" refType="h"/>
                      <dgm:constr type="r" for="ch" forName="child4Text" refType="w"/>
                    </dgm:constrLst>
                  </dgm:else>
                </dgm:choose>
                <dgm:ruleLst/>
                <dgm:layoutNode name="child4" styleLbl="bgAcc1">
                  <dgm:alg type="sp"/>
                  <dgm:shape xmlns:r="http://schemas.openxmlformats.org/officeDocument/2006/relationships" type="roundRect" r:blip="" zOrderOff="-4">
                    <dgm:adjLst>
                      <dgm:adj idx="1" val="0.1"/>
                    </dgm:adjLst>
                  </dgm:shape>
                  <dgm:presOf axis="ch des" ptType="node node" st="4 1" cnt="1 0"/>
                  <dgm:constrLst/>
                  <dgm:ruleLst/>
                </dgm:layoutNode>
                <dgm:layoutNode name="child4Text" styleLbl="bgAcc1">
                  <dgm:varLst>
                    <dgm:bulletEnabled val="1"/>
                  </dgm:varLst>
                  <dgm:alg type="tx">
                    <dgm:param type="stBulletLvl" val="1"/>
                  </dgm:alg>
                  <dgm:shape xmlns:r="http://schemas.openxmlformats.org/officeDocument/2006/relationships" type="roundRect" r:blip="" zOrderOff="-4" hideGeom="1">
                    <dgm:adjLst>
                      <dgm:adj idx="1" val="0.1"/>
                    </dgm:adjLst>
                  </dgm:shape>
                  <dgm:presOf axis="ch des" ptType="node node" st="4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if>
            <dgm:else name="Name28"/>
          </dgm:choose>
          <dgm:layoutNode name="childPlaceholder">
            <dgm:alg type="sp"/>
            <dgm:shape xmlns:r="http://schemas.openxmlformats.org/officeDocument/2006/relationships" r:blip="">
              <dgm:adjLst/>
            </dgm:shape>
            <dgm:presOf/>
            <dgm:constrLst/>
            <dgm:ruleLst/>
          </dgm:layoutNode>
        </dgm:layoutNode>
        <dgm:layoutNode name="circle">
          <dgm:alg type="composite">
            <dgm:param type="ar" val="1"/>
          </dgm:alg>
          <dgm:shape xmlns:r="http://schemas.openxmlformats.org/officeDocument/2006/relationships" r:blip="">
            <dgm:adjLst/>
          </dgm:shape>
          <dgm:presOf/>
          <dgm:choose name="Name29">
            <dgm:if name="Name30" func="var" arg="dir" op="equ" val="norm">
              <dgm:constrLst>
                <dgm:constr type="primFontSz" for="ch" ptType="node" op="equ" val="65"/>
                <dgm:constr type="w" for="ch" forName="quadrant1" refType="w" fact="0.433"/>
                <dgm:constr type="h" for="ch" forName="quadrant1" refType="h" fact="0.433"/>
                <dgm:constr type="b" for="ch" forName="quadrant1" refType="h" fact="0.5"/>
                <dgm:constr type="bOff" for="ch" forName="quadrant1" refType="h" fact="-0.01"/>
                <dgm:constr type="r" for="ch" forName="quadrant1" refType="w" fact="0.5"/>
                <dgm:constr type="rOff" for="ch" forName="quadrant1" refType="w" fact="-0.01"/>
                <dgm:constr type="w" for="ch" forName="quadrant2" refType="w" fact="0.433"/>
                <dgm:constr type="h" for="ch" forName="quadrant2" refType="h" fact="0.433"/>
                <dgm:constr type="b" for="ch" forName="quadrant2" refType="h" fact="0.5"/>
                <dgm:constr type="bOff" for="ch" forName="quadrant2" refType="h" fact="-0.01"/>
                <dgm:constr type="l" for="ch" forName="quadrant2" refType="w" fact="0.5"/>
                <dgm:constr type="lOff" for="ch" forName="quadrant2" refType="w" fact="0.01"/>
                <dgm:constr type="w" for="ch" forName="quadrant3" refType="w" fact="0.433"/>
                <dgm:constr type="h" for="ch" forName="quadrant3" refType="h" fact="0.433"/>
                <dgm:constr type="t" for="ch" forName="quadrant3" refType="h" fact="0.5"/>
                <dgm:constr type="tOff" for="ch" forName="quadrant3" refType="h" fact="0.01"/>
                <dgm:constr type="l" for="ch" forName="quadrant3" refType="w" fact="0.5"/>
                <dgm:constr type="lOff" for="ch" forName="quadrant3" refType="w" fact="0.01"/>
                <dgm:constr type="w" for="ch" forName="quadrant4" refType="w" fact="0.433"/>
                <dgm:constr type="h" for="ch" forName="quadrant4" refType="h" fact="0.433"/>
                <dgm:constr type="t" for="ch" forName="quadrant4" refType="h" fact="0.5"/>
                <dgm:constr type="tOff" for="ch" forName="quadrant4" refType="h" fact="0.01"/>
                <dgm:constr type="r" for="ch" forName="quadrant4" refType="w" fact="0.5"/>
                <dgm:constr type="rOff" for="ch" forName="quadrant4" refType="w" fact="-0.01"/>
              </dgm:constrLst>
            </dgm:if>
            <dgm:else name="Name31">
              <dgm:constrLst>
                <dgm:constr type="primFontSz" for="ch" ptType="node" op="equ" val="65"/>
                <dgm:constr type="w" for="ch" forName="quadrant1" refType="w" fact="0.433"/>
                <dgm:constr type="h" for="ch" forName="quadrant1" refType="h" fact="0.433"/>
                <dgm:constr type="b" for="ch" forName="quadrant1" refType="h" fact="0.5"/>
                <dgm:constr type="bOff" for="ch" forName="quadrant1" refType="h" fact="-0.01"/>
                <dgm:constr type="l" for="ch" forName="quadrant1" refType="w" fact="0.5"/>
                <dgm:constr type="lOff" for="ch" forName="quadrant1" refType="w" fact="0.01"/>
                <dgm:constr type="w" for="ch" forName="quadrant2" refType="w" fact="0.433"/>
                <dgm:constr type="h" for="ch" forName="quadrant2" refType="h" fact="0.433"/>
                <dgm:constr type="b" for="ch" forName="quadrant2" refType="h" fact="0.5"/>
                <dgm:constr type="bOff" for="ch" forName="quadrant2" refType="h" fact="-0.01"/>
                <dgm:constr type="r" for="ch" forName="quadrant2" refType="w" fact="0.5"/>
                <dgm:constr type="rOff" for="ch" forName="quadrant2" refType="w" fact="-0.01"/>
                <dgm:constr type="w" for="ch" forName="quadrant3" refType="w" fact="0.433"/>
                <dgm:constr type="h" for="ch" forName="quadrant3" refType="h" fact="0.433"/>
                <dgm:constr type="t" for="ch" forName="quadrant3" refType="h" fact="0.5"/>
                <dgm:constr type="tOff" for="ch" forName="quadrant3" refType="h" fact="0.01"/>
                <dgm:constr type="r" for="ch" forName="quadrant3" refType="w" fact="0.5"/>
                <dgm:constr type="rOff" for="ch" forName="quadrant3" refType="w" fact="-0.01"/>
                <dgm:constr type="w" for="ch" forName="quadrant4" refType="w" fact="0.433"/>
                <dgm:constr type="h" for="ch" forName="quadrant4" refType="h" fact="0.433"/>
                <dgm:constr type="t" for="ch" forName="quadrant4" refType="h" fact="0.5"/>
                <dgm:constr type="tOff" for="ch" forName="quadrant4" refType="h" fact="0.01"/>
                <dgm:constr type="l" for="ch" forName="quadrant4" refType="w" fact="0.5"/>
                <dgm:constr type="lOff" for="ch" forName="quadrant4" refType="w" fact="0.01"/>
              </dgm:constrLst>
            </dgm:else>
          </dgm:choose>
          <dgm:ruleLst/>
          <dgm:layoutNode name="quadrant1" styleLbl="node1">
            <dgm:varLst>
              <dgm:chMax val="1"/>
              <dgm:bulletEnabled val="1"/>
            </dgm:varLst>
            <dgm:alg type="tx"/>
            <dgm:choose name="Name32">
              <dgm:if name="Name33" func="var" arg="dir" op="equ" val="norm">
                <dgm:shape xmlns:r="http://schemas.openxmlformats.org/officeDocument/2006/relationships" type="pieWedge" r:blip="">
                  <dgm:adjLst/>
                </dgm:shape>
              </dgm:if>
              <dgm:else name="Name34">
                <dgm:shape xmlns:r="http://schemas.openxmlformats.org/officeDocument/2006/relationships" rot="90" type="pieWedge" r:blip="">
                  <dgm:adjLst/>
                </dgm:shape>
              </dgm:else>
            </dgm:choose>
            <dgm:presOf axis="ch" ptType="node" cnt="1"/>
            <dgm:constrLst/>
            <dgm:ruleLst>
              <dgm:rule type="primFontSz" val="5" fact="NaN" max="NaN"/>
            </dgm:ruleLst>
          </dgm:layoutNode>
          <dgm:layoutNode name="quadrant2" styleLbl="node1">
            <dgm:varLst>
              <dgm:chMax val="1"/>
              <dgm:bulletEnabled val="1"/>
            </dgm:varLst>
            <dgm:alg type="tx"/>
            <dgm:choose name="Name35">
              <dgm:if name="Name36" func="var" arg="dir" op="equ" val="norm">
                <dgm:shape xmlns:r="http://schemas.openxmlformats.org/officeDocument/2006/relationships" rot="90" type="pieWedge" r:blip="">
                  <dgm:adjLst/>
                </dgm:shape>
              </dgm:if>
              <dgm:else name="Name37">
                <dgm:shape xmlns:r="http://schemas.openxmlformats.org/officeDocument/2006/relationships" type="pieWedge" r:blip="">
                  <dgm:adjLst/>
                </dgm:shape>
              </dgm:else>
            </dgm:choose>
            <dgm:presOf axis="ch" ptType="node" st="2" cnt="1"/>
            <dgm:constrLst/>
            <dgm:ruleLst>
              <dgm:rule type="primFontSz" val="5" fact="NaN" max="NaN"/>
            </dgm:ruleLst>
          </dgm:layoutNode>
          <dgm:layoutNode name="quadrant3" styleLbl="node1">
            <dgm:varLst>
              <dgm:chMax val="1"/>
              <dgm:bulletEnabled val="1"/>
            </dgm:varLst>
            <dgm:alg type="tx"/>
            <dgm:choose name="Name38">
              <dgm:if name="Name39" func="var" arg="dir" op="equ" val="norm">
                <dgm:shape xmlns:r="http://schemas.openxmlformats.org/officeDocument/2006/relationships" rot="180" type="pieWedge" r:blip="">
                  <dgm:adjLst/>
                </dgm:shape>
              </dgm:if>
              <dgm:else name="Name40">
                <dgm:shape xmlns:r="http://schemas.openxmlformats.org/officeDocument/2006/relationships" rot="270" type="pieWedge" r:blip="">
                  <dgm:adjLst/>
                </dgm:shape>
              </dgm:else>
            </dgm:choose>
            <dgm:presOf axis="ch" ptType="node" st="3" cnt="1"/>
            <dgm:constrLst/>
            <dgm:ruleLst>
              <dgm:rule type="primFontSz" val="5" fact="NaN" max="NaN"/>
            </dgm:ruleLst>
          </dgm:layoutNode>
          <dgm:layoutNode name="quadrant4" styleLbl="node1">
            <dgm:varLst>
              <dgm:chMax val="1"/>
              <dgm:bulletEnabled val="1"/>
            </dgm:varLst>
            <dgm:alg type="tx"/>
            <dgm:choose name="Name41">
              <dgm:if name="Name42" func="var" arg="dir" op="equ" val="norm">
                <dgm:shape xmlns:r="http://schemas.openxmlformats.org/officeDocument/2006/relationships" rot="270" type="pieWedge" r:blip="">
                  <dgm:adjLst/>
                </dgm:shape>
              </dgm:if>
              <dgm:else name="Name43">
                <dgm:shape xmlns:r="http://schemas.openxmlformats.org/officeDocument/2006/relationships" rot="180" type="pieWedge" r:blip="">
                  <dgm:adjLst/>
                </dgm:shape>
              </dgm:else>
            </dgm:choose>
            <dgm:presOf axis="ch" ptType="node" st="4" cnt="1"/>
            <dgm:constrLst/>
            <dgm:ruleLst>
              <dgm:rule type="primFontSz" val="5" fact="NaN" max="NaN"/>
            </dgm:ruleLst>
          </dgm:layoutNode>
          <dgm:layoutNode name="quadrantPlaceholder">
            <dgm:alg type="sp"/>
            <dgm:shape xmlns:r="http://schemas.openxmlformats.org/officeDocument/2006/relationships" r:blip="">
              <dgm:adjLst/>
            </dgm:shape>
            <dgm:presOf/>
            <dgm:constrLst/>
            <dgm:ruleLst/>
          </dgm:layoutNode>
        </dgm:layoutNode>
        <dgm:layoutNode name="center1" styleLbl="fgShp">
          <dgm:alg type="sp"/>
          <dgm:choose name="Name44">
            <dgm:if name="Name45" func="var" arg="dir" op="equ" val="norm">
              <dgm:shape xmlns:r="http://schemas.openxmlformats.org/officeDocument/2006/relationships" type="circularArrow" r:blip="" zOrderOff="16">
                <dgm:adjLst/>
              </dgm:shape>
            </dgm:if>
            <dgm:else name="Name46">
              <dgm:shape xmlns:r="http://schemas.openxmlformats.org/officeDocument/2006/relationships" rot="180" type="leftCircularArrow" r:blip="" zOrderOff="16">
                <dgm:adjLst/>
              </dgm:shape>
            </dgm:else>
          </dgm:choose>
          <dgm:presOf/>
          <dgm:constrLst/>
          <dgm:ruleLst/>
        </dgm:layoutNode>
        <dgm:layoutNode name="center2" styleLbl="fgShp">
          <dgm:alg type="sp"/>
          <dgm:choose name="Name47">
            <dgm:if name="Name48" func="var" arg="dir" op="equ" val="norm">
              <dgm:shape xmlns:r="http://schemas.openxmlformats.org/officeDocument/2006/relationships" rot="180" type="circularArrow" r:blip="" zOrderOff="16">
                <dgm:adjLst/>
              </dgm:shape>
            </dgm:if>
            <dgm:else name="Name49">
              <dgm:shape xmlns:r="http://schemas.openxmlformats.org/officeDocument/2006/relationships" type="leftCircularArrow" r:blip="" zOrderOff="16">
                <dgm:adjLst/>
              </dgm:shape>
            </dgm:else>
          </dgm:choose>
          <dgm:presOf/>
          <dgm:constrLst/>
          <dgm:ruleLst/>
        </dgm:layoutNode>
      </dgm:if>
      <dgm:else name="Name50"/>
    </dgm:choose>
  </dgm:layoutNode>
</dgm:layoutDef>
</file>

<file path=xl/diagrams/layout2.xml><?xml version="1.0" encoding="utf-8"?>
<dgm:layoutDef xmlns:dgm="http://schemas.openxmlformats.org/drawingml/2006/diagram" xmlns:a="http://schemas.openxmlformats.org/drawingml/2006/main" uniqueId="urn:microsoft.com/office/officeart/2011/layout/ConvergingText">
  <dgm:title val="Converging Text"/>
  <dgm:desc val="Use to show multiple steps or parts that merge into a whole. Limited to one Level 1 shape that contains text and a maximum of five Level 2 shapes."/>
  <dgm:catLst>
    <dgm:cat type="process" pri="6500"/>
    <dgm:cat type="officeonline" pri="5000"/>
  </dgm:catLst>
  <dgm:sampData>
    <dgm:dataModel>
      <dgm:ptLst>
        <dgm:pt modelId="0" type="doc"/>
        <dgm:pt modelId="10">
          <dgm:prSet phldr="1"/>
        </dgm:pt>
        <dgm:pt modelId="11">
          <dgm:prSet phldr="1"/>
        </dgm:pt>
        <dgm:pt modelId="12">
          <dgm:prSet phldr="1"/>
        </dgm:pt>
        <dgm:pt modelId="13">
          <dgm:prSet phldr="1"/>
        </dgm:pt>
      </dgm:ptLst>
      <dgm:cxnLst>
        <dgm:cxn modelId="1" srcId="0" destId="10" srcOrd="0" destOrd="0"/>
        <dgm:cxn modelId="2" srcId="10" destId="11" srcOrd="0" destOrd="0"/>
        <dgm:cxn modelId="3" srcId="10" destId="12" srcOrd="1" destOrd="0"/>
        <dgm:cxn modelId="4" srcId="10" destId="13" srcOrd="2" destOrd="0"/>
      </dgm:cxnLst>
      <dgm:bg/>
      <dgm:whole/>
    </dgm:dataModel>
  </dgm:sampData>
  <dgm:styleData>
    <dgm:dataModel>
      <dgm:ptLst>
        <dgm:pt modelId="0" type="doc"/>
        <dgm:pt modelId="10">
          <dgm:prSet phldr="1"/>
        </dgm:pt>
        <dgm:pt modelId="11">
          <dgm:prSet phldr="1"/>
        </dgm:pt>
        <dgm:pt modelId="12">
          <dgm:prSet phldr="1"/>
        </dgm:pt>
        <dgm:pt modelId="13">
          <dgm:prSet phldr="1"/>
        </dgm:pt>
      </dgm:ptLst>
      <dgm:cxnLst>
        <dgm:cxn modelId="1" srcId="0" destId="10" srcOrd="0" destOrd="0"/>
        <dgm:cxn modelId="2" srcId="10" destId="11" srcOrd="0" destOrd="0"/>
        <dgm:cxn modelId="3" srcId="10" destId="12" srcOrd="1" destOrd="0"/>
        <dgm:cxn modelId="4" srcId="10" destId="13" srcOrd="2" destOrd="0"/>
      </dgm:cxnLst>
      <dgm:bg/>
      <dgm:whole/>
    </dgm:dataModel>
  </dgm:styleData>
  <dgm:clrData>
    <dgm:dataModel>
      <dgm:ptLst>
        <dgm:pt modelId="0" type="doc"/>
        <dgm:pt modelId="10">
          <dgm:prSet phldr="1"/>
        </dgm:pt>
        <dgm:pt modelId="11">
          <dgm:prSet phldr="1"/>
        </dgm:pt>
        <dgm:pt modelId="12">
          <dgm:prSet phldr="1"/>
        </dgm:pt>
        <dgm:pt modelId="13">
          <dgm:prSet phldr="1"/>
        </dgm:pt>
      </dgm:ptLst>
      <dgm:cxnLst>
        <dgm:cxn modelId="1" srcId="0" destId="10" srcOrd="0" destOrd="0"/>
        <dgm:cxn modelId="2" srcId="10" destId="11" srcOrd="0" destOrd="0"/>
        <dgm:cxn modelId="3" srcId="10" destId="12" srcOrd="1" destOrd="0"/>
        <dgm:cxn modelId="4" srcId="10" destId="13" srcOrd="2" destOrd="0"/>
      </dgm:cxnLst>
      <dgm:bg/>
      <dgm:whole/>
    </dgm:dataModel>
  </dgm:clrData>
  <dgm:layoutNode name="Name0">
    <dgm:varLst>
      <dgm:chMax/>
      <dgm:chPref val="1"/>
      <dgm:dir/>
      <dgm:animOne val="branch"/>
      <dgm:animLvl val="lvl"/>
      <dgm:resizeHandles/>
    </dgm:varLst>
    <dgm:choose name="Name1">
      <dgm:if name="Name2" func="var" arg="dir" op="equ" val="norm">
        <dgm:alg type="lin">
          <dgm:param type="linDir" val="fromL"/>
          <dgm:param type="vertAlign" val="mid"/>
          <dgm:param type="nodeVertAlign" val="mid"/>
          <dgm:param type="horzAlign" val="ctr"/>
        </dgm:alg>
      </dgm:if>
      <dgm:else name="Name3">
        <dgm:alg type="lin">
          <dgm:param type="linDir" val="fromR"/>
          <dgm:param type="vertAlign" val="mid"/>
          <dgm:param type="nodeVertAlign" val="mid"/>
          <dgm:param type="horzAlign" val="ctr"/>
        </dgm:alg>
      </dgm:else>
    </dgm:choose>
    <dgm:shape xmlns:r="http://schemas.openxmlformats.org/officeDocument/2006/relationships" r:blip="">
      <dgm:adjLst/>
    </dgm:shape>
    <dgm:constrLst>
      <dgm:constr type="primFontSz" for="des" forName="Parent" op="equ" val="65"/>
      <dgm:constr type="primFontSz" for="des" forName="Child1" op="equ" val="65"/>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w" for="ch" forName="composite" refType="w"/>
      <dgm:constr type="h" for="ch" forName="composite" refType="h"/>
      <dgm:constr type="sp" refType="w" refFor="ch" refForName="composite" op="equ" fact="0.05"/>
      <dgm:constr type="w" for="ch" forName="sibTrans" refType="w" refFor="ch" refForName="composite" op="equ" fact="0.05"/>
      <dgm:constr type="h" for="ch" forName="sibTrans" refType="w" refFor="ch" refForName="sibTrans" op="equ"/>
    </dgm:constrLst>
    <dgm:forEach name="nodesForEach" axis="ch" ptType="node">
      <dgm:layoutNode name="composite">
        <dgm:choose name="Name4">
          <dgm:if name="Name5" func="var" arg="dir" op="equ" val="norm">
            <dgm:choose name="Name6">
              <dgm:if name="Name7" axis="ch" ptType="node" func="cnt" op="equ" val="0">
                <dgm:alg type="composite">
                  <dgm:param type="ar" val="2.1059"/>
                </dgm:alg>
                <dgm:constrLst>
                  <dgm:constr type="l" for="ch" forName="Parent" refType="w" fact="0"/>
                  <dgm:constr type="t" for="ch" forName="Parent" refType="h" fact="0"/>
                  <dgm:constr type="w" for="ch" forName="Parent" refType="w" fact="0.4749"/>
                  <dgm:constr type="h" for="ch" forName="Parent" refType="h"/>
                  <dgm:constr type="l" for="ch" forName="ParentAccent1" refType="w" fact="0.9531"/>
                  <dgm:constr type="t" for="ch" forName="ParentAccent1" refType="h" fact="0.4506"/>
                  <dgm:constr type="w" for="ch" forName="ParentAccent1" refType="w" fact="0.0469"/>
                  <dgm:constr type="h" for="ch" forName="ParentAccent1" refType="h" fact="0.0988"/>
                  <dgm:constr type="l" for="ch" forName="ParentAccent2" refType="w" fact="0.8734"/>
                  <dgm:constr type="t" for="ch" forName="ParentAccent2" refType="h" fact="0.4506"/>
                  <dgm:constr type="w" for="ch" forName="ParentAccent2" refType="w" fact="0.0469"/>
                  <dgm:constr type="h" for="ch" forName="ParentAccent2" refType="h" fact="0.0988"/>
                  <dgm:constr type="l" for="ch" forName="ParentAccent3" refType="w" fact="0.7937"/>
                  <dgm:constr type="t" for="ch" forName="ParentAccent3" refType="h" fact="0.4506"/>
                  <dgm:constr type="w" for="ch" forName="ParentAccent3" refType="w" fact="0.0469"/>
                  <dgm:constr type="h" for="ch" forName="ParentAccent3" refType="h" fact="0.0988"/>
                  <dgm:constr type="l" for="ch" forName="ParentAccent4" refType="w" fact="0.714"/>
                  <dgm:constr type="t" for="ch" forName="ParentAccent4" refType="h" fact="0.4506"/>
                  <dgm:constr type="w" for="ch" forName="ParentAccent4" refType="w" fact="0.0469"/>
                  <dgm:constr type="h" for="ch" forName="ParentAccent4" refType="h" fact="0.0988"/>
                  <dgm:constr type="l" for="ch" forName="ParentAccent5" refType="w" fact="0.6343"/>
                  <dgm:constr type="t" for="ch" forName="ParentAccent5" refType="h" fact="0.4506"/>
                  <dgm:constr type="w" for="ch" forName="ParentAccent5" refType="w" fact="0.0469"/>
                  <dgm:constr type="h" for="ch" forName="ParentAccent5" refType="h" fact="0.0988"/>
                  <dgm:constr type="l" for="ch" forName="ParentAccent6" refType="w" fact="0.5076"/>
                  <dgm:constr type="t" for="ch" forName="ParentAccent6" refType="h" fact="0.4012"/>
                  <dgm:constr type="w" for="ch" forName="ParentAccent6" refType="w" fact="0.0939"/>
                  <dgm:constr type="h" for="ch" forName="ParentAccent6" refType="h" fact="0.1976"/>
                  <dgm:constr type="l" for="ch" forName="ParentAccent7" refType="w" fact="0.8766"/>
                  <dgm:constr type="t" for="ch" forName="ParentAccent7" refType="h" fact="0.2465"/>
                  <dgm:constr type="w" for="ch" forName="ParentAccent7" refType="w" fact="0.0469"/>
                  <dgm:constr type="h" for="ch" forName="ParentAccent7" refType="h" fact="0.0988"/>
                  <dgm:constr type="l" for="ch" forName="ParentAccent8" refType="w" fact="0.8766"/>
                  <dgm:constr type="t" for="ch" forName="ParentAccent8" refType="h" fact="0.6562"/>
                  <dgm:constr type="w" for="ch" forName="ParentAccent8" refType="w" fact="0.0469"/>
                  <dgm:constr type="h" for="ch" forName="ParentAccent8" refType="h" fact="0.0988"/>
                  <dgm:constr type="l" for="ch" forName="ParentAccent9" refType="w" fact="0.9185"/>
                  <dgm:constr type="t" for="ch" forName="ParentAccent9" refType="h" fact="0.3353"/>
                  <dgm:constr type="w" for="ch" forName="ParentAccent9" refType="w" fact="0.0469"/>
                  <dgm:constr type="h" for="ch" forName="ParentAccent9" refType="h" fact="0.0988"/>
                  <dgm:constr type="l" for="ch" forName="ParentAccent10" refType="w" fact="0.9213"/>
                  <dgm:constr type="t" for="ch" forName="ParentAccent10" refType="h" fact="0.5679"/>
                  <dgm:constr type="w" for="ch" forName="ParentAccent10" refType="w" fact="0.0469"/>
                  <dgm:constr type="h" for="ch" forName="ParentAccent10" refType="h" fact="0.0988"/>
                </dgm:constrLst>
              </dgm:if>
              <dgm:if name="Name8" axis="ch" ptType="node" func="cnt" op="equ" val="1">
                <dgm:alg type="composite">
                  <dgm:param type="ar" val="3.4411"/>
                </dgm:alg>
                <dgm:constrLst>
                  <dgm:constr type="l" for="ch" forName="Child1Accent1" refType="w" fact="0.284"/>
                  <dgm:constr type="t" for="ch" forName="Child1Accent1" refType="h" fact="0.4012"/>
                  <dgm:constr type="w" for="ch" forName="Child1Accent1" refType="w" fact="0.0574"/>
                  <dgm:constr type="h" for="ch" forName="Child1Accent1" refType="h" fact="0.1976"/>
                  <dgm:constr type="l" for="ch" forName="Child1Accent2" refType="w" fact="0.2272"/>
                  <dgm:constr type="t" for="ch" forName="Child1Accent2" refType="h" fact="0.4506"/>
                  <dgm:constr type="w" for="ch" forName="Child1Accent2" refType="w" fact="0.0287"/>
                  <dgm:constr type="h" for="ch" forName="Child1Accent2" refType="h" fact="0.0988"/>
                  <dgm:constr type="l" for="ch" forName="Child1Accent3" refType="w" fact="0.1705"/>
                  <dgm:constr type="t" for="ch" forName="Child1Accent3" refType="h" fact="0.4506"/>
                  <dgm:constr type="w" for="ch" forName="Child1Accent3" refType="w" fact="0.0287"/>
                  <dgm:constr type="h" for="ch" forName="Child1Accent3" refType="h" fact="0.0988"/>
                  <dgm:constr type="l" for="ch" forName="Child1Accent4" refType="w" fact="0.1137"/>
                  <dgm:constr type="t" for="ch" forName="Child1Accent4" refType="h" fact="0.4506"/>
                  <dgm:constr type="w" for="ch" forName="Child1Accent4" refType="w" fact="0.0287"/>
                  <dgm:constr type="h" for="ch" forName="Child1Accent4" refType="h" fact="0.0988"/>
                  <dgm:constr type="l" for="ch" forName="Child1Accent5" refType="w" fact="0.057"/>
                  <dgm:constr type="t" for="ch" forName="Child1Accent5" refType="h" fact="0.4506"/>
                  <dgm:constr type="w" for="ch" forName="Child1Accent5" refType="w" fact="0.0287"/>
                  <dgm:constr type="h" for="ch" forName="Child1Accent5" refType="h" fact="0.0988"/>
                  <dgm:constr type="l" for="ch" forName="Child1Accent6" refType="w" fact="0.0002"/>
                  <dgm:constr type="t" for="ch" forName="Child1Accent6" refType="h" fact="0.4506"/>
                  <dgm:constr type="w" for="ch" forName="Child1Accent6" refType="w" fact="0.0287"/>
                  <dgm:constr type="h" for="ch" forName="Child1Accent6" refType="h" fact="0.0988"/>
                  <dgm:constr type="l" for="ch" forName="Child1Accent7" refType="w" fact="0"/>
                  <dgm:constr type="t" for="ch" forName="Child1Accent7" refType="h" fact="0"/>
                  <dgm:constr type="w" for="ch" forName="Child1Accent7" refType="w" fact="0"/>
                  <dgm:constr type="h" for="ch" forName="Child1Accent7" refType="h" fact="0"/>
                  <dgm:constr type="l" for="ch" forName="Child1Accent8" refType="w" fact="0"/>
                  <dgm:constr type="t" for="ch" forName="Child1Accent8" refType="h" fact="0"/>
                  <dgm:constr type="w" for="ch" forName="Child1Accent8" refType="w" fact="0"/>
                  <dgm:constr type="h" for="ch" forName="Child1Accent8" refType="h" fact="0"/>
                  <dgm:constr type="l" for="ch" forName="Child1Accent9" refType="w" fact="0"/>
                  <dgm:constr type="t" for="ch" forName="Child1Accent9" refType="h" fact="0"/>
                  <dgm:constr type="w" for="ch" forName="Child1Accent9" refType="w" fact="0"/>
                  <dgm:constr type="h" for="ch" forName="Child1Accent9" refType="h" fact="0"/>
                  <dgm:constr type="l" for="ch" forName="ParentAccent1" refType="w" fact="0.9713"/>
                  <dgm:constr type="t" for="ch" forName="ParentAccent1" refType="h" fact="0.4506"/>
                  <dgm:constr type="w" for="ch" forName="ParentAccent1" refType="w" fact="0.0287"/>
                  <dgm:constr type="h" for="ch" forName="ParentAccent1" refType="h" fact="0.0988"/>
                  <dgm:constr type="l" for="ch" forName="ParentAccent2" refType="w" fact="0.9187"/>
                  <dgm:constr type="t" for="ch" forName="ParentAccent2" refType="h" fact="0.4506"/>
                  <dgm:constr type="w" for="ch" forName="ParentAccent2" refType="w" fact="0.0287"/>
                  <dgm:constr type="h" for="ch" forName="ParentAccent2" refType="h" fact="0.0988"/>
                  <dgm:constr type="l" for="ch" forName="ParentAccent3" refType="w" fact="0.8661"/>
                  <dgm:constr type="t" for="ch" forName="ParentAccent3" refType="h" fact="0.4506"/>
                  <dgm:constr type="w" for="ch" forName="ParentAccent3" refType="w" fact="0.0287"/>
                  <dgm:constr type="h" for="ch" forName="ParentAccent3" refType="h" fact="0.0988"/>
                  <dgm:constr type="l" for="ch" forName="ParentAccent4" refType="w" fact="0.8136"/>
                  <dgm:constr type="t" for="ch" forName="ParentAccent4" refType="h" fact="0.4506"/>
                  <dgm:constr type="w" for="ch" forName="ParentAccent4" refType="w" fact="0.0287"/>
                  <dgm:constr type="h" for="ch" forName="ParentAccent4" refType="h" fact="0.0988"/>
                  <dgm:constr type="l" for="ch" forName="ParentAccent5" refType="w" fact="0.761"/>
                  <dgm:constr type="t" for="ch" forName="ParentAccent5" refType="h" fact="0.4506"/>
                  <dgm:constr type="w" for="ch" forName="ParentAccent5" refType="w" fact="0.0287"/>
                  <dgm:constr type="h" for="ch" forName="ParentAccent5" refType="h" fact="0.0988"/>
                  <dgm:constr type="l" for="ch" forName="ParentAccent6" refType="w" fact="0.6797"/>
                  <dgm:constr type="t" for="ch" forName="ParentAccent6" refType="h" fact="0.4012"/>
                  <dgm:constr type="w" for="ch" forName="ParentAccent6" refType="w" fact="0.0574"/>
                  <dgm:constr type="h" for="ch" forName="ParentAccent6" refType="h" fact="0.1976"/>
                  <dgm:constr type="l" for="ch" forName="ParentAccent7" refType="w" fact="0.9245"/>
                  <dgm:constr type="t" for="ch" forName="ParentAccent7" refType="h" fact="0.2465"/>
                  <dgm:constr type="w" for="ch" forName="ParentAccent7" refType="w" fact="0.0287"/>
                  <dgm:constr type="h" for="ch" forName="ParentAccent7" refType="h" fact="0.0988"/>
                  <dgm:constr type="l" for="ch" forName="ParentAccent8" refType="w" fact="0.9245"/>
                  <dgm:constr type="t" for="ch" forName="ParentAccent8" refType="h" fact="0.6562"/>
                  <dgm:constr type="w" for="ch" forName="ParentAccent8" refType="w" fact="0.0287"/>
                  <dgm:constr type="h" for="ch" forName="ParentAccent8" refType="h" fact="0.0988"/>
                  <dgm:constr type="l" for="ch" forName="ParentAccent9" refType="w" fact="0.9501"/>
                  <dgm:constr type="t" for="ch" forName="ParentAccent9" refType="h" fact="0.3353"/>
                  <dgm:constr type="w" for="ch" forName="ParentAccent9" refType="w" fact="0.0287"/>
                  <dgm:constr type="h" for="ch" forName="ParentAccent9" refType="h" fact="0.0988"/>
                  <dgm:constr type="l" for="ch" forName="ParentAccent10" refType="w" fact="0.9518"/>
                  <dgm:constr type="t" for="ch" forName="ParentAccent10" refType="h" fact="0.5679"/>
                  <dgm:constr type="w" for="ch" forName="ParentAccent10" refType="w" fact="0.0287"/>
                  <dgm:constr type="h" for="ch" forName="ParentAccent10" refType="h" fact="0.0988"/>
                  <dgm:constr type="l" for="ch" forName="Child1" refType="w" fact="0"/>
                  <dgm:constr type="t" for="ch" forName="Child1" refType="h" fact="0.1978"/>
                  <dgm:constr type="w" for="ch" forName="Child1" refType="w" fact="0.2544"/>
                  <dgm:constr type="h" for="ch" forName="Child1" refType="h" fact="0.2541"/>
                  <dgm:constr type="l" for="ch" forName="Parent" refType="w" fact="0.3653"/>
                  <dgm:constr type="t" for="ch" forName="Parent" refType="h" fact="0"/>
                  <dgm:constr type="w" for="ch" forName="Parent" refType="w" fact="0.2906"/>
                  <dgm:constr type="h" for="ch" forName="Parent" refType="h"/>
                </dgm:constrLst>
              </dgm:if>
              <dgm:if name="Name9" axis="ch" ptType="node" func="cnt" op="equ" val="2">
                <dgm:alg type="composite">
                  <dgm:param type="ar" val="2.1185"/>
                </dgm:alg>
                <dgm:constrLst>
                  <dgm:constr type="l" for="ch" forName="Child1Accent1" refType="w" fact="0.3436"/>
                  <dgm:constr type="t" for="ch" forName="Child1Accent1" refType="h" fact="0.2211"/>
                  <dgm:constr type="w" for="ch" forName="Child1Accent1" refType="w" fact="0.0574"/>
                  <dgm:constr type="h" for="ch" forName="Child1Accent1" refType="h" fact="0.1217"/>
                  <dgm:constr type="l" for="ch" forName="Child1Accent2" refType="w" fact="0.3068"/>
                  <dgm:constr type="t" for="ch" forName="Child1Accent2" refType="h" fact="0.1569"/>
                  <dgm:constr type="w" for="ch" forName="Child1Accent2" refType="w" fact="0.0287"/>
                  <dgm:constr type="h" for="ch" forName="Child1Accent2" refType="h" fact="0.0608"/>
                  <dgm:constr type="l" for="ch" forName="Child1Accent3" refType="w" fact="0.2455"/>
                  <dgm:constr type="t" for="ch" forName="Child1Accent3" refType="h" fact="0.1569"/>
                  <dgm:constr type="w" for="ch" forName="Child1Accent3" refType="w" fact="0.0287"/>
                  <dgm:constr type="h" for="ch" forName="Child1Accent3" refType="h" fact="0.0608"/>
                  <dgm:constr type="l" for="ch" forName="Child1Accent4" refType="w" fact="0.1842"/>
                  <dgm:constr type="t" for="ch" forName="Child1Accent4" refType="h" fact="0.1569"/>
                  <dgm:constr type="w" for="ch" forName="Child1Accent4" refType="w" fact="0.0287"/>
                  <dgm:constr type="h" for="ch" forName="Child1Accent4" refType="h" fact="0.0608"/>
                  <dgm:constr type="l" for="ch" forName="Child1Accent5" refType="w" fact="0.1229"/>
                  <dgm:constr type="t" for="ch" forName="Child1Accent5" refType="h" fact="0.1569"/>
                  <dgm:constr type="w" for="ch" forName="Child1Accent5" refType="w" fact="0.0287"/>
                  <dgm:constr type="h" for="ch" forName="Child1Accent5" refType="h" fact="0.0608"/>
                  <dgm:constr type="l" for="ch" forName="Child1Accent6" refType="w" fact="0.0615"/>
                  <dgm:constr type="t" for="ch" forName="Child1Accent6" refType="h" fact="0.1569"/>
                  <dgm:constr type="w" for="ch" forName="Child1Accent6" refType="w" fact="0.0287"/>
                  <dgm:constr type="h" for="ch" forName="Child1Accent6" refType="h" fact="0.0608"/>
                  <dgm:constr type="l" for="ch" forName="Child1Accent7" refType="w" fact="0.0002"/>
                  <dgm:constr type="t" for="ch" forName="Child1Accent7" refType="h" fact="0.1569"/>
                  <dgm:constr type="w" for="ch" forName="Child1Accent7" refType="w" fact="0.0287"/>
                  <dgm:constr type="h" for="ch" forName="Child1Accent7" refType="h" fact="0.0608"/>
                  <dgm:constr type="l" for="ch" forName="Child1Accent8" refType="w" fact="0"/>
                  <dgm:constr type="t" for="ch" forName="Child1Accent8" refType="h" fact="0"/>
                  <dgm:constr type="w" for="ch" forName="Child1Accent8" refType="w" fact="0"/>
                  <dgm:constr type="h" for="ch" forName="Child1Accent8" refType="h" fact="0"/>
                  <dgm:constr type="l" for="ch" forName="Child1Accent9" refType="w" fact="0"/>
                  <dgm:constr type="t" for="ch" forName="Child1Accent9" refType="h" fact="0"/>
                  <dgm:constr type="w" for="ch" forName="Child1Accent9" refType="w" fact="0"/>
                  <dgm:constr type="h" for="ch" forName="Child1Accent9" refType="h" fact="0"/>
                  <dgm:constr type="l" for="ch" forName="Child2Accent1" refType="w" fact="0.3436"/>
                  <dgm:constr type="t" for="ch" forName="Child2Accent1" refType="h" fact="0.8153"/>
                  <dgm:constr type="w" for="ch" forName="Child2Accent1" refType="w" fact="0.0574"/>
                  <dgm:constr type="h" for="ch" forName="Child2Accent1" refType="h" fact="0.1217"/>
                  <dgm:constr type="l" for="ch" forName="Child2Accent2" refType="w" fact="0.3068"/>
                  <dgm:constr type="t" for="ch" forName="Child2Accent2" refType="h" fact="0.9392"/>
                  <dgm:constr type="w" for="ch" forName="Child2Accent2" refType="w" fact="0.0287"/>
                  <dgm:constr type="h" for="ch" forName="Child2Accent2" refType="h" fact="0.0608"/>
                  <dgm:constr type="l" for="ch" forName="Child2Accent3" refType="w" fact="0.2455"/>
                  <dgm:constr type="t" for="ch" forName="Child2Accent3" refType="h" fact="0.9392"/>
                  <dgm:constr type="w" for="ch" forName="Child2Accent3" refType="w" fact="0.0287"/>
                  <dgm:constr type="h" for="ch" forName="Child2Accent3" refType="h" fact="0.0608"/>
                  <dgm:constr type="l" for="ch" forName="Child2Accent4" refType="w" fact="0.1842"/>
                  <dgm:constr type="t" for="ch" forName="Child2Accent4" refType="h" fact="0.9392"/>
                  <dgm:constr type="w" for="ch" forName="Child2Accent4" refType="w" fact="0.0287"/>
                  <dgm:constr type="h" for="ch" forName="Child2Accent4" refType="h" fact="0.0608"/>
                  <dgm:constr type="l" for="ch" forName="Child2Accent5" refType="w" fact="0.1229"/>
                  <dgm:constr type="t" for="ch" forName="Child2Accent5" refType="h" fact="0.9392"/>
                  <dgm:constr type="w" for="ch" forName="Child2Accent5" refType="w" fact="0.0287"/>
                  <dgm:constr type="h" for="ch" forName="Child2Accent5" refType="h" fact="0.0608"/>
                  <dgm:constr type="l" for="ch" forName="Child2Accent6" refType="w" fact="0.0615"/>
                  <dgm:constr type="t" for="ch" forName="Child2Accent6" refType="h" fact="0.9392"/>
                  <dgm:constr type="w" for="ch" forName="Child2Accent6" refType="w" fact="0.0287"/>
                  <dgm:constr type="h" for="ch" forName="Child2Accent6" refType="h" fact="0.0608"/>
                  <dgm:constr type="l" for="ch" forName="Child2Accent7" refType="w" fact="0.0002"/>
                  <dgm:constr type="t" for="ch" forName="Child2Accent7" refType="h" fact="0.9392"/>
                  <dgm:constr type="w" for="ch" forName="Child2Accent7" refType="w" fact="0.0287"/>
                  <dgm:constr type="h" for="ch" forName="Child2Accent7" refType="h" fact="0.0608"/>
                  <dgm:constr type="l" for="ch" forName="ParentAccent1" refType="w" fact="0.9713"/>
                  <dgm:constr type="t" for="ch" forName="ParentAccent1" refType="h" fact="0.5511"/>
                  <dgm:constr type="w" for="ch" forName="ParentAccent1" refType="w" fact="0.0287"/>
                  <dgm:constr type="h" for="ch" forName="ParentAccent1" refType="h" fact="0.0608"/>
                  <dgm:constr type="l" for="ch" forName="ParentAccent2" refType="w" fact="0.9187"/>
                  <dgm:constr type="t" for="ch" forName="ParentAccent2" refType="h" fact="0.5511"/>
                  <dgm:constr type="w" for="ch" forName="ParentAccent2" refType="w" fact="0.0287"/>
                  <dgm:constr type="h" for="ch" forName="ParentAccent2" refType="h" fact="0.0608"/>
                  <dgm:constr type="l" for="ch" forName="ParentAccent3" refType="w" fact="0.8661"/>
                  <dgm:constr type="t" for="ch" forName="ParentAccent3" refType="h" fact="0.5511"/>
                  <dgm:constr type="w" for="ch" forName="ParentAccent3" refType="w" fact="0.0287"/>
                  <dgm:constr type="h" for="ch" forName="ParentAccent3" refType="h" fact="0.0608"/>
                  <dgm:constr type="l" for="ch" forName="ParentAccent4" refType="w" fact="0.8136"/>
                  <dgm:constr type="t" for="ch" forName="ParentAccent4" refType="h" fact="0.5511"/>
                  <dgm:constr type="w" for="ch" forName="ParentAccent4" refType="w" fact="0.0287"/>
                  <dgm:constr type="h" for="ch" forName="ParentAccent4" refType="h" fact="0.0608"/>
                  <dgm:constr type="l" for="ch" forName="ParentAccent5" refType="w" fact="0.761"/>
                  <dgm:constr type="t" for="ch" forName="ParentAccent5" refType="h" fact="0.5511"/>
                  <dgm:constr type="w" for="ch" forName="ParentAccent5" refType="w" fact="0.0287"/>
                  <dgm:constr type="h" for="ch" forName="ParentAccent5" refType="h" fact="0.0608"/>
                  <dgm:constr type="l" for="ch" forName="ParentAccent6" refType="w" fact="0.6797"/>
                  <dgm:constr type="t" for="ch" forName="ParentAccent6" refType="h" fact="0.5207"/>
                  <dgm:constr type="w" for="ch" forName="ParentAccent6" refType="w" fact="0.0574"/>
                  <dgm:constr type="h" for="ch" forName="ParentAccent6" refType="h" fact="0.1217"/>
                  <dgm:constr type="l" for="ch" forName="ParentAccent7" refType="w" fact="0.9245"/>
                  <dgm:constr type="t" for="ch" forName="ParentAccent7" refType="h" fact="0.4255"/>
                  <dgm:constr type="w" for="ch" forName="ParentAccent7" refType="w" fact="0.0287"/>
                  <dgm:constr type="h" for="ch" forName="ParentAccent7" refType="h" fact="0.0608"/>
                  <dgm:constr type="l" for="ch" forName="ParentAccent8" refType="w" fact="0.9245"/>
                  <dgm:constr type="t" for="ch" forName="ParentAccent8" refType="h" fact="0.6776"/>
                  <dgm:constr type="w" for="ch" forName="ParentAccent8" refType="w" fact="0.0287"/>
                  <dgm:constr type="h" for="ch" forName="ParentAccent8" refType="h" fact="0.0608"/>
                  <dgm:constr type="l" for="ch" forName="ParentAccent9" refType="w" fact="0.9501"/>
                  <dgm:constr type="t" for="ch" forName="ParentAccent9" refType="h" fact="0.4801"/>
                  <dgm:constr type="w" for="ch" forName="ParentAccent9" refType="w" fact="0.0287"/>
                  <dgm:constr type="h" for="ch" forName="ParentAccent9" refType="h" fact="0.0608"/>
                  <dgm:constr type="l" for="ch" forName="ParentAccent10" refType="w" fact="0.9518"/>
                  <dgm:constr type="t" for="ch" forName="ParentAccent10" refType="h" fact="0.6233"/>
                  <dgm:constr type="w" for="ch" forName="ParentAccent10" refType="w" fact="0.0287"/>
                  <dgm:constr type="h" for="ch" forName="ParentAccent10" refType="h" fact="0.0608"/>
                  <dgm:constr type="l" for="ch" forName="Child2" refType="w" fact="0"/>
                  <dgm:constr type="t" for="ch" forName="Child2" refType="h" fact="0.7822"/>
                  <dgm:constr type="w" for="ch" forName="Child2" refType="w" fact="0.3364"/>
                  <dgm:constr type="h" for="ch" forName="Child2" refType="h" fact="0.1564"/>
                  <dgm:constr type="l" for="ch" forName="Child1" refType="w" fact="0"/>
                  <dgm:constr type="t" for="ch" forName="Child1" refType="h" fact="0"/>
                  <dgm:constr type="w" for="ch" forName="Child1" refType="w" fact="0.3364"/>
                  <dgm:constr type="h" for="ch" forName="Child1" refType="h" fact="0.1564"/>
                  <dgm:constr type="l" for="ch" forName="Parent" refType="w" fact="0.3653"/>
                  <dgm:constr type="t" for="ch" forName="Parent" refType="h" fact="0.2737"/>
                  <dgm:constr type="w" for="ch" forName="Parent" refType="w" fact="0.2906"/>
                  <dgm:constr type="h" for="ch" forName="Parent" refType="h" fact="0.6157"/>
                </dgm:constrLst>
              </dgm:if>
              <dgm:if name="Name10" axis="ch" ptType="node" func="cnt" op="equ" val="3">
                <dgm:alg type="composite">
                  <dgm:param type="ar" val="2.1185"/>
                </dgm:alg>
                <dgm:constrLst>
                  <dgm:constr type="l" for="ch" forName="Child1Accent1" refType="w" fact="0.3436"/>
                  <dgm:constr type="t" for="ch" forName="Child1Accent1" refType="h" fact="0.2211"/>
                  <dgm:constr type="w" for="ch" forName="Child1Accent1" refType="w" fact="0.0574"/>
                  <dgm:constr type="h" for="ch" forName="Child1Accent1" refType="h" fact="0.1217"/>
                  <dgm:constr type="l" for="ch" forName="Child1Accent2" refType="w" fact="0.3068"/>
                  <dgm:constr type="t" for="ch" forName="Child1Accent2" refType="h" fact="0.1569"/>
                  <dgm:constr type="w" for="ch" forName="Child1Accent2" refType="w" fact="0.0287"/>
                  <dgm:constr type="h" for="ch" forName="Child1Accent2" refType="h" fact="0.0608"/>
                  <dgm:constr type="l" for="ch" forName="Child1Accent3" refType="w" fact="0.2455"/>
                  <dgm:constr type="t" for="ch" forName="Child1Accent3" refType="h" fact="0.1569"/>
                  <dgm:constr type="w" for="ch" forName="Child1Accent3" refType="w" fact="0.0287"/>
                  <dgm:constr type="h" for="ch" forName="Child1Accent3" refType="h" fact="0.0608"/>
                  <dgm:constr type="l" for="ch" forName="Child1Accent4" refType="w" fact="0.1842"/>
                  <dgm:constr type="t" for="ch" forName="Child1Accent4" refType="h" fact="0.1569"/>
                  <dgm:constr type="w" for="ch" forName="Child1Accent4" refType="w" fact="0.0287"/>
                  <dgm:constr type="h" for="ch" forName="Child1Accent4" refType="h" fact="0.0608"/>
                  <dgm:constr type="l" for="ch" forName="Child1Accent5" refType="w" fact="0.1229"/>
                  <dgm:constr type="t" for="ch" forName="Child1Accent5" refType="h" fact="0.1569"/>
                  <dgm:constr type="w" for="ch" forName="Child1Accent5" refType="w" fact="0.0287"/>
                  <dgm:constr type="h" for="ch" forName="Child1Accent5" refType="h" fact="0.0608"/>
                  <dgm:constr type="l" for="ch" forName="Child2Accent1" refType="w" fact="0.284"/>
                  <dgm:constr type="t" for="ch" forName="Child2Accent1" refType="h" fact="0.5207"/>
                  <dgm:constr type="w" for="ch" forName="Child2Accent1" refType="w" fact="0.0574"/>
                  <dgm:constr type="h" for="ch" forName="Child2Accent1" refType="h" fact="0.1217"/>
                  <dgm:constr type="l" for="ch" forName="Child2Accent2" refType="w" fact="0.2272"/>
                  <dgm:constr type="t" for="ch" forName="Child2Accent2" refType="h" fact="0.5511"/>
                  <dgm:constr type="w" for="ch" forName="Child2Accent2" refType="w" fact="0.0287"/>
                  <dgm:constr type="h" for="ch" forName="Child2Accent2" refType="h" fact="0.0608"/>
                  <dgm:constr type="l" for="ch" forName="Child2Accent3" refType="w" fact="0.1705"/>
                  <dgm:constr type="t" for="ch" forName="Child2Accent3" refType="h" fact="0.5511"/>
                  <dgm:constr type="w" for="ch" forName="Child2Accent3" refType="w" fact="0.0287"/>
                  <dgm:constr type="h" for="ch" forName="Child2Accent3" refType="h" fact="0.0608"/>
                  <dgm:constr type="l" for="ch" forName="Child2Accent4" refType="w" fact="0.1137"/>
                  <dgm:constr type="t" for="ch" forName="Child2Accent4" refType="h" fact="0.5511"/>
                  <dgm:constr type="w" for="ch" forName="Child2Accent4" refType="w" fact="0.0287"/>
                  <dgm:constr type="h" for="ch" forName="Child2Accent4" refType="h" fact="0.0608"/>
                  <dgm:constr type="l" for="ch" forName="Child1Accent6" refType="w" fact="0.0615"/>
                  <dgm:constr type="t" for="ch" forName="Child1Accent6" refType="h" fact="0.1569"/>
                  <dgm:constr type="w" for="ch" forName="Child1Accent6" refType="w" fact="0.0287"/>
                  <dgm:constr type="h" for="ch" forName="Child1Accent6" refType="h" fact="0.0608"/>
                  <dgm:constr type="l" for="ch" forName="Child2Accent5" refType="w" fact="0.057"/>
                  <dgm:constr type="t" for="ch" forName="Child2Accent5" refType="h" fact="0.5511"/>
                  <dgm:constr type="w" for="ch" forName="Child2Accent5" refType="w" fact="0.0287"/>
                  <dgm:constr type="h" for="ch" forName="Child2Accent5" refType="h" fact="0.0608"/>
                  <dgm:constr type="l" for="ch" forName="Child1Accent7" refType="w" fact="0.0002"/>
                  <dgm:constr type="t" for="ch" forName="Child1Accent7" refType="h" fact="0.1569"/>
                  <dgm:constr type="w" for="ch" forName="Child1Accent7" refType="w" fact="0.0287"/>
                  <dgm:constr type="h" for="ch" forName="Child1Accent7" refType="h" fact="0.0608"/>
                  <dgm:constr type="l" for="ch" forName="Child1Accent8" refType="w" fact="0"/>
                  <dgm:constr type="t" for="ch" forName="Child1Accent8" refType="h" fact="0"/>
                  <dgm:constr type="w" for="ch" forName="Child1Accent8" refType="w" fact="0"/>
                  <dgm:constr type="h" for="ch" forName="Child1Accent8" refType="h" fact="0"/>
                  <dgm:constr type="l" for="ch" forName="Child1Accent9" refType="w" fact="0"/>
                  <dgm:constr type="t" for="ch" forName="Child1Accent9" refType="h" fact="0"/>
                  <dgm:constr type="w" for="ch" forName="Child1Accent9" refType="w" fact="0"/>
                  <dgm:constr type="h" for="ch" forName="Child1Accent9" refType="h" fact="0"/>
                  <dgm:constr type="l" for="ch" forName="Child2Accent6" refType="w" fact="0.0002"/>
                  <dgm:constr type="t" for="ch" forName="Child2Accent6" refType="h" fact="0.5511"/>
                  <dgm:constr type="w" for="ch" forName="Child2Accent6" refType="w" fact="0.0287"/>
                  <dgm:constr type="h" for="ch" forName="Child2Accent6" refType="h" fact="0.0608"/>
                  <dgm:constr type="l" for="ch" forName="Child2Accent7" refType="w" fact="0"/>
                  <dgm:constr type="t" for="ch" forName="Child2Accent7" refType="h" fact="0"/>
                  <dgm:constr type="w" for="ch" forName="Child2Accent7" refType="w" fact="0"/>
                  <dgm:constr type="h" for="ch" forName="Child2Accent7" refType="h" fact="0"/>
                  <dgm:constr type="l" for="ch" forName="Child3Accent1" refType="w" fact="0.3436"/>
                  <dgm:constr type="t" for="ch" forName="Child3Accent1" refType="h" fact="0.8153"/>
                  <dgm:constr type="w" for="ch" forName="Child3Accent1" refType="w" fact="0.0574"/>
                  <dgm:constr type="h" for="ch" forName="Child3Accent1" refType="h" fact="0.1217"/>
                  <dgm:constr type="l" for="ch" forName="Child3Accent2" refType="w" fact="0.3068"/>
                  <dgm:constr type="t" for="ch" forName="Child3Accent2" refType="h" fact="0.9392"/>
                  <dgm:constr type="w" for="ch" forName="Child3Accent2" refType="w" fact="0.0287"/>
                  <dgm:constr type="h" for="ch" forName="Child3Accent2" refType="h" fact="0.0608"/>
                  <dgm:constr type="l" for="ch" forName="Child3Accent3" refType="w" fact="0.2455"/>
                  <dgm:constr type="t" for="ch" forName="Child3Accent3" refType="h" fact="0.9392"/>
                  <dgm:constr type="w" for="ch" forName="Child3Accent3" refType="w" fact="0.0287"/>
                  <dgm:constr type="h" for="ch" forName="Child3Accent3" refType="h" fact="0.0608"/>
                  <dgm:constr type="l" for="ch" forName="Child3Accent4" refType="w" fact="0.1842"/>
                  <dgm:constr type="t" for="ch" forName="Child3Accent4" refType="h" fact="0.9392"/>
                  <dgm:constr type="w" for="ch" forName="Child3Accent4" refType="w" fact="0.0287"/>
                  <dgm:constr type="h" for="ch" forName="Child3Accent4" refType="h" fact="0.0608"/>
                  <dgm:constr type="l" for="ch" forName="Child3Accent5" refType="w" fact="0.1229"/>
                  <dgm:constr type="t" for="ch" forName="Child3Accent5" refType="h" fact="0.9392"/>
                  <dgm:constr type="w" for="ch" forName="Child3Accent5" refType="w" fact="0.0287"/>
                  <dgm:constr type="h" for="ch" forName="Child3Accent5" refType="h" fact="0.0608"/>
                  <dgm:constr type="l" for="ch" forName="Child3Accent6" refType="w" fact="0.0615"/>
                  <dgm:constr type="t" for="ch" forName="Child3Accent6" refType="h" fact="0.9392"/>
                  <dgm:constr type="w" for="ch" forName="Child3Accent6" refType="w" fact="0.0287"/>
                  <dgm:constr type="h" for="ch" forName="Child3Accent6" refType="h" fact="0.0608"/>
                  <dgm:constr type="l" for="ch" forName="Child3Accent7" refType="w" fact="0.0002"/>
                  <dgm:constr type="t" for="ch" forName="Child3Accent7" refType="h" fact="0.9392"/>
                  <dgm:constr type="w" for="ch" forName="Child3Accent7" refType="w" fact="0.0287"/>
                  <dgm:constr type="h" for="ch" forName="Child3Accent7" refType="h" fact="0.0608"/>
                  <dgm:constr type="l" for="ch" forName="ParentAccent1" refType="w" fact="0.9713"/>
                  <dgm:constr type="t" for="ch" forName="ParentAccent1" refType="h" fact="0.5511"/>
                  <dgm:constr type="w" for="ch" forName="ParentAccent1" refType="w" fact="0.0287"/>
                  <dgm:constr type="h" for="ch" forName="ParentAccent1" refType="h" fact="0.0608"/>
                  <dgm:constr type="l" for="ch" forName="ParentAccent2" refType="w" fact="0.9187"/>
                  <dgm:constr type="t" for="ch" forName="ParentAccent2" refType="h" fact="0.5511"/>
                  <dgm:constr type="w" for="ch" forName="ParentAccent2" refType="w" fact="0.0287"/>
                  <dgm:constr type="h" for="ch" forName="ParentAccent2" refType="h" fact="0.0608"/>
                  <dgm:constr type="l" for="ch" forName="ParentAccent3" refType="w" fact="0.8661"/>
                  <dgm:constr type="t" for="ch" forName="ParentAccent3" refType="h" fact="0.5511"/>
                  <dgm:constr type="w" for="ch" forName="ParentAccent3" refType="w" fact="0.0287"/>
                  <dgm:constr type="h" for="ch" forName="ParentAccent3" refType="h" fact="0.0608"/>
                  <dgm:constr type="l" for="ch" forName="ParentAccent4" refType="w" fact="0.8136"/>
                  <dgm:constr type="t" for="ch" forName="ParentAccent4" refType="h" fact="0.5511"/>
                  <dgm:constr type="w" for="ch" forName="ParentAccent4" refType="w" fact="0.0287"/>
                  <dgm:constr type="h" for="ch" forName="ParentAccent4" refType="h" fact="0.0608"/>
                  <dgm:constr type="l" for="ch" forName="ParentAccent5" refType="w" fact="0.761"/>
                  <dgm:constr type="t" for="ch" forName="ParentAccent5" refType="h" fact="0.5511"/>
                  <dgm:constr type="w" for="ch" forName="ParentAccent5" refType="w" fact="0.0287"/>
                  <dgm:constr type="h" for="ch" forName="ParentAccent5" refType="h" fact="0.0608"/>
                  <dgm:constr type="l" for="ch" forName="ParentAccent6" refType="w" fact="0.6797"/>
                  <dgm:constr type="t" for="ch" forName="ParentAccent6" refType="h" fact="0.5207"/>
                  <dgm:constr type="w" for="ch" forName="ParentAccent6" refType="w" fact="0.0574"/>
                  <dgm:constr type="h" for="ch" forName="ParentAccent6" refType="h" fact="0.1217"/>
                  <dgm:constr type="l" for="ch" forName="ParentAccent7" refType="w" fact="0.9245"/>
                  <dgm:constr type="t" for="ch" forName="ParentAccent7" refType="h" fact="0.4255"/>
                  <dgm:constr type="w" for="ch" forName="ParentAccent7" refType="w" fact="0.0287"/>
                  <dgm:constr type="h" for="ch" forName="ParentAccent7" refType="h" fact="0.0608"/>
                  <dgm:constr type="l" for="ch" forName="ParentAccent8" refType="w" fact="0.9245"/>
                  <dgm:constr type="t" for="ch" forName="ParentAccent8" refType="h" fact="0.6776"/>
                  <dgm:constr type="w" for="ch" forName="ParentAccent8" refType="w" fact="0.0287"/>
                  <dgm:constr type="h" for="ch" forName="ParentAccent8" refType="h" fact="0.0608"/>
                  <dgm:constr type="l" for="ch" forName="ParentAccent9" refType="w" fact="0.9501"/>
                  <dgm:constr type="t" for="ch" forName="ParentAccent9" refType="h" fact="0.4801"/>
                  <dgm:constr type="w" for="ch" forName="ParentAccent9" refType="w" fact="0.0287"/>
                  <dgm:constr type="h" for="ch" forName="ParentAccent9" refType="h" fact="0.0608"/>
                  <dgm:constr type="l" for="ch" forName="ParentAccent10" refType="w" fact="0.9518"/>
                  <dgm:constr type="t" for="ch" forName="ParentAccent10" refType="h" fact="0.6233"/>
                  <dgm:constr type="w" for="ch" forName="ParentAccent10" refType="w" fact="0.0287"/>
                  <dgm:constr type="h" for="ch" forName="ParentAccent10" refType="h" fact="0.0608"/>
                  <dgm:constr type="l" for="ch" forName="Child3" refType="w" fact="0"/>
                  <dgm:constr type="t" for="ch" forName="Child3" refType="h" fact="0.7822"/>
                  <dgm:constr type="w" for="ch" forName="Child3" refType="w" fact="0.3364"/>
                  <dgm:constr type="h" for="ch" forName="Child3" refType="h" fact="0.1564"/>
                  <dgm:constr type="l" for="ch" forName="Child2" refType="w" fact="0"/>
                  <dgm:constr type="t" for="ch" forName="Child2" refType="h" fact="0.3955"/>
                  <dgm:constr type="w" for="ch" forName="Child2" refType="w" fact="0.2544"/>
                  <dgm:constr type="h" for="ch" forName="Child2" refType="h" fact="0.1564"/>
                  <dgm:constr type="l" for="ch" forName="Child1" refType="w" fact="0"/>
                  <dgm:constr type="t" for="ch" forName="Child1" refType="h" fact="0"/>
                  <dgm:constr type="w" for="ch" forName="Child1" refType="w" fact="0.3364"/>
                  <dgm:constr type="h" for="ch" forName="Child1" refType="h" fact="0.1564"/>
                  <dgm:constr type="l" for="ch" forName="Parent" refType="w" fact="0.3653"/>
                  <dgm:constr type="t" for="ch" forName="Parent" refType="h" fact="0.2737"/>
                  <dgm:constr type="w" for="ch" forName="Parent" refType="w" fact="0.2906"/>
                  <dgm:constr type="h" for="ch" forName="Parent" refType="h" fact="0.6157"/>
                </dgm:constrLst>
              </dgm:if>
              <dgm:if name="Name11" axis="ch" ptType="node" func="cnt" op="equ" val="4">
                <dgm:alg type="composite">
                  <dgm:param type="ar" val="1.8304"/>
                </dgm:alg>
                <dgm:constrLst>
                  <dgm:constr type="l" for="ch" forName="Parent" refType="w" fact="0.3771"/>
                  <dgm:constr type="t" for="ch" forName="Parent" refType="h" fact="0.2946"/>
                  <dgm:constr type="w" for="ch" forName="Parent" refType="w" fact="0.2862"/>
                  <dgm:constr type="h" for="ch" forName="Parent" refType="h" fact="0.5239"/>
                  <dgm:constr type="l" for="ch" forName="Child1Accent1" refType="w" fact="0.3904"/>
                  <dgm:constr type="t" for="ch" forName="Child1Accent1" refType="h" fact="0.2104"/>
                  <dgm:constr type="w" for="ch" forName="Child1Accent1" refType="w" fact="0.0566"/>
                  <dgm:constr type="h" for="ch" forName="Child1Accent1" refType="h" fact="0.1035"/>
                  <dgm:constr type="l" for="ch" forName="Child1Accent3" refType="w" fact="0.3001"/>
                  <dgm:constr type="t" for="ch" forName="Child1Accent3" refType="h" fact="0.128"/>
                  <dgm:constr type="w" for="ch" forName="Child1Accent3" refType="w" fact="0.0283"/>
                  <dgm:constr type="h" for="ch" forName="Child1Accent3" refType="h" fact="0.0518"/>
                  <dgm:constr type="l" for="ch" forName="Child1Accent4" refType="w" fact="0.2418"/>
                  <dgm:constr type="t" for="ch" forName="Child1Accent4" refType="h" fact="0.128"/>
                  <dgm:constr type="w" for="ch" forName="Child1Accent4" refType="w" fact="0.0283"/>
                  <dgm:constr type="h" for="ch" forName="Child1Accent4" refType="h" fact="0.0518"/>
                  <dgm:constr type="l" for="ch" forName="Child1Accent5" refType="w" fact="0.1835"/>
                  <dgm:constr type="t" for="ch" forName="Child1Accent5" refType="h" fact="0.128"/>
                  <dgm:constr type="w" for="ch" forName="Child1Accent5" refType="w" fact="0.0283"/>
                  <dgm:constr type="h" for="ch" forName="Child1Accent5" refType="h" fact="0.0518"/>
                  <dgm:constr type="l" for="ch" forName="Child1Accent6" refType="w" fact="0.1252"/>
                  <dgm:constr type="t" for="ch" forName="Child1Accent6" refType="h" fact="0.128"/>
                  <dgm:constr type="w" for="ch" forName="Child1Accent6" refType="w" fact="0.0283"/>
                  <dgm:constr type="h" for="ch" forName="Child1Accent6" refType="h" fact="0.0518"/>
                  <dgm:constr type="l" for="ch" forName="Child3Accent1" refType="w" fact="0.3158"/>
                  <dgm:constr type="t" for="ch" forName="Child3Accent1" refType="h" fact="0.6212"/>
                  <dgm:constr type="w" for="ch" forName="Child3Accent1" refType="w" fact="0.0566"/>
                  <dgm:constr type="h" for="ch" forName="Child3Accent1" refType="h" fact="0.1035"/>
                  <dgm:constr type="l" for="ch" forName="Child3Accent2" refType="w" fact="0.2689"/>
                  <dgm:constr type="t" for="ch" forName="Child3Accent2" refType="h" fact="0.6828"/>
                  <dgm:constr type="w" for="ch" forName="Child3Accent2" refType="w" fact="0.0283"/>
                  <dgm:constr type="h" for="ch" forName="Child3Accent2" refType="h" fact="0.0518"/>
                  <dgm:constr type="l" for="ch" forName="Child3Accent4" refType="w" fact="0.1614"/>
                  <dgm:constr type="t" for="ch" forName="Child3Accent4" refType="h" fact="0.6828"/>
                  <dgm:constr type="w" for="ch" forName="Child3Accent4" refType="w" fact="0.0283"/>
                  <dgm:constr type="h" for="ch" forName="Child3Accent4" refType="h" fact="0.0518"/>
                  <dgm:constr type="l" for="ch" forName="Child3Accent5" refType="w" fact="0.1077"/>
                  <dgm:constr type="t" for="ch" forName="Child3Accent5" refType="h" fact="0.6828"/>
                  <dgm:constr type="w" for="ch" forName="Child3Accent5" refType="w" fact="0.0283"/>
                  <dgm:constr type="h" for="ch" forName="Child3Accent5" refType="h" fact="0.0518"/>
                  <dgm:constr type="l" for="ch" forName="Child1Accent7" refType="w" fact="0.0668"/>
                  <dgm:constr type="t" for="ch" forName="Child1Accent7" refType="h" fact="0.128"/>
                  <dgm:constr type="w" for="ch" forName="Child1Accent7" refType="w" fact="0.0283"/>
                  <dgm:constr type="h" for="ch" forName="Child1Accent7" refType="h" fact="0.0518"/>
                  <dgm:constr type="l" for="ch" forName="Child3Accent6" refType="w" fact="0.0539"/>
                  <dgm:constr type="t" for="ch" forName="Child3Accent6" refType="h" fact="0.6828"/>
                  <dgm:constr type="w" for="ch" forName="Child3Accent6" refType="w" fact="0.0283"/>
                  <dgm:constr type="h" for="ch" forName="Child3Accent6" refType="h" fact="0.0518"/>
                  <dgm:constr type="l" for="ch" forName="Child1Accent8" refType="w" fact="0.0085"/>
                  <dgm:constr type="t" for="ch" forName="Child1Accent8" refType="h" fact="0.128"/>
                  <dgm:constr type="w" for="ch" forName="Child1Accent8" refType="w" fact="0.0283"/>
                  <dgm:constr type="h" for="ch" forName="Child1Accent8" refType="h" fact="0.0518"/>
                  <dgm:constr type="l" for="ch" forName="Child1Accent9" refType="w" fact="0"/>
                  <dgm:constr type="t" for="ch" forName="Child1Accent9" refType="h" fact="0"/>
                  <dgm:constr type="w" for="ch" forName="Child1Accent9" refType="w" fact="0"/>
                  <dgm:constr type="h" for="ch" forName="Child1Accent9" refType="h" fact="0"/>
                  <dgm:constr type="l" for="ch" forName="Child3Accent7" refType="w" fact="0.0002"/>
                  <dgm:constr type="t" for="ch" forName="Child3Accent7" refType="h" fact="0.6828"/>
                  <dgm:constr type="w" for="ch" forName="Child3Accent7" refType="w" fact="0.0283"/>
                  <dgm:constr type="h" for="ch" forName="Child3Accent7" refType="h" fact="0.0518"/>
                  <dgm:constr type="l" for="ch" forName="Child4Accent1" refType="w" fact="0.3904"/>
                  <dgm:constr type="t" for="ch" forName="Child4Accent1" refType="h" fact="0.8"/>
                  <dgm:constr type="w" for="ch" forName="Child4Accent1" refType="w" fact="0.0566"/>
                  <dgm:constr type="h" for="ch" forName="Child4Accent1" refType="h" fact="0.1035"/>
                  <dgm:constr type="l" for="ch" forName="Child4Accent3" refType="w" fact="0.2998"/>
                  <dgm:constr type="t" for="ch" forName="Child4Accent3" refType="h" fact="0.9482"/>
                  <dgm:constr type="w" for="ch" forName="Child4Accent3" refType="w" fact="0.0283"/>
                  <dgm:constr type="h" for="ch" forName="Child4Accent3" refType="h" fact="0.0518"/>
                  <dgm:constr type="l" for="ch" forName="Child4Accent4" refType="w" fact="0.2415"/>
                  <dgm:constr type="t" for="ch" forName="Child4Accent4" refType="h" fact="0.9482"/>
                  <dgm:constr type="w" for="ch" forName="Child4Accent4" refType="w" fact="0.0283"/>
                  <dgm:constr type="h" for="ch" forName="Child4Accent4" refType="h" fact="0.0518"/>
                  <dgm:constr type="l" for="ch" forName="Child4Accent5" refType="w" fact="0.1833"/>
                  <dgm:constr type="t" for="ch" forName="Child4Accent5" refType="h" fact="0.9482"/>
                  <dgm:constr type="w" for="ch" forName="Child4Accent5" refType="w" fact="0.0283"/>
                  <dgm:constr type="h" for="ch" forName="Child4Accent5" refType="h" fact="0.0518"/>
                  <dgm:constr type="l" for="ch" forName="Child4Accent6" refType="w" fact="0.1251"/>
                  <dgm:constr type="t" for="ch" forName="Child4Accent6" refType="h" fact="0.9482"/>
                  <dgm:constr type="w" for="ch" forName="Child4Accent6" refType="w" fact="0.0283"/>
                  <dgm:constr type="h" for="ch" forName="Child4Accent6" refType="h" fact="0.0518"/>
                  <dgm:constr type="l" for="ch" forName="Child4Accent7" refType="w" fact="0.0668"/>
                  <dgm:constr type="t" for="ch" forName="Child4Accent7" refType="h" fact="0.9482"/>
                  <dgm:constr type="w" for="ch" forName="Child4Accent7" refType="w" fact="0.0283"/>
                  <dgm:constr type="h" for="ch" forName="Child4Accent7" refType="h" fact="0.0518"/>
                  <dgm:constr type="l" for="ch" forName="Child4Accent8" refType="w" fact="0.0086"/>
                  <dgm:constr type="t" for="ch" forName="Child4Accent8" refType="h" fact="0.9482"/>
                  <dgm:constr type="w" for="ch" forName="Child4Accent8" refType="w" fact="0.0283"/>
                  <dgm:constr type="h" for="ch" forName="Child4Accent8" refType="h" fact="0.0518"/>
                  <dgm:constr type="l" for="ch" forName="Child2Accent1" refType="w" fact="0.3158"/>
                  <dgm:constr type="t" for="ch" forName="Child2Accent1" refType="h" fact="0.3725"/>
                  <dgm:constr type="w" for="ch" forName="Child2Accent1" refType="w" fact="0.0566"/>
                  <dgm:constr type="h" for="ch" forName="Child2Accent1" refType="h" fact="0.1035"/>
                  <dgm:constr type="l" for="ch" forName="Child4Accent2" refType="w" fact="0.358"/>
                  <dgm:constr type="t" for="ch" forName="Child4Accent2" refType="h" fact="0.8993"/>
                  <dgm:constr type="w" for="ch" forName="Child4Accent2" refType="w" fact="0.0283"/>
                  <dgm:constr type="h" for="ch" forName="Child4Accent2" refType="h" fact="0.0518"/>
                  <dgm:constr type="l" for="ch" forName="Child1Accent2" refType="w" fact="0.3585"/>
                  <dgm:constr type="t" for="ch" forName="Child1Accent2" refType="h" fact="0.162"/>
                  <dgm:constr type="w" for="ch" forName="Child1Accent2" refType="w" fact="0.0283"/>
                  <dgm:constr type="h" for="ch" forName="Child1Accent2" refType="h" fact="0.0518"/>
                  <dgm:constr type="l" for="ch" forName="Child3Accent3" refType="w" fact="0.2151"/>
                  <dgm:constr type="t" for="ch" forName="Child3Accent3" refType="h" fact="0.6828"/>
                  <dgm:constr type="w" for="ch" forName="Child3Accent3" refType="w" fact="0.0283"/>
                  <dgm:constr type="h" for="ch" forName="Child3Accent3" refType="h" fact="0.0518"/>
                  <dgm:constr type="l" for="ch" forName="Child2Accent2" refType="w" fact="0.2689"/>
                  <dgm:constr type="t" for="ch" forName="Child2Accent2" refType="h" fact="0.3937"/>
                  <dgm:constr type="w" for="ch" forName="Child2Accent2" refType="w" fact="0.0283"/>
                  <dgm:constr type="h" for="ch" forName="Child2Accent2" refType="h" fact="0.0518"/>
                  <dgm:constr type="l" for="ch" forName="Child2Accent4" refType="w" fact="0.1614"/>
                  <dgm:constr type="t" for="ch" forName="Child2Accent4" refType="h" fact="0.3937"/>
                  <dgm:constr type="w" for="ch" forName="Child2Accent4" refType="w" fact="0.0283"/>
                  <dgm:constr type="h" for="ch" forName="Child2Accent4" refType="h" fact="0.0518"/>
                  <dgm:constr type="l" for="ch" forName="Child2Accent5" refType="w" fact="0.1077"/>
                  <dgm:constr type="t" for="ch" forName="Child2Accent5" refType="h" fact="0.3937"/>
                  <dgm:constr type="w" for="ch" forName="Child2Accent5" refType="w" fact="0.0283"/>
                  <dgm:constr type="h" for="ch" forName="Child2Accent5" refType="h" fact="0.0518"/>
                  <dgm:constr type="l" for="ch" forName="Child2Accent6" refType="w" fact="0.0539"/>
                  <dgm:constr type="t" for="ch" forName="Child2Accent6" refType="h" fact="0.3937"/>
                  <dgm:constr type="w" for="ch" forName="Child2Accent6" refType="w" fact="0.0283"/>
                  <dgm:constr type="h" for="ch" forName="Child2Accent6" refType="h" fact="0.0518"/>
                  <dgm:constr type="l" for="ch" forName="Child2Accent7" refType="w" fact="0.0002"/>
                  <dgm:constr type="t" for="ch" forName="Child2Accent7" refType="h" fact="0.3937"/>
                  <dgm:constr type="w" for="ch" forName="Child2Accent7" refType="w" fact="0.0283"/>
                  <dgm:constr type="h" for="ch" forName="Child2Accent7" refType="h" fact="0.0518"/>
                  <dgm:constr type="l" for="ch" forName="Child2Accent3" refType="w" fact="0.2151"/>
                  <dgm:constr type="t" for="ch" forName="Child2Accent3" refType="h" fact="0.3937"/>
                  <dgm:constr type="w" for="ch" forName="Child2Accent3" refType="w" fact="0.0283"/>
                  <dgm:constr type="h" for="ch" forName="Child2Accent3" refType="h" fact="0.0518"/>
                  <dgm:constr type="l" for="ch" forName="ParentAccent1" refType="w" fact="0.9717"/>
                  <dgm:constr type="t" for="ch" forName="ParentAccent1" refType="h" fact="0.5316"/>
                  <dgm:constr type="w" for="ch" forName="ParentAccent1" refType="w" fact="0.0283"/>
                  <dgm:constr type="h" for="ch" forName="ParentAccent1" refType="h" fact="0.0518"/>
                  <dgm:constr type="l" for="ch" forName="ParentAccent2" refType="w" fact="0.9199"/>
                  <dgm:constr type="t" for="ch" forName="ParentAccent2" refType="h" fact="0.5316"/>
                  <dgm:constr type="w" for="ch" forName="ParentAccent2" refType="w" fact="0.0283"/>
                  <dgm:constr type="h" for="ch" forName="ParentAccent2" refType="h" fact="0.0518"/>
                  <dgm:constr type="l" for="ch" forName="ParentAccent3" refType="w" fact="0.8682"/>
                  <dgm:constr type="t" for="ch" forName="ParentAccent3" refType="h" fact="0.5316"/>
                  <dgm:constr type="w" for="ch" forName="ParentAccent3" refType="w" fact="0.0283"/>
                  <dgm:constr type="h" for="ch" forName="ParentAccent3" refType="h" fact="0.0518"/>
                  <dgm:constr type="l" for="ch" forName="ParentAccent4" refType="w" fact="0.8164"/>
                  <dgm:constr type="t" for="ch" forName="ParentAccent4" refType="h" fact="0.5316"/>
                  <dgm:constr type="w" for="ch" forName="ParentAccent4" refType="w" fact="0.0283"/>
                  <dgm:constr type="h" for="ch" forName="ParentAccent4" refType="h" fact="0.0518"/>
                  <dgm:constr type="l" for="ch" forName="ParentAccent5" refType="w" fact="0.7646"/>
                  <dgm:constr type="t" for="ch" forName="ParentAccent5" refType="h" fact="0.5316"/>
                  <dgm:constr type="w" for="ch" forName="ParentAccent5" refType="w" fact="0.0283"/>
                  <dgm:constr type="h" for="ch" forName="ParentAccent5" refType="h" fact="0.0518"/>
                  <dgm:constr type="l" for="ch" forName="ParentAccent6" refType="w" fact="0.6846"/>
                  <dgm:constr type="t" for="ch" forName="ParentAccent6" refType="h" fact="0.5057"/>
                  <dgm:constr type="w" for="ch" forName="ParentAccent6" refType="w" fact="0.0566"/>
                  <dgm:constr type="h" for="ch" forName="ParentAccent6" refType="h" fact="0.1035"/>
                  <dgm:constr type="l" for="ch" forName="ParentAccent7" refType="w" fact="0.9256"/>
                  <dgm:constr type="t" for="ch" forName="ParentAccent7" refType="h" fact="0.4247"/>
                  <dgm:constr type="w" for="ch" forName="ParentAccent7" refType="w" fact="0.0283"/>
                  <dgm:constr type="h" for="ch" forName="ParentAccent7" refType="h" fact="0.0518"/>
                  <dgm:constr type="l" for="ch" forName="ParentAccent8" refType="w" fact="0.9256"/>
                  <dgm:constr type="t" for="ch" forName="ParentAccent8" refType="h" fact="0.6392"/>
                  <dgm:constr type="w" for="ch" forName="ParentAccent8" refType="w" fact="0.0283"/>
                  <dgm:constr type="h" for="ch" forName="ParentAccent8" refType="h" fact="0.0518"/>
                  <dgm:constr type="l" for="ch" forName="ParentAccent9" refType="w" fact="0.9509"/>
                  <dgm:constr type="t" for="ch" forName="ParentAccent9" refType="h" fact="0.4712"/>
                  <dgm:constr type="w" for="ch" forName="ParentAccent9" refType="w" fact="0.0283"/>
                  <dgm:constr type="h" for="ch" forName="ParentAccent9" refType="h" fact="0.0518"/>
                  <dgm:constr type="l" for="ch" forName="ParentAccent10" refType="w" fact="0.9525"/>
                  <dgm:constr type="t" for="ch" forName="ParentAccent10" refType="h" fact="0.593"/>
                  <dgm:constr type="w" for="ch" forName="ParentAccent10" refType="w" fact="0.0283"/>
                  <dgm:constr type="h" for="ch" forName="ParentAccent10" refType="h" fact="0.0518"/>
                  <dgm:constr type="l" for="ch" forName="Child4" refType="w" fact="0.0081"/>
                  <dgm:constr type="t" for="ch" forName="Child4" refType="h" fact="0.8184"/>
                  <dgm:constr type="w" for="ch" forName="Child4" refType="w" fact="0.3192"/>
                  <dgm:constr type="h" for="ch" forName="Child4" refType="h" fact="0.1294"/>
                  <dgm:constr type="l" for="ch" forName="Child3" refType="w" fact="0"/>
                  <dgm:constr type="t" for="ch" forName="Child3" refType="h" fact="0.5547"/>
                  <dgm:constr type="w" for="ch" forName="Child3" refType="w" fact="0.297"/>
                  <dgm:constr type="h" for="ch" forName="Child3" refType="h" fact="0.1294"/>
                  <dgm:constr type="l" for="ch" forName="Child2" refType="w" fact="0"/>
                  <dgm:constr type="t" for="ch" forName="Child2" refType="h" fact="0.2662"/>
                  <dgm:constr type="w" for="ch" forName="Child2" refType="w" fact="0.297"/>
                  <dgm:constr type="h" for="ch" forName="Child2" refType="h" fact="0.1294"/>
                  <dgm:constr type="l" for="ch" forName="Child1" refType="w" fact="0.0081"/>
                  <dgm:constr type="t" for="ch" forName="Child1" refType="h" fact="0"/>
                  <dgm:constr type="w" for="ch" forName="Child1" refType="w" fact="0.3192"/>
                  <dgm:constr type="h" for="ch" forName="Child1" refType="h" fact="0.1294"/>
                </dgm:constrLst>
              </dgm:if>
              <dgm:else name="Name12">
                <dgm:alg type="composite">
                  <dgm:param type="ar" val="1.3278"/>
                </dgm:alg>
                <dgm:constrLst>
                  <dgm:constr type="l" for="ch" forName="Child2Accent1" refType="w" fact="0.3436"/>
                  <dgm:constr type="t" for="ch" forName="Child2Accent1" refType="h" fact="0.3184"/>
                  <dgm:constr type="w" for="ch" forName="Child2Accent1" refType="w" fact="0.0574"/>
                  <dgm:constr type="h" for="ch" forName="Child2Accent1" refType="h" fact="0.0763"/>
                  <dgm:constr type="l" for="ch" forName="Child2Accent2" refType="w" fact="0.3068"/>
                  <dgm:constr type="t" for="ch" forName="Child2Accent2" refType="h" fact="0.2781"/>
                  <dgm:constr type="w" for="ch" forName="Child2Accent2" refType="w" fact="0.0287"/>
                  <dgm:constr type="h" for="ch" forName="Child2Accent2" refType="h" fact="0.0381"/>
                  <dgm:constr type="l" for="ch" forName="Child2Accent3" refType="w" fact="0.2455"/>
                  <dgm:constr type="t" for="ch" forName="Child2Accent3" refType="h" fact="0.2781"/>
                  <dgm:constr type="w" for="ch" forName="Child2Accent3" refType="w" fact="0.0287"/>
                  <dgm:constr type="h" for="ch" forName="Child2Accent3" refType="h" fact="0.0381"/>
                  <dgm:constr type="l" for="ch" forName="Child2Accent4" refType="w" fact="0.1842"/>
                  <dgm:constr type="t" for="ch" forName="Child2Accent4" refType="h" fact="0.2781"/>
                  <dgm:constr type="w" for="ch" forName="Child2Accent4" refType="w" fact="0.0287"/>
                  <dgm:constr type="h" for="ch" forName="Child2Accent4" refType="h" fact="0.0381"/>
                  <dgm:constr type="l" for="ch" forName="Child2Accent5" refType="w" fact="0.1229"/>
                  <dgm:constr type="t" for="ch" forName="Child2Accent5" refType="h" fact="0.2781"/>
                  <dgm:constr type="w" for="ch" forName="Child2Accent5" refType="w" fact="0.0287"/>
                  <dgm:constr type="h" for="ch" forName="Child2Accent5" refType="h" fact="0.0381"/>
                  <dgm:constr type="l" for="ch" forName="Child3Accent1" refType="w" fact="0.284"/>
                  <dgm:constr type="t" for="ch" forName="Child3Accent1" refType="h" fact="0.5061"/>
                  <dgm:constr type="w" for="ch" forName="Child3Accent1" refType="w" fact="0.0574"/>
                  <dgm:constr type="h" for="ch" forName="Child3Accent1" refType="h" fact="0.0763"/>
                  <dgm:constr type="l" for="ch" forName="Child3Accent2" refType="w" fact="0.2272"/>
                  <dgm:constr type="t" for="ch" forName="Child3Accent2" refType="h" fact="0.5252"/>
                  <dgm:constr type="w" for="ch" forName="Child3Accent2" refType="w" fact="0.0287"/>
                  <dgm:constr type="h" for="ch" forName="Child3Accent2" refType="h" fact="0.0381"/>
                  <dgm:constr type="l" for="ch" forName="Child3Accent3" refType="w" fact="0.1705"/>
                  <dgm:constr type="t" for="ch" forName="Child3Accent3" refType="h" fact="0.5252"/>
                  <dgm:constr type="w" for="ch" forName="Child3Accent3" refType="w" fact="0.0287"/>
                  <dgm:constr type="h" for="ch" forName="Child3Accent3" refType="h" fact="0.0381"/>
                  <dgm:constr type="l" for="ch" forName="Child3Accent4" refType="w" fact="0.1137"/>
                  <dgm:constr type="t" for="ch" forName="Child3Accent4" refType="h" fact="0.5252"/>
                  <dgm:constr type="w" for="ch" forName="Child3Accent4" refType="w" fact="0.0287"/>
                  <dgm:constr type="h" for="ch" forName="Child3Accent4" refType="h" fact="0.0381"/>
                  <dgm:constr type="l" for="ch" forName="Child2Accent6" refType="w" fact="0.0615"/>
                  <dgm:constr type="t" for="ch" forName="Child2Accent6" refType="h" fact="0.2781"/>
                  <dgm:constr type="w" for="ch" forName="Child2Accent6" refType="w" fact="0.0287"/>
                  <dgm:constr type="h" for="ch" forName="Child2Accent6" refType="h" fact="0.0381"/>
                  <dgm:constr type="l" for="ch" forName="Child3Accent5" refType="w" fact="0.057"/>
                  <dgm:constr type="t" for="ch" forName="Child3Accent5" refType="h" fact="0.5252"/>
                  <dgm:constr type="w" for="ch" forName="Child3Accent5" refType="w" fact="0.0287"/>
                  <dgm:constr type="h" for="ch" forName="Child3Accent5" refType="h" fact="0.0381"/>
                  <dgm:constr type="l" for="ch" forName="Child2Accent7" refType="w" fact="0.0002"/>
                  <dgm:constr type="t" for="ch" forName="Child2Accent7" refType="h" fact="0.2781"/>
                  <dgm:constr type="w" for="ch" forName="Child2Accent7" refType="w" fact="0.0287"/>
                  <dgm:constr type="h" for="ch" forName="Child2Accent7" refType="h" fact="0.0381"/>
                  <dgm:constr type="l" for="ch" forName="Child3Accent6" refType="w" fact="0.0002"/>
                  <dgm:constr type="t" for="ch" forName="Child3Accent6" refType="h" fact="0.5252"/>
                  <dgm:constr type="w" for="ch" forName="Child3Accent6" refType="w" fact="0.0287"/>
                  <dgm:constr type="h" for="ch" forName="Child3Accent6" refType="h" fact="0.0381"/>
                  <dgm:constr type="l" for="ch" forName="Child3Accent7" refType="w" fact="0"/>
                  <dgm:constr type="t" for="ch" forName="Child3Accent7" refType="h" fact="0"/>
                  <dgm:constr type="w" for="ch" forName="Child3Accent7" refType="w" fact="0"/>
                  <dgm:constr type="h" for="ch" forName="Child3Accent7" refType="h" fact="0"/>
                  <dgm:constr type="l" for="ch" forName="Child4Accent1" refType="w" fact="0.3436"/>
                  <dgm:constr type="t" for="ch" forName="Child4Accent1" refType="h" fact="0.6908"/>
                  <dgm:constr type="w" for="ch" forName="Child4Accent1" refType="w" fact="0.0574"/>
                  <dgm:constr type="h" for="ch" forName="Child4Accent1" refType="h" fact="0.0763"/>
                  <dgm:constr type="l" for="ch" forName="Child4Accent2" refType="w" fact="0.3068"/>
                  <dgm:constr type="t" for="ch" forName="Child4Accent2" refType="h" fact="0.7684"/>
                  <dgm:constr type="w" for="ch" forName="Child4Accent2" refType="w" fact="0.0287"/>
                  <dgm:constr type="h" for="ch" forName="Child4Accent2" refType="h" fact="0.0381"/>
                  <dgm:constr type="l" for="ch" forName="Child4Accent3" refType="w" fact="0.2455"/>
                  <dgm:constr type="t" for="ch" forName="Child4Accent3" refType="h" fact="0.7684"/>
                  <dgm:constr type="w" for="ch" forName="Child4Accent3" refType="w" fact="0.0287"/>
                  <dgm:constr type="h" for="ch" forName="Child4Accent3" refType="h" fact="0.0381"/>
                  <dgm:constr type="l" for="ch" forName="Child4Accent4" refType="w" fact="0.1842"/>
                  <dgm:constr type="t" for="ch" forName="Child4Accent4" refType="h" fact="0.7684"/>
                  <dgm:constr type="w" for="ch" forName="Child4Accent4" refType="w" fact="0.0287"/>
                  <dgm:constr type="h" for="ch" forName="Child4Accent4" refType="h" fact="0.0381"/>
                  <dgm:constr type="l" for="ch" forName="Child4Accent5" refType="w" fact="0.1229"/>
                  <dgm:constr type="t" for="ch" forName="Child4Accent5" refType="h" fact="0.7684"/>
                  <dgm:constr type="w" for="ch" forName="Child4Accent5" refType="w" fact="0.0287"/>
                  <dgm:constr type="h" for="ch" forName="Child4Accent5" refType="h" fact="0.0381"/>
                  <dgm:constr type="l" for="ch" forName="Child4Accent6" refType="w" fact="0.0615"/>
                  <dgm:constr type="t" for="ch" forName="Child4Accent6" refType="h" fact="0.7684"/>
                  <dgm:constr type="w" for="ch" forName="Child4Accent6" refType="w" fact="0.0287"/>
                  <dgm:constr type="h" for="ch" forName="Child4Accent6" refType="h" fact="0.0381"/>
                  <dgm:constr type="l" for="ch" forName="Child4Accent7" refType="w" fact="0.0002"/>
                  <dgm:constr type="t" for="ch" forName="Child4Accent7" refType="h" fact="0.7684"/>
                  <dgm:constr type="w" for="ch" forName="Child4Accent7" refType="w" fact="0.0287"/>
                  <dgm:constr type="h" for="ch" forName="Child4Accent7" refType="h" fact="0.0381"/>
                  <dgm:constr type="l" for="ch" forName="Child4Accent8" refType="w" fact="0"/>
                  <dgm:constr type="t" for="ch" forName="Child4Accent8" refType="h" fact="0"/>
                  <dgm:constr type="w" for="ch" forName="Child4Accent8" refType="w" fact="0"/>
                  <dgm:constr type="h" for="ch" forName="Child4Accent8" refType="h" fact="0"/>
                  <dgm:constr type="l" for="ch" forName="ParentAccent1" refType="w" fact="0.9713"/>
                  <dgm:constr type="t" for="ch" forName="ParentAccent1" refType="h" fact="0.5252"/>
                  <dgm:constr type="w" for="ch" forName="ParentAccent1" refType="w" fact="0.0287"/>
                  <dgm:constr type="h" for="ch" forName="ParentAccent1" refType="h" fact="0.0381"/>
                  <dgm:constr type="l" for="ch" forName="ParentAccent2" refType="w" fact="0.9187"/>
                  <dgm:constr type="t" for="ch" forName="ParentAccent2" refType="h" fact="0.5252"/>
                  <dgm:constr type="w" for="ch" forName="ParentAccent2" refType="w" fact="0.0287"/>
                  <dgm:constr type="h" for="ch" forName="ParentAccent2" refType="h" fact="0.0381"/>
                  <dgm:constr type="l" for="ch" forName="ParentAccent3" refType="w" fact="0.8661"/>
                  <dgm:constr type="t" for="ch" forName="ParentAccent3" refType="h" fact="0.5252"/>
                  <dgm:constr type="w" for="ch" forName="ParentAccent3" refType="w" fact="0.0287"/>
                  <dgm:constr type="h" for="ch" forName="ParentAccent3" refType="h" fact="0.0381"/>
                  <dgm:constr type="l" for="ch" forName="ParentAccent4" refType="w" fact="0.8136"/>
                  <dgm:constr type="t" for="ch" forName="ParentAccent4" refType="h" fact="0.5252"/>
                  <dgm:constr type="w" for="ch" forName="ParentAccent4" refType="w" fact="0.0287"/>
                  <dgm:constr type="h" for="ch" forName="ParentAccent4" refType="h" fact="0.0381"/>
                  <dgm:constr type="l" for="ch" forName="ParentAccent5" refType="w" fact="0.761"/>
                  <dgm:constr type="t" for="ch" forName="ParentAccent5" refType="h" fact="0.5252"/>
                  <dgm:constr type="w" for="ch" forName="ParentAccent5" refType="w" fact="0.0287"/>
                  <dgm:constr type="h" for="ch" forName="ParentAccent5" refType="h" fact="0.0381"/>
                  <dgm:constr type="l" for="ch" forName="ParentAccent6" refType="w" fact="0.6797"/>
                  <dgm:constr type="t" for="ch" forName="ParentAccent6" refType="h" fact="0.5061"/>
                  <dgm:constr type="w" for="ch" forName="ParentAccent6" refType="w" fact="0.0574"/>
                  <dgm:constr type="h" for="ch" forName="ParentAccent6" refType="h" fact="0.0763"/>
                  <dgm:constr type="l" for="ch" forName="ParentAccent7" refType="w" fact="0.9245"/>
                  <dgm:constr type="t" for="ch" forName="ParentAccent7" refType="h" fact="0.4464"/>
                  <dgm:constr type="w" for="ch" forName="ParentAccent7" refType="w" fact="0.0287"/>
                  <dgm:constr type="h" for="ch" forName="ParentAccent7" refType="h" fact="0.0381"/>
                  <dgm:constr type="l" for="ch" forName="ParentAccent8" refType="w" fact="0.9245"/>
                  <dgm:constr type="t" for="ch" forName="ParentAccent8" refType="h" fact="0.6045"/>
                  <dgm:constr type="w" for="ch" forName="ParentAccent8" refType="w" fact="0.0287"/>
                  <dgm:constr type="h" for="ch" forName="ParentAccent8" refType="h" fact="0.0381"/>
                  <dgm:constr type="l" for="ch" forName="ParentAccent9" refType="w" fact="0.9501"/>
                  <dgm:constr type="t" for="ch" forName="ParentAccent9" refType="h" fact="0.4807"/>
                  <dgm:constr type="w" for="ch" forName="ParentAccent9" refType="w" fact="0.0287"/>
                  <dgm:constr type="h" for="ch" forName="ParentAccent9" refType="h" fact="0.0381"/>
                  <dgm:constr type="l" for="ch" forName="ParentAccent10" refType="w" fact="0.9518"/>
                  <dgm:constr type="t" for="ch" forName="ParentAccent10" refType="h" fact="0.5705"/>
                  <dgm:constr type="w" for="ch" forName="ParentAccent10" refType="w" fact="0.0287"/>
                  <dgm:constr type="h" for="ch" forName="ParentAccent10" refType="h" fact="0.0381"/>
                  <dgm:constr type="l" for="ch" forName="Child1Accent1" refType="w" fact="0.4819"/>
                  <dgm:constr type="t" for="ch" forName="Child1Accent1" refType="h" fact="0.2457"/>
                  <dgm:constr type="w" for="ch" forName="Child1Accent1" refType="w" fact="0.0574"/>
                  <dgm:constr type="h" for="ch" forName="Child1Accent1" refType="h" fact="0.0763"/>
                  <dgm:constr type="l" for="ch" forName="Child1Accent4" refType="w" fact="0.3653"/>
                  <dgm:constr type="t" for="ch" forName="Child1Accent4" refType="h" fact="0.097"/>
                  <dgm:constr type="w" for="ch" forName="Child1Accent4" refType="w" fact="0.0287"/>
                  <dgm:constr type="h" for="ch" forName="Child1Accent4" refType="h" fact="0.0381"/>
                  <dgm:constr type="l" for="ch" forName="Child1Accent5" refType="w" fact="0.304"/>
                  <dgm:constr type="t" for="ch" forName="Child1Accent5" refType="h" fact="0.097"/>
                  <dgm:constr type="w" for="ch" forName="Child1Accent5" refType="w" fact="0.0287"/>
                  <dgm:constr type="h" for="ch" forName="Child1Accent5" refType="h" fact="0.0381"/>
                  <dgm:constr type="l" for="ch" forName="Child1Accent6" refType="w" fact="0.2426"/>
                  <dgm:constr type="t" for="ch" forName="Child1Accent6" refType="h" fact="0.097"/>
                  <dgm:constr type="w" for="ch" forName="Child1Accent6" refType="w" fact="0.0287"/>
                  <dgm:constr type="h" for="ch" forName="Child1Accent6" refType="h" fact="0.0381"/>
                  <dgm:constr type="l" for="ch" forName="Child1Accent7" refType="w" fact="0.1813"/>
                  <dgm:constr type="t" for="ch" forName="Child1Accent7" refType="h" fact="0.097"/>
                  <dgm:constr type="w" for="ch" forName="Child1Accent7" refType="w" fact="0.0287"/>
                  <dgm:constr type="h" for="ch" forName="Child1Accent7" refType="h" fact="0.0381"/>
                  <dgm:constr type="l" for="ch" forName="Child1Accent8" refType="w" fact="0.12"/>
                  <dgm:constr type="t" for="ch" forName="Child1Accent8" refType="h" fact="0.097"/>
                  <dgm:constr type="w" for="ch" forName="Child1Accent8" refType="w" fact="0.0287"/>
                  <dgm:constr type="h" for="ch" forName="Child1Accent8" refType="h" fact="0.0381"/>
                  <dgm:constr type="l" for="ch" forName="Child1Accent9" refType="w" fact="0.0587"/>
                  <dgm:constr type="t" for="ch" forName="Child1Accent9" refType="h" fact="0.097"/>
                  <dgm:constr type="w" for="ch" forName="Child1Accent9" refType="w" fact="0.0287"/>
                  <dgm:constr type="h" for="ch" forName="Child1Accent9" refType="h" fact="0.0381"/>
                  <dgm:constr type="l" for="ch" forName="Child5Accent1" refType="w" fact="0.4819"/>
                  <dgm:constr type="t" for="ch" forName="Child5Accent1" refType="h" fact="0.7601"/>
                  <dgm:constr type="w" for="ch" forName="Child5Accent1" refType="w" fact="0.0574"/>
                  <dgm:constr type="h" for="ch" forName="Child5Accent1" refType="h" fact="0.0763"/>
                  <dgm:constr type="l" for="ch" forName="Child5Accent4" refType="w" fact="0.3653"/>
                  <dgm:constr type="t" for="ch" forName="Child5Accent4" refType="h" fact="0.9619"/>
                  <dgm:constr type="w" for="ch" forName="Child5Accent4" refType="w" fact="0.0287"/>
                  <dgm:constr type="h" for="ch" forName="Child5Accent4" refType="h" fact="0.0381"/>
                  <dgm:constr type="l" for="ch" forName="Child5Accent5" refType="w" fact="0.304"/>
                  <dgm:constr type="t" for="ch" forName="Child5Accent5" refType="h" fact="0.9619"/>
                  <dgm:constr type="w" for="ch" forName="Child5Accent5" refType="w" fact="0.0287"/>
                  <dgm:constr type="h" for="ch" forName="Child5Accent5" refType="h" fact="0.0381"/>
                  <dgm:constr type="l" for="ch" forName="Child5Accent6" refType="w" fact="0.2426"/>
                  <dgm:constr type="t" for="ch" forName="Child5Accent6" refType="h" fact="0.9619"/>
                  <dgm:constr type="w" for="ch" forName="Child5Accent6" refType="w" fact="0.0287"/>
                  <dgm:constr type="h" for="ch" forName="Child5Accent6" refType="h" fact="0.0381"/>
                  <dgm:constr type="l" for="ch" forName="Child5Accent7" refType="w" fact="0.1813"/>
                  <dgm:constr type="t" for="ch" forName="Child5Accent7" refType="h" fact="0.9619"/>
                  <dgm:constr type="w" for="ch" forName="Child5Accent7" refType="w" fact="0.0287"/>
                  <dgm:constr type="h" for="ch" forName="Child5Accent7" refType="h" fact="0.0381"/>
                  <dgm:constr type="l" for="ch" forName="Child5Accent8" refType="w" fact="0.12"/>
                  <dgm:constr type="t" for="ch" forName="Child5Accent8" refType="h" fact="0.9619"/>
                  <dgm:constr type="w" for="ch" forName="Child5Accent8" refType="w" fact="0.0287"/>
                  <dgm:constr type="h" for="ch" forName="Child5Accent8" refType="h" fact="0.0381"/>
                  <dgm:constr type="l" for="ch" forName="Child5Accent9" refType="w" fact="0.0587"/>
                  <dgm:constr type="t" for="ch" forName="Child5Accent9" refType="h" fact="0.9619"/>
                  <dgm:constr type="w" for="ch" forName="Child5Accent9" refType="w" fact="0.0287"/>
                  <dgm:constr type="h" for="ch" forName="Child5Accent9" refType="h" fact="0.0381"/>
                  <dgm:constr type="l" for="ch" forName="Child5Accent2" refType="w" fact="0.453"/>
                  <dgm:constr type="t" for="ch" forName="Child5Accent2" refType="h" fact="0.8375"/>
                  <dgm:constr type="w" for="ch" forName="Child5Accent2" refType="w" fact="0.0287"/>
                  <dgm:constr type="h" for="ch" forName="Child5Accent2" refType="h" fact="0.0381"/>
                  <dgm:constr type="l" for="ch" forName="Child5Accent3" refType="w" fact="0.4118"/>
                  <dgm:constr type="t" for="ch" forName="Child5Accent3" refType="h" fact="0.8991"/>
                  <dgm:constr type="w" for="ch" forName="Child5Accent3" refType="w" fact="0.0287"/>
                  <dgm:constr type="h" for="ch" forName="Child5Accent3" refType="h" fact="0.0381"/>
                  <dgm:constr type="l" for="ch" forName="Child1Accent2" refType="w" fact="0.4458"/>
                  <dgm:constr type="t" for="ch" forName="Child1Accent2" refType="h" fact="0.2004"/>
                  <dgm:constr type="w" for="ch" forName="Child1Accent2" refType="w" fact="0.0287"/>
                  <dgm:constr type="h" for="ch" forName="Child1Accent2" refType="h" fact="0.0381"/>
                  <dgm:constr type="l" for="ch" forName="Child1Accent3" refType="w" fact="0.4054"/>
                  <dgm:constr type="t" for="ch" forName="Child1Accent3" refType="h" fact="0.1445"/>
                  <dgm:constr type="w" for="ch" forName="Child1Accent3" refType="w" fact="0.0287"/>
                  <dgm:constr type="h" for="ch" forName="Child1Accent3" refType="h" fact="0.0381"/>
                  <dgm:constr type="l" for="ch" forName="Child5" refType="w" fact="0.0581"/>
                  <dgm:constr type="t" for="ch" forName="Child5" refType="h" fact="0.8635"/>
                  <dgm:constr type="w" for="ch" forName="Child5" refType="w" fact="0.3364"/>
                  <dgm:constr type="h" for="ch" forName="Child5" refType="h" fact="0.0981"/>
                  <dgm:constr type="l" for="ch" forName="Child4" refType="w" fact="0"/>
                  <dgm:constr type="t" for="ch" forName="Child4" refType="h" fact="0.6701"/>
                  <dgm:constr type="w" for="ch" forName="Child4" refType="w" fact="0.3364"/>
                  <dgm:constr type="h" for="ch" forName="Child4" refType="h" fact="0.0981"/>
                  <dgm:constr type="l" for="ch" forName="Child3" refType="w" fact="0"/>
                  <dgm:constr type="t" for="ch" forName="Child3" refType="h" fact="0.4276"/>
                  <dgm:constr type="w" for="ch" forName="Child3" refType="w" fact="0.2544"/>
                  <dgm:constr type="h" for="ch" forName="Child3" refType="h" fact="0.0981"/>
                  <dgm:constr type="l" for="ch" forName="Child2" refType="w" fact="0"/>
                  <dgm:constr type="t" for="ch" forName="Child2" refType="h" fact="0.1798"/>
                  <dgm:constr type="w" for="ch" forName="Child2" refType="w" fact="0.3364"/>
                  <dgm:constr type="h" for="ch" forName="Child2" refType="h" fact="0.0981"/>
                  <dgm:constr type="l" for="ch" forName="Child1" refType="w" fact="0.0581"/>
                  <dgm:constr type="t" for="ch" forName="Child1" refType="h" fact="0"/>
                  <dgm:constr type="w" for="ch" forName="Child1" refType="w" fact="0.3364"/>
                  <dgm:constr type="h" for="ch" forName="Child1" refType="h" fact="0.0981"/>
                  <dgm:constr type="l" for="ch" forName="Parent" refType="w" fact="0.3653"/>
                  <dgm:constr type="t" for="ch" forName="Parent" refType="h" fact="0.3513"/>
                  <dgm:constr type="w" for="ch" forName="Parent" refType="w" fact="0.2906"/>
                  <dgm:constr type="h" for="ch" forName="Parent" refType="h" fact="0.3859"/>
                </dgm:constrLst>
              </dgm:else>
            </dgm:choose>
          </dgm:if>
          <dgm:else name="Name13">
            <dgm:choose name="Name14">
              <dgm:if name="Name15" axis="ch" ptType="node" func="cnt" op="equ" val="0">
                <dgm:alg type="composite">
                  <dgm:param type="ar" val="2.1059"/>
                </dgm:alg>
                <dgm:constrLst>
                  <dgm:constr type="r" for="ch" forName="Parent" refType="w"/>
                  <dgm:constr type="t" for="ch" forName="Parent" refType="h" fact="0"/>
                  <dgm:constr type="w" for="ch" forName="Parent" refType="w" fact="0.4749"/>
                  <dgm:constr type="h" for="ch" forName="Parent" refType="h"/>
                  <dgm:constr type="r" for="ch" forName="ParentAccent1" refType="w" fact="0.0469"/>
                  <dgm:constr type="t" for="ch" forName="ParentAccent1" refType="h" fact="0.4506"/>
                  <dgm:constr type="w" for="ch" forName="ParentAccent1" refType="w" fact="0.0469"/>
                  <dgm:constr type="h" for="ch" forName="ParentAccent1" refType="h" fact="0.0988"/>
                  <dgm:constr type="r" for="ch" forName="ParentAccent2" refType="w" fact="0.1266"/>
                  <dgm:constr type="t" for="ch" forName="ParentAccent2" refType="h" fact="0.4506"/>
                  <dgm:constr type="w" for="ch" forName="ParentAccent2" refType="w" fact="0.0469"/>
                  <dgm:constr type="h" for="ch" forName="ParentAccent2" refType="h" fact="0.0988"/>
                  <dgm:constr type="r" for="ch" forName="ParentAccent3" refType="w" fact="0.2063"/>
                  <dgm:constr type="t" for="ch" forName="ParentAccent3" refType="h" fact="0.4506"/>
                  <dgm:constr type="w" for="ch" forName="ParentAccent3" refType="w" fact="0.0469"/>
                  <dgm:constr type="h" for="ch" forName="ParentAccent3" refType="h" fact="0.0988"/>
                  <dgm:constr type="r" for="ch" forName="ParentAccent4" refType="w" fact="0.286"/>
                  <dgm:constr type="t" for="ch" forName="ParentAccent4" refType="h" fact="0.4506"/>
                  <dgm:constr type="w" for="ch" forName="ParentAccent4" refType="w" fact="0.0469"/>
                  <dgm:constr type="h" for="ch" forName="ParentAccent4" refType="h" fact="0.0988"/>
                  <dgm:constr type="r" for="ch" forName="ParentAccent5" refType="w" fact="0.3657"/>
                  <dgm:constr type="t" for="ch" forName="ParentAccent5" refType="h" fact="0.4506"/>
                  <dgm:constr type="w" for="ch" forName="ParentAccent5" refType="w" fact="0.0469"/>
                  <dgm:constr type="h" for="ch" forName="ParentAccent5" refType="h" fact="0.0988"/>
                  <dgm:constr type="r" for="ch" forName="ParentAccent6" refType="w" fact="0.4924"/>
                  <dgm:constr type="t" for="ch" forName="ParentAccent6" refType="h" fact="0.4012"/>
                  <dgm:constr type="w" for="ch" forName="ParentAccent6" refType="w" fact="0.0939"/>
                  <dgm:constr type="h" for="ch" forName="ParentAccent6" refType="h" fact="0.1976"/>
                  <dgm:constr type="r" for="ch" forName="ParentAccent7" refType="w" fact="0.1234"/>
                  <dgm:constr type="t" for="ch" forName="ParentAccent7" refType="h" fact="0.2465"/>
                  <dgm:constr type="w" for="ch" forName="ParentAccent7" refType="w" fact="0.0469"/>
                  <dgm:constr type="h" for="ch" forName="ParentAccent7" refType="h" fact="0.0988"/>
                  <dgm:constr type="r" for="ch" forName="ParentAccent8" refType="w" fact="0.1234"/>
                  <dgm:constr type="t" for="ch" forName="ParentAccent8" refType="h" fact="0.6562"/>
                  <dgm:constr type="w" for="ch" forName="ParentAccent8" refType="w" fact="0.0469"/>
                  <dgm:constr type="h" for="ch" forName="ParentAccent8" refType="h" fact="0.0988"/>
                  <dgm:constr type="r" for="ch" forName="ParentAccent9" refType="w" fact="0.0815"/>
                  <dgm:constr type="t" for="ch" forName="ParentAccent9" refType="h" fact="0.3353"/>
                  <dgm:constr type="w" for="ch" forName="ParentAccent9" refType="w" fact="0.0469"/>
                  <dgm:constr type="h" for="ch" forName="ParentAccent9" refType="h" fact="0.0988"/>
                  <dgm:constr type="r" for="ch" forName="ParentAccent10" refType="w" fact="0.0787"/>
                  <dgm:constr type="t" for="ch" forName="ParentAccent10" refType="h" fact="0.5679"/>
                  <dgm:constr type="w" for="ch" forName="ParentAccent10" refType="w" fact="0.0469"/>
                  <dgm:constr type="h" for="ch" forName="ParentAccent10" refType="h" fact="0.0988"/>
                </dgm:constrLst>
              </dgm:if>
              <dgm:if name="Name16" axis="ch" ptType="node" func="cnt" op="equ" val="1">
                <dgm:alg type="composite">
                  <dgm:param type="ar" val="3.4411"/>
                </dgm:alg>
                <dgm:constrLst>
                  <dgm:constr type="primFontSz" for="des" forName="Child1" val="65"/>
                  <dgm:constr type="primFontSz" for="des" forName="Child1" refType="primFontSz" refFor="des" refForName="Parent" op="lte"/>
                  <dgm:constr type="r" for="ch" forName="Child1Accent1" refType="w" fact="0.716"/>
                  <dgm:constr type="t" for="ch" forName="Child1Accent1" refType="h" fact="0.4012"/>
                  <dgm:constr type="w" for="ch" forName="Child1Accent1" refType="w" fact="0.0574"/>
                  <dgm:constr type="h" for="ch" forName="Child1Accent1" refType="h" fact="0.1976"/>
                  <dgm:constr type="r" for="ch" forName="Child1Accent2" refType="w" fact="0.7728"/>
                  <dgm:constr type="t" for="ch" forName="Child1Accent2" refType="h" fact="0.4506"/>
                  <dgm:constr type="w" for="ch" forName="Child1Accent2" refType="w" fact="0.0287"/>
                  <dgm:constr type="h" for="ch" forName="Child1Accent2" refType="h" fact="0.0988"/>
                  <dgm:constr type="r" for="ch" forName="Child1Accent3" refType="w" fact="0.8295"/>
                  <dgm:constr type="t" for="ch" forName="Child1Accent3" refType="h" fact="0.4506"/>
                  <dgm:constr type="w" for="ch" forName="Child1Accent3" refType="w" fact="0.0287"/>
                  <dgm:constr type="h" for="ch" forName="Child1Accent3" refType="h" fact="0.0988"/>
                  <dgm:constr type="r" for="ch" forName="Child1Accent4" refType="w" fact="0.8863"/>
                  <dgm:constr type="t" for="ch" forName="Child1Accent4" refType="h" fact="0.4506"/>
                  <dgm:constr type="w" for="ch" forName="Child1Accent4" refType="w" fact="0.0287"/>
                  <dgm:constr type="h" for="ch" forName="Child1Accent4" refType="h" fact="0.0988"/>
                  <dgm:constr type="r" for="ch" forName="Child1Accent5" refType="w" fact="0.943"/>
                  <dgm:constr type="t" for="ch" forName="Child1Accent5" refType="h" fact="0.4506"/>
                  <dgm:constr type="w" for="ch" forName="Child1Accent5" refType="w" fact="0.0287"/>
                  <dgm:constr type="h" for="ch" forName="Child1Accent5" refType="h" fact="0.0988"/>
                  <dgm:constr type="r" for="ch" forName="Child1Accent6" refType="w" fact="0.9998"/>
                  <dgm:constr type="t" for="ch" forName="Child1Accent6" refType="h" fact="0.4506"/>
                  <dgm:constr type="w" for="ch" forName="Child1Accent6" refType="w" fact="0.0287"/>
                  <dgm:constr type="h" for="ch" forName="Child1Accent6" refType="h" fact="0.0988"/>
                  <dgm:constr type="l" for="ch" forName="Child1Accent7" refType="w" fact="0"/>
                  <dgm:constr type="t" for="ch" forName="Child1Accent7" refType="h" fact="0"/>
                  <dgm:constr type="w" for="ch" forName="Child1Accent7" refType="w" fact="0"/>
                  <dgm:constr type="h" for="ch" forName="Child1Accent7" refType="h" fact="0"/>
                  <dgm:constr type="l" for="ch" forName="Child1Accent8" refType="w" fact="0"/>
                  <dgm:constr type="t" for="ch" forName="Child1Accent8" refType="h" fact="0"/>
                  <dgm:constr type="w" for="ch" forName="Child1Accent8" refType="w" fact="0"/>
                  <dgm:constr type="h" for="ch" forName="Child1Accent8" refType="h" fact="0"/>
                  <dgm:constr type="l" for="ch" forName="Child1Accent9" refType="w" fact="0"/>
                  <dgm:constr type="t" for="ch" forName="Child1Accent9" refType="h" fact="0"/>
                  <dgm:constr type="w" for="ch" forName="Child1Accent9" refType="w" fact="0"/>
                  <dgm:constr type="h" for="ch" forName="Child1Accent9" refType="h" fact="0"/>
                  <dgm:constr type="r" for="ch" forName="ParentAccent1" refType="w" fact="0.0287"/>
                  <dgm:constr type="t" for="ch" forName="ParentAccent1" refType="h" fact="0.4506"/>
                  <dgm:constr type="w" for="ch" forName="ParentAccent1" refType="w" fact="0.0287"/>
                  <dgm:constr type="h" for="ch" forName="ParentAccent1" refType="h" fact="0.0988"/>
                  <dgm:constr type="r" for="ch" forName="ParentAccent2" refType="w" fact="0.0813"/>
                  <dgm:constr type="t" for="ch" forName="ParentAccent2" refType="h" fact="0.4506"/>
                  <dgm:constr type="w" for="ch" forName="ParentAccent2" refType="w" fact="0.0287"/>
                  <dgm:constr type="h" for="ch" forName="ParentAccent2" refType="h" fact="0.0988"/>
                  <dgm:constr type="r" for="ch" forName="ParentAccent3" refType="w" fact="0.1339"/>
                  <dgm:constr type="t" for="ch" forName="ParentAccent3" refType="h" fact="0.4506"/>
                  <dgm:constr type="w" for="ch" forName="ParentAccent3" refType="w" fact="0.0287"/>
                  <dgm:constr type="h" for="ch" forName="ParentAccent3" refType="h" fact="0.0988"/>
                  <dgm:constr type="r" for="ch" forName="ParentAccent4" refType="w" fact="0.1864"/>
                  <dgm:constr type="t" for="ch" forName="ParentAccent4" refType="h" fact="0.4506"/>
                  <dgm:constr type="w" for="ch" forName="ParentAccent4" refType="w" fact="0.0287"/>
                  <dgm:constr type="h" for="ch" forName="ParentAccent4" refType="h" fact="0.0988"/>
                  <dgm:constr type="r" for="ch" forName="ParentAccent5" refType="w" fact="0.239"/>
                  <dgm:constr type="t" for="ch" forName="ParentAccent5" refType="h" fact="0.4506"/>
                  <dgm:constr type="w" for="ch" forName="ParentAccent5" refType="w" fact="0.0287"/>
                  <dgm:constr type="h" for="ch" forName="ParentAccent5" refType="h" fact="0.0988"/>
                  <dgm:constr type="r" for="ch" forName="ParentAccent6" refType="w" fact="0.3203"/>
                  <dgm:constr type="t" for="ch" forName="ParentAccent6" refType="h" fact="0.4012"/>
                  <dgm:constr type="w" for="ch" forName="ParentAccent6" refType="w" fact="0.0574"/>
                  <dgm:constr type="h" for="ch" forName="ParentAccent6" refType="h" fact="0.1976"/>
                  <dgm:constr type="r" for="ch" forName="ParentAccent7" refType="w" fact="0.0755"/>
                  <dgm:constr type="t" for="ch" forName="ParentAccent7" refType="h" fact="0.2465"/>
                  <dgm:constr type="w" for="ch" forName="ParentAccent7" refType="w" fact="0.0287"/>
                  <dgm:constr type="h" for="ch" forName="ParentAccent7" refType="h" fact="0.0988"/>
                  <dgm:constr type="r" for="ch" forName="ParentAccent8" refType="w" fact="0.0755"/>
                  <dgm:constr type="t" for="ch" forName="ParentAccent8" refType="h" fact="0.6562"/>
                  <dgm:constr type="w" for="ch" forName="ParentAccent8" refType="w" fact="0.0287"/>
                  <dgm:constr type="h" for="ch" forName="ParentAccent8" refType="h" fact="0.0988"/>
                  <dgm:constr type="r" for="ch" forName="ParentAccent9" refType="w" fact="0.0499"/>
                  <dgm:constr type="t" for="ch" forName="ParentAccent9" refType="h" fact="0.3353"/>
                  <dgm:constr type="w" for="ch" forName="ParentAccent9" refType="w" fact="0.0287"/>
                  <dgm:constr type="h" for="ch" forName="ParentAccent9" refType="h" fact="0.0988"/>
                  <dgm:constr type="r" for="ch" forName="ParentAccent10" refType="w" fact="0.0482"/>
                  <dgm:constr type="t" for="ch" forName="ParentAccent10" refType="h" fact="0.5679"/>
                  <dgm:constr type="w" for="ch" forName="ParentAccent10" refType="w" fact="0.0287"/>
                  <dgm:constr type="h" for="ch" forName="ParentAccent10" refType="h" fact="0.0988"/>
                  <dgm:constr type="r" for="ch" forName="Child1" refType="w"/>
                  <dgm:constr type="t" for="ch" forName="Child1" refType="h" fact="0.1978"/>
                  <dgm:constr type="w" for="ch" forName="Child1" refType="w" fact="0.2544"/>
                  <dgm:constr type="h" for="ch" forName="Child1" refType="h" fact="0.2541"/>
                  <dgm:constr type="r" for="ch" forName="Parent" refType="w" fact="0.6347"/>
                  <dgm:constr type="t" for="ch" forName="Parent" refType="h" fact="0"/>
                  <dgm:constr type="w" for="ch" forName="Parent" refType="w" fact="0.2906"/>
                  <dgm:constr type="h" for="ch" forName="Parent" refType="h"/>
                </dgm:constrLst>
              </dgm:if>
              <dgm:if name="Name17" axis="ch" ptType="node" func="cnt" op="equ" val="2">
                <dgm:alg type="composite">
                  <dgm:param type="ar" val="2.1185"/>
                </dgm:alg>
                <dgm:constrLst>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r" for="ch" forName="Child1Accent1" refType="w" fact="0.6564"/>
                  <dgm:constr type="t" for="ch" forName="Child1Accent1" refType="h" fact="0.2211"/>
                  <dgm:constr type="w" for="ch" forName="Child1Accent1" refType="w" fact="0.0574"/>
                  <dgm:constr type="h" for="ch" forName="Child1Accent1" refType="h" fact="0.1217"/>
                  <dgm:constr type="r" for="ch" forName="Child1Accent2" refType="w" fact="0.6932"/>
                  <dgm:constr type="t" for="ch" forName="Child1Accent2" refType="h" fact="0.1569"/>
                  <dgm:constr type="w" for="ch" forName="Child1Accent2" refType="w" fact="0.0287"/>
                  <dgm:constr type="h" for="ch" forName="Child1Accent2" refType="h" fact="0.0608"/>
                  <dgm:constr type="r" for="ch" forName="Child1Accent3" refType="w" fact="0.7545"/>
                  <dgm:constr type="t" for="ch" forName="Child1Accent3" refType="h" fact="0.1569"/>
                  <dgm:constr type="w" for="ch" forName="Child1Accent3" refType="w" fact="0.0287"/>
                  <dgm:constr type="h" for="ch" forName="Child1Accent3" refType="h" fact="0.0608"/>
                  <dgm:constr type="r" for="ch" forName="Child1Accent4" refType="w" fact="0.8158"/>
                  <dgm:constr type="t" for="ch" forName="Child1Accent4" refType="h" fact="0.1569"/>
                  <dgm:constr type="w" for="ch" forName="Child1Accent4" refType="w" fact="0.0287"/>
                  <dgm:constr type="h" for="ch" forName="Child1Accent4" refType="h" fact="0.0608"/>
                  <dgm:constr type="r" for="ch" forName="Child1Accent5" refType="w" fact="0.8771"/>
                  <dgm:constr type="t" for="ch" forName="Child1Accent5" refType="h" fact="0.1569"/>
                  <dgm:constr type="w" for="ch" forName="Child1Accent5" refType="w" fact="0.0287"/>
                  <dgm:constr type="h" for="ch" forName="Child1Accent5" refType="h" fact="0.0608"/>
                  <dgm:constr type="r" for="ch" forName="Child1Accent6" refType="w" fact="0.9385"/>
                  <dgm:constr type="t" for="ch" forName="Child1Accent6" refType="h" fact="0.1569"/>
                  <dgm:constr type="w" for="ch" forName="Child1Accent6" refType="w" fact="0.0287"/>
                  <dgm:constr type="h" for="ch" forName="Child1Accent6" refType="h" fact="0.0608"/>
                  <dgm:constr type="r" for="ch" forName="Child1Accent7" refType="w" fact="0.9998"/>
                  <dgm:constr type="t" for="ch" forName="Child1Accent7" refType="h" fact="0.1569"/>
                  <dgm:constr type="w" for="ch" forName="Child1Accent7" refType="w" fact="0.0287"/>
                  <dgm:constr type="h" for="ch" forName="Child1Accent7" refType="h" fact="0.0608"/>
                  <dgm:constr type="l" for="ch" forName="Child1Accent8" refType="w" fact="0"/>
                  <dgm:constr type="t" for="ch" forName="Child1Accent8" refType="h" fact="0"/>
                  <dgm:constr type="w" for="ch" forName="Child1Accent8" refType="w" fact="0"/>
                  <dgm:constr type="h" for="ch" forName="Child1Accent8" refType="h" fact="0"/>
                  <dgm:constr type="l" for="ch" forName="Child1Accent9" refType="w" fact="0"/>
                  <dgm:constr type="t" for="ch" forName="Child1Accent9" refType="h" fact="0"/>
                  <dgm:constr type="w" for="ch" forName="Child1Accent9" refType="w" fact="0"/>
                  <dgm:constr type="h" for="ch" forName="Child1Accent9" refType="h" fact="0"/>
                  <dgm:constr type="r" for="ch" forName="Child2Accent1" refType="w" fact="0.6564"/>
                  <dgm:constr type="t" for="ch" forName="Child2Accent1" refType="h" fact="0.8153"/>
                  <dgm:constr type="w" for="ch" forName="Child2Accent1" refType="w" fact="0.0574"/>
                  <dgm:constr type="h" for="ch" forName="Child2Accent1" refType="h" fact="0.1217"/>
                  <dgm:constr type="r" for="ch" forName="Child2Accent2" refType="w" fact="0.6932"/>
                  <dgm:constr type="t" for="ch" forName="Child2Accent2" refType="h" fact="0.9392"/>
                  <dgm:constr type="w" for="ch" forName="Child2Accent2" refType="w" fact="0.0287"/>
                  <dgm:constr type="h" for="ch" forName="Child2Accent2" refType="h" fact="0.0608"/>
                  <dgm:constr type="r" for="ch" forName="Child2Accent3" refType="w" fact="0.7545"/>
                  <dgm:constr type="t" for="ch" forName="Child2Accent3" refType="h" fact="0.9392"/>
                  <dgm:constr type="w" for="ch" forName="Child2Accent3" refType="w" fact="0.0287"/>
                  <dgm:constr type="h" for="ch" forName="Child2Accent3" refType="h" fact="0.0608"/>
                  <dgm:constr type="r" for="ch" forName="Child2Accent4" refType="w" fact="0.8158"/>
                  <dgm:constr type="t" for="ch" forName="Child2Accent4" refType="h" fact="0.9392"/>
                  <dgm:constr type="w" for="ch" forName="Child2Accent4" refType="w" fact="0.0287"/>
                  <dgm:constr type="h" for="ch" forName="Child2Accent4" refType="h" fact="0.0608"/>
                  <dgm:constr type="r" for="ch" forName="Child2Accent5" refType="w" fact="0.8771"/>
                  <dgm:constr type="t" for="ch" forName="Child2Accent5" refType="h" fact="0.9392"/>
                  <dgm:constr type="w" for="ch" forName="Child2Accent5" refType="w" fact="0.0287"/>
                  <dgm:constr type="h" for="ch" forName="Child2Accent5" refType="h" fact="0.0608"/>
                  <dgm:constr type="r" for="ch" forName="Child2Accent6" refType="w" fact="0.9385"/>
                  <dgm:constr type="t" for="ch" forName="Child2Accent6" refType="h" fact="0.9392"/>
                  <dgm:constr type="w" for="ch" forName="Child2Accent6" refType="w" fact="0.0287"/>
                  <dgm:constr type="h" for="ch" forName="Child2Accent6" refType="h" fact="0.0608"/>
                  <dgm:constr type="r" for="ch" forName="Child2Accent7" refType="w" fact="0.9998"/>
                  <dgm:constr type="t" for="ch" forName="Child2Accent7" refType="h" fact="0.9392"/>
                  <dgm:constr type="w" for="ch" forName="Child2Accent7" refType="w" fact="0.0287"/>
                  <dgm:constr type="h" for="ch" forName="Child2Accent7" refType="h" fact="0.0608"/>
                  <dgm:constr type="r" for="ch" forName="ParentAccent1" refType="w" fact="0.0287"/>
                  <dgm:constr type="t" for="ch" forName="ParentAccent1" refType="h" fact="0.5511"/>
                  <dgm:constr type="w" for="ch" forName="ParentAccent1" refType="w" fact="0.0287"/>
                  <dgm:constr type="h" for="ch" forName="ParentAccent1" refType="h" fact="0.0608"/>
                  <dgm:constr type="r" for="ch" forName="ParentAccent2" refType="w" fact="0.0813"/>
                  <dgm:constr type="t" for="ch" forName="ParentAccent2" refType="h" fact="0.5511"/>
                  <dgm:constr type="w" for="ch" forName="ParentAccent2" refType="w" fact="0.0287"/>
                  <dgm:constr type="h" for="ch" forName="ParentAccent2" refType="h" fact="0.0608"/>
                  <dgm:constr type="r" for="ch" forName="ParentAccent3" refType="w" fact="0.1339"/>
                  <dgm:constr type="t" for="ch" forName="ParentAccent3" refType="h" fact="0.5511"/>
                  <dgm:constr type="w" for="ch" forName="ParentAccent3" refType="w" fact="0.0287"/>
                  <dgm:constr type="h" for="ch" forName="ParentAccent3" refType="h" fact="0.0608"/>
                  <dgm:constr type="r" for="ch" forName="ParentAccent4" refType="w" fact="0.1864"/>
                  <dgm:constr type="t" for="ch" forName="ParentAccent4" refType="h" fact="0.5511"/>
                  <dgm:constr type="w" for="ch" forName="ParentAccent4" refType="w" fact="0.0287"/>
                  <dgm:constr type="h" for="ch" forName="ParentAccent4" refType="h" fact="0.0608"/>
                  <dgm:constr type="r" for="ch" forName="ParentAccent5" refType="w" fact="0.239"/>
                  <dgm:constr type="t" for="ch" forName="ParentAccent5" refType="h" fact="0.5511"/>
                  <dgm:constr type="w" for="ch" forName="ParentAccent5" refType="w" fact="0.0287"/>
                  <dgm:constr type="h" for="ch" forName="ParentAccent5" refType="h" fact="0.0608"/>
                  <dgm:constr type="r" for="ch" forName="ParentAccent6" refType="w" fact="0.3203"/>
                  <dgm:constr type="t" for="ch" forName="ParentAccent6" refType="h" fact="0.5207"/>
                  <dgm:constr type="w" for="ch" forName="ParentAccent6" refType="w" fact="0.0574"/>
                  <dgm:constr type="h" for="ch" forName="ParentAccent6" refType="h" fact="0.1217"/>
                  <dgm:constr type="r" for="ch" forName="ParentAccent7" refType="w" fact="0.0755"/>
                  <dgm:constr type="t" for="ch" forName="ParentAccent7" refType="h" fact="0.4255"/>
                  <dgm:constr type="w" for="ch" forName="ParentAccent7" refType="w" fact="0.0287"/>
                  <dgm:constr type="h" for="ch" forName="ParentAccent7" refType="h" fact="0.0608"/>
                  <dgm:constr type="r" for="ch" forName="ParentAccent8" refType="w" fact="0.0755"/>
                  <dgm:constr type="t" for="ch" forName="ParentAccent8" refType="h" fact="0.6776"/>
                  <dgm:constr type="w" for="ch" forName="ParentAccent8" refType="w" fact="0.0287"/>
                  <dgm:constr type="h" for="ch" forName="ParentAccent8" refType="h" fact="0.0608"/>
                  <dgm:constr type="r" for="ch" forName="ParentAccent9" refType="w" fact="0.0499"/>
                  <dgm:constr type="t" for="ch" forName="ParentAccent9" refType="h" fact="0.4801"/>
                  <dgm:constr type="w" for="ch" forName="ParentAccent9" refType="w" fact="0.0287"/>
                  <dgm:constr type="h" for="ch" forName="ParentAccent9" refType="h" fact="0.0608"/>
                  <dgm:constr type="r" for="ch" forName="ParentAccent10" refType="w" fact="0.0482"/>
                  <dgm:constr type="t" for="ch" forName="ParentAccent10" refType="h" fact="0.6233"/>
                  <dgm:constr type="w" for="ch" forName="ParentAccent10" refType="w" fact="0.0287"/>
                  <dgm:constr type="h" for="ch" forName="ParentAccent10" refType="h" fact="0.0608"/>
                  <dgm:constr type="r" for="ch" forName="Child2" refType="w"/>
                  <dgm:constr type="t" for="ch" forName="Child2" refType="h" fact="0.7822"/>
                  <dgm:constr type="w" for="ch" forName="Child2" refType="w" fact="0.3364"/>
                  <dgm:constr type="h" for="ch" forName="Child2" refType="h" fact="0.1564"/>
                  <dgm:constr type="r" for="ch" forName="Child1" refType="w"/>
                  <dgm:constr type="t" for="ch" forName="Child1" refType="h" fact="0"/>
                  <dgm:constr type="w" for="ch" forName="Child1" refType="w" fact="0.3364"/>
                  <dgm:constr type="h" for="ch" forName="Child1" refType="h" fact="0.1564"/>
                  <dgm:constr type="r" for="ch" forName="Parent" refType="w" fact="0.6347"/>
                  <dgm:constr type="t" for="ch" forName="Parent" refType="h" fact="0.2737"/>
                  <dgm:constr type="w" for="ch" forName="Parent" refType="w" fact="0.2906"/>
                  <dgm:constr type="h" for="ch" forName="Parent" refType="h" fact="0.6157"/>
                </dgm:constrLst>
              </dgm:if>
              <dgm:if name="Name18" axis="ch" ptType="node" func="cnt" op="equ" val="3">
                <dgm:alg type="composite">
                  <dgm:param type="ar" val="2.1185"/>
                </dgm:alg>
                <dgm:constrLst>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r" for="ch" forName="Child1Accent1" refType="w" fact="0.6564"/>
                  <dgm:constr type="t" for="ch" forName="Child1Accent1" refType="h" fact="0.2211"/>
                  <dgm:constr type="w" for="ch" forName="Child1Accent1" refType="w" fact="0.0574"/>
                  <dgm:constr type="h" for="ch" forName="Child1Accent1" refType="h" fact="0.1217"/>
                  <dgm:constr type="r" for="ch" forName="Child1Accent2" refType="w" fact="0.6932"/>
                  <dgm:constr type="t" for="ch" forName="Child1Accent2" refType="h" fact="0.1569"/>
                  <dgm:constr type="w" for="ch" forName="Child1Accent2" refType="w" fact="0.0287"/>
                  <dgm:constr type="h" for="ch" forName="Child1Accent2" refType="h" fact="0.0608"/>
                  <dgm:constr type="r" for="ch" forName="Child1Accent3" refType="w" fact="0.7545"/>
                  <dgm:constr type="t" for="ch" forName="Child1Accent3" refType="h" fact="0.1569"/>
                  <dgm:constr type="w" for="ch" forName="Child1Accent3" refType="w" fact="0.0287"/>
                  <dgm:constr type="h" for="ch" forName="Child1Accent3" refType="h" fact="0.0608"/>
                  <dgm:constr type="r" for="ch" forName="Child1Accent4" refType="w" fact="0.8158"/>
                  <dgm:constr type="t" for="ch" forName="Child1Accent4" refType="h" fact="0.1569"/>
                  <dgm:constr type="w" for="ch" forName="Child1Accent4" refType="w" fact="0.0287"/>
                  <dgm:constr type="h" for="ch" forName="Child1Accent4" refType="h" fact="0.0608"/>
                  <dgm:constr type="r" for="ch" forName="Child1Accent5" refType="w" fact="0.8771"/>
                  <dgm:constr type="t" for="ch" forName="Child1Accent5" refType="h" fact="0.1569"/>
                  <dgm:constr type="w" for="ch" forName="Child1Accent5" refType="w" fact="0.0287"/>
                  <dgm:constr type="h" for="ch" forName="Child1Accent5" refType="h" fact="0.0608"/>
                  <dgm:constr type="r" for="ch" forName="Child1Accent6" refType="w" fact="0.9385"/>
                  <dgm:constr type="t" for="ch" forName="Child1Accent6" refType="h" fact="0.1569"/>
                  <dgm:constr type="w" for="ch" forName="Child1Accent6" refType="w" fact="0.0287"/>
                  <dgm:constr type="h" for="ch" forName="Child1Accent6" refType="h" fact="0.0608"/>
                  <dgm:constr type="r" for="ch" forName="Child1Accent7" refType="w" fact="0.9998"/>
                  <dgm:constr type="t" for="ch" forName="Child1Accent7" refType="h" fact="0.1569"/>
                  <dgm:constr type="w" for="ch" forName="Child1Accent7" refType="w" fact="0.0287"/>
                  <dgm:constr type="h" for="ch" forName="Child1Accent7" refType="h" fact="0.0608"/>
                  <dgm:constr type="r" for="ch" forName="Child1Accent8" refType="w" fact="0"/>
                  <dgm:constr type="t" for="ch" forName="Child1Accent8" refType="h" fact="0"/>
                  <dgm:constr type="w" for="ch" forName="Child1Accent8" refType="w" fact="0"/>
                  <dgm:constr type="h" for="ch" forName="Child1Accent8" refType="h" fact="0"/>
                  <dgm:constr type="r" for="ch" forName="Child1Accent9" refType="w" fact="0"/>
                  <dgm:constr type="t" for="ch" forName="Child1Accent9" refType="h" fact="0"/>
                  <dgm:constr type="w" for="ch" forName="Child1Accent9" refType="w" fact="0"/>
                  <dgm:constr type="h" for="ch" forName="Child1Accent9" refType="h" fact="0"/>
                  <dgm:constr type="r" for="ch" forName="Child2Accent1" refType="w" fact="0.716"/>
                  <dgm:constr type="t" for="ch" forName="Child2Accent1" refType="h" fact="0.5207"/>
                  <dgm:constr type="w" for="ch" forName="Child2Accent1" refType="w" fact="0.0574"/>
                  <dgm:constr type="h" for="ch" forName="Child2Accent1" refType="h" fact="0.1217"/>
                  <dgm:constr type="r" for="ch" forName="Child2Accent2" refType="w" fact="0.7728"/>
                  <dgm:constr type="t" for="ch" forName="Child2Accent2" refType="h" fact="0.5511"/>
                  <dgm:constr type="w" for="ch" forName="Child2Accent2" refType="w" fact="0.0287"/>
                  <dgm:constr type="h" for="ch" forName="Child2Accent2" refType="h" fact="0.0608"/>
                  <dgm:constr type="r" for="ch" forName="Child2Accent3" refType="w" fact="0.8295"/>
                  <dgm:constr type="t" for="ch" forName="Child2Accent3" refType="h" fact="0.5511"/>
                  <dgm:constr type="w" for="ch" forName="Child2Accent3" refType="w" fact="0.0287"/>
                  <dgm:constr type="h" for="ch" forName="Child2Accent3" refType="h" fact="0.0608"/>
                  <dgm:constr type="r" for="ch" forName="Child2Accent4" refType="w" fact="0.8863"/>
                  <dgm:constr type="t" for="ch" forName="Child2Accent4" refType="h" fact="0.5511"/>
                  <dgm:constr type="w" for="ch" forName="Child2Accent4" refType="w" fact="0.0287"/>
                  <dgm:constr type="h" for="ch" forName="Child2Accent4" refType="h" fact="0.0608"/>
                  <dgm:constr type="r" for="ch" forName="Child2Accent5" refType="w" fact="0.943"/>
                  <dgm:constr type="t" for="ch" forName="Child2Accent5" refType="h" fact="0.5511"/>
                  <dgm:constr type="w" for="ch" forName="Child2Accent5" refType="w" fact="0.0287"/>
                  <dgm:constr type="h" for="ch" forName="Child2Accent5" refType="h" fact="0.0608"/>
                  <dgm:constr type="r" for="ch" forName="Child2Accent6" refType="w" fact="0.9998"/>
                  <dgm:constr type="t" for="ch" forName="Child2Accent6" refType="h" fact="0.5511"/>
                  <dgm:constr type="w" for="ch" forName="Child2Accent6" refType="w" fact="0.0287"/>
                  <dgm:constr type="h" for="ch" forName="Child2Accent6" refType="h" fact="0.0608"/>
                  <dgm:constr type="r" for="ch" forName="Child2Accent7" refType="w" fact="0"/>
                  <dgm:constr type="t" for="ch" forName="Child2Accent7" refType="h" fact="0"/>
                  <dgm:constr type="w" for="ch" forName="Child2Accent7" refType="w" fact="0"/>
                  <dgm:constr type="h" for="ch" forName="Child2Accent7" refType="h" fact="0"/>
                  <dgm:constr type="r" for="ch" forName="Child3Accent1" refType="w" fact="0.6564"/>
                  <dgm:constr type="t" for="ch" forName="Child3Accent1" refType="h" fact="0.8153"/>
                  <dgm:constr type="w" for="ch" forName="Child3Accent1" refType="w" fact="0.0574"/>
                  <dgm:constr type="h" for="ch" forName="Child3Accent1" refType="h" fact="0.1217"/>
                  <dgm:constr type="r" for="ch" forName="Child3Accent2" refType="w" fact="0.6932"/>
                  <dgm:constr type="t" for="ch" forName="Child3Accent2" refType="h" fact="0.9392"/>
                  <dgm:constr type="w" for="ch" forName="Child3Accent2" refType="w" fact="0.0287"/>
                  <dgm:constr type="h" for="ch" forName="Child3Accent2" refType="h" fact="0.0608"/>
                  <dgm:constr type="r" for="ch" forName="Child3Accent3" refType="w" fact="0.7545"/>
                  <dgm:constr type="t" for="ch" forName="Child3Accent3" refType="h" fact="0.9392"/>
                  <dgm:constr type="w" for="ch" forName="Child3Accent3" refType="w" fact="0.0287"/>
                  <dgm:constr type="h" for="ch" forName="Child3Accent3" refType="h" fact="0.0608"/>
                  <dgm:constr type="r" for="ch" forName="Child3Accent4" refType="w" fact="0.8158"/>
                  <dgm:constr type="t" for="ch" forName="Child3Accent4" refType="h" fact="0.9392"/>
                  <dgm:constr type="w" for="ch" forName="Child3Accent4" refType="w" fact="0.0287"/>
                  <dgm:constr type="h" for="ch" forName="Child3Accent4" refType="h" fact="0.0608"/>
                  <dgm:constr type="r" for="ch" forName="Child3Accent5" refType="w" fact="0.8771"/>
                  <dgm:constr type="t" for="ch" forName="Child3Accent5" refType="h" fact="0.9392"/>
                  <dgm:constr type="w" for="ch" forName="Child3Accent5" refType="w" fact="0.0287"/>
                  <dgm:constr type="h" for="ch" forName="Child3Accent5" refType="h" fact="0.0608"/>
                  <dgm:constr type="r" for="ch" forName="Child3Accent6" refType="w" fact="0.9385"/>
                  <dgm:constr type="t" for="ch" forName="Child3Accent6" refType="h" fact="0.9392"/>
                  <dgm:constr type="w" for="ch" forName="Child3Accent6" refType="w" fact="0.0287"/>
                  <dgm:constr type="h" for="ch" forName="Child3Accent6" refType="h" fact="0.0608"/>
                  <dgm:constr type="r" for="ch" forName="Child3Accent7" refType="w" fact="0.9998"/>
                  <dgm:constr type="t" for="ch" forName="Child3Accent7" refType="h" fact="0.9392"/>
                  <dgm:constr type="w" for="ch" forName="Child3Accent7" refType="w" fact="0.0287"/>
                  <dgm:constr type="h" for="ch" forName="Child3Accent7" refType="h" fact="0.0608"/>
                  <dgm:constr type="r" for="ch" forName="ParentAccent1" refType="w" fact="0.0287"/>
                  <dgm:constr type="t" for="ch" forName="ParentAccent1" refType="h" fact="0.5511"/>
                  <dgm:constr type="w" for="ch" forName="ParentAccent1" refType="w" fact="0.0287"/>
                  <dgm:constr type="h" for="ch" forName="ParentAccent1" refType="h" fact="0.0608"/>
                  <dgm:constr type="r" for="ch" forName="ParentAccent2" refType="w" fact="0.0813"/>
                  <dgm:constr type="t" for="ch" forName="ParentAccent2" refType="h" fact="0.5511"/>
                  <dgm:constr type="w" for="ch" forName="ParentAccent2" refType="w" fact="0.0287"/>
                  <dgm:constr type="h" for="ch" forName="ParentAccent2" refType="h" fact="0.0608"/>
                  <dgm:constr type="r" for="ch" forName="ParentAccent3" refType="w" fact="0.1339"/>
                  <dgm:constr type="t" for="ch" forName="ParentAccent3" refType="h" fact="0.5511"/>
                  <dgm:constr type="w" for="ch" forName="ParentAccent3" refType="w" fact="0.0287"/>
                  <dgm:constr type="h" for="ch" forName="ParentAccent3" refType="h" fact="0.0608"/>
                  <dgm:constr type="r" for="ch" forName="ParentAccent4" refType="w" fact="0.1864"/>
                  <dgm:constr type="t" for="ch" forName="ParentAccent4" refType="h" fact="0.5511"/>
                  <dgm:constr type="w" for="ch" forName="ParentAccent4" refType="w" fact="0.0287"/>
                  <dgm:constr type="h" for="ch" forName="ParentAccent4" refType="h" fact="0.0608"/>
                  <dgm:constr type="r" for="ch" forName="ParentAccent5" refType="w" fact="0.239"/>
                  <dgm:constr type="t" for="ch" forName="ParentAccent5" refType="h" fact="0.5511"/>
                  <dgm:constr type="w" for="ch" forName="ParentAccent5" refType="w" fact="0.0287"/>
                  <dgm:constr type="h" for="ch" forName="ParentAccent5" refType="h" fact="0.0608"/>
                  <dgm:constr type="r" for="ch" forName="ParentAccent6" refType="w" fact="0.3203"/>
                  <dgm:constr type="t" for="ch" forName="ParentAccent6" refType="h" fact="0.5207"/>
                  <dgm:constr type="w" for="ch" forName="ParentAccent6" refType="w" fact="0.0574"/>
                  <dgm:constr type="h" for="ch" forName="ParentAccent6" refType="h" fact="0.1217"/>
                  <dgm:constr type="r" for="ch" forName="ParentAccent7" refType="w" fact="0.0755"/>
                  <dgm:constr type="t" for="ch" forName="ParentAccent7" refType="h" fact="0.4255"/>
                  <dgm:constr type="w" for="ch" forName="ParentAccent7" refType="w" fact="0.0287"/>
                  <dgm:constr type="h" for="ch" forName="ParentAccent7" refType="h" fact="0.0608"/>
                  <dgm:constr type="r" for="ch" forName="ParentAccent8" refType="w" fact="0.0755"/>
                  <dgm:constr type="t" for="ch" forName="ParentAccent8" refType="h" fact="0.6776"/>
                  <dgm:constr type="w" for="ch" forName="ParentAccent8" refType="w" fact="0.0287"/>
                  <dgm:constr type="h" for="ch" forName="ParentAccent8" refType="h" fact="0.0608"/>
                  <dgm:constr type="r" for="ch" forName="ParentAccent9" refType="w" fact="0.0499"/>
                  <dgm:constr type="t" for="ch" forName="ParentAccent9" refType="h" fact="0.4801"/>
                  <dgm:constr type="w" for="ch" forName="ParentAccent9" refType="w" fact="0.0287"/>
                  <dgm:constr type="h" for="ch" forName="ParentAccent9" refType="h" fact="0.0608"/>
                  <dgm:constr type="r" for="ch" forName="ParentAccent10" refType="w" fact="0.0482"/>
                  <dgm:constr type="t" for="ch" forName="ParentAccent10" refType="h" fact="0.6233"/>
                  <dgm:constr type="w" for="ch" forName="ParentAccent10" refType="w" fact="0.0287"/>
                  <dgm:constr type="h" for="ch" forName="ParentAccent10" refType="h" fact="0.0608"/>
                  <dgm:constr type="r" for="ch" forName="Child3" refType="w"/>
                  <dgm:constr type="t" for="ch" forName="Child3" refType="h" fact="0.7822"/>
                  <dgm:constr type="w" for="ch" forName="Child3" refType="w" fact="0.3364"/>
                  <dgm:constr type="h" for="ch" forName="Child3" refType="h" fact="0.1564"/>
                  <dgm:constr type="r" for="ch" forName="Child2" refType="w"/>
                  <dgm:constr type="t" for="ch" forName="Child2" refType="h" fact="0.3955"/>
                  <dgm:constr type="w" for="ch" forName="Child2" refType="w" fact="0.2544"/>
                  <dgm:constr type="h" for="ch" forName="Child2" refType="h" fact="0.1564"/>
                  <dgm:constr type="r" for="ch" forName="Child1" refType="w"/>
                  <dgm:constr type="t" for="ch" forName="Child1" refType="h" fact="0"/>
                  <dgm:constr type="w" for="ch" forName="Child1" refType="w" fact="0.3364"/>
                  <dgm:constr type="h" for="ch" forName="Child1" refType="h" fact="0.1564"/>
                  <dgm:constr type="r" for="ch" forName="Parent" refType="w" fact="0.6347"/>
                  <dgm:constr type="t" for="ch" forName="Parent" refType="h" fact="0.2737"/>
                  <dgm:constr type="w" for="ch" forName="Parent" refType="w" fact="0.2906"/>
                  <dgm:constr type="h" for="ch" forName="Parent" refType="h" fact="0.6157"/>
                </dgm:constrLst>
              </dgm:if>
              <dgm:if name="Name19" axis="ch" ptType="node" func="cnt" op="equ" val="4">
                <dgm:alg type="composite">
                  <dgm:param type="ar" val="1.8304"/>
                </dgm:alg>
                <dgm:constrLst>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r" for="ch" forName="Parent" refType="w" fact="0.6229"/>
                  <dgm:constr type="t" for="ch" forName="Parent" refType="h" fact="0.2946"/>
                  <dgm:constr type="w" for="ch" forName="Parent" refType="w" fact="0.2862"/>
                  <dgm:constr type="h" for="ch" forName="Parent" refType="h" fact="0.5239"/>
                  <dgm:constr type="r" for="ch" forName="Child1Accent1" refType="w" fact="0.6096"/>
                  <dgm:constr type="t" for="ch" forName="Child1Accent1" refType="h" fact="0.2104"/>
                  <dgm:constr type="w" for="ch" forName="Child1Accent1" refType="w" fact="0.0566"/>
                  <dgm:constr type="h" for="ch" forName="Child1Accent1" refType="h" fact="0.1035"/>
                  <dgm:constr type="r" for="ch" forName="Child1Accent3" refType="w" fact="0.6999"/>
                  <dgm:constr type="t" for="ch" forName="Child1Accent3" refType="h" fact="0.128"/>
                  <dgm:constr type="w" for="ch" forName="Child1Accent3" refType="w" fact="0.0283"/>
                  <dgm:constr type="h" for="ch" forName="Child1Accent3" refType="h" fact="0.0518"/>
                  <dgm:constr type="r" for="ch" forName="Child1Accent4" refType="w" fact="0.7582"/>
                  <dgm:constr type="t" for="ch" forName="Child1Accent4" refType="h" fact="0.128"/>
                  <dgm:constr type="w" for="ch" forName="Child1Accent4" refType="w" fact="0.0283"/>
                  <dgm:constr type="h" for="ch" forName="Child1Accent4" refType="h" fact="0.0518"/>
                  <dgm:constr type="r" for="ch" forName="Child1Accent5" refType="w" fact="0.8165"/>
                  <dgm:constr type="t" for="ch" forName="Child1Accent5" refType="h" fact="0.128"/>
                  <dgm:constr type="w" for="ch" forName="Child1Accent5" refType="w" fact="0.0283"/>
                  <dgm:constr type="h" for="ch" forName="Child1Accent5" refType="h" fact="0.0518"/>
                  <dgm:constr type="r" for="ch" forName="Child1Accent6" refType="w" fact="0.8748"/>
                  <dgm:constr type="t" for="ch" forName="Child1Accent6" refType="h" fact="0.128"/>
                  <dgm:constr type="w" for="ch" forName="Child1Accent6" refType="w" fact="0.0283"/>
                  <dgm:constr type="h" for="ch" forName="Child1Accent6" refType="h" fact="0.0518"/>
                  <dgm:constr type="r" for="ch" forName="Child3Accent1" refType="w" fact="0.6842"/>
                  <dgm:constr type="t" for="ch" forName="Child3Accent1" refType="h" fact="0.6212"/>
                  <dgm:constr type="w" for="ch" forName="Child3Accent1" refType="w" fact="0.0566"/>
                  <dgm:constr type="h" for="ch" forName="Child3Accent1" refType="h" fact="0.1035"/>
                  <dgm:constr type="r" for="ch" forName="Child3Accent2" refType="w" fact="0.7311"/>
                  <dgm:constr type="t" for="ch" forName="Child3Accent2" refType="h" fact="0.6828"/>
                  <dgm:constr type="w" for="ch" forName="Child3Accent2" refType="w" fact="0.0283"/>
                  <dgm:constr type="h" for="ch" forName="Child3Accent2" refType="h" fact="0.0518"/>
                  <dgm:constr type="r" for="ch" forName="Child3Accent4" refType="w" fact="0.8386"/>
                  <dgm:constr type="t" for="ch" forName="Child3Accent4" refType="h" fact="0.6828"/>
                  <dgm:constr type="w" for="ch" forName="Child3Accent4" refType="w" fact="0.0283"/>
                  <dgm:constr type="h" for="ch" forName="Child3Accent4" refType="h" fact="0.0518"/>
                  <dgm:constr type="r" for="ch" forName="Child3Accent5" refType="w" fact="0.8923"/>
                  <dgm:constr type="t" for="ch" forName="Child3Accent5" refType="h" fact="0.6828"/>
                  <dgm:constr type="w" for="ch" forName="Child3Accent5" refType="w" fact="0.0283"/>
                  <dgm:constr type="h" for="ch" forName="Child3Accent5" refType="h" fact="0.0518"/>
                  <dgm:constr type="r" for="ch" forName="Child1Accent7" refType="w" fact="0.9332"/>
                  <dgm:constr type="t" for="ch" forName="Child1Accent7" refType="h" fact="0.128"/>
                  <dgm:constr type="w" for="ch" forName="Child1Accent7" refType="w" fact="0.0283"/>
                  <dgm:constr type="h" for="ch" forName="Child1Accent7" refType="h" fact="0.0518"/>
                  <dgm:constr type="r" for="ch" forName="Child3Accent6" refType="w" fact="0.9461"/>
                  <dgm:constr type="t" for="ch" forName="Child3Accent6" refType="h" fact="0.6828"/>
                  <dgm:constr type="w" for="ch" forName="Child3Accent6" refType="w" fact="0.0283"/>
                  <dgm:constr type="h" for="ch" forName="Child3Accent6" refType="h" fact="0.0518"/>
                  <dgm:constr type="r" for="ch" forName="Child1Accent8" refType="w" fact="0.9915"/>
                  <dgm:constr type="t" for="ch" forName="Child1Accent8" refType="h" fact="0.128"/>
                  <dgm:constr type="w" for="ch" forName="Child1Accent8" refType="w" fact="0.0283"/>
                  <dgm:constr type="h" for="ch" forName="Child1Accent8" refType="h" fact="0.0518"/>
                  <dgm:constr type="r" for="ch" forName="Child1Accent9" refType="w" fact="0"/>
                  <dgm:constr type="t" for="ch" forName="Child1Accent9" refType="h" fact="0"/>
                  <dgm:constr type="w" for="ch" forName="Child1Accent9" refType="w" fact="0"/>
                  <dgm:constr type="h" for="ch" forName="Child1Accent9" refType="h" fact="0"/>
                  <dgm:constr type="r" for="ch" forName="Child3Accent7" refType="w" fact="0.9998"/>
                  <dgm:constr type="t" for="ch" forName="Child3Accent7" refType="h" fact="0.6828"/>
                  <dgm:constr type="w" for="ch" forName="Child3Accent7" refType="w" fact="0.0283"/>
                  <dgm:constr type="h" for="ch" forName="Child3Accent7" refType="h" fact="0.0518"/>
                  <dgm:constr type="r" for="ch" forName="Child4Accent1" refType="w" fact="0.6096"/>
                  <dgm:constr type="t" for="ch" forName="Child4Accent1" refType="h" fact="0.8"/>
                  <dgm:constr type="w" for="ch" forName="Child4Accent1" refType="w" fact="0.0566"/>
                  <dgm:constr type="h" for="ch" forName="Child4Accent1" refType="h" fact="0.1035"/>
                  <dgm:constr type="r" for="ch" forName="Child4Accent3" refType="w" fact="0.7002"/>
                  <dgm:constr type="t" for="ch" forName="Child4Accent3" refType="h" fact="0.9482"/>
                  <dgm:constr type="w" for="ch" forName="Child4Accent3" refType="w" fact="0.0283"/>
                  <dgm:constr type="h" for="ch" forName="Child4Accent3" refType="h" fact="0.0518"/>
                  <dgm:constr type="r" for="ch" forName="Child4Accent4" refType="w" fact="0.7585"/>
                  <dgm:constr type="t" for="ch" forName="Child4Accent4" refType="h" fact="0.9482"/>
                  <dgm:constr type="w" for="ch" forName="Child4Accent4" refType="w" fact="0.0283"/>
                  <dgm:constr type="h" for="ch" forName="Child4Accent4" refType="h" fact="0.0518"/>
                  <dgm:constr type="r" for="ch" forName="Child4Accent5" refType="w" fact="0.8167"/>
                  <dgm:constr type="t" for="ch" forName="Child4Accent5" refType="h" fact="0.9482"/>
                  <dgm:constr type="w" for="ch" forName="Child4Accent5" refType="w" fact="0.0283"/>
                  <dgm:constr type="h" for="ch" forName="Child4Accent5" refType="h" fact="0.0518"/>
                  <dgm:constr type="r" for="ch" forName="Child4Accent6" refType="w" fact="0.8749"/>
                  <dgm:constr type="t" for="ch" forName="Child4Accent6" refType="h" fact="0.9482"/>
                  <dgm:constr type="w" for="ch" forName="Child4Accent6" refType="w" fact="0.0283"/>
                  <dgm:constr type="h" for="ch" forName="Child4Accent6" refType="h" fact="0.0518"/>
                  <dgm:constr type="r" for="ch" forName="Child4Accent7" refType="w" fact="0.9332"/>
                  <dgm:constr type="t" for="ch" forName="Child4Accent7" refType="h" fact="0.9482"/>
                  <dgm:constr type="w" for="ch" forName="Child4Accent7" refType="w" fact="0.0283"/>
                  <dgm:constr type="h" for="ch" forName="Child4Accent7" refType="h" fact="0.0518"/>
                  <dgm:constr type="r" for="ch" forName="Child4Accent8" refType="w" fact="0.9914"/>
                  <dgm:constr type="t" for="ch" forName="Child4Accent8" refType="h" fact="0.9482"/>
                  <dgm:constr type="w" for="ch" forName="Child4Accent8" refType="w" fact="0.0283"/>
                  <dgm:constr type="h" for="ch" forName="Child4Accent8" refType="h" fact="0.0518"/>
                  <dgm:constr type="r" for="ch" forName="Child2Accent1" refType="w" fact="0.6842"/>
                  <dgm:constr type="t" for="ch" forName="Child2Accent1" refType="h" fact="0.3725"/>
                  <dgm:constr type="w" for="ch" forName="Child2Accent1" refType="w" fact="0.0566"/>
                  <dgm:constr type="h" for="ch" forName="Child2Accent1" refType="h" fact="0.1035"/>
                  <dgm:constr type="r" for="ch" forName="Child4Accent2" refType="w" fact="0.642"/>
                  <dgm:constr type="t" for="ch" forName="Child4Accent2" refType="h" fact="0.8993"/>
                  <dgm:constr type="w" for="ch" forName="Child4Accent2" refType="w" fact="0.0283"/>
                  <dgm:constr type="h" for="ch" forName="Child4Accent2" refType="h" fact="0.0518"/>
                  <dgm:constr type="r" for="ch" forName="Child1Accent2" refType="w" fact="0.6415"/>
                  <dgm:constr type="t" for="ch" forName="Child1Accent2" refType="h" fact="0.162"/>
                  <dgm:constr type="w" for="ch" forName="Child1Accent2" refType="w" fact="0.0283"/>
                  <dgm:constr type="h" for="ch" forName="Child1Accent2" refType="h" fact="0.0518"/>
                  <dgm:constr type="r" for="ch" forName="Child3Accent3" refType="w" fact="0.7849"/>
                  <dgm:constr type="t" for="ch" forName="Child3Accent3" refType="h" fact="0.6828"/>
                  <dgm:constr type="w" for="ch" forName="Child3Accent3" refType="w" fact="0.0283"/>
                  <dgm:constr type="h" for="ch" forName="Child3Accent3" refType="h" fact="0.0518"/>
                  <dgm:constr type="r" for="ch" forName="Child2Accent2" refType="w" fact="0.7311"/>
                  <dgm:constr type="t" for="ch" forName="Child2Accent2" refType="h" fact="0.3937"/>
                  <dgm:constr type="w" for="ch" forName="Child2Accent2" refType="w" fact="0.0283"/>
                  <dgm:constr type="h" for="ch" forName="Child2Accent2" refType="h" fact="0.0518"/>
                  <dgm:constr type="r" for="ch" forName="Child2Accent4" refType="w" fact="0.8386"/>
                  <dgm:constr type="t" for="ch" forName="Child2Accent4" refType="h" fact="0.3937"/>
                  <dgm:constr type="w" for="ch" forName="Child2Accent4" refType="w" fact="0.0283"/>
                  <dgm:constr type="h" for="ch" forName="Child2Accent4" refType="h" fact="0.0518"/>
                  <dgm:constr type="r" for="ch" forName="Child2Accent5" refType="w" fact="0.8923"/>
                  <dgm:constr type="t" for="ch" forName="Child2Accent5" refType="h" fact="0.3937"/>
                  <dgm:constr type="w" for="ch" forName="Child2Accent5" refType="w" fact="0.0283"/>
                  <dgm:constr type="h" for="ch" forName="Child2Accent5" refType="h" fact="0.0518"/>
                  <dgm:constr type="r" for="ch" forName="Child2Accent6" refType="w" fact="0.9461"/>
                  <dgm:constr type="t" for="ch" forName="Child2Accent6" refType="h" fact="0.3937"/>
                  <dgm:constr type="w" for="ch" forName="Child2Accent6" refType="w" fact="0.0283"/>
                  <dgm:constr type="h" for="ch" forName="Child2Accent6" refType="h" fact="0.0518"/>
                  <dgm:constr type="r" for="ch" forName="Child2Accent7" refType="w" fact="0.9998"/>
                  <dgm:constr type="t" for="ch" forName="Child2Accent7" refType="h" fact="0.3937"/>
                  <dgm:constr type="w" for="ch" forName="Child2Accent7" refType="w" fact="0.0283"/>
                  <dgm:constr type="h" for="ch" forName="Child2Accent7" refType="h" fact="0.0518"/>
                  <dgm:constr type="r" for="ch" forName="Child2Accent3" refType="w" fact="0.7849"/>
                  <dgm:constr type="t" for="ch" forName="Child2Accent3" refType="h" fact="0.3937"/>
                  <dgm:constr type="w" for="ch" forName="Child2Accent3" refType="w" fact="0.0283"/>
                  <dgm:constr type="h" for="ch" forName="Child2Accent3" refType="h" fact="0.0518"/>
                  <dgm:constr type="r" for="ch" forName="ParentAccent1" refType="w" fact="0.0283"/>
                  <dgm:constr type="t" for="ch" forName="ParentAccent1" refType="h" fact="0.5316"/>
                  <dgm:constr type="w" for="ch" forName="ParentAccent1" refType="w" fact="0.0283"/>
                  <dgm:constr type="h" for="ch" forName="ParentAccent1" refType="h" fact="0.0518"/>
                  <dgm:constr type="r" for="ch" forName="ParentAccent2" refType="w" fact="0.0801"/>
                  <dgm:constr type="t" for="ch" forName="ParentAccent2" refType="h" fact="0.5316"/>
                  <dgm:constr type="w" for="ch" forName="ParentAccent2" refType="w" fact="0.0283"/>
                  <dgm:constr type="h" for="ch" forName="ParentAccent2" refType="h" fact="0.0518"/>
                  <dgm:constr type="r" for="ch" forName="ParentAccent3" refType="w" fact="0.1318"/>
                  <dgm:constr type="t" for="ch" forName="ParentAccent3" refType="h" fact="0.5316"/>
                  <dgm:constr type="w" for="ch" forName="ParentAccent3" refType="w" fact="0.0283"/>
                  <dgm:constr type="h" for="ch" forName="ParentAccent3" refType="h" fact="0.0518"/>
                  <dgm:constr type="r" for="ch" forName="ParentAccent4" refType="w" fact="0.1836"/>
                  <dgm:constr type="t" for="ch" forName="ParentAccent4" refType="h" fact="0.5316"/>
                  <dgm:constr type="w" for="ch" forName="ParentAccent4" refType="w" fact="0.0283"/>
                  <dgm:constr type="h" for="ch" forName="ParentAccent4" refType="h" fact="0.0518"/>
                  <dgm:constr type="r" for="ch" forName="ParentAccent5" refType="w" fact="0.2354"/>
                  <dgm:constr type="t" for="ch" forName="ParentAccent5" refType="h" fact="0.5316"/>
                  <dgm:constr type="w" for="ch" forName="ParentAccent5" refType="w" fact="0.0283"/>
                  <dgm:constr type="h" for="ch" forName="ParentAccent5" refType="h" fact="0.0518"/>
                  <dgm:constr type="r" for="ch" forName="ParentAccent6" refType="w" fact="0.3154"/>
                  <dgm:constr type="t" for="ch" forName="ParentAccent6" refType="h" fact="0.5057"/>
                  <dgm:constr type="w" for="ch" forName="ParentAccent6" refType="w" fact="0.0566"/>
                  <dgm:constr type="h" for="ch" forName="ParentAccent6" refType="h" fact="0.1035"/>
                  <dgm:constr type="r" for="ch" forName="ParentAccent7" refType="w" fact="0.0744"/>
                  <dgm:constr type="t" for="ch" forName="ParentAccent7" refType="h" fact="0.4247"/>
                  <dgm:constr type="w" for="ch" forName="ParentAccent7" refType="w" fact="0.0283"/>
                  <dgm:constr type="h" for="ch" forName="ParentAccent7" refType="h" fact="0.0518"/>
                  <dgm:constr type="r" for="ch" forName="ParentAccent8" refType="w" fact="0.0744"/>
                  <dgm:constr type="t" for="ch" forName="ParentAccent8" refType="h" fact="0.6392"/>
                  <dgm:constr type="w" for="ch" forName="ParentAccent8" refType="w" fact="0.0283"/>
                  <dgm:constr type="h" for="ch" forName="ParentAccent8" refType="h" fact="0.0518"/>
                  <dgm:constr type="r" for="ch" forName="ParentAccent9" refType="w" fact="0.0491"/>
                  <dgm:constr type="t" for="ch" forName="ParentAccent9" refType="h" fact="0.4712"/>
                  <dgm:constr type="w" for="ch" forName="ParentAccent9" refType="w" fact="0.0283"/>
                  <dgm:constr type="h" for="ch" forName="ParentAccent9" refType="h" fact="0.0518"/>
                  <dgm:constr type="r" for="ch" forName="ParentAccent10" refType="w" fact="0.0475"/>
                  <dgm:constr type="t" for="ch" forName="ParentAccent10" refType="h" fact="0.593"/>
                  <dgm:constr type="w" for="ch" forName="ParentAccent10" refType="w" fact="0.0283"/>
                  <dgm:constr type="h" for="ch" forName="ParentAccent10" refType="h" fact="0.0518"/>
                  <dgm:constr type="r" for="ch" forName="Child4" refType="w" fact="0.9919"/>
                  <dgm:constr type="t" for="ch" forName="Child4" refType="h" fact="0.8184"/>
                  <dgm:constr type="w" for="ch" forName="Child4" refType="w" fact="0.3192"/>
                  <dgm:constr type="h" for="ch" forName="Child4" refType="h" fact="0.1294"/>
                  <dgm:constr type="r" for="ch" forName="Child3" refType="w"/>
                  <dgm:constr type="t" for="ch" forName="Child3" refType="h" fact="0.5547"/>
                  <dgm:constr type="w" for="ch" forName="Child3" refType="w" fact="0.297"/>
                  <dgm:constr type="h" for="ch" forName="Child3" refType="h" fact="0.1294"/>
                  <dgm:constr type="r" for="ch" forName="Child2" refType="w"/>
                  <dgm:constr type="t" for="ch" forName="Child2" refType="h" fact="0.2662"/>
                  <dgm:constr type="w" for="ch" forName="Child2" refType="w" fact="0.297"/>
                  <dgm:constr type="h" for="ch" forName="Child2" refType="h" fact="0.1294"/>
                  <dgm:constr type="r" for="ch" forName="Child1" refType="w" fact="0.9919"/>
                  <dgm:constr type="t" for="ch" forName="Child1" refType="h" fact="0"/>
                  <dgm:constr type="w" for="ch" forName="Child1" refType="w" fact="0.3192"/>
                  <dgm:constr type="h" for="ch" forName="Child1" refType="h" fact="0.1294"/>
                </dgm:constrLst>
              </dgm:if>
              <dgm:else name="Name20">
                <dgm:alg type="composite">
                  <dgm:param type="ar" val="1.3278"/>
                </dgm:alg>
                <dgm:constrLst>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r" for="ch" forName="Child2Accent1" refType="w" fact="0.6564"/>
                  <dgm:constr type="t" for="ch" forName="Child2Accent1" refType="h" fact="0.3184"/>
                  <dgm:constr type="w" for="ch" forName="Child2Accent1" refType="w" fact="0.0574"/>
                  <dgm:constr type="h" for="ch" forName="Child2Accent1" refType="h" fact="0.0763"/>
                  <dgm:constr type="r" for="ch" forName="Child2Accent2" refType="w" fact="0.6932"/>
                  <dgm:constr type="t" for="ch" forName="Child2Accent2" refType="h" fact="0.2781"/>
                  <dgm:constr type="w" for="ch" forName="Child2Accent2" refType="w" fact="0.0287"/>
                  <dgm:constr type="h" for="ch" forName="Child2Accent2" refType="h" fact="0.0381"/>
                  <dgm:constr type="r" for="ch" forName="Child2Accent3" refType="w" fact="0.7545"/>
                  <dgm:constr type="t" for="ch" forName="Child2Accent3" refType="h" fact="0.2781"/>
                  <dgm:constr type="w" for="ch" forName="Child2Accent3" refType="w" fact="0.0287"/>
                  <dgm:constr type="h" for="ch" forName="Child2Accent3" refType="h" fact="0.0381"/>
                  <dgm:constr type="r" for="ch" forName="Child2Accent4" refType="w" fact="0.8158"/>
                  <dgm:constr type="t" for="ch" forName="Child2Accent4" refType="h" fact="0.2781"/>
                  <dgm:constr type="w" for="ch" forName="Child2Accent4" refType="w" fact="0.0287"/>
                  <dgm:constr type="h" for="ch" forName="Child2Accent4" refType="h" fact="0.0381"/>
                  <dgm:constr type="r" for="ch" forName="Child2Accent5" refType="w" fact="0.8771"/>
                  <dgm:constr type="t" for="ch" forName="Child2Accent5" refType="h" fact="0.2781"/>
                  <dgm:constr type="w" for="ch" forName="Child2Accent5" refType="w" fact="0.0287"/>
                  <dgm:constr type="h" for="ch" forName="Child2Accent5" refType="h" fact="0.0381"/>
                  <dgm:constr type="r" for="ch" forName="Child2Accent6" refType="w" fact="0.9385"/>
                  <dgm:constr type="t" for="ch" forName="Child2Accent6" refType="h" fact="0.2781"/>
                  <dgm:constr type="w" for="ch" forName="Child2Accent6" refType="w" fact="0.0287"/>
                  <dgm:constr type="h" for="ch" forName="Child2Accent6" refType="h" fact="0.0381"/>
                  <dgm:constr type="r" for="ch" forName="Child2Accent7" refType="w" fact="0.9998"/>
                  <dgm:constr type="t" for="ch" forName="Child2Accent7" refType="h" fact="0.2781"/>
                  <dgm:constr type="w" for="ch" forName="Child2Accent7" refType="w" fact="0.0287"/>
                  <dgm:constr type="h" for="ch" forName="Child2Accent7" refType="h" fact="0.0381"/>
                  <dgm:constr type="r" for="ch" forName="Child3Accent1" refType="w" fact="0.716"/>
                  <dgm:constr type="t" for="ch" forName="Child3Accent1" refType="h" fact="0.5061"/>
                  <dgm:constr type="w" for="ch" forName="Child3Accent1" refType="w" fact="0.0574"/>
                  <dgm:constr type="h" for="ch" forName="Child3Accent1" refType="h" fact="0.0763"/>
                  <dgm:constr type="r" for="ch" forName="Child3Accent2" refType="w" fact="0.7728"/>
                  <dgm:constr type="t" for="ch" forName="Child3Accent2" refType="h" fact="0.5252"/>
                  <dgm:constr type="w" for="ch" forName="Child3Accent2" refType="w" fact="0.0287"/>
                  <dgm:constr type="h" for="ch" forName="Child3Accent2" refType="h" fact="0.0381"/>
                  <dgm:constr type="r" for="ch" forName="Child3Accent3" refType="w" fact="0.8295"/>
                  <dgm:constr type="t" for="ch" forName="Child3Accent3" refType="h" fact="0.5252"/>
                  <dgm:constr type="w" for="ch" forName="Child3Accent3" refType="w" fact="0.0287"/>
                  <dgm:constr type="h" for="ch" forName="Child3Accent3" refType="h" fact="0.0381"/>
                  <dgm:constr type="r" for="ch" forName="Child3Accent4" refType="w" fact="0.8863"/>
                  <dgm:constr type="t" for="ch" forName="Child3Accent4" refType="h" fact="0.5252"/>
                  <dgm:constr type="w" for="ch" forName="Child3Accent4" refType="w" fact="0.0287"/>
                  <dgm:constr type="h" for="ch" forName="Child3Accent4" refType="h" fact="0.0381"/>
                  <dgm:constr type="r" for="ch" forName="Child3Accent5" refType="w" fact="0.943"/>
                  <dgm:constr type="t" for="ch" forName="Child3Accent5" refType="h" fact="0.5252"/>
                  <dgm:constr type="w" for="ch" forName="Child3Accent5" refType="w" fact="0.0287"/>
                  <dgm:constr type="h" for="ch" forName="Child3Accent5" refType="h" fact="0.0381"/>
                  <dgm:constr type="r" for="ch" forName="Child3Accent6" refType="w" fact="0.9998"/>
                  <dgm:constr type="t" for="ch" forName="Child3Accent6" refType="h" fact="0.5252"/>
                  <dgm:constr type="w" for="ch" forName="Child3Accent6" refType="w" fact="0.0287"/>
                  <dgm:constr type="h" for="ch" forName="Child3Accent6" refType="h" fact="0.0381"/>
                  <dgm:constr type="r" for="ch" forName="Child3Accent7" refType="w" fact="0"/>
                  <dgm:constr type="t" for="ch" forName="Child3Accent7" refType="h" fact="0"/>
                  <dgm:constr type="w" for="ch" forName="Child3Accent7" refType="w" fact="0"/>
                  <dgm:constr type="h" for="ch" forName="Child3Accent7" refType="h" fact="0"/>
                  <dgm:constr type="r" for="ch" forName="Child4Accent1" refType="w" fact="0.6564"/>
                  <dgm:constr type="t" for="ch" forName="Child4Accent1" refType="h" fact="0.6908"/>
                  <dgm:constr type="w" for="ch" forName="Child4Accent1" refType="w" fact="0.0574"/>
                  <dgm:constr type="h" for="ch" forName="Child4Accent1" refType="h" fact="0.0763"/>
                  <dgm:constr type="r" for="ch" forName="Child4Accent2" refType="w" fact="0.6932"/>
                  <dgm:constr type="t" for="ch" forName="Child4Accent2" refType="h" fact="0.7684"/>
                  <dgm:constr type="w" for="ch" forName="Child4Accent2" refType="w" fact="0.0287"/>
                  <dgm:constr type="h" for="ch" forName="Child4Accent2" refType="h" fact="0.0381"/>
                  <dgm:constr type="r" for="ch" forName="Child4Accent3" refType="w" fact="0.7545"/>
                  <dgm:constr type="t" for="ch" forName="Child4Accent3" refType="h" fact="0.7684"/>
                  <dgm:constr type="w" for="ch" forName="Child4Accent3" refType="w" fact="0.0287"/>
                  <dgm:constr type="h" for="ch" forName="Child4Accent3" refType="h" fact="0.0381"/>
                  <dgm:constr type="r" for="ch" forName="Child4Accent4" refType="w" fact="0.8158"/>
                  <dgm:constr type="t" for="ch" forName="Child4Accent4" refType="h" fact="0.7684"/>
                  <dgm:constr type="w" for="ch" forName="Child4Accent4" refType="w" fact="0.0287"/>
                  <dgm:constr type="h" for="ch" forName="Child4Accent4" refType="h" fact="0.0381"/>
                  <dgm:constr type="r" for="ch" forName="Child4Accent5" refType="w" fact="0.8771"/>
                  <dgm:constr type="t" for="ch" forName="Child4Accent5" refType="h" fact="0.7684"/>
                  <dgm:constr type="w" for="ch" forName="Child4Accent5" refType="w" fact="0.0287"/>
                  <dgm:constr type="h" for="ch" forName="Child4Accent5" refType="h" fact="0.0381"/>
                  <dgm:constr type="r" for="ch" forName="Child4Accent6" refType="w" fact="0.9385"/>
                  <dgm:constr type="t" for="ch" forName="Child4Accent6" refType="h" fact="0.7684"/>
                  <dgm:constr type="w" for="ch" forName="Child4Accent6" refType="w" fact="0.0287"/>
                  <dgm:constr type="h" for="ch" forName="Child4Accent6" refType="h" fact="0.0381"/>
                  <dgm:constr type="r" for="ch" forName="Child4Accent7" refType="w" fact="0.9998"/>
                  <dgm:constr type="t" for="ch" forName="Child4Accent7" refType="h" fact="0.7684"/>
                  <dgm:constr type="w" for="ch" forName="Child4Accent7" refType="w" fact="0.0287"/>
                  <dgm:constr type="h" for="ch" forName="Child4Accent7" refType="h" fact="0.0381"/>
                  <dgm:constr type="r" for="ch" forName="Child4Accent8" refType="w" fact="0"/>
                  <dgm:constr type="t" for="ch" forName="Child4Accent8" refType="h" fact="0"/>
                  <dgm:constr type="w" for="ch" forName="Child4Accent8" refType="w" fact="0"/>
                  <dgm:constr type="h" for="ch" forName="Child4Accent8" refType="h" fact="0"/>
                  <dgm:constr type="r" for="ch" forName="ParentAccent1" refType="w" fact="0.0287"/>
                  <dgm:constr type="t" for="ch" forName="ParentAccent1" refType="h" fact="0.5252"/>
                  <dgm:constr type="w" for="ch" forName="ParentAccent1" refType="w" fact="0.0287"/>
                  <dgm:constr type="h" for="ch" forName="ParentAccent1" refType="h" fact="0.0381"/>
                  <dgm:constr type="r" for="ch" forName="ParentAccent2" refType="w" fact="0.0813"/>
                  <dgm:constr type="t" for="ch" forName="ParentAccent2" refType="h" fact="0.5252"/>
                  <dgm:constr type="w" for="ch" forName="ParentAccent2" refType="w" fact="0.0287"/>
                  <dgm:constr type="h" for="ch" forName="ParentAccent2" refType="h" fact="0.0381"/>
                  <dgm:constr type="r" for="ch" forName="ParentAccent3" refType="w" fact="0.1339"/>
                  <dgm:constr type="t" for="ch" forName="ParentAccent3" refType="h" fact="0.5252"/>
                  <dgm:constr type="w" for="ch" forName="ParentAccent3" refType="w" fact="0.0287"/>
                  <dgm:constr type="h" for="ch" forName="ParentAccent3" refType="h" fact="0.0381"/>
                  <dgm:constr type="r" for="ch" forName="ParentAccent4" refType="w" fact="0.1864"/>
                  <dgm:constr type="t" for="ch" forName="ParentAccent4" refType="h" fact="0.5252"/>
                  <dgm:constr type="w" for="ch" forName="ParentAccent4" refType="w" fact="0.0287"/>
                  <dgm:constr type="h" for="ch" forName="ParentAccent4" refType="h" fact="0.0381"/>
                  <dgm:constr type="r" for="ch" forName="ParentAccent5" refType="w" fact="0.239"/>
                  <dgm:constr type="t" for="ch" forName="ParentAccent5" refType="h" fact="0.5252"/>
                  <dgm:constr type="w" for="ch" forName="ParentAccent5" refType="w" fact="0.0287"/>
                  <dgm:constr type="h" for="ch" forName="ParentAccent5" refType="h" fact="0.0381"/>
                  <dgm:constr type="r" for="ch" forName="ParentAccent6" refType="w" fact="0.3203"/>
                  <dgm:constr type="t" for="ch" forName="ParentAccent6" refType="h" fact="0.5061"/>
                  <dgm:constr type="w" for="ch" forName="ParentAccent6" refType="w" fact="0.0574"/>
                  <dgm:constr type="h" for="ch" forName="ParentAccent6" refType="h" fact="0.0763"/>
                  <dgm:constr type="r" for="ch" forName="ParentAccent7" refType="w" fact="0.0755"/>
                  <dgm:constr type="t" for="ch" forName="ParentAccent7" refType="h" fact="0.4464"/>
                  <dgm:constr type="w" for="ch" forName="ParentAccent7" refType="w" fact="0.0287"/>
                  <dgm:constr type="h" for="ch" forName="ParentAccent7" refType="h" fact="0.0381"/>
                  <dgm:constr type="r" for="ch" forName="ParentAccent8" refType="w" fact="0.0755"/>
                  <dgm:constr type="t" for="ch" forName="ParentAccent8" refType="h" fact="0.6045"/>
                  <dgm:constr type="w" for="ch" forName="ParentAccent8" refType="w" fact="0.0287"/>
                  <dgm:constr type="h" for="ch" forName="ParentAccent8" refType="h" fact="0.0381"/>
                  <dgm:constr type="r" for="ch" forName="ParentAccent9" refType="w" fact="0.0499"/>
                  <dgm:constr type="t" for="ch" forName="ParentAccent9" refType="h" fact="0.4807"/>
                  <dgm:constr type="w" for="ch" forName="ParentAccent9" refType="w" fact="0.0287"/>
                  <dgm:constr type="h" for="ch" forName="ParentAccent9" refType="h" fact="0.0381"/>
                  <dgm:constr type="r" for="ch" forName="ParentAccent10" refType="w" fact="0.0482"/>
                  <dgm:constr type="t" for="ch" forName="ParentAccent10" refType="h" fact="0.5705"/>
                  <dgm:constr type="w" for="ch" forName="ParentAccent10" refType="w" fact="0.0287"/>
                  <dgm:constr type="h" for="ch" forName="ParentAccent10" refType="h" fact="0.0381"/>
                  <dgm:constr type="r" for="ch" forName="Child1Accent1" refType="w" fact="0.5181"/>
                  <dgm:constr type="t" for="ch" forName="Child1Accent1" refType="h" fact="0.2457"/>
                  <dgm:constr type="w" for="ch" forName="Child1Accent1" refType="w" fact="0.0574"/>
                  <dgm:constr type="h" for="ch" forName="Child1Accent1" refType="h" fact="0.0763"/>
                  <dgm:constr type="r" for="ch" forName="Child1Accent2" refType="w" fact="0.5542"/>
                  <dgm:constr type="t" for="ch" forName="Child1Accent2" refType="h" fact="0.2004"/>
                  <dgm:constr type="w" for="ch" forName="Child1Accent2" refType="w" fact="0.0287"/>
                  <dgm:constr type="h" for="ch" forName="Child1Accent2" refType="h" fact="0.0381"/>
                  <dgm:constr type="r" for="ch" forName="Child1Accent3" refType="w" fact="0.5946"/>
                  <dgm:constr type="t" for="ch" forName="Child1Accent3" refType="h" fact="0.1445"/>
                  <dgm:constr type="w" for="ch" forName="Child1Accent3" refType="w" fact="0.0287"/>
                  <dgm:constr type="h" for="ch" forName="Child1Accent3" refType="h" fact="0.0381"/>
                  <dgm:constr type="r" for="ch" forName="Child1Accent4" refType="w" fact="0.6347"/>
                  <dgm:constr type="t" for="ch" forName="Child1Accent4" refType="h" fact="0.097"/>
                  <dgm:constr type="w" for="ch" forName="Child1Accent4" refType="w" fact="0.0287"/>
                  <dgm:constr type="h" for="ch" forName="Child1Accent4" refType="h" fact="0.0381"/>
                  <dgm:constr type="r" for="ch" forName="Child1Accent5" refType="w" fact="0.696"/>
                  <dgm:constr type="t" for="ch" forName="Child1Accent5" refType="h" fact="0.097"/>
                  <dgm:constr type="w" for="ch" forName="Child1Accent5" refType="w" fact="0.0287"/>
                  <dgm:constr type="h" for="ch" forName="Child1Accent5" refType="h" fact="0.0381"/>
                  <dgm:constr type="r" for="ch" forName="Child1Accent6" refType="w" fact="0.7574"/>
                  <dgm:constr type="t" for="ch" forName="Child1Accent6" refType="h" fact="0.097"/>
                  <dgm:constr type="w" for="ch" forName="Child1Accent6" refType="w" fact="0.0287"/>
                  <dgm:constr type="h" for="ch" forName="Child1Accent6" refType="h" fact="0.0381"/>
                  <dgm:constr type="r" for="ch" forName="Child1Accent7" refType="w" fact="0.8187"/>
                  <dgm:constr type="t" for="ch" forName="Child1Accent7" refType="h" fact="0.097"/>
                  <dgm:constr type="w" for="ch" forName="Child1Accent7" refType="w" fact="0.0287"/>
                  <dgm:constr type="h" for="ch" forName="Child1Accent7" refType="h" fact="0.0381"/>
                  <dgm:constr type="r" for="ch" forName="Child1Accent8" refType="w" fact="0.88"/>
                  <dgm:constr type="t" for="ch" forName="Child1Accent8" refType="h" fact="0.097"/>
                  <dgm:constr type="w" for="ch" forName="Child1Accent8" refType="w" fact="0.0287"/>
                  <dgm:constr type="h" for="ch" forName="Child1Accent8" refType="h" fact="0.0381"/>
                  <dgm:constr type="r" for="ch" forName="Child1Accent9" refType="w" fact="0.9413"/>
                  <dgm:constr type="t" for="ch" forName="Child1Accent9" refType="h" fact="0.097"/>
                  <dgm:constr type="w" for="ch" forName="Child1Accent9" refType="w" fact="0.0287"/>
                  <dgm:constr type="h" for="ch" forName="Child1Accent9" refType="h" fact="0.0381"/>
                  <dgm:constr type="r" for="ch" forName="Child5Accent1" refType="w" fact="0.5181"/>
                  <dgm:constr type="t" for="ch" forName="Child5Accent1" refType="h" fact="0.7601"/>
                  <dgm:constr type="w" for="ch" forName="Child5Accent1" refType="w" fact="0.0574"/>
                  <dgm:constr type="h" for="ch" forName="Child5Accent1" refType="h" fact="0.0763"/>
                  <dgm:constr type="r" for="ch" forName="Child5Accent2" refType="w" fact="0.547"/>
                  <dgm:constr type="t" for="ch" forName="Child5Accent2" refType="h" fact="0.8375"/>
                  <dgm:constr type="w" for="ch" forName="Child5Accent2" refType="w" fact="0.0287"/>
                  <dgm:constr type="h" for="ch" forName="Child5Accent2" refType="h" fact="0.0381"/>
                  <dgm:constr type="r" for="ch" forName="Child5Accent3" refType="w" fact="0.5882"/>
                  <dgm:constr type="t" for="ch" forName="Child5Accent3" refType="h" fact="0.8991"/>
                  <dgm:constr type="w" for="ch" forName="Child5Accent3" refType="w" fact="0.0287"/>
                  <dgm:constr type="h" for="ch" forName="Child5Accent3" refType="h" fact="0.0381"/>
                  <dgm:constr type="r" for="ch" forName="Child5Accent4" refType="w" fact="0.6347"/>
                  <dgm:constr type="t" for="ch" forName="Child5Accent4" refType="h" fact="0.9619"/>
                  <dgm:constr type="w" for="ch" forName="Child5Accent4" refType="w" fact="0.0287"/>
                  <dgm:constr type="h" for="ch" forName="Child5Accent4" refType="h" fact="0.0381"/>
                  <dgm:constr type="r" for="ch" forName="Child5Accent5" refType="w" fact="0.696"/>
                  <dgm:constr type="t" for="ch" forName="Child5Accent5" refType="h" fact="0.9619"/>
                  <dgm:constr type="w" for="ch" forName="Child5Accent5" refType="w" fact="0.0287"/>
                  <dgm:constr type="h" for="ch" forName="Child5Accent5" refType="h" fact="0.0381"/>
                  <dgm:constr type="r" for="ch" forName="Child5Accent6" refType="w" fact="0.7574"/>
                  <dgm:constr type="t" for="ch" forName="Child5Accent6" refType="h" fact="0.9619"/>
                  <dgm:constr type="w" for="ch" forName="Child5Accent6" refType="w" fact="0.0287"/>
                  <dgm:constr type="h" for="ch" forName="Child5Accent6" refType="h" fact="0.0381"/>
                  <dgm:constr type="r" for="ch" forName="Child5Accent7" refType="w" fact="0.8187"/>
                  <dgm:constr type="t" for="ch" forName="Child5Accent7" refType="h" fact="0.9619"/>
                  <dgm:constr type="w" for="ch" forName="Child5Accent7" refType="w" fact="0.0287"/>
                  <dgm:constr type="h" for="ch" forName="Child5Accent7" refType="h" fact="0.0381"/>
                  <dgm:constr type="r" for="ch" forName="Child5Accent8" refType="w" fact="0.88"/>
                  <dgm:constr type="t" for="ch" forName="Child5Accent8" refType="h" fact="0.9619"/>
                  <dgm:constr type="w" for="ch" forName="Child5Accent8" refType="w" fact="0.0287"/>
                  <dgm:constr type="h" for="ch" forName="Child5Accent8" refType="h" fact="0.0381"/>
                  <dgm:constr type="r" for="ch" forName="Child5Accent9" refType="w" fact="0.9423"/>
                  <dgm:constr type="t" for="ch" forName="Child5Accent9" refType="h" fact="0.9619"/>
                  <dgm:constr type="w" for="ch" forName="Child5Accent9" refType="w" fact="0.0287"/>
                  <dgm:constr type="h" for="ch" forName="Child5Accent9" refType="h" fact="0.0381"/>
                  <dgm:constr type="r" for="ch" forName="Child5" refType="w" fact="0.9419"/>
                  <dgm:constr type="t" for="ch" forName="Child5" refType="h" fact="0.8635"/>
                  <dgm:constr type="w" for="ch" forName="Child5" refType="w" fact="0.3364"/>
                  <dgm:constr type="h" for="ch" forName="Child5" refType="h" fact="0.0981"/>
                  <dgm:constr type="r" for="ch" forName="Child4" refType="w"/>
                  <dgm:constr type="t" for="ch" forName="Child4" refType="h" fact="0.6701"/>
                  <dgm:constr type="w" for="ch" forName="Child4" refType="w" fact="0.3364"/>
                  <dgm:constr type="h" for="ch" forName="Child4" refType="h" fact="0.0981"/>
                  <dgm:constr type="r" for="ch" forName="Child3" refType="w"/>
                  <dgm:constr type="t" for="ch" forName="Child3" refType="h" fact="0.4276"/>
                  <dgm:constr type="w" for="ch" forName="Child3" refType="w" fact="0.2544"/>
                  <dgm:constr type="h" for="ch" forName="Child3" refType="h" fact="0.0981"/>
                  <dgm:constr type="r" for="ch" forName="Child2" refType="w"/>
                  <dgm:constr type="t" for="ch" forName="Child2" refType="h" fact="0.1798"/>
                  <dgm:constr type="w" for="ch" forName="Child2" refType="w" fact="0.3364"/>
                  <dgm:constr type="h" for="ch" forName="Child2" refType="h" fact="0.0981"/>
                  <dgm:constr type="r" for="ch" forName="Child1" refType="w" fact="0.9419"/>
                  <dgm:constr type="t" for="ch" forName="Child1" refType="h" fact="0"/>
                  <dgm:constr type="w" for="ch" forName="Child1" refType="w" fact="0.3364"/>
                  <dgm:constr type="h" for="ch" forName="Child1" refType="h" fact="0.0981"/>
                  <dgm:constr type="r" for="ch" forName="Parent" refType="w" fact="0.6347"/>
                  <dgm:constr type="t" for="ch" forName="Parent" refType="h" fact="0.3513"/>
                  <dgm:constr type="w" for="ch" forName="Parent" refType="w" fact="0.2906"/>
                  <dgm:constr type="h" for="ch" forName="Parent" refType="h" fact="0.3859"/>
                </dgm:constrLst>
              </dgm:else>
            </dgm:choose>
          </dgm:else>
        </dgm:choose>
        <dgm:layoutNode name="ParentAccent1" styleLbl="alignNode1">
          <dgm:alg type="sp"/>
          <dgm:shape xmlns:r="http://schemas.openxmlformats.org/officeDocument/2006/relationships" type="ellipse" r:blip="">
            <dgm:adjLst/>
          </dgm:shape>
          <dgm:presOf/>
        </dgm:layoutNode>
        <dgm:layoutNode name="ParentAccent2" styleLbl="alignNode1">
          <dgm:alg type="sp"/>
          <dgm:shape xmlns:r="http://schemas.openxmlformats.org/officeDocument/2006/relationships" type="ellipse" r:blip="">
            <dgm:adjLst/>
          </dgm:shape>
          <dgm:presOf/>
        </dgm:layoutNode>
        <dgm:layoutNode name="ParentAccent3" styleLbl="alignNode1">
          <dgm:alg type="sp"/>
          <dgm:shape xmlns:r="http://schemas.openxmlformats.org/officeDocument/2006/relationships" type="ellipse" r:blip="">
            <dgm:adjLst/>
          </dgm:shape>
          <dgm:presOf/>
        </dgm:layoutNode>
        <dgm:layoutNode name="ParentAccent4" styleLbl="alignNode1">
          <dgm:alg type="sp"/>
          <dgm:shape xmlns:r="http://schemas.openxmlformats.org/officeDocument/2006/relationships" type="ellipse" r:blip="">
            <dgm:adjLst/>
          </dgm:shape>
          <dgm:presOf/>
        </dgm:layoutNode>
        <dgm:layoutNode name="ParentAccent5" styleLbl="alignNode1">
          <dgm:alg type="sp"/>
          <dgm:shape xmlns:r="http://schemas.openxmlformats.org/officeDocument/2006/relationships" type="ellipse" r:blip="">
            <dgm:adjLst/>
          </dgm:shape>
          <dgm:presOf/>
        </dgm:layoutNode>
        <dgm:layoutNode name="ParentAccent6" styleLbl="alignNode1">
          <dgm:alg type="sp"/>
          <dgm:shape xmlns:r="http://schemas.openxmlformats.org/officeDocument/2006/relationships" type="ellipse" r:blip="">
            <dgm:adjLst/>
          </dgm:shape>
          <dgm:presOf/>
        </dgm:layoutNode>
        <dgm:layoutNode name="ParentAccent7" styleLbl="alignNode1">
          <dgm:alg type="sp"/>
          <dgm:shape xmlns:r="http://schemas.openxmlformats.org/officeDocument/2006/relationships" type="ellipse" r:blip="">
            <dgm:adjLst/>
          </dgm:shape>
          <dgm:presOf/>
        </dgm:layoutNode>
        <dgm:layoutNode name="ParentAccent8" styleLbl="alignNode1">
          <dgm:alg type="sp"/>
          <dgm:shape xmlns:r="http://schemas.openxmlformats.org/officeDocument/2006/relationships" type="ellipse" r:blip="">
            <dgm:adjLst/>
          </dgm:shape>
          <dgm:presOf/>
        </dgm:layoutNode>
        <dgm:layoutNode name="ParentAccent9" styleLbl="alignNode1">
          <dgm:alg type="sp"/>
          <dgm:shape xmlns:r="http://schemas.openxmlformats.org/officeDocument/2006/relationships" type="ellipse" r:blip="">
            <dgm:adjLst/>
          </dgm:shape>
          <dgm:presOf/>
        </dgm:layoutNode>
        <dgm:layoutNode name="ParentAccent10" styleLbl="alignNode1">
          <dgm:alg type="sp"/>
          <dgm:shape xmlns:r="http://schemas.openxmlformats.org/officeDocument/2006/relationships" type="ellipse" r:blip="">
            <dgm:adjLst/>
          </dgm:shape>
          <dgm:presOf/>
        </dgm:layoutNode>
        <dgm:layoutNode name="Parent" styleLbl="alignNode1">
          <dgm:varLst>
            <dgm:chMax val="5"/>
            <dgm:chPref val="3"/>
            <dgm:bulletEnabled val="1"/>
          </dgm:varLst>
          <dgm:alg type="tx"/>
          <dgm:shape xmlns:r="http://schemas.openxmlformats.org/officeDocument/2006/relationships" type="ellipse" r:blip="">
            <dgm:adjLst/>
          </dgm:shape>
          <dgm:presOf axis="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name="Name21" axis="ch" ptType="node" cnt="1">
          <dgm:layoutNode name="Child1Accent1" styleLbl="alignNode1">
            <dgm:alg type="sp"/>
            <dgm:shape xmlns:r="http://schemas.openxmlformats.org/officeDocument/2006/relationships" type="ellipse" r:blip="">
              <dgm:adjLst/>
            </dgm:shape>
            <dgm:presOf/>
          </dgm:layoutNode>
          <dgm:layoutNode name="Child1Accent2" styleLbl="alignNode1">
            <dgm:alg type="sp"/>
            <dgm:shape xmlns:r="http://schemas.openxmlformats.org/officeDocument/2006/relationships" type="ellipse" r:blip="">
              <dgm:adjLst/>
            </dgm:shape>
            <dgm:presOf/>
          </dgm:layoutNode>
          <dgm:layoutNode name="Child1Accent3" styleLbl="alignNode1">
            <dgm:alg type="sp"/>
            <dgm:shape xmlns:r="http://schemas.openxmlformats.org/officeDocument/2006/relationships" type="ellipse" r:blip="">
              <dgm:adjLst/>
            </dgm:shape>
            <dgm:presOf/>
          </dgm:layoutNode>
          <dgm:layoutNode name="Child1Accent4" styleLbl="alignNode1">
            <dgm:alg type="sp"/>
            <dgm:shape xmlns:r="http://schemas.openxmlformats.org/officeDocument/2006/relationships" type="ellipse" r:blip="">
              <dgm:adjLst/>
            </dgm:shape>
            <dgm:presOf/>
          </dgm:layoutNode>
          <dgm:layoutNode name="Child1Accent5" styleLbl="alignNode1">
            <dgm:alg type="sp"/>
            <dgm:shape xmlns:r="http://schemas.openxmlformats.org/officeDocument/2006/relationships" type="ellipse" r:blip="">
              <dgm:adjLst/>
            </dgm:shape>
            <dgm:presOf/>
          </dgm:layoutNode>
          <dgm:layoutNode name="Child1Accent6" styleLbl="alignNode1">
            <dgm:alg type="sp"/>
            <dgm:shape xmlns:r="http://schemas.openxmlformats.org/officeDocument/2006/relationships" type="ellipse" r:blip="">
              <dgm:adjLst/>
            </dgm:shape>
            <dgm:presOf/>
          </dgm:layoutNode>
          <dgm:layoutNode name="Child1Accent7" styleLbl="alignNode1">
            <dgm:alg type="sp"/>
            <dgm:shape xmlns:r="http://schemas.openxmlformats.org/officeDocument/2006/relationships" type="ellipse" r:blip="">
              <dgm:adjLst/>
            </dgm:shape>
            <dgm:presOf/>
          </dgm:layoutNode>
          <dgm:layoutNode name="Child1Accent8" styleLbl="alignNode1">
            <dgm:alg type="sp"/>
            <dgm:shape xmlns:r="http://schemas.openxmlformats.org/officeDocument/2006/relationships" type="ellipse" r:blip="">
              <dgm:adjLst/>
            </dgm:shape>
            <dgm:presOf/>
          </dgm:layoutNode>
          <dgm:layoutNode name="Child1Accent9" styleLbl="alignNode1">
            <dgm:alg type="sp"/>
            <dgm:shape xmlns:r="http://schemas.openxmlformats.org/officeDocument/2006/relationships" type="ellipse" r:blip="">
              <dgm:adjLst/>
            </dgm:shape>
            <dgm:presOf/>
          </dgm:layoutNode>
          <dgm:layoutNode name="Child1" styleLbl="revTx">
            <dgm:varLst>
              <dgm:chMax/>
              <dgm:chPref val="0"/>
              <dgm:bulletEnabled val="1"/>
            </dgm:varLst>
            <dgm:alg type="tx">
              <dgm:param type="parTxLTRAlign" val="l"/>
              <dgm:param type="txAnchorVert" val="b"/>
              <dgm:param type="txAnchorVertCh" val="b"/>
            </dgm:alg>
            <dgm:shape xmlns:r="http://schemas.openxmlformats.org/officeDocument/2006/relationships" type="rect" r:blip="">
              <dgm:adjLst/>
            </dgm:shape>
            <dgm:presOf axis="desOrSelf" ptType="node"/>
            <dgm:constrLst>
              <dgm:constr type="lMarg" refType="primFontSz" fact="0"/>
              <dgm:constr type="rMarg" refType="primFontSz" fact="0"/>
              <dgm:constr type="tMarg" refType="primFontSz" fact="0"/>
              <dgm:constr type="bMarg" refType="primFontSz" fact="0"/>
            </dgm:constrLst>
            <dgm:ruleLst>
              <dgm:rule type="primFontSz" val="5" fact="NaN" max="NaN"/>
            </dgm:ruleLst>
          </dgm:layoutNode>
        </dgm:forEach>
        <dgm:forEach name="Name22" axis="ch" ptType="node" st="2" cnt="1">
          <dgm:layoutNode name="Child2Accent1" styleLbl="alignNode1">
            <dgm:alg type="sp"/>
            <dgm:shape xmlns:r="http://schemas.openxmlformats.org/officeDocument/2006/relationships" type="ellipse" r:blip="">
              <dgm:adjLst/>
            </dgm:shape>
            <dgm:presOf/>
          </dgm:layoutNode>
          <dgm:layoutNode name="Child2Accent2" styleLbl="alignNode1">
            <dgm:alg type="sp"/>
            <dgm:shape xmlns:r="http://schemas.openxmlformats.org/officeDocument/2006/relationships" type="ellipse" r:blip="">
              <dgm:adjLst/>
            </dgm:shape>
            <dgm:presOf/>
          </dgm:layoutNode>
          <dgm:layoutNode name="Child2Accent3" styleLbl="alignNode1">
            <dgm:alg type="sp"/>
            <dgm:shape xmlns:r="http://schemas.openxmlformats.org/officeDocument/2006/relationships" type="ellipse" r:blip="">
              <dgm:adjLst/>
            </dgm:shape>
            <dgm:presOf/>
          </dgm:layoutNode>
          <dgm:layoutNode name="Child2Accent4" styleLbl="alignNode1">
            <dgm:alg type="sp"/>
            <dgm:shape xmlns:r="http://schemas.openxmlformats.org/officeDocument/2006/relationships" type="ellipse" r:blip="">
              <dgm:adjLst/>
            </dgm:shape>
            <dgm:presOf/>
          </dgm:layoutNode>
          <dgm:layoutNode name="Child2Accent5" styleLbl="alignNode1">
            <dgm:alg type="sp"/>
            <dgm:shape xmlns:r="http://schemas.openxmlformats.org/officeDocument/2006/relationships" type="ellipse" r:blip="">
              <dgm:adjLst/>
            </dgm:shape>
            <dgm:presOf/>
          </dgm:layoutNode>
          <dgm:layoutNode name="Child2Accent6" styleLbl="alignNode1">
            <dgm:alg type="sp"/>
            <dgm:shape xmlns:r="http://schemas.openxmlformats.org/officeDocument/2006/relationships" type="ellipse" r:blip="">
              <dgm:adjLst/>
            </dgm:shape>
            <dgm:presOf/>
          </dgm:layoutNode>
          <dgm:layoutNode name="Child2Accent7" styleLbl="alignNode1">
            <dgm:alg type="sp"/>
            <dgm:shape xmlns:r="http://schemas.openxmlformats.org/officeDocument/2006/relationships" type="ellipse" r:blip="">
              <dgm:adjLst/>
            </dgm:shape>
            <dgm:presOf/>
          </dgm:layoutNode>
          <dgm:layoutNode name="Child2" styleLbl="revTx">
            <dgm:varLst>
              <dgm:chMax/>
              <dgm:chPref val="0"/>
              <dgm:bulletEnabled val="1"/>
            </dgm:varLst>
            <dgm:alg type="tx">
              <dgm:param type="parTxLTRAlign" val="l"/>
              <dgm:param type="txAnchorVert" val="b"/>
              <dgm:param type="txAnchorVertCh" val="b"/>
            </dgm:alg>
            <dgm:shape xmlns:r="http://schemas.openxmlformats.org/officeDocument/2006/relationships" type="rect" r:blip="">
              <dgm:adjLst/>
            </dgm:shape>
            <dgm:presOf axis="desOrSelf" ptType="node"/>
            <dgm:constrLst>
              <dgm:constr type="lMarg" refType="primFontSz" fact="0"/>
              <dgm:constr type="rMarg" refType="primFontSz" fact="0"/>
              <dgm:constr type="tMarg" refType="primFontSz" fact="0"/>
              <dgm:constr type="bMarg" refType="primFontSz" fact="0"/>
            </dgm:constrLst>
            <dgm:ruleLst>
              <dgm:rule type="primFontSz" val="5" fact="NaN" max="NaN"/>
            </dgm:ruleLst>
          </dgm:layoutNode>
        </dgm:forEach>
        <dgm:forEach name="Name23" axis="ch" ptType="node" st="3" cnt="1">
          <dgm:layoutNode name="Child3Accent1" styleLbl="alignNode1">
            <dgm:alg type="sp"/>
            <dgm:shape xmlns:r="http://schemas.openxmlformats.org/officeDocument/2006/relationships" type="ellipse" r:blip="">
              <dgm:adjLst/>
            </dgm:shape>
            <dgm:presOf/>
          </dgm:layoutNode>
          <dgm:layoutNode name="Child3Accent2" styleLbl="alignNode1">
            <dgm:alg type="sp"/>
            <dgm:shape xmlns:r="http://schemas.openxmlformats.org/officeDocument/2006/relationships" type="ellipse" r:blip="">
              <dgm:adjLst/>
            </dgm:shape>
            <dgm:presOf/>
          </dgm:layoutNode>
          <dgm:layoutNode name="Child3Accent3" styleLbl="alignNode1">
            <dgm:alg type="sp"/>
            <dgm:shape xmlns:r="http://schemas.openxmlformats.org/officeDocument/2006/relationships" type="ellipse" r:blip="">
              <dgm:adjLst/>
            </dgm:shape>
            <dgm:presOf/>
          </dgm:layoutNode>
          <dgm:layoutNode name="Child3Accent4" styleLbl="alignNode1">
            <dgm:alg type="sp"/>
            <dgm:shape xmlns:r="http://schemas.openxmlformats.org/officeDocument/2006/relationships" type="ellipse" r:blip="">
              <dgm:adjLst/>
            </dgm:shape>
            <dgm:presOf/>
          </dgm:layoutNode>
          <dgm:layoutNode name="Child3Accent5" styleLbl="alignNode1">
            <dgm:alg type="sp"/>
            <dgm:shape xmlns:r="http://schemas.openxmlformats.org/officeDocument/2006/relationships" type="ellipse" r:blip="">
              <dgm:adjLst/>
            </dgm:shape>
            <dgm:presOf/>
          </dgm:layoutNode>
          <dgm:layoutNode name="Child3Accent6" styleLbl="alignNode1">
            <dgm:alg type="sp"/>
            <dgm:shape xmlns:r="http://schemas.openxmlformats.org/officeDocument/2006/relationships" type="ellipse" r:blip="">
              <dgm:adjLst/>
            </dgm:shape>
            <dgm:presOf/>
          </dgm:layoutNode>
          <dgm:layoutNode name="Child3Accent7" styleLbl="alignNode1">
            <dgm:alg type="sp"/>
            <dgm:shape xmlns:r="http://schemas.openxmlformats.org/officeDocument/2006/relationships" type="ellipse" r:blip="">
              <dgm:adjLst/>
            </dgm:shape>
            <dgm:presOf/>
          </dgm:layoutNode>
          <dgm:layoutNode name="Child3" styleLbl="revTx">
            <dgm:varLst>
              <dgm:chMax/>
              <dgm:chPref val="0"/>
              <dgm:bulletEnabled val="1"/>
            </dgm:varLst>
            <dgm:alg type="tx">
              <dgm:param type="parTxLTRAlign" val="l"/>
              <dgm:param type="txAnchorVert" val="b"/>
              <dgm:param type="txAnchorVertCh" val="b"/>
            </dgm:alg>
            <dgm:shape xmlns:r="http://schemas.openxmlformats.org/officeDocument/2006/relationships" type="rect" r:blip="">
              <dgm:adjLst/>
            </dgm:shape>
            <dgm:presOf axis="desOrSelf" ptType="node"/>
            <dgm:constrLst>
              <dgm:constr type="lMarg" refType="primFontSz" fact="0"/>
              <dgm:constr type="rMarg" refType="primFontSz" fact="0"/>
              <dgm:constr type="tMarg" refType="primFontSz" fact="0"/>
              <dgm:constr type="bMarg" refType="primFontSz" fact="0"/>
            </dgm:constrLst>
            <dgm:ruleLst>
              <dgm:rule type="primFontSz" val="5" fact="NaN" max="NaN"/>
            </dgm:ruleLst>
          </dgm:layoutNode>
        </dgm:forEach>
        <dgm:forEach name="Name24" axis="ch" ptType="node" st="4" cnt="1">
          <dgm:layoutNode name="Child4Accent1" styleLbl="alignNode1">
            <dgm:alg type="sp"/>
            <dgm:shape xmlns:r="http://schemas.openxmlformats.org/officeDocument/2006/relationships" type="ellipse" r:blip="">
              <dgm:adjLst/>
            </dgm:shape>
            <dgm:presOf/>
          </dgm:layoutNode>
          <dgm:layoutNode name="Child4Accent2" styleLbl="alignNode1">
            <dgm:alg type="sp"/>
            <dgm:shape xmlns:r="http://schemas.openxmlformats.org/officeDocument/2006/relationships" type="ellipse" r:blip="">
              <dgm:adjLst/>
            </dgm:shape>
            <dgm:presOf/>
          </dgm:layoutNode>
          <dgm:layoutNode name="Child4Accent3" styleLbl="alignNode1">
            <dgm:alg type="sp"/>
            <dgm:shape xmlns:r="http://schemas.openxmlformats.org/officeDocument/2006/relationships" type="ellipse" r:blip="">
              <dgm:adjLst/>
            </dgm:shape>
            <dgm:presOf/>
          </dgm:layoutNode>
          <dgm:layoutNode name="Child4Accent4" styleLbl="alignNode1">
            <dgm:alg type="sp"/>
            <dgm:shape xmlns:r="http://schemas.openxmlformats.org/officeDocument/2006/relationships" type="ellipse" r:blip="">
              <dgm:adjLst/>
            </dgm:shape>
            <dgm:presOf/>
          </dgm:layoutNode>
          <dgm:layoutNode name="Child4Accent5" styleLbl="alignNode1">
            <dgm:alg type="sp"/>
            <dgm:shape xmlns:r="http://schemas.openxmlformats.org/officeDocument/2006/relationships" type="ellipse" r:blip="">
              <dgm:adjLst/>
            </dgm:shape>
            <dgm:presOf/>
          </dgm:layoutNode>
          <dgm:layoutNode name="Child4Accent6" styleLbl="alignNode1">
            <dgm:alg type="sp"/>
            <dgm:shape xmlns:r="http://schemas.openxmlformats.org/officeDocument/2006/relationships" type="ellipse" r:blip="">
              <dgm:adjLst/>
            </dgm:shape>
            <dgm:presOf/>
          </dgm:layoutNode>
          <dgm:layoutNode name="Child4Accent7" styleLbl="alignNode1">
            <dgm:alg type="sp"/>
            <dgm:shape xmlns:r="http://schemas.openxmlformats.org/officeDocument/2006/relationships" type="ellipse" r:blip="">
              <dgm:adjLst/>
            </dgm:shape>
            <dgm:presOf/>
          </dgm:layoutNode>
          <dgm:layoutNode name="Child4Accent8" styleLbl="alignNode1">
            <dgm:alg type="sp"/>
            <dgm:shape xmlns:r="http://schemas.openxmlformats.org/officeDocument/2006/relationships" type="ellipse" r:blip="">
              <dgm:adjLst/>
            </dgm:shape>
            <dgm:presOf/>
          </dgm:layoutNode>
          <dgm:layoutNode name="Child4" styleLbl="revTx">
            <dgm:varLst>
              <dgm:chMax/>
              <dgm:chPref val="0"/>
              <dgm:bulletEnabled val="1"/>
            </dgm:varLst>
            <dgm:alg type="tx">
              <dgm:param type="parTxLTRAlign" val="l"/>
              <dgm:param type="txAnchorVert" val="b"/>
              <dgm:param type="txAnchorVertCh" val="b"/>
            </dgm:alg>
            <dgm:shape xmlns:r="http://schemas.openxmlformats.org/officeDocument/2006/relationships" type="rect" r:blip="">
              <dgm:adjLst/>
            </dgm:shape>
            <dgm:presOf axis="desOrSelf" ptType="node"/>
            <dgm:constrLst>
              <dgm:constr type="lMarg" refType="primFontSz" fact="0"/>
              <dgm:constr type="rMarg" refType="primFontSz" fact="0"/>
              <dgm:constr type="tMarg" refType="primFontSz" fact="0"/>
              <dgm:constr type="bMarg" refType="primFontSz" fact="0"/>
            </dgm:constrLst>
            <dgm:ruleLst>
              <dgm:rule type="primFontSz" val="5" fact="NaN" max="NaN"/>
            </dgm:ruleLst>
          </dgm:layoutNode>
        </dgm:forEach>
        <dgm:forEach name="Name25" axis="ch" ptType="node" st="5" cnt="1">
          <dgm:layoutNode name="Child5Accent1" styleLbl="alignNode1">
            <dgm:alg type="sp"/>
            <dgm:shape xmlns:r="http://schemas.openxmlformats.org/officeDocument/2006/relationships" type="ellipse" r:blip="">
              <dgm:adjLst/>
            </dgm:shape>
            <dgm:presOf/>
          </dgm:layoutNode>
          <dgm:layoutNode name="Child5Accent2" styleLbl="alignNode1">
            <dgm:alg type="sp"/>
            <dgm:shape xmlns:r="http://schemas.openxmlformats.org/officeDocument/2006/relationships" type="ellipse" r:blip="">
              <dgm:adjLst/>
            </dgm:shape>
            <dgm:presOf/>
          </dgm:layoutNode>
          <dgm:layoutNode name="Child5Accent3" styleLbl="alignNode1">
            <dgm:alg type="sp"/>
            <dgm:shape xmlns:r="http://schemas.openxmlformats.org/officeDocument/2006/relationships" type="ellipse" r:blip="">
              <dgm:adjLst/>
            </dgm:shape>
            <dgm:presOf/>
          </dgm:layoutNode>
          <dgm:layoutNode name="Child5Accent4" styleLbl="alignNode1">
            <dgm:alg type="sp"/>
            <dgm:shape xmlns:r="http://schemas.openxmlformats.org/officeDocument/2006/relationships" type="ellipse" r:blip="">
              <dgm:adjLst/>
            </dgm:shape>
            <dgm:presOf/>
          </dgm:layoutNode>
          <dgm:layoutNode name="Child5Accent5" styleLbl="alignNode1">
            <dgm:alg type="sp"/>
            <dgm:shape xmlns:r="http://schemas.openxmlformats.org/officeDocument/2006/relationships" type="ellipse" r:blip="">
              <dgm:adjLst/>
            </dgm:shape>
            <dgm:presOf/>
          </dgm:layoutNode>
          <dgm:layoutNode name="Child5Accent6" styleLbl="alignNode1">
            <dgm:alg type="sp"/>
            <dgm:shape xmlns:r="http://schemas.openxmlformats.org/officeDocument/2006/relationships" type="ellipse" r:blip="">
              <dgm:adjLst/>
            </dgm:shape>
            <dgm:presOf/>
          </dgm:layoutNode>
          <dgm:layoutNode name="Child5Accent7" styleLbl="alignNode1">
            <dgm:alg type="sp"/>
            <dgm:shape xmlns:r="http://schemas.openxmlformats.org/officeDocument/2006/relationships" type="ellipse" r:blip="">
              <dgm:adjLst/>
            </dgm:shape>
            <dgm:presOf/>
          </dgm:layoutNode>
          <dgm:layoutNode name="Child5Accent8" styleLbl="alignNode1">
            <dgm:alg type="sp"/>
            <dgm:shape xmlns:r="http://schemas.openxmlformats.org/officeDocument/2006/relationships" type="ellipse" r:blip="">
              <dgm:adjLst/>
            </dgm:shape>
            <dgm:presOf/>
          </dgm:layoutNode>
          <dgm:layoutNode name="Child5Accent9" styleLbl="alignNode1">
            <dgm:alg type="sp"/>
            <dgm:shape xmlns:r="http://schemas.openxmlformats.org/officeDocument/2006/relationships" type="ellipse" r:blip="">
              <dgm:adjLst/>
            </dgm:shape>
            <dgm:presOf/>
          </dgm:layoutNode>
          <dgm:layoutNode name="Child5" styleLbl="revTx">
            <dgm:varLst>
              <dgm:chMax/>
              <dgm:chPref val="0"/>
              <dgm:bulletEnabled val="1"/>
            </dgm:varLst>
            <dgm:alg type="tx">
              <dgm:param type="parTxLTRAlign" val="l"/>
              <dgm:param type="txAnchorVert" val="b"/>
              <dgm:param type="txAnchorVertCh" val="b"/>
            </dgm:alg>
            <dgm:shape xmlns:r="http://schemas.openxmlformats.org/officeDocument/2006/relationships" type="rect" r:blip="">
              <dgm:adjLst/>
            </dgm:shape>
            <dgm:presOf axis="desOrSelf" ptType="node"/>
            <dgm:constrLst>
              <dgm:constr type="lMarg" refType="primFontSz" fact="0"/>
              <dgm:constr type="rMarg" refType="primFontSz" fact="0"/>
              <dgm:constr type="tMarg" refType="primFontSz" fact="0"/>
              <dgm:constr type="bMarg" refType="primFontSz" fact="0"/>
            </dgm:constrLst>
            <dgm:ruleLst>
              <dgm:rule type="primFontSz" val="5" fact="NaN" max="NaN"/>
            </dgm:ruleLst>
          </dgm:layoutNode>
        </dgm:forEach>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target2">
  <dgm:title val=""/>
  <dgm:desc val=""/>
  <dgm:catLst>
    <dgm:cat type="relationship" pri="12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Name0">
    <dgm:varLst>
      <dgm:chMax val="3"/>
      <dgm:chPref val="1"/>
      <dgm:dir/>
      <dgm:animLvl val="lvl"/>
      <dgm:resizeHandles/>
    </dgm:varLst>
    <dgm:alg type="composite">
      <dgm:param type="horzAlign" val="none"/>
      <dgm:param type="vertAlign" val="none"/>
    </dgm:alg>
    <dgm:shape xmlns:r="http://schemas.openxmlformats.org/officeDocument/2006/relationships" r:blip="">
      <dgm:adjLst/>
    </dgm:shape>
    <dgm:presOf/>
    <dgm:choose name="Name1">
      <dgm:if name="Name2" func="var" arg="dir" op="equ" val="norm">
        <dgm:choose name="Name3">
          <dgm:if name="Name4" axis="ch ch" ptType="node node" st="1 1" cnt="1 0" func="cnt" op="gt" val="0">
            <dgm:choose name="Name5">
              <dgm:if name="Name6" axis="ch ch" ptType="node node" st="2 1" cnt="1 0" func="cnt" op="gt" val="0">
                <dgm:constrLst>
                  <dgm:constr type="primFontSz" for="des" forName="middleBoxParent" val="65"/>
                  <dgm:constr type="primFontSz" for="des" forName="mChild" val="65"/>
                  <dgm:constr type="primFontSz" for="des" forName="outerBoxParent" refType="primFontSz" refFor="des" refForName="middleBoxParent" op="equ"/>
                  <dgm:constr type="primFontSz" for="des" forName="centerBoxParent" refType="primFontSz" refFor="des" refForName="middleBoxParent" op="equ"/>
                  <dgm:constr type="primFontSz" for="des" forName="oChild" refType="primFontSz" refFor="des" refForName="mChild" op="equ"/>
                  <dgm:constr type="primFontSz" for="des" forName="cChild" refType="primFontSz" refFor="des" refForName="mChild" op="equ"/>
                  <dgm:constr type="l" for="ch" forName="outerBox"/>
                  <dgm:constr type="t" for="ch" forName="outerBox"/>
                  <dgm:constr type="w" for="ch" forName="outerBox" refType="w"/>
                  <dgm:constr type="h" for="ch" forName="outerBox" refType="h"/>
                  <dgm:constr type="l" for="ch" forName="middleBox" refType="w" fact="0.2"/>
                  <dgm:constr type="t" for="ch" forName="middleBox" refType="h" fact="0.25"/>
                  <dgm:constr type="w" for="ch" forName="middleBox" refType="w" fact="0.775"/>
                  <dgm:constr type="h" for="ch" forName="middleBox" refType="h" fact="0.7"/>
                  <dgm:constr type="l" for="ch" forName="centerBox" refType="w" fact="0.395"/>
                  <dgm:constr type="t" for="ch" forName="centerBox" refType="h" fact="0.5"/>
                  <dgm:constr type="w" for="ch" forName="centerBox" refType="w" fact="0.555"/>
                  <dgm:constr type="h" for="ch" forName="centerBox" refType="h" fact="0.4"/>
                  <dgm:constr type="userA" for="des" forName="outerSibTrans" refType="w"/>
                  <dgm:constr type="userA" for="des" forName="middleSibTrans" refType="w"/>
                  <dgm:constr type="userA" for="des" forName="centerSibTrans" refType="w"/>
                </dgm:constrLst>
              </dgm:if>
              <dgm:else name="Name7">
                <dgm:constrLst>
                  <dgm:constr type="primFontSz" for="des" forName="middleBoxParent" val="65"/>
                  <dgm:constr type="primFontSz" for="des" forName="mChild" val="65"/>
                  <dgm:constr type="primFontSz" for="des" forName="outerBoxParent" refType="primFontSz" refFor="des" refForName="middleBoxParent" op="equ"/>
                  <dgm:constr type="primFontSz" for="des" forName="centerBoxParent" refType="primFontSz" refFor="des" refForName="middleBoxParent" op="equ"/>
                  <dgm:constr type="primFontSz" for="des" forName="oChild" refType="primFontSz" refFor="des" refForName="mChild" op="equ"/>
                  <dgm:constr type="primFontSz" for="des" forName="cChild" refType="primFontSz" refFor="des" refForName="mChild" op="equ"/>
                  <dgm:constr type="l" for="ch" forName="outerBox"/>
                  <dgm:constr type="t" for="ch" forName="outerBox"/>
                  <dgm:constr type="w" for="ch" forName="outerBox" refType="w"/>
                  <dgm:constr type="h" for="ch" forName="outerBox" refType="h"/>
                  <dgm:constr type="l" for="ch" forName="middleBox" refType="w" fact="0.2"/>
                  <dgm:constr type="t" for="ch" forName="middleBox" refType="h" fact="0.25"/>
                  <dgm:constr type="w" for="ch" forName="middleBox" refType="w" fact="0.775"/>
                  <dgm:constr type="h" for="ch" forName="middleBox" refType="h" fact="0.7"/>
                  <dgm:constr type="l" for="ch" forName="centerBox" refType="w" fact="0.225"/>
                  <dgm:constr type="t" for="ch" forName="centerBox" refType="h" fact="0.5"/>
                  <dgm:constr type="w" for="ch" forName="centerBox" refType="w" fact="0.725"/>
                  <dgm:constr type="h" for="ch" forName="centerBox" refType="h" fact="0.4"/>
                  <dgm:constr type="userA" for="des" forName="outerSibTrans" refType="w"/>
                  <dgm:constr type="userA" for="des" forName="middleSibTrans" refType="w"/>
                  <dgm:constr type="userA" for="des" forName="centerSibTrans" refType="w"/>
                </dgm:constrLst>
              </dgm:else>
            </dgm:choose>
          </dgm:if>
          <dgm:else name="Name8">
            <dgm:choose name="Name9">
              <dgm:if name="Name10" axis="ch ch" ptType="node node" st="2 1" cnt="1 0" func="cnt" op="gt" val="0">
                <dgm:constrLst>
                  <dgm:constr type="primFontSz" for="des" forName="middleBoxParent" val="65"/>
                  <dgm:constr type="primFontSz" for="des" forName="mChild" val="65"/>
                  <dgm:constr type="primFontSz" for="des" forName="outerBoxParent" refType="primFontSz" refFor="des" refForName="middleBoxParent" op="equ"/>
                  <dgm:constr type="primFontSz" for="des" forName="centerBoxParent" refType="primFontSz" refFor="des" refForName="middleBoxParent" op="equ"/>
                  <dgm:constr type="primFontSz" for="des" forName="oChild" refType="primFontSz" refFor="des" refForName="mChild" op="equ"/>
                  <dgm:constr type="primFontSz" for="des" forName="cChild" refType="primFontSz" refFor="des" refForName="mChild" op="equ"/>
                  <dgm:constr type="l" for="ch" forName="outerBox"/>
                  <dgm:constr type="t" for="ch" forName="outerBox"/>
                  <dgm:constr type="w" for="ch" forName="outerBox" refType="w"/>
                  <dgm:constr type="h" for="ch" forName="outerBox" refType="h"/>
                  <dgm:constr type="l" for="ch" forName="middleBox" refType="w" fact="0.025"/>
                  <dgm:constr type="t" for="ch" forName="middleBox" refType="h" fact="0.25"/>
                  <dgm:constr type="w" for="ch" forName="middleBox" refType="w" fact="0.95"/>
                  <dgm:constr type="h" for="ch" forName="middleBox" refType="h" fact="0.7"/>
                  <dgm:constr type="l" for="ch" forName="centerBox" refType="w" fact="0.26"/>
                  <dgm:constr type="t" for="ch" forName="centerBox" refType="h" fact="0.5"/>
                  <dgm:constr type="w" for="ch" forName="centerBox" refType="w" fact="0.69"/>
                  <dgm:constr type="h" for="ch" forName="centerBox" refType="h" fact="0.4"/>
                  <dgm:constr type="userA" for="des" forName="outerSibTrans" refType="w"/>
                  <dgm:constr type="userA" for="des" forName="middleSibTrans" refType="w"/>
                  <dgm:constr type="userA" for="des" forName="centerSibTrans" refType="w"/>
                </dgm:constrLst>
              </dgm:if>
              <dgm:else name="Name11">
                <dgm:constrLst>
                  <dgm:constr type="primFontSz" for="des" forName="middleBoxParent" val="65"/>
                  <dgm:constr type="primFontSz" for="des" forName="mChild" val="65"/>
                  <dgm:constr type="primFontSz" for="des" forName="outerBoxParent" refType="primFontSz" refFor="des" refForName="middleBoxParent" op="equ"/>
                  <dgm:constr type="primFontSz" for="des" forName="centerBoxParent" refType="primFontSz" refFor="des" refForName="middleBoxParent" op="equ"/>
                  <dgm:constr type="primFontSz" for="des" forName="oChild" refType="primFontSz" refFor="des" refForName="mChild" op="equ"/>
                  <dgm:constr type="primFontSz" for="des" forName="cChild" refType="primFontSz" refFor="des" refForName="mChild" op="equ"/>
                  <dgm:constr type="l" for="ch" forName="outerBox"/>
                  <dgm:constr type="t" for="ch" forName="outerBox"/>
                  <dgm:constr type="w" for="ch" forName="outerBox" refType="w"/>
                  <dgm:constr type="h" for="ch" forName="outerBox" refType="h"/>
                  <dgm:constr type="l" for="ch" forName="middleBox" refType="w" fact="0.025"/>
                  <dgm:constr type="t" for="ch" forName="middleBox" refType="h" fact="0.25"/>
                  <dgm:constr type="w" for="ch" forName="middleBox" refType="w" fact="0.95"/>
                  <dgm:constr type="h" for="ch" forName="middleBox" refType="h" fact="0.7"/>
                  <dgm:constr type="l" for="ch" forName="centerBox" refType="w" fact="0.05"/>
                  <dgm:constr type="t" for="ch" forName="centerBox" refType="h" fact="0.5"/>
                  <dgm:constr type="w" for="ch" forName="centerBox" refType="w" fact="0.9"/>
                  <dgm:constr type="h" for="ch" forName="centerBox" refType="h" fact="0.4"/>
                  <dgm:constr type="userA" for="des" forName="outerSibTrans" refType="w"/>
                  <dgm:constr type="userA" for="des" forName="middleSibTrans" refType="w"/>
                  <dgm:constr type="userA" for="des" forName="centerSibTrans" refType="w"/>
                </dgm:constrLst>
              </dgm:else>
            </dgm:choose>
          </dgm:else>
        </dgm:choose>
      </dgm:if>
      <dgm:else name="Name12">
        <dgm:choose name="Name13">
          <dgm:if name="Name14" axis="ch ch" ptType="node node" st="1 1" cnt="1 0" func="cnt" op="gt" val="0">
            <dgm:choose name="Name15">
              <dgm:if name="Name16" axis="ch ch" ptType="node node" st="2 1" cnt="1 0" func="cnt" op="gt" val="0">
                <dgm:constrLst>
                  <dgm:constr type="primFontSz" for="des" forName="middleBoxParent" val="65"/>
                  <dgm:constr type="primFontSz" for="des" forName="mChild" val="65"/>
                  <dgm:constr type="primFontSz" for="des" forName="outerBoxParent" refType="primFontSz" refFor="des" refForName="middleBoxParent" op="equ"/>
                  <dgm:constr type="primFontSz" for="des" forName="centerBoxParent" refType="primFontSz" refFor="des" refForName="middleBoxParent" op="equ"/>
                  <dgm:constr type="primFontSz" for="des" forName="oChild" refType="primFontSz" refFor="des" refForName="mChild" op="equ"/>
                  <dgm:constr type="primFontSz" for="des" forName="cChild" refType="primFontSz" refFor="des" refForName="mChild" op="equ"/>
                  <dgm:constr type="l" for="ch" forName="outerBox"/>
                  <dgm:constr type="t" for="ch" forName="outerBox"/>
                  <dgm:constr type="w" for="ch" forName="outerBox" refType="w"/>
                  <dgm:constr type="h" for="ch" forName="outerBox" refType="h"/>
                  <dgm:constr type="l" for="ch" forName="middleBox" refType="w" fact="0.025"/>
                  <dgm:constr type="t" for="ch" forName="middleBox" refType="h" fact="0.25"/>
                  <dgm:constr type="w" for="ch" forName="middleBox" refType="w" fact="0.775"/>
                  <dgm:constr type="h" for="ch" forName="middleBox" refType="h" fact="0.7"/>
                  <dgm:constr type="l" for="ch" forName="centerBox" refType="w" fact="0.05"/>
                  <dgm:constr type="t" for="ch" forName="centerBox" refType="h" fact="0.5"/>
                  <dgm:constr type="w" for="ch" forName="centerBox" refType="w" fact="0.55"/>
                  <dgm:constr type="h" for="ch" forName="centerBox" refType="h" fact="0.4"/>
                  <dgm:constr type="userA" for="des" forName="outerSibTrans" refType="w"/>
                  <dgm:constr type="userA" for="des" forName="middleSibTrans" refType="w"/>
                  <dgm:constr type="userA" for="des" forName="centerSibTrans" refType="w"/>
                </dgm:constrLst>
              </dgm:if>
              <dgm:else name="Name17">
                <dgm:constrLst>
                  <dgm:constr type="primFontSz" for="des" forName="middleBoxParent" val="65"/>
                  <dgm:constr type="primFontSz" for="des" forName="mChild" val="65"/>
                  <dgm:constr type="primFontSz" for="des" forName="outerBoxParent" refType="primFontSz" refFor="des" refForName="middleBoxParent" op="equ"/>
                  <dgm:constr type="primFontSz" for="des" forName="centerBoxParent" refType="primFontSz" refFor="des" refForName="middleBoxParent" op="equ"/>
                  <dgm:constr type="primFontSz" for="des" forName="oChild" refType="primFontSz" refFor="des" refForName="mChild" op="equ"/>
                  <dgm:constr type="primFontSz" for="des" forName="cChild" refType="primFontSz" refFor="des" refForName="mChild" op="equ"/>
                  <dgm:constr type="l" for="ch" forName="outerBox"/>
                  <dgm:constr type="t" for="ch" forName="outerBox"/>
                  <dgm:constr type="w" for="ch" forName="outerBox" refType="w"/>
                  <dgm:constr type="h" for="ch" forName="outerBox" refType="h"/>
                  <dgm:constr type="l" for="ch" forName="middleBox" refType="w" fact="0.025"/>
                  <dgm:constr type="t" for="ch" forName="middleBox" refType="h" fact="0.25"/>
                  <dgm:constr type="w" for="ch" forName="middleBox" refType="w" fact="0.775"/>
                  <dgm:constr type="h" for="ch" forName="middleBox" refType="h" fact="0.7"/>
                  <dgm:constr type="l" for="ch" forName="centerBox" refType="w" fact="0.05"/>
                  <dgm:constr type="t" for="ch" forName="centerBox" refType="h" fact="0.5"/>
                  <dgm:constr type="w" for="ch" forName="centerBox" refType="w" fact="0.725"/>
                  <dgm:constr type="h" for="ch" forName="centerBox" refType="h" fact="0.4"/>
                  <dgm:constr type="userA" for="des" forName="outerSibTrans" refType="w"/>
                  <dgm:constr type="userA" for="des" forName="middleSibTrans" refType="w"/>
                  <dgm:constr type="userA" for="des" forName="centerSibTrans" refType="w"/>
                </dgm:constrLst>
              </dgm:else>
            </dgm:choose>
          </dgm:if>
          <dgm:else name="Name18">
            <dgm:choose name="Name19">
              <dgm:if name="Name20" axis="ch ch" ptType="node node" st="2 1" cnt="1 0" func="cnt" op="gt" val="0">
                <dgm:constrLst>
                  <dgm:constr type="primFontSz" for="des" forName="middleBoxParent" val="65"/>
                  <dgm:constr type="primFontSz" for="des" forName="mChild" val="65"/>
                  <dgm:constr type="primFontSz" for="des" forName="outerBoxParent" refType="primFontSz" refFor="des" refForName="middleBoxParent" op="equ"/>
                  <dgm:constr type="primFontSz" for="des" forName="centerBoxParent" refType="primFontSz" refFor="des" refForName="middleBoxParent" op="equ"/>
                  <dgm:constr type="primFontSz" for="des" forName="oChild" refType="primFontSz" refFor="des" refForName="mChild" op="equ"/>
                  <dgm:constr type="primFontSz" for="des" forName="cChild" refType="primFontSz" refFor="des" refForName="mChild" op="equ"/>
                  <dgm:constr type="l" for="ch" forName="outerBox"/>
                  <dgm:constr type="t" for="ch" forName="outerBox"/>
                  <dgm:constr type="w" for="ch" forName="outerBox" refType="w"/>
                  <dgm:constr type="h" for="ch" forName="outerBox" refType="h"/>
                  <dgm:constr type="l" for="ch" forName="middleBox" refType="w" fact="0.025"/>
                  <dgm:constr type="t" for="ch" forName="middleBox" refType="h" fact="0.25"/>
                  <dgm:constr type="w" for="ch" forName="middleBox" refType="w" fact="0.95"/>
                  <dgm:constr type="h" for="ch" forName="middleBox" refType="h" fact="0.7"/>
                  <dgm:constr type="l" for="ch" forName="centerBox" refType="w" fact="0.05"/>
                  <dgm:constr type="t" for="ch" forName="centerBox" refType="h" fact="0.5"/>
                  <dgm:constr type="w" for="ch" forName="centerBox" refType="w" fact="0.69"/>
                  <dgm:constr type="h" for="ch" forName="centerBox" refType="h" fact="0.4"/>
                  <dgm:constr type="userA" for="des" forName="outerSibTrans" refType="w"/>
                  <dgm:constr type="userA" for="des" forName="middleSibTrans" refType="w"/>
                  <dgm:constr type="userA" for="des" forName="centerSibTrans" refType="w"/>
                </dgm:constrLst>
              </dgm:if>
              <dgm:else name="Name21">
                <dgm:constrLst>
                  <dgm:constr type="primFontSz" for="des" forName="middleBoxParent" val="65"/>
                  <dgm:constr type="primFontSz" for="des" forName="mChild" val="65"/>
                  <dgm:constr type="primFontSz" for="des" forName="outerBoxParent" refType="primFontSz" refFor="des" refForName="middleBoxParent" op="equ"/>
                  <dgm:constr type="primFontSz" for="des" forName="centerBoxParent" refType="primFontSz" refFor="des" refForName="middleBoxParent" op="equ"/>
                  <dgm:constr type="primFontSz" for="des" forName="oChild" refType="primFontSz" refFor="des" refForName="mChild" op="equ"/>
                  <dgm:constr type="primFontSz" for="des" forName="cChild" refType="primFontSz" refFor="des" refForName="mChild" op="equ"/>
                  <dgm:constr type="l" for="ch" forName="outerBox"/>
                  <dgm:constr type="t" for="ch" forName="outerBox"/>
                  <dgm:constr type="w" for="ch" forName="outerBox" refType="w"/>
                  <dgm:constr type="h" for="ch" forName="outerBox" refType="h"/>
                  <dgm:constr type="l" for="ch" forName="middleBox" refType="w" fact="0.025"/>
                  <dgm:constr type="t" for="ch" forName="middleBox" refType="h" fact="0.25"/>
                  <dgm:constr type="w" for="ch" forName="middleBox" refType="w" fact="0.95"/>
                  <dgm:constr type="h" for="ch" forName="middleBox" refType="h" fact="0.7"/>
                  <dgm:constr type="l" for="ch" forName="centerBox" refType="w" fact="0.05"/>
                  <dgm:constr type="t" for="ch" forName="centerBox" refType="h" fact="0.5"/>
                  <dgm:constr type="w" for="ch" forName="centerBox" refType="w" fact="0.9"/>
                  <dgm:constr type="h" for="ch" forName="centerBox" refType="h" fact="0.4"/>
                  <dgm:constr type="userA" for="des" forName="outerSibTrans" refType="w"/>
                  <dgm:constr type="userA" for="des" forName="middleSibTrans" refType="w"/>
                  <dgm:constr type="userA" for="des" forName="centerSibTrans" refType="w"/>
                </dgm:constrLst>
              </dgm:else>
            </dgm:choose>
          </dgm:else>
        </dgm:choose>
      </dgm:else>
    </dgm:choose>
    <dgm:ruleLst/>
    <dgm:choose name="Name22">
      <dgm:if name="Name23" axis="root ch" ptType="all node" st="1 1" cnt="0 0" func="cnt" op="gte" val="1">
        <dgm:layoutNode name="outerBox" styleLbl="node1">
          <dgm:alg type="composite">
            <dgm:param type="horzAlign" val="none"/>
            <dgm:param type="vertAlign" val="none"/>
          </dgm:alg>
          <dgm:shape xmlns:r="http://schemas.openxmlformats.org/officeDocument/2006/relationships" r:blip="">
            <dgm:adjLst/>
          </dgm:shape>
          <dgm:presOf/>
          <dgm:choose name="Name24">
            <dgm:if name="Name25" axis="root ch" ptType="all node" st="1 1" cnt="0 0" func="cnt" op="gt" val="1">
              <dgm:choose name="Name26">
                <dgm:if name="Name27" func="var" arg="dir" op="equ" val="norm">
                  <dgm:constrLst>
                    <dgm:constr type="l" for="ch" forName="outerBoxParent"/>
                    <dgm:constr type="t" for="ch" forName="outerBoxParent"/>
                    <dgm:constr type="w" for="ch" forName="outerBoxParent" refType="w"/>
                    <dgm:constr type="h" for="ch" forName="outerBoxParent" refType="h"/>
                    <dgm:constr type="bMarg" for="ch" forName="outerBoxParent" refType="h" fact="2.2"/>
                    <dgm:constr type="l" for="ch" forName="outerBoxChildren" refType="w" fact="0.025"/>
                    <dgm:constr type="t" for="ch" forName="outerBoxChildren" refType="h" fact="0.25"/>
                    <dgm:constr type="w" for="ch" forName="outerBoxChildren" refType="w" fact="0.15"/>
                    <dgm:constr type="h" for="ch" forName="outerBoxChildren" refType="h" fact="0.7"/>
                  </dgm:constrLst>
                </dgm:if>
                <dgm:else name="Name28">
                  <dgm:constrLst>
                    <dgm:constr type="l" for="ch" forName="outerBoxParent"/>
                    <dgm:constr type="t" for="ch" forName="outerBoxParent"/>
                    <dgm:constr type="w" for="ch" forName="outerBoxParent" refType="w"/>
                    <dgm:constr type="h" for="ch" forName="outerBoxParent" refType="h"/>
                    <dgm:constr type="bMarg" for="ch" forName="outerBoxParent" refType="h" fact="2.2"/>
                    <dgm:constr type="l" for="ch" forName="outerBoxChildren" refType="w" fact="0.825"/>
                    <dgm:constr type="t" for="ch" forName="outerBoxChildren" refType="h" fact="0.25"/>
                    <dgm:constr type="w" for="ch" forName="outerBoxChildren" refType="w" fact="0.15"/>
                    <dgm:constr type="h" for="ch" forName="outerBoxChildren" refType="h" fact="0.7"/>
                  </dgm:constrLst>
                </dgm:else>
              </dgm:choose>
            </dgm:if>
            <dgm:else name="Name29">
              <dgm:constrLst>
                <dgm:constr type="l" for="ch" forName="outerBoxParent"/>
                <dgm:constr type="t" for="ch" forName="outerBoxParent"/>
                <dgm:constr type="w" for="ch" forName="outerBoxParent" refType="w"/>
                <dgm:constr type="h" for="ch" forName="outerBoxParent" refType="h"/>
                <dgm:constr type="bMarg" for="ch" forName="outerBoxParent" refType="h" fact="1.75"/>
                <dgm:constr type="l" for="ch" forName="outerBoxChildren" refType="w" fact="0.025"/>
                <dgm:constr type="t" for="ch" forName="outerBoxChildren" refType="h" fact="0.45"/>
                <dgm:constr type="w" for="ch" forName="outerBoxChildren" refType="w" fact="0.95"/>
                <dgm:constr type="h" for="ch" forName="outerBoxChildren" refType="h" fact="0.45"/>
              </dgm:constrLst>
            </dgm:else>
          </dgm:choose>
          <dgm:ruleLst/>
          <dgm:layoutNode name="outerBoxParent" styleLbl="node1">
            <dgm:alg type="tx">
              <dgm:param type="txAnchorVert" val="t"/>
              <dgm:param type="parTxLTRAlign" val="l"/>
              <dgm:param type="parTxRTLAlign" val="r"/>
            </dgm:alg>
            <dgm:shape xmlns:r="http://schemas.openxmlformats.org/officeDocument/2006/relationships" type="roundRect" r:blip="">
              <dgm:adjLst>
                <dgm:adj idx="1" val="0.085"/>
              </dgm:adjLst>
            </dgm:shape>
            <dgm:presOf axis="ch" ptType="node" cnt="1"/>
            <dgm:constrLst>
              <dgm:constr type="tMarg" refType="primFontSz" fact="0.3"/>
              <dgm:constr type="lMarg" refType="primFontSz" fact="0.3"/>
              <dgm:constr type="rMarg" refType="primFontSz" fact="0.3"/>
            </dgm:constrLst>
            <dgm:ruleLst>
              <dgm:rule type="primFontSz" val="5" fact="NaN" max="NaN"/>
            </dgm:ruleLst>
          </dgm:layoutNode>
          <dgm:layoutNode name="outerBoxChildren">
            <dgm:choose name="Name30">
              <dgm:if name="Name31" axis="root ch" ptType="all node" st="1 1" cnt="0 0" func="cnt" op="gt" val="1">
                <dgm:alg type="lin">
                  <dgm:param type="linDir" val="fromT"/>
                  <dgm:param type="vertAlign" val="t"/>
                </dgm:alg>
              </dgm:if>
              <dgm:else name="Name32">
                <dgm:choose name="Name33">
                  <dgm:if name="Name34" func="var" arg="dir" op="equ" val="norm">
                    <dgm:alg type="lin">
                      <dgm:param type="horzAlign" val="l"/>
                    </dgm:alg>
                  </dgm:if>
                  <dgm:else name="Name35">
                    <dgm:alg type="lin">
                      <dgm:param type="linDir" val="fromR"/>
                      <dgm:param type="horzAlign" val="r"/>
                    </dgm:alg>
                  </dgm:else>
                </dgm:choose>
              </dgm:else>
            </dgm:choose>
            <dgm:shape xmlns:r="http://schemas.openxmlformats.org/officeDocument/2006/relationships" r:blip="">
              <dgm:adjLst/>
            </dgm:shape>
            <dgm:presOf/>
            <dgm:constrLst>
              <dgm:constr type="w" for="ch" forName="oChild" refType="w"/>
              <dgm:constr type="h" for="ch" forName="oChild" refType="h"/>
            </dgm:constrLst>
            <dgm:ruleLst/>
            <dgm:forEach name="Name36" axis="ch ch" ptType="node node" st="1 1" cnt="1 0">
              <dgm:layoutNode name="oChild" styleLbl="fgAcc1">
                <dgm:varLst>
                  <dgm:bulletEnabled val="1"/>
                </dgm:varLst>
                <dgm:alg type="tx"/>
                <dgm:shape xmlns:r="http://schemas.openxmlformats.org/officeDocument/2006/relationships" type="roundRect" r:blip="">
                  <dgm:adjLst>
                    <dgm:adj idx="1" val="0.105"/>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name="Name37" axis="followSib" ptType="sibTrans" cnt="1">
                <dgm:layoutNode name="outerSibTrans">
                  <dgm:alg type="sp"/>
                  <dgm:shape xmlns:r="http://schemas.openxmlformats.org/officeDocument/2006/relationships" r:blip="">
                    <dgm:adjLst/>
                  </dgm:shape>
                  <dgm:presOf/>
                  <dgm:constrLst>
                    <dgm:constr type="userA"/>
                    <dgm:constr type="w" refType="userA" fact="0.015"/>
                    <dgm:constr type="h" refType="userA" fact="0.015"/>
                  </dgm:constrLst>
                  <dgm:ruleLst/>
                </dgm:layoutNode>
              </dgm:forEach>
            </dgm:forEach>
          </dgm:layoutNode>
        </dgm:layoutNode>
      </dgm:if>
      <dgm:else name="Name38"/>
    </dgm:choose>
    <dgm:choose name="Name39">
      <dgm:if name="Name40" axis="root ch" ptType="all node" st="1 1" cnt="0 0" func="cnt" op="gte" val="2">
        <dgm:layoutNode name="middleBox">
          <dgm:alg type="composite">
            <dgm:param type="horzAlign" val="none"/>
            <dgm:param type="vertAlign" val="none"/>
          </dgm:alg>
          <dgm:shape xmlns:r="http://schemas.openxmlformats.org/officeDocument/2006/relationships" r:blip="">
            <dgm:adjLst/>
          </dgm:shape>
          <dgm:presOf/>
          <dgm:choose name="Name41">
            <dgm:if name="Name42" axis="root ch" ptType="all node" st="1 1" cnt="0 0" func="cnt" op="gt" val="2">
              <dgm:choose name="Name43">
                <dgm:if name="Name44" func="var" arg="dir" op="equ" val="norm">
                  <dgm:constrLst>
                    <dgm:constr type="l" for="ch" forName="middleBoxParent"/>
                    <dgm:constr type="t" for="ch" forName="middleBoxParent"/>
                    <dgm:constr type="w" for="ch" forName="middleBoxParent" refType="w"/>
                    <dgm:constr type="h" for="ch" forName="middleBoxParent" refType="h"/>
                    <dgm:constr type="bMarg" for="ch" forName="middleBoxParent" refType="h" fact="1.8"/>
                    <dgm:constr type="l" for="ch" forName="middleBoxChildren" refType="w" fact="0.025"/>
                    <dgm:constr type="t" for="ch" forName="middleBoxChildren" refType="h" fact="0.35"/>
                    <dgm:constr type="w" for="ch" forName="middleBoxChildren" refType="w" fact="0.2"/>
                    <dgm:constr type="h" for="ch" forName="middleBoxChildren" refType="h" fact="0.575"/>
                  </dgm:constrLst>
                </dgm:if>
                <dgm:else name="Name45">
                  <dgm:constrLst>
                    <dgm:constr type="l" for="ch" forName="middleBoxParent"/>
                    <dgm:constr type="t" for="ch" forName="middleBoxParent"/>
                    <dgm:constr type="w" for="ch" forName="middleBoxParent" refType="w"/>
                    <dgm:constr type="h" for="ch" forName="middleBoxParent" refType="h"/>
                    <dgm:constr type="bMarg" for="ch" forName="middleBoxParent" refType="h" fact="1.8"/>
                    <dgm:constr type="l" for="ch" forName="middleBoxChildren" refType="w" fact="0.775"/>
                    <dgm:constr type="t" for="ch" forName="middleBoxChildren" refType="h" fact="0.35"/>
                    <dgm:constr type="w" for="ch" forName="middleBoxChildren" refType="w" fact="0.2"/>
                    <dgm:constr type="h" for="ch" forName="middleBoxChildren" refType="h" fact="0.575"/>
                  </dgm:constrLst>
                </dgm:else>
              </dgm:choose>
            </dgm:if>
            <dgm:else name="Name46">
              <dgm:constrLst>
                <dgm:constr type="l" for="ch" forName="middleBoxParent"/>
                <dgm:constr type="t" for="ch" forName="middleBoxParent"/>
                <dgm:constr type="w" for="ch" forName="middleBoxParent" refType="w"/>
                <dgm:constr type="h" for="ch" forName="middleBoxParent" refType="h"/>
                <dgm:constr type="bMarg" for="ch" forName="middleBoxParent" refType="h" fact="1.8"/>
                <dgm:constr type="l" for="ch" forName="middleBoxChildren" refType="w" fact="0.025"/>
                <dgm:constr type="t" for="ch" forName="middleBoxChildren" refType="h" fact="0.45"/>
                <dgm:constr type="w" for="ch" forName="middleBoxChildren" refType="w" fact="0.95"/>
                <dgm:constr type="h" for="ch" forName="middleBoxChildren" refType="h" fact="0.45"/>
              </dgm:constrLst>
            </dgm:else>
          </dgm:choose>
          <dgm:ruleLst/>
          <dgm:layoutNode name="middleBoxParent" styleLbl="node1">
            <dgm:alg type="tx">
              <dgm:param type="txAnchorVert" val="t"/>
              <dgm:param type="parTxLTRAlign" val="l"/>
              <dgm:param type="parTxRTLAlign" val="r"/>
            </dgm:alg>
            <dgm:shape xmlns:r="http://schemas.openxmlformats.org/officeDocument/2006/relationships" type="roundRect" r:blip="">
              <dgm:adjLst>
                <dgm:adj idx="1" val="0.105"/>
              </dgm:adjLst>
            </dgm:shape>
            <dgm:presOf axis="ch" ptType="node" st="2" cnt="1"/>
            <dgm:constrLst>
              <dgm:constr type="tMarg" refType="primFontSz" fact="0.3"/>
              <dgm:constr type="lMarg" refType="primFontSz" fact="0.3"/>
              <dgm:constr type="rMarg" refType="primFontSz" fact="0.3"/>
            </dgm:constrLst>
            <dgm:ruleLst>
              <dgm:rule type="primFontSz" val="5" fact="NaN" max="NaN"/>
            </dgm:ruleLst>
          </dgm:layoutNode>
          <dgm:layoutNode name="middleBoxChildren">
            <dgm:choose name="Name47">
              <dgm:if name="Name48" axis="root ch" ptType="all node" st="1 1" cnt="0 0" func="cnt" op="gt" val="2">
                <dgm:alg type="lin">
                  <dgm:param type="linDir" val="fromT"/>
                  <dgm:param type="vertAlign" val="t"/>
                </dgm:alg>
              </dgm:if>
              <dgm:else name="Name49">
                <dgm:choose name="Name50">
                  <dgm:if name="Name51" func="var" arg="dir" op="equ" val="norm">
                    <dgm:alg type="lin">
                      <dgm:param type="horzAlign" val="l"/>
                    </dgm:alg>
                  </dgm:if>
                  <dgm:else name="Name52">
                    <dgm:alg type="lin">
                      <dgm:param type="linDir" val="fromR"/>
                      <dgm:param type="horzAlign" val="r"/>
                    </dgm:alg>
                  </dgm:else>
                </dgm:choose>
              </dgm:else>
            </dgm:choose>
            <dgm:shape xmlns:r="http://schemas.openxmlformats.org/officeDocument/2006/relationships" r:blip="">
              <dgm:adjLst/>
            </dgm:shape>
            <dgm:presOf/>
            <dgm:constrLst>
              <dgm:constr type="w" for="ch" forName="mChild" refType="w"/>
              <dgm:constr type="h" for="ch" forName="mChild" refType="h"/>
            </dgm:constrLst>
            <dgm:ruleLst/>
            <dgm:forEach name="Name53" axis="ch ch" ptType="node node" st="2 1" cnt="1 0">
              <dgm:layoutNode name="mChild" styleLbl="fgAcc1">
                <dgm:varLst>
                  <dgm:bulletEnabled val="1"/>
                </dgm:varLst>
                <dgm:alg type="tx"/>
                <dgm:shape xmlns:r="http://schemas.openxmlformats.org/officeDocument/2006/relationships" type="roundRect" r:blip="">
                  <dgm:adjLst>
                    <dgm:adj idx="1" val="0.105"/>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name="Name54" axis="followSib" ptType="sibTrans" cnt="1">
                <dgm:layoutNode name="middleSibTrans">
                  <dgm:alg type="sp"/>
                  <dgm:shape xmlns:r="http://schemas.openxmlformats.org/officeDocument/2006/relationships" r:blip="">
                    <dgm:adjLst/>
                  </dgm:shape>
                  <dgm:presOf/>
                  <dgm:constrLst>
                    <dgm:constr type="userA"/>
                    <dgm:constr type="w" refType="userA" fact="0.015"/>
                    <dgm:constr type="h" refType="userA" fact="0.015"/>
                  </dgm:constrLst>
                  <dgm:ruleLst/>
                </dgm:layoutNode>
              </dgm:forEach>
            </dgm:forEach>
          </dgm:layoutNode>
        </dgm:layoutNode>
      </dgm:if>
      <dgm:else name="Name55"/>
    </dgm:choose>
    <dgm:choose name="Name56">
      <dgm:if name="Name57" axis="root ch" ptType="all node" st="1 1" cnt="0 0" func="cnt" op="gte" val="3">
        <dgm:layoutNode name="centerBox">
          <dgm:alg type="composite">
            <dgm:param type="horzAlign" val="none"/>
            <dgm:param type="vertAlign" val="none"/>
          </dgm:alg>
          <dgm:shape xmlns:r="http://schemas.openxmlformats.org/officeDocument/2006/relationships" r:blip="">
            <dgm:adjLst/>
          </dgm:shape>
          <dgm:presOf/>
          <dgm:choose name="Name58">
            <dgm:if name="Name59" axis="ch ch" ptType="node node" st="3 1" cnt="1 0" func="cnt" op="gt" val="0">
              <dgm:constrLst>
                <dgm:constr type="l" for="ch" forName="centerBoxParent"/>
                <dgm:constr type="t" for="ch" forName="centerBoxParent"/>
                <dgm:constr type="w" for="ch" forName="centerBoxParent" refType="w"/>
                <dgm:constr type="h" for="ch" forName="centerBoxParent" refType="h"/>
                <dgm:constr type="bMarg" for="ch" forName="centerBoxParent" refType="h" fact="1.6"/>
                <dgm:constr type="l" for="ch" forName="centerBoxChildren" refType="w" fact="0.025"/>
                <dgm:constr type="t" for="ch" forName="centerBoxChildren" refType="h" fact="0.45"/>
                <dgm:constr type="w" for="ch" forName="centerBoxChildren" refType="w" fact="0.95"/>
                <dgm:constr type="h" for="ch" forName="centerBoxChildren" refType="h" fact="0.45"/>
              </dgm:constrLst>
            </dgm:if>
            <dgm:else name="Name60">
              <dgm:constrLst>
                <dgm:constr type="l" for="ch" forName="centerBoxParent"/>
                <dgm:constr type="t" for="ch" forName="centerBoxParent"/>
                <dgm:constr type="w" for="ch" forName="centerBoxParent" refType="w"/>
                <dgm:constr type="h" for="ch" forName="centerBoxParent" refType="h"/>
              </dgm:constrLst>
            </dgm:else>
          </dgm:choose>
          <dgm:ruleLst/>
          <dgm:layoutNode name="centerBoxParent" styleLbl="node1">
            <dgm:alg type="tx">
              <dgm:param type="txAnchorVert" val="t"/>
              <dgm:param type="parTxLTRAlign" val="l"/>
              <dgm:param type="parTxRTLAlign" val="r"/>
            </dgm:alg>
            <dgm:shape xmlns:r="http://schemas.openxmlformats.org/officeDocument/2006/relationships" type="roundRect" r:blip="">
              <dgm:adjLst>
                <dgm:adj idx="1" val="0.105"/>
              </dgm:adjLst>
            </dgm:shape>
            <dgm:presOf axis="ch" ptType="node" st="3" cnt="1"/>
            <dgm:constrLst>
              <dgm:constr type="tMarg" refType="primFontSz" fact="0.3"/>
              <dgm:constr type="lMarg" refType="primFontSz" fact="0.3"/>
              <dgm:constr type="rMarg" refType="primFontSz" fact="0.3"/>
            </dgm:constrLst>
            <dgm:ruleLst>
              <dgm:rule type="primFontSz" val="5" fact="NaN" max="NaN"/>
            </dgm:ruleLst>
          </dgm:layoutNode>
          <dgm:choose name="Name61">
            <dgm:if name="Name62" axis="ch ch" ptType="node node" st="3 1" cnt="1 0" func="cnt" op="gt" val="0">
              <dgm:layoutNode name="centerBoxChildren">
                <dgm:choose name="Name63">
                  <dgm:if name="Name64" func="var" arg="dir" op="equ" val="norm">
                    <dgm:alg type="lin">
                      <dgm:param type="horzAlign" val="l"/>
                    </dgm:alg>
                  </dgm:if>
                  <dgm:else name="Name65">
                    <dgm:alg type="lin">
                      <dgm:param type="linDir" val="fromR"/>
                      <dgm:param type="horzAlign" val="r"/>
                    </dgm:alg>
                  </dgm:else>
                </dgm:choose>
                <dgm:shape xmlns:r="http://schemas.openxmlformats.org/officeDocument/2006/relationships" r:blip="">
                  <dgm:adjLst/>
                </dgm:shape>
                <dgm:presOf/>
                <dgm:constrLst>
                  <dgm:constr type="w" for="ch" forName="cChild" refType="w"/>
                  <dgm:constr type="h" for="ch" forName="cChild" refType="h"/>
                </dgm:constrLst>
                <dgm:ruleLst/>
                <dgm:forEach name="Name66" axis="ch ch" ptType="node node" st="3 1" cnt="1 0">
                  <dgm:layoutNode name="cChild" styleLbl="fgAcc1">
                    <dgm:varLst>
                      <dgm:bulletEnabled val="1"/>
                    </dgm:varLst>
                    <dgm:alg type="tx"/>
                    <dgm:shape xmlns:r="http://schemas.openxmlformats.org/officeDocument/2006/relationships" type="roundRect" r:blip="">
                      <dgm:adjLst>
                        <dgm:adj idx="1" val="0.105"/>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name="Name67" axis="followSib" ptType="sibTrans" cnt="1">
                    <dgm:layoutNode name="centerSibTrans">
                      <dgm:alg type="sp"/>
                      <dgm:shape xmlns:r="http://schemas.openxmlformats.org/officeDocument/2006/relationships" r:blip="">
                        <dgm:adjLst/>
                      </dgm:shape>
                      <dgm:presOf/>
                      <dgm:constrLst>
                        <dgm:constr type="userA"/>
                        <dgm:constr type="w" refType="userA" fact="0.015"/>
                        <dgm:constr type="h" refType="userA" fact="0.015"/>
                      </dgm:constrLst>
                      <dgm:ruleLst/>
                    </dgm:layoutNode>
                  </dgm:forEach>
                </dgm:forEach>
              </dgm:layoutNode>
            </dgm:if>
            <dgm:else name="Name68"/>
          </dgm:choose>
        </dgm:layoutNode>
      </dgm:if>
      <dgm:else name="Name69"/>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8" Type="http://schemas.microsoft.com/office/2007/relationships/diagramDrawing" Target="../diagrams/drawing1.xml"/><Relationship Id="rId13" Type="http://schemas.microsoft.com/office/2007/relationships/diagramDrawing" Target="../diagrams/drawing2.xml"/><Relationship Id="rId18" Type="http://schemas.microsoft.com/office/2007/relationships/diagramDrawing" Target="../diagrams/drawing3.xml"/><Relationship Id="rId26" Type="http://schemas.openxmlformats.org/officeDocument/2006/relationships/image" Target="../media/image28.png"/><Relationship Id="rId3" Type="http://schemas.openxmlformats.org/officeDocument/2006/relationships/image" Target="../media/image20.png"/><Relationship Id="rId21" Type="http://schemas.openxmlformats.org/officeDocument/2006/relationships/image" Target="../media/image23.png"/><Relationship Id="rId7" Type="http://schemas.openxmlformats.org/officeDocument/2006/relationships/diagramColors" Target="../diagrams/colors1.xml"/><Relationship Id="rId12" Type="http://schemas.openxmlformats.org/officeDocument/2006/relationships/diagramColors" Target="../diagrams/colors2.xml"/><Relationship Id="rId17" Type="http://schemas.openxmlformats.org/officeDocument/2006/relationships/diagramColors" Target="../diagrams/colors3.xml"/><Relationship Id="rId25" Type="http://schemas.openxmlformats.org/officeDocument/2006/relationships/image" Target="../media/image27.png"/><Relationship Id="rId2" Type="http://schemas.openxmlformats.org/officeDocument/2006/relationships/image" Target="../media/image19.png"/><Relationship Id="rId16" Type="http://schemas.openxmlformats.org/officeDocument/2006/relationships/diagramQuickStyle" Target="../diagrams/quickStyle3.xml"/><Relationship Id="rId20" Type="http://schemas.openxmlformats.org/officeDocument/2006/relationships/image" Target="../media/image22.png"/><Relationship Id="rId29" Type="http://schemas.openxmlformats.org/officeDocument/2006/relationships/image" Target="../media/image31.png"/><Relationship Id="rId1" Type="http://schemas.openxmlformats.org/officeDocument/2006/relationships/image" Target="../media/image18.jpeg"/><Relationship Id="rId6" Type="http://schemas.openxmlformats.org/officeDocument/2006/relationships/diagramQuickStyle" Target="../diagrams/quickStyle1.xml"/><Relationship Id="rId11" Type="http://schemas.openxmlformats.org/officeDocument/2006/relationships/diagramQuickStyle" Target="../diagrams/quickStyle2.xml"/><Relationship Id="rId24" Type="http://schemas.openxmlformats.org/officeDocument/2006/relationships/image" Target="../media/image26.png"/><Relationship Id="rId5" Type="http://schemas.openxmlformats.org/officeDocument/2006/relationships/diagramLayout" Target="../diagrams/layout1.xml"/><Relationship Id="rId15" Type="http://schemas.openxmlformats.org/officeDocument/2006/relationships/diagramLayout" Target="../diagrams/layout3.xml"/><Relationship Id="rId23" Type="http://schemas.openxmlformats.org/officeDocument/2006/relationships/image" Target="../media/image25.png"/><Relationship Id="rId28" Type="http://schemas.openxmlformats.org/officeDocument/2006/relationships/image" Target="../media/image30.png"/><Relationship Id="rId10" Type="http://schemas.openxmlformats.org/officeDocument/2006/relationships/diagramLayout" Target="../diagrams/layout2.xml"/><Relationship Id="rId19" Type="http://schemas.openxmlformats.org/officeDocument/2006/relationships/image" Target="../media/image21.png"/><Relationship Id="rId4" Type="http://schemas.openxmlformats.org/officeDocument/2006/relationships/diagramData" Target="../diagrams/data1.xml"/><Relationship Id="rId9" Type="http://schemas.openxmlformats.org/officeDocument/2006/relationships/diagramData" Target="../diagrams/data2.xml"/><Relationship Id="rId14" Type="http://schemas.openxmlformats.org/officeDocument/2006/relationships/diagramData" Target="../diagrams/data3.xml"/><Relationship Id="rId22" Type="http://schemas.openxmlformats.org/officeDocument/2006/relationships/image" Target="../media/image24.png"/><Relationship Id="rId27" Type="http://schemas.openxmlformats.org/officeDocument/2006/relationships/image" Target="../media/image29.jpeg"/><Relationship Id="rId30" Type="http://schemas.microsoft.com/office/2007/relationships/hdphoto" Target="../media/hdphoto1.wdp"/></Relationships>
</file>

<file path=xl/drawings/_rels/drawing6.xml.rels><?xml version="1.0" encoding="UTF-8" standalone="yes"?>
<Relationships xmlns="http://schemas.openxmlformats.org/package/2006/relationships"><Relationship Id="rId26" Type="http://schemas.microsoft.com/office/2014/relationships/chartEx" Target="../charts/chartEx7.xml"/><Relationship Id="rId21" Type="http://schemas.openxmlformats.org/officeDocument/2006/relationships/chart" Target="../charts/chart16.xml"/><Relationship Id="rId34" Type="http://schemas.openxmlformats.org/officeDocument/2006/relationships/chart" Target="../charts/chart22.xml"/><Relationship Id="rId42" Type="http://schemas.openxmlformats.org/officeDocument/2006/relationships/image" Target="../media/image41.png"/><Relationship Id="rId47" Type="http://schemas.openxmlformats.org/officeDocument/2006/relationships/image" Target="../media/image44.png"/><Relationship Id="rId50" Type="http://schemas.openxmlformats.org/officeDocument/2006/relationships/chart" Target="../charts/chart27.xml"/><Relationship Id="rId55" Type="http://schemas.openxmlformats.org/officeDocument/2006/relationships/chart" Target="../charts/chart30.xml"/><Relationship Id="rId63" Type="http://schemas.openxmlformats.org/officeDocument/2006/relationships/image" Target="../media/image54.png"/><Relationship Id="rId7" Type="http://schemas.openxmlformats.org/officeDocument/2006/relationships/chart" Target="../charts/chart7.xml"/><Relationship Id="rId2" Type="http://schemas.openxmlformats.org/officeDocument/2006/relationships/chart" Target="../charts/chart2.xml"/><Relationship Id="rId16" Type="http://schemas.microsoft.com/office/2014/relationships/chartEx" Target="../charts/chartEx5.xml"/><Relationship Id="rId29" Type="http://schemas.openxmlformats.org/officeDocument/2006/relationships/chart" Target="../charts/chart21.xml"/><Relationship Id="rId11" Type="http://schemas.microsoft.com/office/2014/relationships/chartEx" Target="../charts/chartEx1.xml"/><Relationship Id="rId24" Type="http://schemas.openxmlformats.org/officeDocument/2006/relationships/chart" Target="../charts/chart19.xml"/><Relationship Id="rId32" Type="http://schemas.openxmlformats.org/officeDocument/2006/relationships/image" Target="../media/image33.png"/><Relationship Id="rId37" Type="http://schemas.openxmlformats.org/officeDocument/2006/relationships/image" Target="../media/image36.png"/><Relationship Id="rId40" Type="http://schemas.openxmlformats.org/officeDocument/2006/relationships/image" Target="../media/image39.png"/><Relationship Id="rId45" Type="http://schemas.openxmlformats.org/officeDocument/2006/relationships/image" Target="../media/image43.png"/><Relationship Id="rId53" Type="http://schemas.openxmlformats.org/officeDocument/2006/relationships/chart" Target="../charts/chart29.xml"/><Relationship Id="rId58" Type="http://schemas.openxmlformats.org/officeDocument/2006/relationships/image" Target="../media/image49.png"/><Relationship Id="rId66" Type="http://schemas.openxmlformats.org/officeDocument/2006/relationships/image" Target="../media/image57.png"/><Relationship Id="rId5" Type="http://schemas.openxmlformats.org/officeDocument/2006/relationships/chart" Target="../charts/chart5.xml"/><Relationship Id="rId61" Type="http://schemas.openxmlformats.org/officeDocument/2006/relationships/image" Target="../media/image52.png"/><Relationship Id="rId19" Type="http://schemas.openxmlformats.org/officeDocument/2006/relationships/chart" Target="../charts/chart14.xml"/><Relationship Id="rId14" Type="http://schemas.microsoft.com/office/2014/relationships/chartEx" Target="../charts/chartEx3.xml"/><Relationship Id="rId22" Type="http://schemas.openxmlformats.org/officeDocument/2006/relationships/chart" Target="../charts/chart17.xml"/><Relationship Id="rId27" Type="http://schemas.microsoft.com/office/2014/relationships/chartEx" Target="../charts/chartEx8.xml"/><Relationship Id="rId30" Type="http://schemas.microsoft.com/office/2014/relationships/chartEx" Target="../charts/chartEx9.xml"/><Relationship Id="rId35" Type="http://schemas.openxmlformats.org/officeDocument/2006/relationships/image" Target="../media/image35.png"/><Relationship Id="rId43" Type="http://schemas.openxmlformats.org/officeDocument/2006/relationships/image" Target="../media/image42.png"/><Relationship Id="rId48" Type="http://schemas.openxmlformats.org/officeDocument/2006/relationships/chart" Target="../charts/chart26.xml"/><Relationship Id="rId56" Type="http://schemas.openxmlformats.org/officeDocument/2006/relationships/chart" Target="../charts/chart31.xml"/><Relationship Id="rId64" Type="http://schemas.openxmlformats.org/officeDocument/2006/relationships/image" Target="../media/image55.png"/><Relationship Id="rId8" Type="http://schemas.openxmlformats.org/officeDocument/2006/relationships/chart" Target="../charts/chart8.xml"/><Relationship Id="rId51" Type="http://schemas.openxmlformats.org/officeDocument/2006/relationships/chart" Target="../charts/chart28.xml"/><Relationship Id="rId3" Type="http://schemas.openxmlformats.org/officeDocument/2006/relationships/chart" Target="../charts/chart3.xml"/><Relationship Id="rId12" Type="http://schemas.microsoft.com/office/2014/relationships/chartEx" Target="../charts/chartEx2.xml"/><Relationship Id="rId17" Type="http://schemas.openxmlformats.org/officeDocument/2006/relationships/chart" Target="../charts/chart12.xml"/><Relationship Id="rId25" Type="http://schemas.microsoft.com/office/2014/relationships/chartEx" Target="../charts/chartEx6.xml"/><Relationship Id="rId33" Type="http://schemas.openxmlformats.org/officeDocument/2006/relationships/image" Target="../media/image34.png"/><Relationship Id="rId38" Type="http://schemas.openxmlformats.org/officeDocument/2006/relationships/image" Target="../media/image37.png"/><Relationship Id="rId46" Type="http://schemas.openxmlformats.org/officeDocument/2006/relationships/chart" Target="../charts/chart25.xml"/><Relationship Id="rId59" Type="http://schemas.openxmlformats.org/officeDocument/2006/relationships/image" Target="../media/image50.png"/><Relationship Id="rId20" Type="http://schemas.openxmlformats.org/officeDocument/2006/relationships/chart" Target="../charts/chart15.xml"/><Relationship Id="rId41" Type="http://schemas.openxmlformats.org/officeDocument/2006/relationships/image" Target="../media/image40.png"/><Relationship Id="rId54" Type="http://schemas.openxmlformats.org/officeDocument/2006/relationships/image" Target="../media/image47.png"/><Relationship Id="rId62" Type="http://schemas.openxmlformats.org/officeDocument/2006/relationships/image" Target="../media/image53.png"/><Relationship Id="rId1" Type="http://schemas.openxmlformats.org/officeDocument/2006/relationships/chart" Target="../charts/chart1.xml"/><Relationship Id="rId6" Type="http://schemas.openxmlformats.org/officeDocument/2006/relationships/chart" Target="../charts/chart6.xml"/><Relationship Id="rId15" Type="http://schemas.microsoft.com/office/2014/relationships/chartEx" Target="../charts/chartEx4.xml"/><Relationship Id="rId23" Type="http://schemas.openxmlformats.org/officeDocument/2006/relationships/chart" Target="../charts/chart18.xml"/><Relationship Id="rId28" Type="http://schemas.openxmlformats.org/officeDocument/2006/relationships/chart" Target="../charts/chart20.xml"/><Relationship Id="rId36" Type="http://schemas.openxmlformats.org/officeDocument/2006/relationships/chart" Target="../charts/chart23.xml"/><Relationship Id="rId49" Type="http://schemas.openxmlformats.org/officeDocument/2006/relationships/image" Target="../media/image45.png"/><Relationship Id="rId57" Type="http://schemas.openxmlformats.org/officeDocument/2006/relationships/image" Target="../media/image48.png"/><Relationship Id="rId10" Type="http://schemas.openxmlformats.org/officeDocument/2006/relationships/chart" Target="../charts/chart10.xml"/><Relationship Id="rId31" Type="http://schemas.openxmlformats.org/officeDocument/2006/relationships/image" Target="../media/image32.png"/><Relationship Id="rId44" Type="http://schemas.openxmlformats.org/officeDocument/2006/relationships/chart" Target="../charts/chart24.xml"/><Relationship Id="rId52" Type="http://schemas.openxmlformats.org/officeDocument/2006/relationships/image" Target="../media/image46.png"/><Relationship Id="rId60" Type="http://schemas.openxmlformats.org/officeDocument/2006/relationships/image" Target="../media/image51.png"/><Relationship Id="rId65" Type="http://schemas.openxmlformats.org/officeDocument/2006/relationships/image" Target="../media/image56.png"/><Relationship Id="rId4" Type="http://schemas.openxmlformats.org/officeDocument/2006/relationships/chart" Target="../charts/chart4.xml"/><Relationship Id="rId9" Type="http://schemas.openxmlformats.org/officeDocument/2006/relationships/chart" Target="../charts/chart9.xml"/><Relationship Id="rId13" Type="http://schemas.openxmlformats.org/officeDocument/2006/relationships/chart" Target="../charts/chart11.xml"/><Relationship Id="rId18" Type="http://schemas.openxmlformats.org/officeDocument/2006/relationships/chart" Target="../charts/chart13.xml"/><Relationship Id="rId39"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537</xdr:row>
      <xdr:rowOff>0</xdr:rowOff>
    </xdr:from>
    <xdr:to>
      <xdr:col>7</xdr:col>
      <xdr:colOff>91440</xdr:colOff>
      <xdr:row>538</xdr:row>
      <xdr:rowOff>91440</xdr:rowOff>
    </xdr:to>
    <xdr:sp macro="" textlink="">
      <xdr:nvSpPr>
        <xdr:cNvPr id="15361" name="AutoShape 1">
          <a:extLst>
            <a:ext uri="{FF2B5EF4-FFF2-40B4-BE49-F238E27FC236}">
              <a16:creationId xmlns:a16="http://schemas.microsoft.com/office/drawing/2014/main" id="{A61C12F1-F28F-487F-DFF6-07AA5BAB169F}"/>
            </a:ext>
          </a:extLst>
        </xdr:cNvPr>
        <xdr:cNvSpPr>
          <a:spLocks noChangeAspect="1" noChangeArrowheads="1"/>
        </xdr:cNvSpPr>
      </xdr:nvSpPr>
      <xdr:spPr bwMode="auto">
        <a:xfrm>
          <a:off x="12893040" y="105186480"/>
          <a:ext cx="266700" cy="266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598</xdr:row>
      <xdr:rowOff>0</xdr:rowOff>
    </xdr:from>
    <xdr:to>
      <xdr:col>7</xdr:col>
      <xdr:colOff>2531745</xdr:colOff>
      <xdr:row>601</xdr:row>
      <xdr:rowOff>171450</xdr:rowOff>
    </xdr:to>
    <xdr:pic>
      <xdr:nvPicPr>
        <xdr:cNvPr id="4" name="Picture 3" descr="IMPORTCSV formula returning the first two rows with column headers">
          <a:extLst>
            <a:ext uri="{FF2B5EF4-FFF2-40B4-BE49-F238E27FC236}">
              <a16:creationId xmlns:a16="http://schemas.microsoft.com/office/drawing/2014/main" id="{12B89812-CE96-8472-F31A-106D06703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93040" y="125615700"/>
          <a:ext cx="2727960" cy="769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598170</xdr:colOff>
      <xdr:row>94</xdr:row>
      <xdr:rowOff>140971</xdr:rowOff>
    </xdr:from>
    <xdr:to>
      <xdr:col>22</xdr:col>
      <xdr:colOff>246353</xdr:colOff>
      <xdr:row>107</xdr:row>
      <xdr:rowOff>93346</xdr:rowOff>
    </xdr:to>
    <xdr:pic>
      <xdr:nvPicPr>
        <xdr:cNvPr id="5" name="Picture 4">
          <a:extLst>
            <a:ext uri="{FF2B5EF4-FFF2-40B4-BE49-F238E27FC236}">
              <a16:creationId xmlns:a16="http://schemas.microsoft.com/office/drawing/2014/main" id="{0CC70650-D2E9-6C84-9C01-351B48B50109}"/>
            </a:ext>
          </a:extLst>
        </xdr:cNvPr>
        <xdr:cNvPicPr>
          <a:picLocks noChangeAspect="1"/>
        </xdr:cNvPicPr>
      </xdr:nvPicPr>
      <xdr:blipFill>
        <a:blip xmlns:r="http://schemas.openxmlformats.org/officeDocument/2006/relationships" r:embed="rId1"/>
        <a:stretch>
          <a:fillRect/>
        </a:stretch>
      </xdr:blipFill>
      <xdr:spPr>
        <a:xfrm>
          <a:off x="10742295" y="17152621"/>
          <a:ext cx="3321023" cy="2316480"/>
        </a:xfrm>
        <a:prstGeom prst="rect">
          <a:avLst/>
        </a:prstGeom>
      </xdr:spPr>
    </xdr:pic>
    <xdr:clientData/>
  </xdr:twoCellAnchor>
  <xdr:twoCellAnchor editAs="oneCell">
    <xdr:from>
      <xdr:col>16</xdr:col>
      <xdr:colOff>592455</xdr:colOff>
      <xdr:row>129</xdr:row>
      <xdr:rowOff>62865</xdr:rowOff>
    </xdr:from>
    <xdr:to>
      <xdr:col>22</xdr:col>
      <xdr:colOff>457692</xdr:colOff>
      <xdr:row>140</xdr:row>
      <xdr:rowOff>93628</xdr:rowOff>
    </xdr:to>
    <xdr:pic>
      <xdr:nvPicPr>
        <xdr:cNvPr id="6" name="Picture 5">
          <a:extLst>
            <a:ext uri="{FF2B5EF4-FFF2-40B4-BE49-F238E27FC236}">
              <a16:creationId xmlns:a16="http://schemas.microsoft.com/office/drawing/2014/main" id="{16B45739-0174-6FB8-52A3-9F220CF4A6A3}"/>
            </a:ext>
          </a:extLst>
        </xdr:cNvPr>
        <xdr:cNvPicPr>
          <a:picLocks noChangeAspect="1"/>
        </xdr:cNvPicPr>
      </xdr:nvPicPr>
      <xdr:blipFill>
        <a:blip xmlns:r="http://schemas.openxmlformats.org/officeDocument/2006/relationships" r:embed="rId2"/>
        <a:stretch>
          <a:fillRect/>
        </a:stretch>
      </xdr:blipFill>
      <xdr:spPr>
        <a:xfrm>
          <a:off x="10736580" y="21779865"/>
          <a:ext cx="3522837" cy="2032918"/>
        </a:xfrm>
        <a:prstGeom prst="rect">
          <a:avLst/>
        </a:prstGeom>
      </xdr:spPr>
    </xdr:pic>
    <xdr:clientData/>
  </xdr:twoCellAnchor>
  <xdr:twoCellAnchor editAs="oneCell">
    <xdr:from>
      <xdr:col>17</xdr:col>
      <xdr:colOff>9525</xdr:colOff>
      <xdr:row>143</xdr:row>
      <xdr:rowOff>66675</xdr:rowOff>
    </xdr:from>
    <xdr:to>
      <xdr:col>21</xdr:col>
      <xdr:colOff>57496</xdr:colOff>
      <xdr:row>152</xdr:row>
      <xdr:rowOff>95480</xdr:rowOff>
    </xdr:to>
    <xdr:pic>
      <xdr:nvPicPr>
        <xdr:cNvPr id="7" name="Picture 6">
          <a:extLst>
            <a:ext uri="{FF2B5EF4-FFF2-40B4-BE49-F238E27FC236}">
              <a16:creationId xmlns:a16="http://schemas.microsoft.com/office/drawing/2014/main" id="{9B636C43-CDC3-CEA7-ADE5-C0B8187221A5}"/>
            </a:ext>
          </a:extLst>
        </xdr:cNvPr>
        <xdr:cNvPicPr>
          <a:picLocks noChangeAspect="1"/>
        </xdr:cNvPicPr>
      </xdr:nvPicPr>
      <xdr:blipFill>
        <a:blip xmlns:r="http://schemas.openxmlformats.org/officeDocument/2006/relationships" r:embed="rId3"/>
        <a:stretch>
          <a:fillRect/>
        </a:stretch>
      </xdr:blipFill>
      <xdr:spPr>
        <a:xfrm>
          <a:off x="10763250" y="24317325"/>
          <a:ext cx="2476846" cy="1644245"/>
        </a:xfrm>
        <a:prstGeom prst="rect">
          <a:avLst/>
        </a:prstGeom>
      </xdr:spPr>
    </xdr:pic>
    <xdr:clientData/>
  </xdr:twoCellAnchor>
  <xdr:twoCellAnchor editAs="oneCell">
    <xdr:from>
      <xdr:col>21</xdr:col>
      <xdr:colOff>47625</xdr:colOff>
      <xdr:row>143</xdr:row>
      <xdr:rowOff>123825</xdr:rowOff>
    </xdr:from>
    <xdr:to>
      <xdr:col>23</xdr:col>
      <xdr:colOff>188785</xdr:colOff>
      <xdr:row>148</xdr:row>
      <xdr:rowOff>17258</xdr:rowOff>
    </xdr:to>
    <xdr:pic>
      <xdr:nvPicPr>
        <xdr:cNvPr id="8" name="Picture 7">
          <a:extLst>
            <a:ext uri="{FF2B5EF4-FFF2-40B4-BE49-F238E27FC236}">
              <a16:creationId xmlns:a16="http://schemas.microsoft.com/office/drawing/2014/main" id="{51852F33-4A30-B332-EE8D-9AA6986240E2}"/>
            </a:ext>
          </a:extLst>
        </xdr:cNvPr>
        <xdr:cNvPicPr>
          <a:picLocks noChangeAspect="1"/>
        </xdr:cNvPicPr>
      </xdr:nvPicPr>
      <xdr:blipFill>
        <a:blip xmlns:r="http://schemas.openxmlformats.org/officeDocument/2006/relationships" r:embed="rId4"/>
        <a:stretch>
          <a:fillRect/>
        </a:stretch>
      </xdr:blipFill>
      <xdr:spPr>
        <a:xfrm>
          <a:off x="13239750" y="24374475"/>
          <a:ext cx="1360360" cy="811643"/>
        </a:xfrm>
        <a:prstGeom prst="rect">
          <a:avLst/>
        </a:prstGeom>
      </xdr:spPr>
    </xdr:pic>
    <xdr:clientData/>
  </xdr:twoCellAnchor>
  <xdr:twoCellAnchor editAs="oneCell">
    <xdr:from>
      <xdr:col>15</xdr:col>
      <xdr:colOff>590550</xdr:colOff>
      <xdr:row>186</xdr:row>
      <xdr:rowOff>169545</xdr:rowOff>
    </xdr:from>
    <xdr:to>
      <xdr:col>23</xdr:col>
      <xdr:colOff>550545</xdr:colOff>
      <xdr:row>206</xdr:row>
      <xdr:rowOff>22439</xdr:rowOff>
    </xdr:to>
    <xdr:pic>
      <xdr:nvPicPr>
        <xdr:cNvPr id="9" name="Picture 8">
          <a:extLst>
            <a:ext uri="{FF2B5EF4-FFF2-40B4-BE49-F238E27FC236}">
              <a16:creationId xmlns:a16="http://schemas.microsoft.com/office/drawing/2014/main" id="{08576F68-4B89-E5C8-7191-B363953EEEA4}"/>
            </a:ext>
          </a:extLst>
        </xdr:cNvPr>
        <xdr:cNvPicPr>
          <a:picLocks noChangeAspect="1"/>
        </xdr:cNvPicPr>
      </xdr:nvPicPr>
      <xdr:blipFill>
        <a:blip xmlns:r="http://schemas.openxmlformats.org/officeDocument/2006/relationships" r:embed="rId5"/>
        <a:stretch>
          <a:fillRect/>
        </a:stretch>
      </xdr:blipFill>
      <xdr:spPr>
        <a:xfrm>
          <a:off x="10125075" y="32202120"/>
          <a:ext cx="4848225" cy="34781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83820</xdr:colOff>
      <xdr:row>16</xdr:row>
      <xdr:rowOff>97155</xdr:rowOff>
    </xdr:from>
    <xdr:to>
      <xdr:col>18</xdr:col>
      <xdr:colOff>381296</xdr:colOff>
      <xdr:row>24</xdr:row>
      <xdr:rowOff>97357</xdr:rowOff>
    </xdr:to>
    <xdr:pic>
      <xdr:nvPicPr>
        <xdr:cNvPr id="2" name="Picture 1">
          <a:extLst>
            <a:ext uri="{FF2B5EF4-FFF2-40B4-BE49-F238E27FC236}">
              <a16:creationId xmlns:a16="http://schemas.microsoft.com/office/drawing/2014/main" id="{58BD9B3F-7D77-EDD2-DF0C-3691B73AD6A4}"/>
            </a:ext>
          </a:extLst>
        </xdr:cNvPr>
        <xdr:cNvPicPr>
          <a:picLocks noChangeAspect="1"/>
        </xdr:cNvPicPr>
      </xdr:nvPicPr>
      <xdr:blipFill>
        <a:blip xmlns:r="http://schemas.openxmlformats.org/officeDocument/2006/relationships" r:embed="rId1"/>
        <a:stretch>
          <a:fillRect/>
        </a:stretch>
      </xdr:blipFill>
      <xdr:spPr>
        <a:xfrm>
          <a:off x="9323070" y="2992755"/>
          <a:ext cx="2126276" cy="1451812"/>
        </a:xfrm>
        <a:prstGeom prst="rect">
          <a:avLst/>
        </a:prstGeom>
      </xdr:spPr>
    </xdr:pic>
    <xdr:clientData/>
  </xdr:twoCellAnchor>
  <xdr:twoCellAnchor editAs="oneCell">
    <xdr:from>
      <xdr:col>15</xdr:col>
      <xdr:colOff>131445</xdr:colOff>
      <xdr:row>26</xdr:row>
      <xdr:rowOff>171450</xdr:rowOff>
    </xdr:from>
    <xdr:to>
      <xdr:col>19</xdr:col>
      <xdr:colOff>209901</xdr:colOff>
      <xdr:row>31</xdr:row>
      <xdr:rowOff>133470</xdr:rowOff>
    </xdr:to>
    <xdr:pic>
      <xdr:nvPicPr>
        <xdr:cNvPr id="3" name="Picture 2">
          <a:extLst>
            <a:ext uri="{FF2B5EF4-FFF2-40B4-BE49-F238E27FC236}">
              <a16:creationId xmlns:a16="http://schemas.microsoft.com/office/drawing/2014/main" id="{399745F9-4B56-7255-DA17-AFAD158716CE}"/>
            </a:ext>
          </a:extLst>
        </xdr:cNvPr>
        <xdr:cNvPicPr>
          <a:picLocks noChangeAspect="1"/>
        </xdr:cNvPicPr>
      </xdr:nvPicPr>
      <xdr:blipFill>
        <a:blip xmlns:r="http://schemas.openxmlformats.org/officeDocument/2006/relationships" r:embed="rId2"/>
        <a:stretch>
          <a:fillRect/>
        </a:stretch>
      </xdr:blipFill>
      <xdr:spPr>
        <a:xfrm>
          <a:off x="9370695" y="4876800"/>
          <a:ext cx="2513046" cy="853560"/>
        </a:xfrm>
        <a:prstGeom prst="rect">
          <a:avLst/>
        </a:prstGeom>
      </xdr:spPr>
    </xdr:pic>
    <xdr:clientData/>
  </xdr:twoCellAnchor>
  <xdr:twoCellAnchor editAs="oneCell">
    <xdr:from>
      <xdr:col>19</xdr:col>
      <xdr:colOff>459105</xdr:colOff>
      <xdr:row>27</xdr:row>
      <xdr:rowOff>125730</xdr:rowOff>
    </xdr:from>
    <xdr:to>
      <xdr:col>22</xdr:col>
      <xdr:colOff>36392</xdr:colOff>
      <xdr:row>30</xdr:row>
      <xdr:rowOff>17207</xdr:rowOff>
    </xdr:to>
    <xdr:pic>
      <xdr:nvPicPr>
        <xdr:cNvPr id="4" name="Picture 3">
          <a:extLst>
            <a:ext uri="{FF2B5EF4-FFF2-40B4-BE49-F238E27FC236}">
              <a16:creationId xmlns:a16="http://schemas.microsoft.com/office/drawing/2014/main" id="{CFBCEADE-CD0F-DAD7-65F3-074D2F9DBEE7}"/>
            </a:ext>
          </a:extLst>
        </xdr:cNvPr>
        <xdr:cNvPicPr>
          <a:picLocks noChangeAspect="1"/>
        </xdr:cNvPicPr>
      </xdr:nvPicPr>
      <xdr:blipFill>
        <a:blip xmlns:r="http://schemas.openxmlformats.org/officeDocument/2006/relationships" r:embed="rId3"/>
        <a:stretch>
          <a:fillRect/>
        </a:stretch>
      </xdr:blipFill>
      <xdr:spPr>
        <a:xfrm>
          <a:off x="12136755" y="5012055"/>
          <a:ext cx="1406087" cy="443927"/>
        </a:xfrm>
        <a:prstGeom prst="rect">
          <a:avLst/>
        </a:prstGeom>
      </xdr:spPr>
    </xdr:pic>
    <xdr:clientData/>
  </xdr:twoCellAnchor>
  <xdr:twoCellAnchor editAs="oneCell">
    <xdr:from>
      <xdr:col>15</xdr:col>
      <xdr:colOff>123826</xdr:colOff>
      <xdr:row>33</xdr:row>
      <xdr:rowOff>152400</xdr:rowOff>
    </xdr:from>
    <xdr:to>
      <xdr:col>19</xdr:col>
      <xdr:colOff>428626</xdr:colOff>
      <xdr:row>42</xdr:row>
      <xdr:rowOff>170288</xdr:rowOff>
    </xdr:to>
    <xdr:pic>
      <xdr:nvPicPr>
        <xdr:cNvPr id="5" name="Picture 4">
          <a:extLst>
            <a:ext uri="{FF2B5EF4-FFF2-40B4-BE49-F238E27FC236}">
              <a16:creationId xmlns:a16="http://schemas.microsoft.com/office/drawing/2014/main" id="{A5ECC7C8-9C5A-AA8E-4770-483DADF98E80}"/>
            </a:ext>
          </a:extLst>
        </xdr:cNvPr>
        <xdr:cNvPicPr>
          <a:picLocks noChangeAspect="1"/>
        </xdr:cNvPicPr>
      </xdr:nvPicPr>
      <xdr:blipFill>
        <a:blip xmlns:r="http://schemas.openxmlformats.org/officeDocument/2006/relationships" r:embed="rId4"/>
        <a:stretch>
          <a:fillRect/>
        </a:stretch>
      </xdr:blipFill>
      <xdr:spPr>
        <a:xfrm>
          <a:off x="9363076" y="6124575"/>
          <a:ext cx="2743200" cy="164666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542925</xdr:colOff>
      <xdr:row>2</xdr:row>
      <xdr:rowOff>114300</xdr:rowOff>
    </xdr:from>
    <xdr:to>
      <xdr:col>14</xdr:col>
      <xdr:colOff>112676</xdr:colOff>
      <xdr:row>10</xdr:row>
      <xdr:rowOff>114507</xdr:rowOff>
    </xdr:to>
    <xdr:pic>
      <xdr:nvPicPr>
        <xdr:cNvPr id="2" name="Picture 1">
          <a:extLst>
            <a:ext uri="{FF2B5EF4-FFF2-40B4-BE49-F238E27FC236}">
              <a16:creationId xmlns:a16="http://schemas.microsoft.com/office/drawing/2014/main" id="{924E4EC5-E454-9F1A-B339-CDF392F97B54}"/>
            </a:ext>
          </a:extLst>
        </xdr:cNvPr>
        <xdr:cNvPicPr>
          <a:picLocks noChangeAspect="1"/>
        </xdr:cNvPicPr>
      </xdr:nvPicPr>
      <xdr:blipFill>
        <a:blip xmlns:r="http://schemas.openxmlformats.org/officeDocument/2006/relationships" r:embed="rId1"/>
        <a:stretch>
          <a:fillRect/>
        </a:stretch>
      </xdr:blipFill>
      <xdr:spPr>
        <a:xfrm>
          <a:off x="6638925" y="476250"/>
          <a:ext cx="2008151" cy="1486107"/>
        </a:xfrm>
        <a:prstGeom prst="rect">
          <a:avLst/>
        </a:prstGeom>
      </xdr:spPr>
    </xdr:pic>
    <xdr:clientData/>
  </xdr:twoCellAnchor>
  <xdr:twoCellAnchor editAs="oneCell">
    <xdr:from>
      <xdr:col>10</xdr:col>
      <xdr:colOff>552450</xdr:colOff>
      <xdr:row>13</xdr:row>
      <xdr:rowOff>9525</xdr:rowOff>
    </xdr:from>
    <xdr:to>
      <xdr:col>14</xdr:col>
      <xdr:colOff>129821</xdr:colOff>
      <xdr:row>15</xdr:row>
      <xdr:rowOff>74355</xdr:rowOff>
    </xdr:to>
    <xdr:pic>
      <xdr:nvPicPr>
        <xdr:cNvPr id="3" name="Picture 2">
          <a:extLst>
            <a:ext uri="{FF2B5EF4-FFF2-40B4-BE49-F238E27FC236}">
              <a16:creationId xmlns:a16="http://schemas.microsoft.com/office/drawing/2014/main" id="{FE4BB306-4DA2-7C24-2486-7038063760BB}"/>
            </a:ext>
          </a:extLst>
        </xdr:cNvPr>
        <xdr:cNvPicPr>
          <a:picLocks noChangeAspect="1"/>
        </xdr:cNvPicPr>
      </xdr:nvPicPr>
      <xdr:blipFill>
        <a:blip xmlns:r="http://schemas.openxmlformats.org/officeDocument/2006/relationships" r:embed="rId2"/>
        <a:stretch>
          <a:fillRect/>
        </a:stretch>
      </xdr:blipFill>
      <xdr:spPr>
        <a:xfrm>
          <a:off x="6648450" y="2400300"/>
          <a:ext cx="2008151" cy="426780"/>
        </a:xfrm>
        <a:prstGeom prst="rect">
          <a:avLst/>
        </a:prstGeom>
      </xdr:spPr>
    </xdr:pic>
    <xdr:clientData/>
  </xdr:twoCellAnchor>
  <xdr:twoCellAnchor editAs="oneCell">
    <xdr:from>
      <xdr:col>11</xdr:col>
      <xdr:colOff>19050</xdr:colOff>
      <xdr:row>18</xdr:row>
      <xdr:rowOff>133350</xdr:rowOff>
    </xdr:from>
    <xdr:to>
      <xdr:col>14</xdr:col>
      <xdr:colOff>57411</xdr:colOff>
      <xdr:row>20</xdr:row>
      <xdr:rowOff>78148</xdr:rowOff>
    </xdr:to>
    <xdr:pic>
      <xdr:nvPicPr>
        <xdr:cNvPr id="4" name="Picture 3">
          <a:extLst>
            <a:ext uri="{FF2B5EF4-FFF2-40B4-BE49-F238E27FC236}">
              <a16:creationId xmlns:a16="http://schemas.microsoft.com/office/drawing/2014/main" id="{D13D66BF-4929-73E6-DA67-C05676FD3952}"/>
            </a:ext>
          </a:extLst>
        </xdr:cNvPr>
        <xdr:cNvPicPr>
          <a:picLocks noChangeAspect="1"/>
        </xdr:cNvPicPr>
      </xdr:nvPicPr>
      <xdr:blipFill>
        <a:blip xmlns:r="http://schemas.openxmlformats.org/officeDocument/2006/relationships" r:embed="rId3"/>
        <a:stretch>
          <a:fillRect/>
        </a:stretch>
      </xdr:blipFill>
      <xdr:spPr>
        <a:xfrm>
          <a:off x="6724650" y="3429000"/>
          <a:ext cx="1867161" cy="306748"/>
        </a:xfrm>
        <a:prstGeom prst="rect">
          <a:avLst/>
        </a:prstGeom>
      </xdr:spPr>
    </xdr:pic>
    <xdr:clientData/>
  </xdr:twoCellAnchor>
  <xdr:twoCellAnchor editAs="oneCell">
    <xdr:from>
      <xdr:col>11</xdr:col>
      <xdr:colOff>0</xdr:colOff>
      <xdr:row>23</xdr:row>
      <xdr:rowOff>85725</xdr:rowOff>
    </xdr:from>
    <xdr:to>
      <xdr:col>14</xdr:col>
      <xdr:colOff>167919</xdr:colOff>
      <xdr:row>29</xdr:row>
      <xdr:rowOff>150656</xdr:rowOff>
    </xdr:to>
    <xdr:pic>
      <xdr:nvPicPr>
        <xdr:cNvPr id="5" name="Picture 4">
          <a:extLst>
            <a:ext uri="{FF2B5EF4-FFF2-40B4-BE49-F238E27FC236}">
              <a16:creationId xmlns:a16="http://schemas.microsoft.com/office/drawing/2014/main" id="{C652FE13-663F-E5A2-1BCE-DB22555FA80A}"/>
            </a:ext>
          </a:extLst>
        </xdr:cNvPr>
        <xdr:cNvPicPr>
          <a:picLocks noChangeAspect="1"/>
        </xdr:cNvPicPr>
      </xdr:nvPicPr>
      <xdr:blipFill>
        <a:blip xmlns:r="http://schemas.openxmlformats.org/officeDocument/2006/relationships" r:embed="rId4"/>
        <a:stretch>
          <a:fillRect/>
        </a:stretch>
      </xdr:blipFill>
      <xdr:spPr>
        <a:xfrm>
          <a:off x="6705600" y="4286250"/>
          <a:ext cx="1996719" cy="1150781"/>
        </a:xfrm>
        <a:prstGeom prst="rect">
          <a:avLst/>
        </a:prstGeom>
      </xdr:spPr>
    </xdr:pic>
    <xdr:clientData/>
  </xdr:twoCellAnchor>
  <xdr:twoCellAnchor editAs="oneCell">
    <xdr:from>
      <xdr:col>11</xdr:col>
      <xdr:colOff>0</xdr:colOff>
      <xdr:row>33</xdr:row>
      <xdr:rowOff>123825</xdr:rowOff>
    </xdr:from>
    <xdr:to>
      <xdr:col>14</xdr:col>
      <xdr:colOff>167919</xdr:colOff>
      <xdr:row>41</xdr:row>
      <xdr:rowOff>93758</xdr:rowOff>
    </xdr:to>
    <xdr:pic>
      <xdr:nvPicPr>
        <xdr:cNvPr id="6" name="Picture 5">
          <a:extLst>
            <a:ext uri="{FF2B5EF4-FFF2-40B4-BE49-F238E27FC236}">
              <a16:creationId xmlns:a16="http://schemas.microsoft.com/office/drawing/2014/main" id="{DD2CF6AA-C953-A9EC-A22F-218958ECD429}"/>
            </a:ext>
          </a:extLst>
        </xdr:cNvPr>
        <xdr:cNvPicPr>
          <a:picLocks noChangeAspect="1"/>
        </xdr:cNvPicPr>
      </xdr:nvPicPr>
      <xdr:blipFill>
        <a:blip xmlns:r="http://schemas.openxmlformats.org/officeDocument/2006/relationships" r:embed="rId5"/>
        <a:stretch>
          <a:fillRect/>
        </a:stretch>
      </xdr:blipFill>
      <xdr:spPr>
        <a:xfrm>
          <a:off x="6705600" y="6134100"/>
          <a:ext cx="1996719" cy="2958878"/>
        </a:xfrm>
        <a:prstGeom prst="rect">
          <a:avLst/>
        </a:prstGeom>
      </xdr:spPr>
    </xdr:pic>
    <xdr:clientData/>
  </xdr:twoCellAnchor>
  <xdr:twoCellAnchor editAs="oneCell">
    <xdr:from>
      <xdr:col>11</xdr:col>
      <xdr:colOff>38100</xdr:colOff>
      <xdr:row>44</xdr:row>
      <xdr:rowOff>133350</xdr:rowOff>
    </xdr:from>
    <xdr:to>
      <xdr:col>14</xdr:col>
      <xdr:colOff>354629</xdr:colOff>
      <xdr:row>50</xdr:row>
      <xdr:rowOff>40143</xdr:rowOff>
    </xdr:to>
    <xdr:pic>
      <xdr:nvPicPr>
        <xdr:cNvPr id="7" name="Picture 6">
          <a:extLst>
            <a:ext uri="{FF2B5EF4-FFF2-40B4-BE49-F238E27FC236}">
              <a16:creationId xmlns:a16="http://schemas.microsoft.com/office/drawing/2014/main" id="{430AF8FB-0D7F-B672-9D45-B5EE0BC4DEDF}"/>
            </a:ext>
          </a:extLst>
        </xdr:cNvPr>
        <xdr:cNvPicPr>
          <a:picLocks noChangeAspect="1"/>
        </xdr:cNvPicPr>
      </xdr:nvPicPr>
      <xdr:blipFill>
        <a:blip xmlns:r="http://schemas.openxmlformats.org/officeDocument/2006/relationships" r:embed="rId6"/>
        <a:stretch>
          <a:fillRect/>
        </a:stretch>
      </xdr:blipFill>
      <xdr:spPr>
        <a:xfrm>
          <a:off x="6953250" y="9667875"/>
          <a:ext cx="2145329" cy="9926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17145</xdr:colOff>
      <xdr:row>2</xdr:row>
      <xdr:rowOff>152400</xdr:rowOff>
    </xdr:from>
    <xdr:to>
      <xdr:col>1</xdr:col>
      <xdr:colOff>952500</xdr:colOff>
      <xdr:row>6</xdr:row>
      <xdr:rowOff>36195</xdr:rowOff>
    </xdr:to>
    <xdr:sp macro="" textlink="">
      <xdr:nvSpPr>
        <xdr:cNvPr id="2" name="Rectangle 1">
          <a:extLst>
            <a:ext uri="{FF2B5EF4-FFF2-40B4-BE49-F238E27FC236}">
              <a16:creationId xmlns:a16="http://schemas.microsoft.com/office/drawing/2014/main" id="{5ADFB1D6-E1F8-EDD4-D6D3-C9BBD92E1673}"/>
            </a:ext>
          </a:extLst>
        </xdr:cNvPr>
        <xdr:cNvSpPr/>
      </xdr:nvSpPr>
      <xdr:spPr>
        <a:xfrm>
          <a:off x="626745" y="514350"/>
          <a:ext cx="935355" cy="6076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1274445</xdr:colOff>
      <xdr:row>2</xdr:row>
      <xdr:rowOff>161925</xdr:rowOff>
    </xdr:from>
    <xdr:to>
      <xdr:col>2</xdr:col>
      <xdr:colOff>457200</xdr:colOff>
      <xdr:row>6</xdr:row>
      <xdr:rowOff>74295</xdr:rowOff>
    </xdr:to>
    <xdr:sp macro="" textlink="">
      <xdr:nvSpPr>
        <xdr:cNvPr id="3" name="TextBox 2">
          <a:extLst>
            <a:ext uri="{FF2B5EF4-FFF2-40B4-BE49-F238E27FC236}">
              <a16:creationId xmlns:a16="http://schemas.microsoft.com/office/drawing/2014/main" id="{9F28CBF8-2BE9-FBBD-6D0B-58357E037019}"/>
            </a:ext>
          </a:extLst>
        </xdr:cNvPr>
        <xdr:cNvSpPr txBox="1"/>
      </xdr:nvSpPr>
      <xdr:spPr>
        <a:xfrm>
          <a:off x="1884045" y="523875"/>
          <a:ext cx="925830" cy="636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text</a:t>
          </a:r>
        </a:p>
      </xdr:txBody>
    </xdr:sp>
    <xdr:clientData/>
  </xdr:twoCellAnchor>
  <xdr:twoCellAnchor>
    <xdr:from>
      <xdr:col>3</xdr:col>
      <xdr:colOff>205740</xdr:colOff>
      <xdr:row>3</xdr:row>
      <xdr:rowOff>30480</xdr:rowOff>
    </xdr:from>
    <xdr:to>
      <xdr:col>4</xdr:col>
      <xdr:colOff>171450</xdr:colOff>
      <xdr:row>6</xdr:row>
      <xdr:rowOff>57150</xdr:rowOff>
    </xdr:to>
    <xdr:cxnSp macro="">
      <xdr:nvCxnSpPr>
        <xdr:cNvPr id="5" name="Straight Arrow Connector 4">
          <a:extLst>
            <a:ext uri="{FF2B5EF4-FFF2-40B4-BE49-F238E27FC236}">
              <a16:creationId xmlns:a16="http://schemas.microsoft.com/office/drawing/2014/main" id="{9B57B995-7654-EED2-6FB0-3098DBAD6D52}"/>
            </a:ext>
          </a:extLst>
        </xdr:cNvPr>
        <xdr:cNvCxnSpPr/>
      </xdr:nvCxnSpPr>
      <xdr:spPr>
        <a:xfrm>
          <a:off x="3168015" y="573405"/>
          <a:ext cx="575310" cy="56959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xdr:col>
      <xdr:colOff>434340</xdr:colOff>
      <xdr:row>2</xdr:row>
      <xdr:rowOff>139065</xdr:rowOff>
    </xdr:from>
    <xdr:to>
      <xdr:col>6</xdr:col>
      <xdr:colOff>588645</xdr:colOff>
      <xdr:row>8</xdr:row>
      <xdr:rowOff>98189</xdr:rowOff>
    </xdr:to>
    <xdr:pic>
      <xdr:nvPicPr>
        <xdr:cNvPr id="7" name="Picture 6" descr="Cats making tail heart">
          <a:extLst>
            <a:ext uri="{FF2B5EF4-FFF2-40B4-BE49-F238E27FC236}">
              <a16:creationId xmlns:a16="http://schemas.microsoft.com/office/drawing/2014/main" id="{9527859E-9D9A-9104-4DAC-D3225934C9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6215" y="501015"/>
          <a:ext cx="1377315" cy="1048784"/>
        </a:xfrm>
        <a:prstGeom prst="rect">
          <a:avLst/>
        </a:prstGeom>
      </xdr:spPr>
    </xdr:pic>
    <xdr:clientData/>
  </xdr:twoCellAnchor>
  <xdr:twoCellAnchor editAs="oneCell">
    <xdr:from>
      <xdr:col>12</xdr:col>
      <xdr:colOff>571500</xdr:colOff>
      <xdr:row>2</xdr:row>
      <xdr:rowOff>161925</xdr:rowOff>
    </xdr:from>
    <xdr:to>
      <xdr:col>21</xdr:col>
      <xdr:colOff>246467</xdr:colOff>
      <xdr:row>9</xdr:row>
      <xdr:rowOff>131619</xdr:rowOff>
    </xdr:to>
    <xdr:pic>
      <xdr:nvPicPr>
        <xdr:cNvPr id="8" name="Picture 7">
          <a:extLst>
            <a:ext uri="{FF2B5EF4-FFF2-40B4-BE49-F238E27FC236}">
              <a16:creationId xmlns:a16="http://schemas.microsoft.com/office/drawing/2014/main" id="{77DE4B1A-311A-462E-6616-A757A2438829}"/>
            </a:ext>
          </a:extLst>
        </xdr:cNvPr>
        <xdr:cNvPicPr>
          <a:picLocks noChangeAspect="1"/>
        </xdr:cNvPicPr>
      </xdr:nvPicPr>
      <xdr:blipFill>
        <a:blip xmlns:r="http://schemas.openxmlformats.org/officeDocument/2006/relationships" r:embed="rId2"/>
        <a:stretch>
          <a:fillRect/>
        </a:stretch>
      </xdr:blipFill>
      <xdr:spPr>
        <a:xfrm>
          <a:off x="7886700" y="523875"/>
          <a:ext cx="5170892" cy="1249854"/>
        </a:xfrm>
        <a:prstGeom prst="rect">
          <a:avLst/>
        </a:prstGeom>
      </xdr:spPr>
    </xdr:pic>
    <xdr:clientData/>
  </xdr:twoCellAnchor>
  <xdr:twoCellAnchor editAs="oneCell">
    <xdr:from>
      <xdr:col>12</xdr:col>
      <xdr:colOff>561975</xdr:colOff>
      <xdr:row>12</xdr:row>
      <xdr:rowOff>57150</xdr:rowOff>
    </xdr:from>
    <xdr:to>
      <xdr:col>16</xdr:col>
      <xdr:colOff>57419</xdr:colOff>
      <xdr:row>14</xdr:row>
      <xdr:rowOff>148751</xdr:rowOff>
    </xdr:to>
    <xdr:pic>
      <xdr:nvPicPr>
        <xdr:cNvPr id="9" name="Picture 8">
          <a:extLst>
            <a:ext uri="{FF2B5EF4-FFF2-40B4-BE49-F238E27FC236}">
              <a16:creationId xmlns:a16="http://schemas.microsoft.com/office/drawing/2014/main" id="{768204E5-9DCE-9538-C80F-3C9D633B7B9D}"/>
            </a:ext>
          </a:extLst>
        </xdr:cNvPr>
        <xdr:cNvPicPr>
          <a:picLocks noChangeAspect="1"/>
        </xdr:cNvPicPr>
      </xdr:nvPicPr>
      <xdr:blipFill>
        <a:blip xmlns:r="http://schemas.openxmlformats.org/officeDocument/2006/relationships" r:embed="rId3"/>
        <a:stretch>
          <a:fillRect/>
        </a:stretch>
      </xdr:blipFill>
      <xdr:spPr>
        <a:xfrm>
          <a:off x="9010650" y="2228850"/>
          <a:ext cx="1920509" cy="1148876"/>
        </a:xfrm>
        <a:prstGeom prst="rect">
          <a:avLst/>
        </a:prstGeom>
      </xdr:spPr>
    </xdr:pic>
    <xdr:clientData/>
  </xdr:twoCellAnchor>
  <xdr:twoCellAnchor>
    <xdr:from>
      <xdr:col>0</xdr:col>
      <xdr:colOff>143827</xdr:colOff>
      <xdr:row>45</xdr:row>
      <xdr:rowOff>35242</xdr:rowOff>
    </xdr:from>
    <xdr:to>
      <xdr:col>5</xdr:col>
      <xdr:colOff>534352</xdr:colOff>
      <xdr:row>58</xdr:row>
      <xdr:rowOff>65722</xdr:rowOff>
    </xdr:to>
    <xdr:graphicFrame macro="">
      <xdr:nvGraphicFramePr>
        <xdr:cNvPr id="10" name="Diagram 9">
          <a:extLst>
            <a:ext uri="{FF2B5EF4-FFF2-40B4-BE49-F238E27FC236}">
              <a16:creationId xmlns:a16="http://schemas.microsoft.com/office/drawing/2014/main" id="{42C24759-099F-4F1A-A932-2AD844FBE37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4" r:lo="rId5" r:qs="rId6" r:cs="rId7"/>
        </a:graphicData>
      </a:graphic>
    </xdr:graphicFrame>
    <xdr:clientData/>
  </xdr:twoCellAnchor>
  <xdr:twoCellAnchor>
    <xdr:from>
      <xdr:col>0</xdr:col>
      <xdr:colOff>86677</xdr:colOff>
      <xdr:row>33</xdr:row>
      <xdr:rowOff>37147</xdr:rowOff>
    </xdr:from>
    <xdr:to>
      <xdr:col>4</xdr:col>
      <xdr:colOff>542925</xdr:colOff>
      <xdr:row>42</xdr:row>
      <xdr:rowOff>47625</xdr:rowOff>
    </xdr:to>
    <xdr:graphicFrame macro="">
      <xdr:nvGraphicFramePr>
        <xdr:cNvPr id="11" name="Diagram 10">
          <a:extLst>
            <a:ext uri="{FF2B5EF4-FFF2-40B4-BE49-F238E27FC236}">
              <a16:creationId xmlns:a16="http://schemas.microsoft.com/office/drawing/2014/main" id="{C1D885F0-9769-4324-BCAC-F82D84289A1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9" r:lo="rId10" r:qs="rId11" r:cs="rId12"/>
        </a:graphicData>
      </a:graphic>
    </xdr:graphicFrame>
    <xdr:clientData/>
  </xdr:twoCellAnchor>
  <xdr:twoCellAnchor>
    <xdr:from>
      <xdr:col>0</xdr:col>
      <xdr:colOff>282892</xdr:colOff>
      <xdr:row>20</xdr:row>
      <xdr:rowOff>136208</xdr:rowOff>
    </xdr:from>
    <xdr:to>
      <xdr:col>5</xdr:col>
      <xdr:colOff>457200</xdr:colOff>
      <xdr:row>31</xdr:row>
      <xdr:rowOff>76201</xdr:rowOff>
    </xdr:to>
    <xdr:graphicFrame macro="">
      <xdr:nvGraphicFramePr>
        <xdr:cNvPr id="12" name="Diagram 11">
          <a:extLst>
            <a:ext uri="{FF2B5EF4-FFF2-40B4-BE49-F238E27FC236}">
              <a16:creationId xmlns:a16="http://schemas.microsoft.com/office/drawing/2014/main" id="{E288E8C9-1B31-481A-8E45-69C844AD7FE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4" r:lo="rId15" r:qs="rId16" r:cs="rId17"/>
        </a:graphicData>
      </a:graphic>
    </xdr:graphicFrame>
    <xdr:clientData/>
  </xdr:twoCellAnchor>
  <xdr:twoCellAnchor editAs="oneCell">
    <xdr:from>
      <xdr:col>13</xdr:col>
      <xdr:colOff>9525</xdr:colOff>
      <xdr:row>16</xdr:row>
      <xdr:rowOff>28575</xdr:rowOff>
    </xdr:from>
    <xdr:to>
      <xdr:col>21</xdr:col>
      <xdr:colOff>360776</xdr:colOff>
      <xdr:row>57</xdr:row>
      <xdr:rowOff>41042</xdr:rowOff>
    </xdr:to>
    <xdr:pic>
      <xdr:nvPicPr>
        <xdr:cNvPr id="13" name="Picture 12">
          <a:extLst>
            <a:ext uri="{FF2B5EF4-FFF2-40B4-BE49-F238E27FC236}">
              <a16:creationId xmlns:a16="http://schemas.microsoft.com/office/drawing/2014/main" id="{7BD0657B-954C-252D-BAF2-DA46DFECBE4C}"/>
            </a:ext>
          </a:extLst>
        </xdr:cNvPr>
        <xdr:cNvPicPr>
          <a:picLocks noChangeAspect="1"/>
        </xdr:cNvPicPr>
      </xdr:nvPicPr>
      <xdr:blipFill>
        <a:blip xmlns:r="http://schemas.openxmlformats.org/officeDocument/2006/relationships" r:embed="rId19"/>
        <a:stretch>
          <a:fillRect/>
        </a:stretch>
      </xdr:blipFill>
      <xdr:spPr>
        <a:xfrm>
          <a:off x="9067800" y="3619500"/>
          <a:ext cx="5235671" cy="7432442"/>
        </a:xfrm>
        <a:prstGeom prst="rect">
          <a:avLst/>
        </a:prstGeom>
      </xdr:spPr>
    </xdr:pic>
    <xdr:clientData/>
  </xdr:twoCellAnchor>
  <xdr:twoCellAnchor editAs="oneCell">
    <xdr:from>
      <xdr:col>6</xdr:col>
      <xdr:colOff>120015</xdr:colOff>
      <xdr:row>25</xdr:row>
      <xdr:rowOff>74295</xdr:rowOff>
    </xdr:from>
    <xdr:to>
      <xdr:col>10</xdr:col>
      <xdr:colOff>91775</xdr:colOff>
      <xdr:row>37</xdr:row>
      <xdr:rowOff>40303</xdr:rowOff>
    </xdr:to>
    <xdr:pic>
      <xdr:nvPicPr>
        <xdr:cNvPr id="14" name="Picture 13">
          <a:extLst>
            <a:ext uri="{FF2B5EF4-FFF2-40B4-BE49-F238E27FC236}">
              <a16:creationId xmlns:a16="http://schemas.microsoft.com/office/drawing/2014/main" id="{2C160396-92E4-7974-2B8B-CE31AE76833B}"/>
            </a:ext>
          </a:extLst>
        </xdr:cNvPr>
        <xdr:cNvPicPr>
          <a:picLocks noChangeAspect="1"/>
        </xdr:cNvPicPr>
      </xdr:nvPicPr>
      <xdr:blipFill>
        <a:blip xmlns:r="http://schemas.openxmlformats.org/officeDocument/2006/relationships" r:embed="rId20"/>
        <a:stretch>
          <a:fillRect/>
        </a:stretch>
      </xdr:blipFill>
      <xdr:spPr>
        <a:xfrm>
          <a:off x="4911090" y="5293995"/>
          <a:ext cx="2400635" cy="2137708"/>
        </a:xfrm>
        <a:prstGeom prst="rect">
          <a:avLst/>
        </a:prstGeom>
      </xdr:spPr>
    </xdr:pic>
    <xdr:clientData/>
  </xdr:twoCellAnchor>
  <xdr:oneCellAnchor>
    <xdr:from>
      <xdr:col>1</xdr:col>
      <xdr:colOff>0</xdr:colOff>
      <xdr:row>63</xdr:row>
      <xdr:rowOff>0</xdr:rowOff>
    </xdr:from>
    <xdr:ext cx="2565654" cy="457073"/>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33626AF-5EBA-4B7A-809E-3F99663FA7BC}"/>
                </a:ext>
              </a:extLst>
            </xdr:cNvPr>
            <xdr:cNvSpPr txBox="1"/>
          </xdr:nvSpPr>
          <xdr:spPr>
            <a:xfrm>
              <a:off x="609600" y="12096750"/>
              <a:ext cx="2565654" cy="457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GB" sz="1100" i="1">
                        <a:latin typeface="Cambria Math" panose="02040503050406030204" pitchFamily="18" charset="0"/>
                      </a:rPr>
                      <m:t>𝑓</m:t>
                    </m:r>
                    <m:d>
                      <m:dPr>
                        <m:ctrlPr>
                          <a:rPr lang="en-GB" sz="1100" i="1">
                            <a:latin typeface="Cambria Math" panose="02040503050406030204" pitchFamily="18" charset="0"/>
                          </a:rPr>
                        </m:ctrlPr>
                      </m:dPr>
                      <m:e>
                        <m:r>
                          <a:rPr lang="en-GB" sz="1100" i="1">
                            <a:latin typeface="Cambria Math" panose="02040503050406030204" pitchFamily="18" charset="0"/>
                          </a:rPr>
                          <m:t>𝑥</m:t>
                        </m:r>
                      </m:e>
                    </m:d>
                    <m:r>
                      <a:rPr lang="en-GB" sz="1100" i="1">
                        <a:latin typeface="Cambria Math" panose="02040503050406030204" pitchFamily="18" charset="0"/>
                      </a:rPr>
                      <m:t>=</m:t>
                    </m:r>
                    <m:sSub>
                      <m:sSubPr>
                        <m:ctrlPr>
                          <a:rPr lang="en-GB" sz="1100" i="1">
                            <a:latin typeface="Cambria Math" panose="02040503050406030204" pitchFamily="18" charset="0"/>
                          </a:rPr>
                        </m:ctrlPr>
                      </m:sSubPr>
                      <m:e>
                        <m:r>
                          <a:rPr lang="en-GB" sz="1100" i="1">
                            <a:latin typeface="Cambria Math" panose="02040503050406030204" pitchFamily="18" charset="0"/>
                          </a:rPr>
                          <m:t>𝑎</m:t>
                        </m:r>
                      </m:e>
                      <m:sub>
                        <m:r>
                          <a:rPr lang="en-GB" sz="1100" i="1">
                            <a:latin typeface="Cambria Math" panose="02040503050406030204" pitchFamily="18" charset="0"/>
                          </a:rPr>
                          <m:t>0</m:t>
                        </m:r>
                      </m:sub>
                    </m:sSub>
                    <m:r>
                      <a:rPr lang="en-GB" sz="1100" i="1">
                        <a:latin typeface="Cambria Math" panose="02040503050406030204" pitchFamily="18" charset="0"/>
                      </a:rPr>
                      <m:t>+</m:t>
                    </m:r>
                    <m:nary>
                      <m:naryPr>
                        <m:chr m:val="∑"/>
                        <m:ctrlPr>
                          <a:rPr lang="en-GB" sz="1100" i="1">
                            <a:latin typeface="Cambria Math" panose="02040503050406030204" pitchFamily="18" charset="0"/>
                          </a:rPr>
                        </m:ctrlPr>
                      </m:naryPr>
                      <m:sub>
                        <m:r>
                          <a:rPr lang="en-GB" sz="1100" i="1">
                            <a:latin typeface="Cambria Math" panose="02040503050406030204" pitchFamily="18" charset="0"/>
                          </a:rPr>
                          <m:t>𝑛</m:t>
                        </m:r>
                        <m:r>
                          <a:rPr lang="en-GB" sz="1100" i="1">
                            <a:latin typeface="Cambria Math" panose="02040503050406030204" pitchFamily="18" charset="0"/>
                          </a:rPr>
                          <m:t>=1</m:t>
                        </m:r>
                      </m:sub>
                      <m:sup>
                        <m:r>
                          <a:rPr lang="en-GB" sz="1100" i="1">
                            <a:latin typeface="Cambria Math" panose="02040503050406030204" pitchFamily="18" charset="0"/>
                          </a:rPr>
                          <m:t>∞</m:t>
                        </m:r>
                      </m:sup>
                      <m:e>
                        <m:d>
                          <m:dPr>
                            <m:ctrlPr>
                              <a:rPr lang="en-GB" sz="1100" i="1">
                                <a:latin typeface="Cambria Math" panose="02040503050406030204" pitchFamily="18" charset="0"/>
                              </a:rPr>
                            </m:ctrlPr>
                          </m:dPr>
                          <m:e>
                            <m:sSub>
                              <m:sSubPr>
                                <m:ctrlPr>
                                  <a:rPr lang="en-GB" sz="1100" i="1">
                                    <a:latin typeface="Cambria Math" panose="02040503050406030204" pitchFamily="18" charset="0"/>
                                  </a:rPr>
                                </m:ctrlPr>
                              </m:sSubPr>
                              <m:e>
                                <m:r>
                                  <a:rPr lang="en-GB" sz="1100" i="1">
                                    <a:latin typeface="Cambria Math" panose="02040503050406030204" pitchFamily="18" charset="0"/>
                                  </a:rPr>
                                  <m:t>𝑎</m:t>
                                </m:r>
                              </m:e>
                              <m:sub>
                                <m:r>
                                  <a:rPr lang="en-GB" sz="1100" i="1">
                                    <a:latin typeface="Cambria Math" panose="02040503050406030204" pitchFamily="18" charset="0"/>
                                  </a:rPr>
                                  <m:t>𝑛</m:t>
                                </m:r>
                              </m:sub>
                            </m:sSub>
                            <m:func>
                              <m:funcPr>
                                <m:ctrlPr>
                                  <a:rPr lang="en-GB" sz="1100" i="1">
                                    <a:latin typeface="Cambria Math" panose="02040503050406030204" pitchFamily="18" charset="0"/>
                                  </a:rPr>
                                </m:ctrlPr>
                              </m:funcPr>
                              <m:fName>
                                <m:r>
                                  <m:rPr>
                                    <m:sty m:val="p"/>
                                  </m:rPr>
                                  <a:rPr lang="en-GB" sz="1100" i="0">
                                    <a:latin typeface="Cambria Math" panose="02040503050406030204" pitchFamily="18" charset="0"/>
                                  </a:rPr>
                                  <m:t>cos</m:t>
                                </m:r>
                              </m:fName>
                              <m:e>
                                <m:f>
                                  <m:fPr>
                                    <m:ctrlPr>
                                      <a:rPr lang="en-GB" sz="1100" i="1">
                                        <a:latin typeface="Cambria Math" panose="02040503050406030204" pitchFamily="18" charset="0"/>
                                      </a:rPr>
                                    </m:ctrlPr>
                                  </m:fPr>
                                  <m:num>
                                    <m:r>
                                      <a:rPr lang="en-GB" sz="1100" i="1">
                                        <a:latin typeface="Cambria Math" panose="02040503050406030204" pitchFamily="18" charset="0"/>
                                      </a:rPr>
                                      <m:t>𝑛</m:t>
                                    </m:r>
                                    <m:r>
                                      <a:rPr lang="el-GR" sz="1100" i="1">
                                        <a:latin typeface="Cambria Math" panose="02040503050406030204" pitchFamily="18" charset="0"/>
                                      </a:rPr>
                                      <m:t>𝜋</m:t>
                                    </m:r>
                                    <m:r>
                                      <a:rPr lang="en-GB" sz="1100" i="1">
                                        <a:latin typeface="Cambria Math" panose="02040503050406030204" pitchFamily="18" charset="0"/>
                                      </a:rPr>
                                      <m:t>𝑥</m:t>
                                    </m:r>
                                  </m:num>
                                  <m:den>
                                    <m:r>
                                      <a:rPr lang="en-GB" sz="1100" i="1">
                                        <a:latin typeface="Cambria Math" panose="02040503050406030204" pitchFamily="18" charset="0"/>
                                      </a:rPr>
                                      <m:t>𝐿</m:t>
                                    </m:r>
                                  </m:den>
                                </m:f>
                              </m:e>
                            </m:func>
                            <m:r>
                              <a:rPr lang="en-GB" sz="1100" i="1">
                                <a:latin typeface="Cambria Math" panose="02040503050406030204" pitchFamily="18" charset="0"/>
                              </a:rPr>
                              <m:t>+</m:t>
                            </m:r>
                            <m:sSub>
                              <m:sSubPr>
                                <m:ctrlPr>
                                  <a:rPr lang="en-GB" sz="1100" i="1">
                                    <a:latin typeface="Cambria Math" panose="02040503050406030204" pitchFamily="18" charset="0"/>
                                  </a:rPr>
                                </m:ctrlPr>
                              </m:sSubPr>
                              <m:e>
                                <m:r>
                                  <a:rPr lang="en-GB" sz="1100" i="1">
                                    <a:latin typeface="Cambria Math" panose="02040503050406030204" pitchFamily="18" charset="0"/>
                                  </a:rPr>
                                  <m:t>𝑏</m:t>
                                </m:r>
                              </m:e>
                              <m:sub>
                                <m:r>
                                  <a:rPr lang="en-GB" sz="1100" i="1">
                                    <a:latin typeface="Cambria Math" panose="02040503050406030204" pitchFamily="18" charset="0"/>
                                  </a:rPr>
                                  <m:t>𝑛</m:t>
                                </m:r>
                              </m:sub>
                            </m:sSub>
                            <m:func>
                              <m:funcPr>
                                <m:ctrlPr>
                                  <a:rPr lang="en-GB" sz="1100" i="1">
                                    <a:latin typeface="Cambria Math" panose="02040503050406030204" pitchFamily="18" charset="0"/>
                                  </a:rPr>
                                </m:ctrlPr>
                              </m:funcPr>
                              <m:fName>
                                <m:r>
                                  <m:rPr>
                                    <m:sty m:val="p"/>
                                  </m:rPr>
                                  <a:rPr lang="en-GB" sz="1100" i="0">
                                    <a:latin typeface="Cambria Math" panose="02040503050406030204" pitchFamily="18" charset="0"/>
                                  </a:rPr>
                                  <m:t>sin</m:t>
                                </m:r>
                              </m:fName>
                              <m:e>
                                <m:f>
                                  <m:fPr>
                                    <m:ctrlPr>
                                      <a:rPr lang="en-GB" sz="1100" i="1">
                                        <a:latin typeface="Cambria Math" panose="02040503050406030204" pitchFamily="18" charset="0"/>
                                      </a:rPr>
                                    </m:ctrlPr>
                                  </m:fPr>
                                  <m:num>
                                    <m:r>
                                      <a:rPr lang="en-GB" sz="1100" i="1">
                                        <a:latin typeface="Cambria Math" panose="02040503050406030204" pitchFamily="18" charset="0"/>
                                      </a:rPr>
                                      <m:t>𝑛</m:t>
                                    </m:r>
                                    <m:r>
                                      <a:rPr lang="el-GR" sz="1100" i="1">
                                        <a:latin typeface="Cambria Math" panose="02040503050406030204" pitchFamily="18" charset="0"/>
                                      </a:rPr>
                                      <m:t>𝜋</m:t>
                                    </m:r>
                                    <m:r>
                                      <a:rPr lang="en-GB" sz="1100" i="1">
                                        <a:latin typeface="Cambria Math" panose="02040503050406030204" pitchFamily="18" charset="0"/>
                                      </a:rPr>
                                      <m:t>𝑥</m:t>
                                    </m:r>
                                  </m:num>
                                  <m:den>
                                    <m:r>
                                      <a:rPr lang="en-GB" sz="1100" i="1">
                                        <a:latin typeface="Cambria Math" panose="02040503050406030204" pitchFamily="18" charset="0"/>
                                      </a:rPr>
                                      <m:t>𝐿</m:t>
                                    </m:r>
                                  </m:den>
                                </m:f>
                              </m:e>
                            </m:func>
                          </m:e>
                        </m:d>
                      </m:e>
                    </m:nary>
                  </m:oMath>
                </m:oMathPara>
              </a14:m>
              <a:endParaRPr lang="en-GB" sz="1100"/>
            </a:p>
          </xdr:txBody>
        </xdr:sp>
      </mc:Choice>
      <mc:Fallback xmlns="">
        <xdr:sp macro="" textlink="">
          <xdr:nvSpPr>
            <xdr:cNvPr id="15" name="TextBox 14">
              <a:extLst>
                <a:ext uri="{FF2B5EF4-FFF2-40B4-BE49-F238E27FC236}">
                  <a16:creationId xmlns:a16="http://schemas.microsoft.com/office/drawing/2014/main" id="{333626AF-5EBA-4B7A-809E-3F99663FA7BC}"/>
                </a:ext>
              </a:extLst>
            </xdr:cNvPr>
            <xdr:cNvSpPr txBox="1"/>
          </xdr:nvSpPr>
          <xdr:spPr>
            <a:xfrm>
              <a:off x="609600" y="12096750"/>
              <a:ext cx="2565654" cy="457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100" i="0">
                  <a:latin typeface="Cambria Math" panose="02040503050406030204" pitchFamily="18" charset="0"/>
                </a:rPr>
                <a:t>𝑓(𝑥)=𝑎_0+∑_(𝑛=1)^∞▒(𝑎_𝑛  cos⁡〖𝑛</a:t>
              </a:r>
              <a:r>
                <a:rPr lang="el-GR" sz="1100" i="0">
                  <a:latin typeface="Cambria Math" panose="02040503050406030204" pitchFamily="18" charset="0"/>
                </a:rPr>
                <a:t>𝜋</a:t>
              </a:r>
              <a:r>
                <a:rPr lang="en-GB" sz="1100" i="0">
                  <a:latin typeface="Cambria Math" panose="02040503050406030204" pitchFamily="18" charset="0"/>
                </a:rPr>
                <a:t>𝑥/𝐿〗+𝑏_𝑛  sin⁡〖𝑛</a:t>
              </a:r>
              <a:r>
                <a:rPr lang="el-GR" sz="1100" i="0">
                  <a:latin typeface="Cambria Math" panose="02040503050406030204" pitchFamily="18" charset="0"/>
                </a:rPr>
                <a:t>𝜋</a:t>
              </a:r>
              <a:r>
                <a:rPr lang="en-GB" sz="1100" i="0">
                  <a:latin typeface="Cambria Math" panose="02040503050406030204" pitchFamily="18" charset="0"/>
                </a:rPr>
                <a:t>𝑥/𝐿〗 ) </a:t>
              </a:r>
              <a:endParaRPr lang="en-GB" sz="1100"/>
            </a:p>
          </xdr:txBody>
        </xdr:sp>
      </mc:Fallback>
    </mc:AlternateContent>
    <xdr:clientData/>
  </xdr:oneCellAnchor>
  <xdr:twoCellAnchor>
    <xdr:from>
      <xdr:col>1</xdr:col>
      <xdr:colOff>276225</xdr:colOff>
      <xdr:row>70</xdr:row>
      <xdr:rowOff>112395</xdr:rowOff>
    </xdr:from>
    <xdr:to>
      <xdr:col>1</xdr:col>
      <xdr:colOff>1326588</xdr:colOff>
      <xdr:row>75</xdr:row>
      <xdr:rowOff>36195</xdr:rowOff>
    </xdr:to>
    <xdr:grpSp>
      <xdr:nvGrpSpPr>
        <xdr:cNvPr id="16" name="Group 15">
          <a:extLst>
            <a:ext uri="{FF2B5EF4-FFF2-40B4-BE49-F238E27FC236}">
              <a16:creationId xmlns:a16="http://schemas.microsoft.com/office/drawing/2014/main" id="{AA0B66B3-E843-400A-B1DE-8F323C7BB4EB}"/>
            </a:ext>
          </a:extLst>
        </xdr:cNvPr>
        <xdr:cNvGrpSpPr/>
      </xdr:nvGrpSpPr>
      <xdr:grpSpPr>
        <a:xfrm>
          <a:off x="887730" y="13475970"/>
          <a:ext cx="1046553" cy="828675"/>
          <a:chOff x="8534400" y="9102090"/>
          <a:chExt cx="1054173" cy="821055"/>
        </a:xfrm>
      </xdr:grpSpPr>
      <xdr:pic>
        <xdr:nvPicPr>
          <xdr:cNvPr id="17" name="Picture 16">
            <a:extLst>
              <a:ext uri="{FF2B5EF4-FFF2-40B4-BE49-F238E27FC236}">
                <a16:creationId xmlns:a16="http://schemas.microsoft.com/office/drawing/2014/main" id="{A44E2DF8-3B39-6223-F08B-422725DD9D5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8711565" y="9102090"/>
            <a:ext cx="877008" cy="82105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8" name="Rectangle 17">
            <a:extLst>
              <a:ext uri="{FF2B5EF4-FFF2-40B4-BE49-F238E27FC236}">
                <a16:creationId xmlns:a16="http://schemas.microsoft.com/office/drawing/2014/main" id="{4B06E6D5-4055-2AEE-336F-2E890568EFB6}"/>
              </a:ext>
            </a:extLst>
          </xdr:cNvPr>
          <xdr:cNvSpPr/>
        </xdr:nvSpPr>
        <xdr:spPr>
          <a:xfrm>
            <a:off x="8534400" y="9229725"/>
            <a:ext cx="678180" cy="638175"/>
          </a:xfrm>
          <a:prstGeom prst="rect">
            <a:avLst/>
          </a:prstGeom>
          <a:pattFill prst="pct90">
            <a:fgClr>
              <a:schemeClr val="accent1"/>
            </a:fgClr>
            <a:bgClr>
              <a:schemeClr val="bg1"/>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13</xdr:col>
      <xdr:colOff>571500</xdr:colOff>
      <xdr:row>61</xdr:row>
      <xdr:rowOff>104775</xdr:rowOff>
    </xdr:from>
    <xdr:to>
      <xdr:col>18</xdr:col>
      <xdr:colOff>457609</xdr:colOff>
      <xdr:row>65</xdr:row>
      <xdr:rowOff>15329</xdr:rowOff>
    </xdr:to>
    <xdr:pic>
      <xdr:nvPicPr>
        <xdr:cNvPr id="19" name="Picture 18">
          <a:extLst>
            <a:ext uri="{FF2B5EF4-FFF2-40B4-BE49-F238E27FC236}">
              <a16:creationId xmlns:a16="http://schemas.microsoft.com/office/drawing/2014/main" id="{06B7D010-F638-DA03-2130-32FE169F4915}"/>
            </a:ext>
          </a:extLst>
        </xdr:cNvPr>
        <xdr:cNvPicPr>
          <a:picLocks noChangeAspect="1"/>
        </xdr:cNvPicPr>
      </xdr:nvPicPr>
      <xdr:blipFill>
        <a:blip xmlns:r="http://schemas.openxmlformats.org/officeDocument/2006/relationships" r:embed="rId22"/>
        <a:stretch>
          <a:fillRect/>
        </a:stretch>
      </xdr:blipFill>
      <xdr:spPr>
        <a:xfrm>
          <a:off x="9629775" y="11839575"/>
          <a:ext cx="2934109" cy="634454"/>
        </a:xfrm>
        <a:prstGeom prst="rect">
          <a:avLst/>
        </a:prstGeom>
      </xdr:spPr>
    </xdr:pic>
    <xdr:clientData/>
  </xdr:twoCellAnchor>
  <xdr:twoCellAnchor editAs="oneCell">
    <xdr:from>
      <xdr:col>14</xdr:col>
      <xdr:colOff>26670</xdr:colOff>
      <xdr:row>68</xdr:row>
      <xdr:rowOff>125730</xdr:rowOff>
    </xdr:from>
    <xdr:to>
      <xdr:col>16</xdr:col>
      <xdr:colOff>440284</xdr:colOff>
      <xdr:row>75</xdr:row>
      <xdr:rowOff>53506</xdr:rowOff>
    </xdr:to>
    <xdr:pic>
      <xdr:nvPicPr>
        <xdr:cNvPr id="20" name="Picture 19">
          <a:extLst>
            <a:ext uri="{FF2B5EF4-FFF2-40B4-BE49-F238E27FC236}">
              <a16:creationId xmlns:a16="http://schemas.microsoft.com/office/drawing/2014/main" id="{07DBF484-DC59-8D87-F780-E012B9B75175}"/>
            </a:ext>
          </a:extLst>
        </xdr:cNvPr>
        <xdr:cNvPicPr>
          <a:picLocks noChangeAspect="1"/>
        </xdr:cNvPicPr>
      </xdr:nvPicPr>
      <xdr:blipFill>
        <a:blip xmlns:r="http://schemas.openxmlformats.org/officeDocument/2006/relationships" r:embed="rId23"/>
        <a:stretch>
          <a:fillRect/>
        </a:stretch>
      </xdr:blipFill>
      <xdr:spPr>
        <a:xfrm>
          <a:off x="9694545" y="13127355"/>
          <a:ext cx="1638529" cy="1185076"/>
        </a:xfrm>
        <a:prstGeom prst="rect">
          <a:avLst/>
        </a:prstGeom>
      </xdr:spPr>
    </xdr:pic>
    <xdr:clientData/>
  </xdr:twoCellAnchor>
  <xdr:twoCellAnchor editAs="oneCell">
    <xdr:from>
      <xdr:col>4</xdr:col>
      <xdr:colOff>331470</xdr:colOff>
      <xdr:row>77</xdr:row>
      <xdr:rowOff>64770</xdr:rowOff>
    </xdr:from>
    <xdr:to>
      <xdr:col>7</xdr:col>
      <xdr:colOff>17145</xdr:colOff>
      <xdr:row>94</xdr:row>
      <xdr:rowOff>53712</xdr:rowOff>
    </xdr:to>
    <xdr:pic>
      <xdr:nvPicPr>
        <xdr:cNvPr id="21" name="Picture 20">
          <a:extLst>
            <a:ext uri="{FF2B5EF4-FFF2-40B4-BE49-F238E27FC236}">
              <a16:creationId xmlns:a16="http://schemas.microsoft.com/office/drawing/2014/main" id="{3ECD2893-1DC6-4149-85D2-AF5C54FF11B1}"/>
            </a:ext>
          </a:extLst>
        </xdr:cNvPr>
        <xdr:cNvPicPr>
          <a:picLocks noChangeAspect="1"/>
        </xdr:cNvPicPr>
      </xdr:nvPicPr>
      <xdr:blipFill>
        <a:blip xmlns:r="http://schemas.openxmlformats.org/officeDocument/2006/relationships" r:embed="rId24"/>
        <a:stretch>
          <a:fillRect/>
        </a:stretch>
      </xdr:blipFill>
      <xdr:spPr>
        <a:xfrm>
          <a:off x="3903345" y="14695170"/>
          <a:ext cx="1525905" cy="3055992"/>
        </a:xfrm>
        <a:prstGeom prst="rect">
          <a:avLst/>
        </a:prstGeom>
      </xdr:spPr>
    </xdr:pic>
    <xdr:clientData/>
  </xdr:twoCellAnchor>
  <xdr:twoCellAnchor>
    <xdr:from>
      <xdr:col>1</xdr:col>
      <xdr:colOff>49531</xdr:colOff>
      <xdr:row>100</xdr:row>
      <xdr:rowOff>91440</xdr:rowOff>
    </xdr:from>
    <xdr:to>
      <xdr:col>1</xdr:col>
      <xdr:colOff>902971</xdr:colOff>
      <xdr:row>103</xdr:row>
      <xdr:rowOff>169545</xdr:rowOff>
    </xdr:to>
    <xdr:sp macro="" textlink="">
      <xdr:nvSpPr>
        <xdr:cNvPr id="22" name="Rectangle 21">
          <a:extLst>
            <a:ext uri="{FF2B5EF4-FFF2-40B4-BE49-F238E27FC236}">
              <a16:creationId xmlns:a16="http://schemas.microsoft.com/office/drawing/2014/main" id="{D89A7A87-4EEA-47CE-9A3E-AC2EBA27836B}"/>
            </a:ext>
          </a:extLst>
        </xdr:cNvPr>
        <xdr:cNvSpPr/>
      </xdr:nvSpPr>
      <xdr:spPr>
        <a:xfrm>
          <a:off x="659131" y="18884265"/>
          <a:ext cx="853440" cy="621030"/>
        </a:xfrm>
        <a:prstGeom prst="rect">
          <a:avLst/>
        </a:prstGeom>
        <a:noFill/>
        <a:effectLst>
          <a:outerShdw blurRad="50800" dist="38100" dir="8100000" sx="86000" sy="86000" algn="tr" rotWithShape="0">
            <a:schemeClr val="accent5">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95250</xdr:colOff>
      <xdr:row>100</xdr:row>
      <xdr:rowOff>57150</xdr:rowOff>
    </xdr:from>
    <xdr:to>
      <xdr:col>3</xdr:col>
      <xdr:colOff>150495</xdr:colOff>
      <xdr:row>103</xdr:row>
      <xdr:rowOff>142875</xdr:rowOff>
    </xdr:to>
    <xdr:sp macro="" textlink="">
      <xdr:nvSpPr>
        <xdr:cNvPr id="23" name="Rectangle 22">
          <a:extLst>
            <a:ext uri="{FF2B5EF4-FFF2-40B4-BE49-F238E27FC236}">
              <a16:creationId xmlns:a16="http://schemas.microsoft.com/office/drawing/2014/main" id="{C8CE8B2B-7F57-4AB6-8659-241B1232D51B}"/>
            </a:ext>
          </a:extLst>
        </xdr:cNvPr>
        <xdr:cNvSpPr/>
      </xdr:nvSpPr>
      <xdr:spPr>
        <a:xfrm>
          <a:off x="1920240" y="7111365"/>
          <a:ext cx="668655" cy="630555"/>
        </a:xfrm>
        <a:prstGeom prst="rect">
          <a:avLst/>
        </a:prstGeom>
        <a:solidFill>
          <a:schemeClr val="accent1"/>
        </a:solidFill>
        <a:effectLst>
          <a:reflection blurRad="6350" stA="50000" endA="300" endPos="90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38100</xdr:colOff>
      <xdr:row>100</xdr:row>
      <xdr:rowOff>85725</xdr:rowOff>
    </xdr:from>
    <xdr:to>
      <xdr:col>5</xdr:col>
      <xdr:colOff>93345</xdr:colOff>
      <xdr:row>103</xdr:row>
      <xdr:rowOff>171450</xdr:rowOff>
    </xdr:to>
    <xdr:sp macro="" textlink="">
      <xdr:nvSpPr>
        <xdr:cNvPr id="24" name="Rectangle 23">
          <a:extLst>
            <a:ext uri="{FF2B5EF4-FFF2-40B4-BE49-F238E27FC236}">
              <a16:creationId xmlns:a16="http://schemas.microsoft.com/office/drawing/2014/main" id="{E4AE0205-7C7B-47CA-80C6-0AC0CC2FAD74}"/>
            </a:ext>
          </a:extLst>
        </xdr:cNvPr>
        <xdr:cNvSpPr/>
      </xdr:nvSpPr>
      <xdr:spPr>
        <a:xfrm>
          <a:off x="3086100" y="7145655"/>
          <a:ext cx="668655" cy="622935"/>
        </a:xfrm>
        <a:prstGeom prst="rect">
          <a:avLst/>
        </a:prstGeom>
        <a:solidFill>
          <a:schemeClr val="accent1"/>
        </a:solidFill>
        <a:effectLst>
          <a:glow rad="1397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76200</xdr:colOff>
      <xdr:row>100</xdr:row>
      <xdr:rowOff>104775</xdr:rowOff>
    </xdr:from>
    <xdr:to>
      <xdr:col>7</xdr:col>
      <xdr:colOff>131445</xdr:colOff>
      <xdr:row>104</xdr:row>
      <xdr:rowOff>9525</xdr:rowOff>
    </xdr:to>
    <xdr:sp macro="" textlink="">
      <xdr:nvSpPr>
        <xdr:cNvPr id="25" name="Rectangle 24">
          <a:extLst>
            <a:ext uri="{FF2B5EF4-FFF2-40B4-BE49-F238E27FC236}">
              <a16:creationId xmlns:a16="http://schemas.microsoft.com/office/drawing/2014/main" id="{2CF0AC11-298D-4CB8-B579-25B73555490E}"/>
            </a:ext>
          </a:extLst>
        </xdr:cNvPr>
        <xdr:cNvSpPr/>
      </xdr:nvSpPr>
      <xdr:spPr>
        <a:xfrm>
          <a:off x="4343400" y="7160895"/>
          <a:ext cx="668655" cy="632460"/>
        </a:xfrm>
        <a:prstGeom prst="rect">
          <a:avLst/>
        </a:prstGeom>
        <a:solidFill>
          <a:schemeClr val="accent1"/>
        </a:solidFill>
        <a:effectLst>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28575</xdr:colOff>
      <xdr:row>100</xdr:row>
      <xdr:rowOff>47625</xdr:rowOff>
    </xdr:from>
    <xdr:to>
      <xdr:col>9</xdr:col>
      <xdr:colOff>83820</xdr:colOff>
      <xdr:row>103</xdr:row>
      <xdr:rowOff>133350</xdr:rowOff>
    </xdr:to>
    <xdr:sp macro="" textlink="">
      <xdr:nvSpPr>
        <xdr:cNvPr id="26" name="Rectangle 25">
          <a:extLst>
            <a:ext uri="{FF2B5EF4-FFF2-40B4-BE49-F238E27FC236}">
              <a16:creationId xmlns:a16="http://schemas.microsoft.com/office/drawing/2014/main" id="{1D224DF8-99E1-4ED5-BDC7-3D07E7240034}"/>
            </a:ext>
          </a:extLst>
        </xdr:cNvPr>
        <xdr:cNvSpPr/>
      </xdr:nvSpPr>
      <xdr:spPr>
        <a:xfrm>
          <a:off x="5513070" y="7107555"/>
          <a:ext cx="668655" cy="622935"/>
        </a:xfrm>
        <a:prstGeom prst="rect">
          <a:avLst/>
        </a:prstGeom>
        <a:solidFill>
          <a:schemeClr val="accent1"/>
        </a:solidFill>
        <a:scene3d>
          <a:camera prst="orthographicFront"/>
          <a:lightRig rig="freezing" dir="t"/>
        </a:scene3d>
        <a:sp3d prstMaterial="translucentPowder">
          <a:bevelT prst="relaxedInset"/>
          <a:bevelB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590550</xdr:colOff>
      <xdr:row>100</xdr:row>
      <xdr:rowOff>104775</xdr:rowOff>
    </xdr:from>
    <xdr:to>
      <xdr:col>11</xdr:col>
      <xdr:colOff>36195</xdr:colOff>
      <xdr:row>104</xdr:row>
      <xdr:rowOff>9525</xdr:rowOff>
    </xdr:to>
    <xdr:sp macro="" textlink="">
      <xdr:nvSpPr>
        <xdr:cNvPr id="27" name="Rectangle 26">
          <a:extLst>
            <a:ext uri="{FF2B5EF4-FFF2-40B4-BE49-F238E27FC236}">
              <a16:creationId xmlns:a16="http://schemas.microsoft.com/office/drawing/2014/main" id="{240FDA9B-17CD-4E87-AD17-32FF82CD9207}"/>
            </a:ext>
          </a:extLst>
        </xdr:cNvPr>
        <xdr:cNvSpPr/>
      </xdr:nvSpPr>
      <xdr:spPr>
        <a:xfrm>
          <a:off x="6682740" y="7160895"/>
          <a:ext cx="668655" cy="632460"/>
        </a:xfrm>
        <a:prstGeom prst="rect">
          <a:avLst/>
        </a:prstGeom>
        <a:solidFill>
          <a:schemeClr val="accent1"/>
        </a:solidFill>
        <a:scene3d>
          <a:camera prst="perspectiveHeroicExtremeLeftFacing"/>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13</xdr:col>
      <xdr:colOff>561975</xdr:colOff>
      <xdr:row>97</xdr:row>
      <xdr:rowOff>47625</xdr:rowOff>
    </xdr:from>
    <xdr:to>
      <xdr:col>26</xdr:col>
      <xdr:colOff>248711</xdr:colOff>
      <xdr:row>106</xdr:row>
      <xdr:rowOff>150737</xdr:rowOff>
    </xdr:to>
    <xdr:pic>
      <xdr:nvPicPr>
        <xdr:cNvPr id="28" name="Picture 27">
          <a:extLst>
            <a:ext uri="{FF2B5EF4-FFF2-40B4-BE49-F238E27FC236}">
              <a16:creationId xmlns:a16="http://schemas.microsoft.com/office/drawing/2014/main" id="{9515EAE0-4971-3DBB-0721-0EEC48C56BDD}"/>
            </a:ext>
          </a:extLst>
        </xdr:cNvPr>
        <xdr:cNvPicPr>
          <a:picLocks noChangeAspect="1"/>
        </xdr:cNvPicPr>
      </xdr:nvPicPr>
      <xdr:blipFill>
        <a:blip xmlns:r="http://schemas.openxmlformats.org/officeDocument/2006/relationships" r:embed="rId25"/>
        <a:stretch>
          <a:fillRect/>
        </a:stretch>
      </xdr:blipFill>
      <xdr:spPr>
        <a:xfrm>
          <a:off x="9620250" y="18297525"/>
          <a:ext cx="7598201" cy="1731887"/>
        </a:xfrm>
        <a:prstGeom prst="rect">
          <a:avLst/>
        </a:prstGeom>
      </xdr:spPr>
    </xdr:pic>
    <xdr:clientData/>
  </xdr:twoCellAnchor>
  <xdr:twoCellAnchor>
    <xdr:from>
      <xdr:col>1</xdr:col>
      <xdr:colOff>38100</xdr:colOff>
      <xdr:row>113</xdr:row>
      <xdr:rowOff>148590</xdr:rowOff>
    </xdr:from>
    <xdr:to>
      <xdr:col>1</xdr:col>
      <xdr:colOff>1285875</xdr:colOff>
      <xdr:row>115</xdr:row>
      <xdr:rowOff>61512</xdr:rowOff>
    </xdr:to>
    <xdr:cxnSp macro="">
      <xdr:nvCxnSpPr>
        <xdr:cNvPr id="29" name="Connector: Elbow 28">
          <a:extLst>
            <a:ext uri="{FF2B5EF4-FFF2-40B4-BE49-F238E27FC236}">
              <a16:creationId xmlns:a16="http://schemas.microsoft.com/office/drawing/2014/main" id="{BD40A5B8-D503-474A-9E75-1B426030CF70}"/>
            </a:ext>
          </a:extLst>
        </xdr:cNvPr>
        <xdr:cNvCxnSpPr/>
      </xdr:nvCxnSpPr>
      <xdr:spPr>
        <a:xfrm>
          <a:off x="647700" y="21294090"/>
          <a:ext cx="1247775" cy="274872"/>
        </a:xfrm>
        <a:prstGeom prst="bentConnector3">
          <a:avLst/>
        </a:prstGeom>
        <a:ln>
          <a:gradFill>
            <a:gsLst>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57150</xdr:colOff>
      <xdr:row>113</xdr:row>
      <xdr:rowOff>152400</xdr:rowOff>
    </xdr:from>
    <xdr:to>
      <xdr:col>3</xdr:col>
      <xdr:colOff>285750</xdr:colOff>
      <xdr:row>116</xdr:row>
      <xdr:rowOff>43815</xdr:rowOff>
    </xdr:to>
    <xdr:cxnSp macro="">
      <xdr:nvCxnSpPr>
        <xdr:cNvPr id="30" name="Connector: Elbow 29">
          <a:extLst>
            <a:ext uri="{FF2B5EF4-FFF2-40B4-BE49-F238E27FC236}">
              <a16:creationId xmlns:a16="http://schemas.microsoft.com/office/drawing/2014/main" id="{5310F354-B34E-429D-8B4D-12270CCA51B6}"/>
            </a:ext>
          </a:extLst>
        </xdr:cNvPr>
        <xdr:cNvCxnSpPr/>
      </xdr:nvCxnSpPr>
      <xdr:spPr>
        <a:xfrm>
          <a:off x="1882140" y="4133850"/>
          <a:ext cx="838200" cy="436245"/>
        </a:xfrm>
        <a:prstGeom prst="bentConnector3">
          <a:avLst/>
        </a:prstGeom>
        <a:ln>
          <a:solidFill>
            <a:schemeClr val="accent1">
              <a:alpha val="50000"/>
            </a:schemeClr>
          </a:solidFill>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457200</xdr:colOff>
      <xdr:row>113</xdr:row>
      <xdr:rowOff>123825</xdr:rowOff>
    </xdr:from>
    <xdr:to>
      <xdr:col>5</xdr:col>
      <xdr:colOff>76200</xdr:colOff>
      <xdr:row>116</xdr:row>
      <xdr:rowOff>17145</xdr:rowOff>
    </xdr:to>
    <xdr:cxnSp macro="">
      <xdr:nvCxnSpPr>
        <xdr:cNvPr id="31" name="Connector: Elbow 30">
          <a:extLst>
            <a:ext uri="{FF2B5EF4-FFF2-40B4-BE49-F238E27FC236}">
              <a16:creationId xmlns:a16="http://schemas.microsoft.com/office/drawing/2014/main" id="{8484EB2B-3DAD-4956-AB55-058A92CF5054}"/>
            </a:ext>
          </a:extLst>
        </xdr:cNvPr>
        <xdr:cNvCxnSpPr/>
      </xdr:nvCxnSpPr>
      <xdr:spPr>
        <a:xfrm>
          <a:off x="2895600" y="4107180"/>
          <a:ext cx="838200" cy="438150"/>
        </a:xfrm>
        <a:prstGeom prst="bentConnector3">
          <a:avLst/>
        </a:prstGeom>
        <a:ln w="38100">
          <a:solidFill>
            <a:schemeClr val="accent1"/>
          </a:solidFill>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161925</xdr:colOff>
      <xdr:row>113</xdr:row>
      <xdr:rowOff>152400</xdr:rowOff>
    </xdr:from>
    <xdr:to>
      <xdr:col>6</xdr:col>
      <xdr:colOff>390525</xdr:colOff>
      <xdr:row>116</xdr:row>
      <xdr:rowOff>45720</xdr:rowOff>
    </xdr:to>
    <xdr:cxnSp macro="">
      <xdr:nvCxnSpPr>
        <xdr:cNvPr id="32" name="Connector: Elbow 31">
          <a:extLst>
            <a:ext uri="{FF2B5EF4-FFF2-40B4-BE49-F238E27FC236}">
              <a16:creationId xmlns:a16="http://schemas.microsoft.com/office/drawing/2014/main" id="{2ACAB224-73F5-4E10-B662-921F99A90585}"/>
            </a:ext>
          </a:extLst>
        </xdr:cNvPr>
        <xdr:cNvCxnSpPr/>
      </xdr:nvCxnSpPr>
      <xdr:spPr>
        <a:xfrm>
          <a:off x="3821430" y="4133850"/>
          <a:ext cx="838200" cy="438150"/>
        </a:xfrm>
        <a:prstGeom prst="bentConnector3">
          <a:avLst/>
        </a:prstGeom>
        <a:ln w="47625" cmpd="dbl">
          <a:solidFill>
            <a:schemeClr val="accent1"/>
          </a:solidFill>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571501</xdr:colOff>
      <xdr:row>114</xdr:row>
      <xdr:rowOff>0</xdr:rowOff>
    </xdr:from>
    <xdr:to>
      <xdr:col>8</xdr:col>
      <xdr:colOff>192882</xdr:colOff>
      <xdr:row>116</xdr:row>
      <xdr:rowOff>74294</xdr:rowOff>
    </xdr:to>
    <xdr:cxnSp macro="">
      <xdr:nvCxnSpPr>
        <xdr:cNvPr id="33" name="Connector: Elbow 32">
          <a:extLst>
            <a:ext uri="{FF2B5EF4-FFF2-40B4-BE49-F238E27FC236}">
              <a16:creationId xmlns:a16="http://schemas.microsoft.com/office/drawing/2014/main" id="{AE9C3510-A87A-4D30-9B8C-E88785F42388}"/>
            </a:ext>
          </a:extLst>
        </xdr:cNvPr>
        <xdr:cNvCxnSpPr/>
      </xdr:nvCxnSpPr>
      <xdr:spPr>
        <a:xfrm>
          <a:off x="4838701" y="4162425"/>
          <a:ext cx="840581" cy="436244"/>
        </a:xfrm>
        <a:prstGeom prst="bentConnector3">
          <a:avLst/>
        </a:prstGeom>
        <a:ln>
          <a:solidFill>
            <a:schemeClr val="accent1"/>
          </a:solidFill>
          <a:prstDash val="sysDash"/>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106680</xdr:colOff>
      <xdr:row>113</xdr:row>
      <xdr:rowOff>177165</xdr:rowOff>
    </xdr:from>
    <xdr:to>
      <xdr:col>10</xdr:col>
      <xdr:colOff>335280</xdr:colOff>
      <xdr:row>116</xdr:row>
      <xdr:rowOff>78105</xdr:rowOff>
    </xdr:to>
    <xdr:cxnSp macro="">
      <xdr:nvCxnSpPr>
        <xdr:cNvPr id="34" name="Connector: Elbow 33">
          <a:extLst>
            <a:ext uri="{FF2B5EF4-FFF2-40B4-BE49-F238E27FC236}">
              <a16:creationId xmlns:a16="http://schemas.microsoft.com/office/drawing/2014/main" id="{1DF19221-3C3F-432A-BD40-703C07526471}"/>
            </a:ext>
          </a:extLst>
        </xdr:cNvPr>
        <xdr:cNvCxnSpPr/>
      </xdr:nvCxnSpPr>
      <xdr:spPr>
        <a:xfrm>
          <a:off x="6200775" y="4154805"/>
          <a:ext cx="838200" cy="447675"/>
        </a:xfrm>
        <a:prstGeom prst="bentConnector3">
          <a:avLst/>
        </a:prstGeom>
        <a:ln cap="sq">
          <a:solidFill>
            <a:schemeClr val="accent1"/>
          </a:solidFill>
          <a:round/>
          <a:headEnd type="diamond" w="lg" len="lg"/>
          <a:tailEnd type="arrow" w="sm" len="sm"/>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7620</xdr:colOff>
      <xdr:row>113</xdr:row>
      <xdr:rowOff>59055</xdr:rowOff>
    </xdr:from>
    <xdr:to>
      <xdr:col>13</xdr:col>
      <xdr:colOff>34290</xdr:colOff>
      <xdr:row>116</xdr:row>
      <xdr:rowOff>87630</xdr:rowOff>
    </xdr:to>
    <xdr:sp macro="" textlink="">
      <xdr:nvSpPr>
        <xdr:cNvPr id="35" name="Isosceles Triangle 34">
          <a:extLst>
            <a:ext uri="{FF2B5EF4-FFF2-40B4-BE49-F238E27FC236}">
              <a16:creationId xmlns:a16="http://schemas.microsoft.com/office/drawing/2014/main" id="{BF404A6E-258C-460A-9499-72A79BC78EFC}"/>
            </a:ext>
          </a:extLst>
        </xdr:cNvPr>
        <xdr:cNvSpPr/>
      </xdr:nvSpPr>
      <xdr:spPr>
        <a:xfrm>
          <a:off x="7934325" y="4036695"/>
          <a:ext cx="634365" cy="579120"/>
        </a:xfrm>
        <a:custGeom>
          <a:avLst/>
          <a:gdLst>
            <a:gd name="csX0" fmla="*/ 0 w 634365"/>
            <a:gd name="csY0" fmla="*/ 579120 h 579120"/>
            <a:gd name="csX1" fmla="*/ 155420 w 634365"/>
            <a:gd name="csY1" fmla="*/ 295351 h 579120"/>
            <a:gd name="csX2" fmla="*/ 317183 w 634365"/>
            <a:gd name="csY2" fmla="*/ 0 h 579120"/>
            <a:gd name="csX3" fmla="*/ 482118 w 634365"/>
            <a:gd name="csY3" fmla="*/ 301142 h 579120"/>
            <a:gd name="csX4" fmla="*/ 634365 w 634365"/>
            <a:gd name="csY4" fmla="*/ 579120 h 579120"/>
            <a:gd name="csX5" fmla="*/ 329870 w 634365"/>
            <a:gd name="csY5" fmla="*/ 579120 h 579120"/>
            <a:gd name="csX6" fmla="*/ 0 w 634365"/>
            <a:gd name="csY6" fmla="*/ 579120 h 57912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634365" h="579120" extrusionOk="0">
              <a:moveTo>
                <a:pt x="0" y="579120"/>
              </a:moveTo>
              <a:cubicBezTo>
                <a:pt x="55094" y="434741"/>
                <a:pt x="132537" y="358355"/>
                <a:pt x="155420" y="295351"/>
              </a:cubicBezTo>
              <a:cubicBezTo>
                <a:pt x="178303" y="232347"/>
                <a:pt x="300871" y="100899"/>
                <a:pt x="317183" y="0"/>
              </a:cubicBezTo>
              <a:cubicBezTo>
                <a:pt x="382064" y="89294"/>
                <a:pt x="398824" y="222804"/>
                <a:pt x="482118" y="301142"/>
              </a:cubicBezTo>
              <a:cubicBezTo>
                <a:pt x="565412" y="379480"/>
                <a:pt x="559504" y="456822"/>
                <a:pt x="634365" y="579120"/>
              </a:cubicBezTo>
              <a:cubicBezTo>
                <a:pt x="512397" y="610605"/>
                <a:pt x="404353" y="572659"/>
                <a:pt x="329870" y="579120"/>
              </a:cubicBezTo>
              <a:cubicBezTo>
                <a:pt x="255387" y="585581"/>
                <a:pt x="66386" y="544369"/>
                <a:pt x="0" y="579120"/>
              </a:cubicBezTo>
              <a:close/>
            </a:path>
          </a:pathLst>
        </a:custGeom>
        <a:noFill/>
        <a:ln>
          <a:extLst>
            <a:ext uri="{C807C97D-BFC1-408E-A445-0C87EB9F89A2}">
              <ask:lineSketchStyleProps xmlns:ask="http://schemas.microsoft.com/office/drawing/2018/sketchyshapes" sd="1219033472">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14</xdr:col>
      <xdr:colOff>57150</xdr:colOff>
      <xdr:row>111</xdr:row>
      <xdr:rowOff>152400</xdr:rowOff>
    </xdr:from>
    <xdr:to>
      <xdr:col>28</xdr:col>
      <xdr:colOff>492742</xdr:colOff>
      <xdr:row>117</xdr:row>
      <xdr:rowOff>167793</xdr:rowOff>
    </xdr:to>
    <xdr:pic>
      <xdr:nvPicPr>
        <xdr:cNvPr id="37" name="Picture 36">
          <a:extLst>
            <a:ext uri="{FF2B5EF4-FFF2-40B4-BE49-F238E27FC236}">
              <a16:creationId xmlns:a16="http://schemas.microsoft.com/office/drawing/2014/main" id="{843F78F5-8FB8-DBBD-A496-E999A84ADD6C}"/>
            </a:ext>
          </a:extLst>
        </xdr:cNvPr>
        <xdr:cNvPicPr>
          <a:picLocks noChangeAspect="1"/>
        </xdr:cNvPicPr>
      </xdr:nvPicPr>
      <xdr:blipFill>
        <a:blip xmlns:r="http://schemas.openxmlformats.org/officeDocument/2006/relationships" r:embed="rId26"/>
        <a:stretch>
          <a:fillRect/>
        </a:stretch>
      </xdr:blipFill>
      <xdr:spPr>
        <a:xfrm>
          <a:off x="9725025" y="20935950"/>
          <a:ext cx="8969992" cy="1097433"/>
        </a:xfrm>
        <a:prstGeom prst="rect">
          <a:avLst/>
        </a:prstGeom>
      </xdr:spPr>
    </xdr:pic>
    <xdr:clientData/>
  </xdr:twoCellAnchor>
  <xdr:twoCellAnchor>
    <xdr:from>
      <xdr:col>1</xdr:col>
      <xdr:colOff>15241</xdr:colOff>
      <xdr:row>122</xdr:row>
      <xdr:rowOff>140970</xdr:rowOff>
    </xdr:from>
    <xdr:to>
      <xdr:col>1</xdr:col>
      <xdr:colOff>952501</xdr:colOff>
      <xdr:row>126</xdr:row>
      <xdr:rowOff>57150</xdr:rowOff>
    </xdr:to>
    <xdr:sp macro="" textlink="">
      <xdr:nvSpPr>
        <xdr:cNvPr id="38" name="Rectangle 37">
          <a:extLst>
            <a:ext uri="{FF2B5EF4-FFF2-40B4-BE49-F238E27FC236}">
              <a16:creationId xmlns:a16="http://schemas.microsoft.com/office/drawing/2014/main" id="{45865000-E51A-45CB-9D41-30F3127DEF9B}"/>
            </a:ext>
          </a:extLst>
        </xdr:cNvPr>
        <xdr:cNvSpPr/>
      </xdr:nvSpPr>
      <xdr:spPr>
        <a:xfrm>
          <a:off x="624841" y="22915245"/>
          <a:ext cx="937260" cy="640080"/>
        </a:xfrm>
        <a:prstGeom prst="rect">
          <a:avLst/>
        </a:prstGeom>
        <a:gradFill>
          <a:gsLst>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1704974</xdr:colOff>
      <xdr:row>122</xdr:row>
      <xdr:rowOff>104775</xdr:rowOff>
    </xdr:from>
    <xdr:to>
      <xdr:col>3</xdr:col>
      <xdr:colOff>24764</xdr:colOff>
      <xdr:row>126</xdr:row>
      <xdr:rowOff>20955</xdr:rowOff>
    </xdr:to>
    <xdr:sp macro="" textlink="">
      <xdr:nvSpPr>
        <xdr:cNvPr id="39" name="Rectangle 38">
          <a:extLst>
            <a:ext uri="{FF2B5EF4-FFF2-40B4-BE49-F238E27FC236}">
              <a16:creationId xmlns:a16="http://schemas.microsoft.com/office/drawing/2014/main" id="{BD809FDB-7DF0-47CA-B7BE-2F09D78DEAD9}"/>
            </a:ext>
          </a:extLst>
        </xdr:cNvPr>
        <xdr:cNvSpPr/>
      </xdr:nvSpPr>
      <xdr:spPr>
        <a:xfrm>
          <a:off x="2314574" y="22879050"/>
          <a:ext cx="672465" cy="640080"/>
        </a:xfrm>
        <a:prstGeom prst="rect">
          <a:avLst/>
        </a:prstGeom>
        <a:solidFill>
          <a:schemeClr val="accent1">
            <a:alpha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573405</xdr:colOff>
      <xdr:row>122</xdr:row>
      <xdr:rowOff>91440</xdr:rowOff>
    </xdr:from>
    <xdr:to>
      <xdr:col>5</xdr:col>
      <xdr:colOff>19050</xdr:colOff>
      <xdr:row>126</xdr:row>
      <xdr:rowOff>11430</xdr:rowOff>
    </xdr:to>
    <xdr:sp macro="" textlink="">
      <xdr:nvSpPr>
        <xdr:cNvPr id="40" name="Rectangle 39">
          <a:extLst>
            <a:ext uri="{FF2B5EF4-FFF2-40B4-BE49-F238E27FC236}">
              <a16:creationId xmlns:a16="http://schemas.microsoft.com/office/drawing/2014/main" id="{AB9D822E-7390-4E63-B2CC-CDDAF0433A1C}"/>
            </a:ext>
          </a:extLst>
        </xdr:cNvPr>
        <xdr:cNvSpPr/>
      </xdr:nvSpPr>
      <xdr:spPr>
        <a:xfrm>
          <a:off x="3011805" y="5524500"/>
          <a:ext cx="661035" cy="643890"/>
        </a:xfrm>
        <a:prstGeom prst="rect">
          <a:avLst/>
        </a:prstGeom>
        <a:blipFill>
          <a:blip xmlns:r="http://schemas.openxmlformats.org/officeDocument/2006/relationships" r:embed="rId27"/>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598170</xdr:colOff>
      <xdr:row>122</xdr:row>
      <xdr:rowOff>102870</xdr:rowOff>
    </xdr:from>
    <xdr:to>
      <xdr:col>7</xdr:col>
      <xdr:colOff>53340</xdr:colOff>
      <xdr:row>126</xdr:row>
      <xdr:rowOff>15240</xdr:rowOff>
    </xdr:to>
    <xdr:sp macro="" textlink="">
      <xdr:nvSpPr>
        <xdr:cNvPr id="41" name="Rectangle 40">
          <a:extLst>
            <a:ext uri="{FF2B5EF4-FFF2-40B4-BE49-F238E27FC236}">
              <a16:creationId xmlns:a16="http://schemas.microsoft.com/office/drawing/2014/main" id="{0AC8F3A0-A16B-41F5-A0C6-5590B4414410}"/>
            </a:ext>
          </a:extLst>
        </xdr:cNvPr>
        <xdr:cNvSpPr/>
      </xdr:nvSpPr>
      <xdr:spPr>
        <a:xfrm>
          <a:off x="4253865" y="5530215"/>
          <a:ext cx="680085" cy="641985"/>
        </a:xfrm>
        <a:prstGeom prst="rect">
          <a:avLst/>
        </a:prstGeom>
        <a:pattFill prst="pct90">
          <a:fgClr>
            <a:schemeClr val="accent1"/>
          </a:fgClr>
          <a:bgClr>
            <a:schemeClr val="bg1"/>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13</xdr:col>
      <xdr:colOff>571500</xdr:colOff>
      <xdr:row>120</xdr:row>
      <xdr:rowOff>114300</xdr:rowOff>
    </xdr:from>
    <xdr:to>
      <xdr:col>22</xdr:col>
      <xdr:colOff>320770</xdr:colOff>
      <xdr:row>127</xdr:row>
      <xdr:rowOff>36361</xdr:rowOff>
    </xdr:to>
    <xdr:pic>
      <xdr:nvPicPr>
        <xdr:cNvPr id="42" name="Picture 41">
          <a:extLst>
            <a:ext uri="{FF2B5EF4-FFF2-40B4-BE49-F238E27FC236}">
              <a16:creationId xmlns:a16="http://schemas.microsoft.com/office/drawing/2014/main" id="{CC6E9774-91AD-6828-DF36-3E5C6C1C7508}"/>
            </a:ext>
          </a:extLst>
        </xdr:cNvPr>
        <xdr:cNvPicPr>
          <a:picLocks noChangeAspect="1"/>
        </xdr:cNvPicPr>
      </xdr:nvPicPr>
      <xdr:blipFill>
        <a:blip xmlns:r="http://schemas.openxmlformats.org/officeDocument/2006/relationships" r:embed="rId28"/>
        <a:stretch>
          <a:fillRect/>
        </a:stretch>
      </xdr:blipFill>
      <xdr:spPr>
        <a:xfrm>
          <a:off x="9629775" y="22526625"/>
          <a:ext cx="5231860" cy="1188886"/>
        </a:xfrm>
        <a:prstGeom prst="rect">
          <a:avLst/>
        </a:prstGeom>
      </xdr:spPr>
    </xdr:pic>
    <xdr:clientData/>
  </xdr:twoCellAnchor>
  <xdr:oneCellAnchor>
    <xdr:from>
      <xdr:col>0</xdr:col>
      <xdr:colOff>590550</xdr:colOff>
      <xdr:row>134</xdr:row>
      <xdr:rowOff>167640</xdr:rowOff>
    </xdr:from>
    <xdr:ext cx="882723" cy="824865"/>
    <xdr:pic>
      <xdr:nvPicPr>
        <xdr:cNvPr id="43" name="Picture 42">
          <a:extLst>
            <a:ext uri="{FF2B5EF4-FFF2-40B4-BE49-F238E27FC236}">
              <a16:creationId xmlns:a16="http://schemas.microsoft.com/office/drawing/2014/main" id="{A0BC9545-1DCC-47B3-B870-B66543993643}"/>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86740" y="10306050"/>
          <a:ext cx="882723" cy="8248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1720215</xdr:colOff>
      <xdr:row>135</xdr:row>
      <xdr:rowOff>28575</xdr:rowOff>
    </xdr:from>
    <xdr:ext cx="877008" cy="834390"/>
    <xdr:pic>
      <xdr:nvPicPr>
        <xdr:cNvPr id="44" name="Picture 43">
          <a:extLst>
            <a:ext uri="{FF2B5EF4-FFF2-40B4-BE49-F238E27FC236}">
              <a16:creationId xmlns:a16="http://schemas.microsoft.com/office/drawing/2014/main" id="{CCD6C967-664B-410E-AD1E-BE8D663297CD}"/>
            </a:ext>
          </a:extLst>
        </xdr:cNvPr>
        <xdr:cNvPicPr>
          <a:picLocks noChangeAspect="1" noChangeArrowheads="1"/>
        </xdr:cNvPicPr>
      </xdr:nvPicPr>
      <xdr:blipFill>
        <a:blip xmlns:r="http://schemas.openxmlformats.org/officeDocument/2006/relationships" r:embed="rId29">
          <a:extLst>
            <a:ext uri="{BEBA8EAE-BF5A-486C-A8C5-ECC9F3942E4B}">
              <a14:imgProps xmlns:a14="http://schemas.microsoft.com/office/drawing/2010/main">
                <a14:imgLayer r:embed="rId30">
                  <a14:imgEffect>
                    <a14:brightnessContrast bright="40000" contrast="40000"/>
                  </a14:imgEffect>
                </a14:imgLayer>
              </a14:imgProps>
            </a:ext>
            <a:ext uri="{28A0092B-C50C-407E-A947-70E740481C1C}">
              <a14:useLocalDpi xmlns:a14="http://schemas.microsoft.com/office/drawing/2010/main" val="0"/>
            </a:ext>
          </a:extLst>
        </a:blip>
        <a:srcRect/>
        <a:stretch>
          <a:fillRect/>
        </a:stretch>
      </xdr:blipFill>
      <xdr:spPr bwMode="auto">
        <a:xfrm>
          <a:off x="2329815" y="25155525"/>
          <a:ext cx="877008" cy="8343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571500</xdr:colOff>
      <xdr:row>134</xdr:row>
      <xdr:rowOff>110490</xdr:rowOff>
    </xdr:from>
    <xdr:ext cx="896058" cy="828675"/>
    <xdr:pic>
      <xdr:nvPicPr>
        <xdr:cNvPr id="45" name="Picture 44">
          <a:extLst>
            <a:ext uri="{FF2B5EF4-FFF2-40B4-BE49-F238E27FC236}">
              <a16:creationId xmlns:a16="http://schemas.microsoft.com/office/drawing/2014/main" id="{E11A3A83-3658-4508-AC60-AF240AD47824}"/>
            </a:ext>
          </a:extLst>
        </xdr:cNvPr>
        <xdr:cNvPicPr>
          <a:picLocks noChangeAspect="1" noChangeArrowheads="1"/>
        </xdr:cNvPicPr>
      </xdr:nvPicPr>
      <xdr:blipFill>
        <a:blip xmlns:r="http://schemas.openxmlformats.org/officeDocument/2006/relationships" r:embed="rId29">
          <a:alphaModFix amt="50000"/>
          <a:extLst>
            <a:ext uri="{BEBA8EAE-BF5A-486C-A8C5-ECC9F3942E4B}">
              <a14:imgProps xmlns:a14="http://schemas.microsoft.com/office/drawing/2010/main">
                <a14:imgLayer r:embed="rId30">
                  <a14:imgEffect>
                    <a14:brightnessContrast bright="40000" contrast="40000"/>
                  </a14:imgEffect>
                </a14:imgLayer>
              </a14:imgProps>
            </a:ext>
            <a:ext uri="{28A0092B-C50C-407E-A947-70E740481C1C}">
              <a14:useLocalDpi xmlns:a14="http://schemas.microsoft.com/office/drawing/2010/main" val="0"/>
            </a:ext>
          </a:extLst>
        </a:blip>
        <a:srcRect/>
        <a:stretch>
          <a:fillRect/>
        </a:stretch>
      </xdr:blipFill>
      <xdr:spPr bwMode="auto">
        <a:xfrm>
          <a:off x="3619500" y="10245090"/>
          <a:ext cx="896058" cy="8286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590550</xdr:colOff>
      <xdr:row>134</xdr:row>
      <xdr:rowOff>142875</xdr:rowOff>
    </xdr:from>
    <xdr:ext cx="882723" cy="819150"/>
    <xdr:pic>
      <xdr:nvPicPr>
        <xdr:cNvPr id="46" name="Picture 45">
          <a:extLst>
            <a:ext uri="{FF2B5EF4-FFF2-40B4-BE49-F238E27FC236}">
              <a16:creationId xmlns:a16="http://schemas.microsoft.com/office/drawing/2014/main" id="{5D954B21-EA3A-43A0-9913-788B1ED03AC6}"/>
            </a:ext>
          </a:extLst>
        </xdr:cNvPr>
        <xdr:cNvPicPr>
          <a:picLocks noChangeAspect="1" noChangeArrowheads="1"/>
        </xdr:cNvPicPr>
      </xdr:nvPicPr>
      <xdr:blipFill>
        <a:blip xmlns:r="http://schemas.openxmlformats.org/officeDocument/2006/relationships" r:embed="rId21">
          <a:duotone>
            <a:prstClr val="black"/>
            <a:schemeClr val="accent2">
              <a:tint val="45000"/>
              <a:satMod val="400000"/>
            </a:schemeClr>
          </a:duotone>
          <a:extLst>
            <a:ext uri="{28A0092B-C50C-407E-A947-70E740481C1C}">
              <a14:useLocalDpi xmlns:a14="http://schemas.microsoft.com/office/drawing/2010/main" val="0"/>
            </a:ext>
          </a:extLst>
        </a:blip>
        <a:srcRect/>
        <a:stretch>
          <a:fillRect/>
        </a:stretch>
      </xdr:blipFill>
      <xdr:spPr bwMode="auto">
        <a:xfrm>
          <a:off x="4853940" y="10275570"/>
          <a:ext cx="882723" cy="8191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542925</xdr:colOff>
      <xdr:row>134</xdr:row>
      <xdr:rowOff>133350</xdr:rowOff>
    </xdr:from>
    <xdr:ext cx="884628" cy="832485"/>
    <xdr:pic>
      <xdr:nvPicPr>
        <xdr:cNvPr id="47" name="Picture 46">
          <a:extLst>
            <a:ext uri="{FF2B5EF4-FFF2-40B4-BE49-F238E27FC236}">
              <a16:creationId xmlns:a16="http://schemas.microsoft.com/office/drawing/2014/main" id="{529D7C67-6698-49B9-9D55-89286ED91C8D}"/>
            </a:ext>
          </a:extLst>
        </xdr:cNvPr>
        <xdr:cNvPicPr>
          <a:picLocks noChangeAspect="1" noChangeArrowheads="1"/>
        </xdr:cNvPicPr>
      </xdr:nvPicPr>
      <xdr:blipFill>
        <a:blip xmlns:r="http://schemas.openxmlformats.org/officeDocument/2006/relationships" r:embed="rId21">
          <a:clrChange>
            <a:clrFrom>
              <a:srgbClr val="107C41"/>
            </a:clrFrom>
            <a:clrTo>
              <a:srgbClr val="107C41">
                <a:alpha val="0"/>
              </a:srgbClr>
            </a:clrTo>
          </a:clrChange>
          <a:extLst>
            <a:ext uri="{28A0092B-C50C-407E-A947-70E740481C1C}">
              <a14:useLocalDpi xmlns:a14="http://schemas.microsoft.com/office/drawing/2010/main" val="0"/>
            </a:ext>
          </a:extLst>
        </a:blip>
        <a:srcRect/>
        <a:stretch>
          <a:fillRect/>
        </a:stretch>
      </xdr:blipFill>
      <xdr:spPr bwMode="auto">
        <a:xfrm>
          <a:off x="6031230" y="10264140"/>
          <a:ext cx="884628" cy="8324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310515</xdr:colOff>
      <xdr:row>134</xdr:row>
      <xdr:rowOff>160020</xdr:rowOff>
    </xdr:from>
    <xdr:ext cx="888438" cy="821055"/>
    <xdr:pic>
      <xdr:nvPicPr>
        <xdr:cNvPr id="48" name="Picture 47">
          <a:extLst>
            <a:ext uri="{FF2B5EF4-FFF2-40B4-BE49-F238E27FC236}">
              <a16:creationId xmlns:a16="http://schemas.microsoft.com/office/drawing/2014/main" id="{9ACA469F-56E3-44A1-A855-1FC621CF35A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7627620" y="10296525"/>
          <a:ext cx="888438" cy="821055"/>
        </a:xfrm>
        <a:prstGeom prst="ellipse">
          <a:avLst/>
        </a:prstGeom>
        <a:ln w="190500" cap="rnd">
          <a:solidFill>
            <a:srgbClr val="C8C6BD"/>
          </a:solidFill>
          <a:prstDash val="solid"/>
        </a:ln>
        <a:effectLst>
          <a:outerShdw blurRad="127000" algn="bl" rotWithShape="0">
            <a:srgbClr val="000000"/>
          </a:outerShdw>
        </a:effectLst>
        <a:scene3d>
          <a:camera prst="perspectiveFront" fov="5400000"/>
          <a:lightRig rig="threePt" dir="t">
            <a:rot lat="0" lon="0" rev="19200000"/>
          </a:lightRig>
        </a:scene3d>
        <a:sp3d extrusionH="25400">
          <a:bevelT w="304800" h="152400" prst="hardEdge"/>
          <a:extrusionClr>
            <a:srgbClr val="000000"/>
          </a:extrusionClr>
        </a:sp3d>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230505</xdr:colOff>
      <xdr:row>134</xdr:row>
      <xdr:rowOff>173355</xdr:rowOff>
    </xdr:from>
    <xdr:ext cx="871293" cy="830580"/>
    <xdr:pic>
      <xdr:nvPicPr>
        <xdr:cNvPr id="49" name="Picture 48">
          <a:extLst>
            <a:ext uri="{FF2B5EF4-FFF2-40B4-BE49-F238E27FC236}">
              <a16:creationId xmlns:a16="http://schemas.microsoft.com/office/drawing/2014/main" id="{92804B5F-8074-445C-89B2-6AE2AC5C040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8764905" y="10304145"/>
          <a:ext cx="871293" cy="83058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85725</xdr:colOff>
      <xdr:row>135</xdr:row>
      <xdr:rowOff>0</xdr:rowOff>
    </xdr:from>
    <xdr:ext cx="884628" cy="817245"/>
    <xdr:pic>
      <xdr:nvPicPr>
        <xdr:cNvPr id="50" name="Picture 49">
          <a:extLst>
            <a:ext uri="{FF2B5EF4-FFF2-40B4-BE49-F238E27FC236}">
              <a16:creationId xmlns:a16="http://schemas.microsoft.com/office/drawing/2014/main" id="{D64A5CF4-B19D-4BD5-AC07-C5A4B21508B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9841230" y="10315575"/>
          <a:ext cx="884628" cy="817245"/>
        </a:xfrm>
        <a:prstGeom prst="ellipse">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twoCellAnchor>
    <xdr:from>
      <xdr:col>6</xdr:col>
      <xdr:colOff>381000</xdr:colOff>
      <xdr:row>4</xdr:row>
      <xdr:rowOff>111442</xdr:rowOff>
    </xdr:from>
    <xdr:to>
      <xdr:col>14</xdr:col>
      <xdr:colOff>76200</xdr:colOff>
      <xdr:row>19</xdr:row>
      <xdr:rowOff>136207</xdr:rowOff>
    </xdr:to>
    <xdr:graphicFrame macro="">
      <xdr:nvGraphicFramePr>
        <xdr:cNvPr id="2" name="Chart 1">
          <a:extLst>
            <a:ext uri="{FF2B5EF4-FFF2-40B4-BE49-F238E27FC236}">
              <a16:creationId xmlns:a16="http://schemas.microsoft.com/office/drawing/2014/main" id="{2C4B0DE9-C1F7-C3E5-2C05-596DB4549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142875</xdr:colOff>
      <xdr:row>4</xdr:row>
      <xdr:rowOff>123825</xdr:rowOff>
    </xdr:from>
    <xdr:to>
      <xdr:col>21</xdr:col>
      <xdr:colOff>447675</xdr:colOff>
      <xdr:row>19</xdr:row>
      <xdr:rowOff>140970</xdr:rowOff>
    </xdr:to>
    <xdr:graphicFrame macro="">
      <xdr:nvGraphicFramePr>
        <xdr:cNvPr id="3" name="Chart 2">
          <a:extLst>
            <a:ext uri="{FF2B5EF4-FFF2-40B4-BE49-F238E27FC236}">
              <a16:creationId xmlns:a16="http://schemas.microsoft.com/office/drawing/2014/main" id="{85E7FA7F-DB0B-408C-8C8C-53FA27701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390525</xdr:colOff>
      <xdr:row>20</xdr:row>
      <xdr:rowOff>85725</xdr:rowOff>
    </xdr:from>
    <xdr:to>
      <xdr:col>14</xdr:col>
      <xdr:colOff>85725</xdr:colOff>
      <xdr:row>35</xdr:row>
      <xdr:rowOff>102870</xdr:rowOff>
    </xdr:to>
    <xdr:graphicFrame macro="">
      <xdr:nvGraphicFramePr>
        <xdr:cNvPr id="5" name="Chart 4">
          <a:extLst>
            <a:ext uri="{FF2B5EF4-FFF2-40B4-BE49-F238E27FC236}">
              <a16:creationId xmlns:a16="http://schemas.microsoft.com/office/drawing/2014/main" id="{E2DC0901-289F-4C69-8575-132BD957C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142875</xdr:colOff>
      <xdr:row>20</xdr:row>
      <xdr:rowOff>104775</xdr:rowOff>
    </xdr:from>
    <xdr:to>
      <xdr:col>21</xdr:col>
      <xdr:colOff>447675</xdr:colOff>
      <xdr:row>35</xdr:row>
      <xdr:rowOff>121920</xdr:rowOff>
    </xdr:to>
    <xdr:graphicFrame macro="">
      <xdr:nvGraphicFramePr>
        <xdr:cNvPr id="6" name="Chart 5">
          <a:extLst>
            <a:ext uri="{FF2B5EF4-FFF2-40B4-BE49-F238E27FC236}">
              <a16:creationId xmlns:a16="http://schemas.microsoft.com/office/drawing/2014/main" id="{0863A4AD-6E31-4872-A556-BAB788CA4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523875</xdr:colOff>
      <xdr:row>20</xdr:row>
      <xdr:rowOff>104775</xdr:rowOff>
    </xdr:from>
    <xdr:to>
      <xdr:col>29</xdr:col>
      <xdr:colOff>219075</xdr:colOff>
      <xdr:row>35</xdr:row>
      <xdr:rowOff>121920</xdr:rowOff>
    </xdr:to>
    <xdr:graphicFrame macro="">
      <xdr:nvGraphicFramePr>
        <xdr:cNvPr id="7" name="Chart 6">
          <a:extLst>
            <a:ext uri="{FF2B5EF4-FFF2-40B4-BE49-F238E27FC236}">
              <a16:creationId xmlns:a16="http://schemas.microsoft.com/office/drawing/2014/main" id="{0A82DDBD-DAB0-4B41-96B3-796DAFBA8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390525</xdr:colOff>
      <xdr:row>39</xdr:row>
      <xdr:rowOff>42182</xdr:rowOff>
    </xdr:from>
    <xdr:to>
      <xdr:col>14</xdr:col>
      <xdr:colOff>85725</xdr:colOff>
      <xdr:row>54</xdr:row>
      <xdr:rowOff>59327</xdr:rowOff>
    </xdr:to>
    <xdr:graphicFrame macro="">
      <xdr:nvGraphicFramePr>
        <xdr:cNvPr id="8" name="Chart 7">
          <a:extLst>
            <a:ext uri="{FF2B5EF4-FFF2-40B4-BE49-F238E27FC236}">
              <a16:creationId xmlns:a16="http://schemas.microsoft.com/office/drawing/2014/main" id="{1AE25434-7FE5-4F3D-8ADC-2F9A421C3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161925</xdr:colOff>
      <xdr:row>39</xdr:row>
      <xdr:rowOff>70757</xdr:rowOff>
    </xdr:from>
    <xdr:to>
      <xdr:col>21</xdr:col>
      <xdr:colOff>466725</xdr:colOff>
      <xdr:row>54</xdr:row>
      <xdr:rowOff>87902</xdr:rowOff>
    </xdr:to>
    <xdr:graphicFrame macro="">
      <xdr:nvGraphicFramePr>
        <xdr:cNvPr id="9" name="Chart 8">
          <a:extLst>
            <a:ext uri="{FF2B5EF4-FFF2-40B4-BE49-F238E27FC236}">
              <a16:creationId xmlns:a16="http://schemas.microsoft.com/office/drawing/2014/main" id="{E2D7D2FF-3447-48E6-9919-390F31435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485775</xdr:colOff>
      <xdr:row>54</xdr:row>
      <xdr:rowOff>89807</xdr:rowOff>
    </xdr:from>
    <xdr:to>
      <xdr:col>14</xdr:col>
      <xdr:colOff>180975</xdr:colOff>
      <xdr:row>69</xdr:row>
      <xdr:rowOff>106952</xdr:rowOff>
    </xdr:to>
    <xdr:graphicFrame macro="">
      <xdr:nvGraphicFramePr>
        <xdr:cNvPr id="10" name="Chart 9">
          <a:extLst>
            <a:ext uri="{FF2B5EF4-FFF2-40B4-BE49-F238E27FC236}">
              <a16:creationId xmlns:a16="http://schemas.microsoft.com/office/drawing/2014/main" id="{B2DB1EEF-F116-4C26-AAB1-AF2AE8825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257175</xdr:colOff>
      <xdr:row>54</xdr:row>
      <xdr:rowOff>114572</xdr:rowOff>
    </xdr:from>
    <xdr:to>
      <xdr:col>21</xdr:col>
      <xdr:colOff>561975</xdr:colOff>
      <xdr:row>69</xdr:row>
      <xdr:rowOff>139337</xdr:rowOff>
    </xdr:to>
    <xdr:graphicFrame macro="">
      <xdr:nvGraphicFramePr>
        <xdr:cNvPr id="11" name="Chart 10">
          <a:extLst>
            <a:ext uri="{FF2B5EF4-FFF2-40B4-BE49-F238E27FC236}">
              <a16:creationId xmlns:a16="http://schemas.microsoft.com/office/drawing/2014/main" id="{C5ADD663-49D7-4331-913C-D0D01B152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35387</xdr:colOff>
      <xdr:row>126</xdr:row>
      <xdr:rowOff>106233</xdr:rowOff>
    </xdr:from>
    <xdr:to>
      <xdr:col>14</xdr:col>
      <xdr:colOff>340187</xdr:colOff>
      <xdr:row>141</xdr:row>
      <xdr:rowOff>110994</xdr:rowOff>
    </xdr:to>
    <xdr:graphicFrame macro="">
      <xdr:nvGraphicFramePr>
        <xdr:cNvPr id="14" name="Chart 13">
          <a:extLst>
            <a:ext uri="{FF2B5EF4-FFF2-40B4-BE49-F238E27FC236}">
              <a16:creationId xmlns:a16="http://schemas.microsoft.com/office/drawing/2014/main" id="{14ECD9E6-F9B3-A614-6758-CE24E861C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27709</xdr:colOff>
      <xdr:row>181</xdr:row>
      <xdr:rowOff>154178</xdr:rowOff>
    </xdr:from>
    <xdr:to>
      <xdr:col>14</xdr:col>
      <xdr:colOff>354513</xdr:colOff>
      <xdr:row>196</xdr:row>
      <xdr:rowOff>175131</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A86D34C9-9E76-8A47-08EF-6DFBFA36E7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4585854" y="32795487"/>
              <a:ext cx="4594004" cy="27225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522098</xdr:colOff>
      <xdr:row>181</xdr:row>
      <xdr:rowOff>157300</xdr:rowOff>
    </xdr:from>
    <xdr:to>
      <xdr:col>22</xdr:col>
      <xdr:colOff>217298</xdr:colOff>
      <xdr:row>197</xdr:row>
      <xdr:rowOff>9576</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8450155D-BB1B-E530-C745-9B5FE105B3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347443" y="32798609"/>
              <a:ext cx="4572000" cy="273402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14095</xdr:colOff>
      <xdr:row>144</xdr:row>
      <xdr:rowOff>108464</xdr:rowOff>
    </xdr:from>
    <xdr:to>
      <xdr:col>14</xdr:col>
      <xdr:colOff>318895</xdr:colOff>
      <xdr:row>159</xdr:row>
      <xdr:rowOff>129419</xdr:rowOff>
    </xdr:to>
    <xdr:graphicFrame macro="">
      <xdr:nvGraphicFramePr>
        <xdr:cNvPr id="18" name="Chart 17">
          <a:extLst>
            <a:ext uri="{FF2B5EF4-FFF2-40B4-BE49-F238E27FC236}">
              <a16:creationId xmlns:a16="http://schemas.microsoft.com/office/drawing/2014/main" id="{FEC86DC5-D319-0DAB-B3F6-747EA7F3F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577426</xdr:colOff>
      <xdr:row>197</xdr:row>
      <xdr:rowOff>21313</xdr:rowOff>
    </xdr:from>
    <xdr:to>
      <xdr:col>14</xdr:col>
      <xdr:colOff>272626</xdr:colOff>
      <xdr:row>212</xdr:row>
      <xdr:rowOff>42267</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EF4714B6-9F66-95BB-C805-8F36A2EC92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525971" y="35544368"/>
              <a:ext cx="4572000" cy="272259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398289</xdr:colOff>
      <xdr:row>163</xdr:row>
      <xdr:rowOff>50027</xdr:rowOff>
    </xdr:from>
    <xdr:to>
      <xdr:col>22</xdr:col>
      <xdr:colOff>93489</xdr:colOff>
      <xdr:row>178</xdr:row>
      <xdr:rowOff>65217</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A0D897C1-2217-4741-B89D-35BEA70BCF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9201630" y="29328756"/>
              <a:ext cx="4572000" cy="270460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520041</xdr:colOff>
      <xdr:row>163</xdr:row>
      <xdr:rowOff>58373</xdr:rowOff>
    </xdr:from>
    <xdr:to>
      <xdr:col>14</xdr:col>
      <xdr:colOff>215241</xdr:colOff>
      <xdr:row>178</xdr:row>
      <xdr:rowOff>83138</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5FC88F1D-6FA4-DB35-F787-E94D164584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4446582" y="29337102"/>
              <a:ext cx="4572000" cy="271417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479379</xdr:colOff>
      <xdr:row>73</xdr:row>
      <xdr:rowOff>32656</xdr:rowOff>
    </xdr:from>
    <xdr:to>
      <xdr:col>14</xdr:col>
      <xdr:colOff>174579</xdr:colOff>
      <xdr:row>88</xdr:row>
      <xdr:rowOff>51842</xdr:rowOff>
    </xdr:to>
    <xdr:graphicFrame macro="">
      <xdr:nvGraphicFramePr>
        <xdr:cNvPr id="29" name="Chart 28">
          <a:extLst>
            <a:ext uri="{FF2B5EF4-FFF2-40B4-BE49-F238E27FC236}">
              <a16:creationId xmlns:a16="http://schemas.microsoft.com/office/drawing/2014/main" id="{747E4792-992C-FD5E-D3C4-260203DE4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22</xdr:col>
      <xdr:colOff>9524</xdr:colOff>
      <xdr:row>73</xdr:row>
      <xdr:rowOff>57149</xdr:rowOff>
    </xdr:from>
    <xdr:to>
      <xdr:col>29</xdr:col>
      <xdr:colOff>314324</xdr:colOff>
      <xdr:row>88</xdr:row>
      <xdr:rowOff>74295</xdr:rowOff>
    </xdr:to>
    <xdr:graphicFrame macro="">
      <xdr:nvGraphicFramePr>
        <xdr:cNvPr id="32" name="Chart 31">
          <a:extLst>
            <a:ext uri="{FF2B5EF4-FFF2-40B4-BE49-F238E27FC236}">
              <a16:creationId xmlns:a16="http://schemas.microsoft.com/office/drawing/2014/main" id="{FDD4CD27-DB61-4556-A2E4-CCBFD4F0C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251732</xdr:colOff>
      <xdr:row>73</xdr:row>
      <xdr:rowOff>14968</xdr:rowOff>
    </xdr:from>
    <xdr:to>
      <xdr:col>21</xdr:col>
      <xdr:colOff>556532</xdr:colOff>
      <xdr:row>88</xdr:row>
      <xdr:rowOff>34018</xdr:rowOff>
    </xdr:to>
    <xdr:graphicFrame macro="">
      <xdr:nvGraphicFramePr>
        <xdr:cNvPr id="33" name="Chart 32">
          <a:extLst>
            <a:ext uri="{FF2B5EF4-FFF2-40B4-BE49-F238E27FC236}">
              <a16:creationId xmlns:a16="http://schemas.microsoft.com/office/drawing/2014/main" id="{3DD592B1-6D80-430F-B194-23814E89A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21907</xdr:colOff>
      <xdr:row>366</xdr:row>
      <xdr:rowOff>136207</xdr:rowOff>
    </xdr:from>
    <xdr:to>
      <xdr:col>14</xdr:col>
      <xdr:colOff>421957</xdr:colOff>
      <xdr:row>381</xdr:row>
      <xdr:rowOff>155257</xdr:rowOff>
    </xdr:to>
    <xdr:graphicFrame macro="">
      <xdr:nvGraphicFramePr>
        <xdr:cNvPr id="39" name="Chart 38">
          <a:extLst>
            <a:ext uri="{FF2B5EF4-FFF2-40B4-BE49-F238E27FC236}">
              <a16:creationId xmlns:a16="http://schemas.microsoft.com/office/drawing/2014/main" id="{D5AB5BBC-D33C-819E-FE10-A8A23F814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40957</xdr:colOff>
      <xdr:row>385</xdr:row>
      <xdr:rowOff>122872</xdr:rowOff>
    </xdr:from>
    <xdr:to>
      <xdr:col>14</xdr:col>
      <xdr:colOff>345757</xdr:colOff>
      <xdr:row>400</xdr:row>
      <xdr:rowOff>153352</xdr:rowOff>
    </xdr:to>
    <xdr:graphicFrame macro="">
      <xdr:nvGraphicFramePr>
        <xdr:cNvPr id="40" name="Chart 39">
          <a:extLst>
            <a:ext uri="{FF2B5EF4-FFF2-40B4-BE49-F238E27FC236}">
              <a16:creationId xmlns:a16="http://schemas.microsoft.com/office/drawing/2014/main" id="{A0299139-0E11-1163-17C7-DF75C97F9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608647</xdr:colOff>
      <xdr:row>385</xdr:row>
      <xdr:rowOff>145732</xdr:rowOff>
    </xdr:from>
    <xdr:to>
      <xdr:col>22</xdr:col>
      <xdr:colOff>303847</xdr:colOff>
      <xdr:row>400</xdr:row>
      <xdr:rowOff>162877</xdr:rowOff>
    </xdr:to>
    <xdr:graphicFrame macro="">
      <xdr:nvGraphicFramePr>
        <xdr:cNvPr id="42" name="Chart 41">
          <a:extLst>
            <a:ext uri="{FF2B5EF4-FFF2-40B4-BE49-F238E27FC236}">
              <a16:creationId xmlns:a16="http://schemas.microsoft.com/office/drawing/2014/main" id="{FD8E3E75-287E-E99D-F6C8-028612F84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529590</xdr:colOff>
      <xdr:row>439</xdr:row>
      <xdr:rowOff>78105</xdr:rowOff>
    </xdr:from>
    <xdr:to>
      <xdr:col>14</xdr:col>
      <xdr:colOff>272415</xdr:colOff>
      <xdr:row>454</xdr:row>
      <xdr:rowOff>100965</xdr:rowOff>
    </xdr:to>
    <xdr:graphicFrame macro="">
      <xdr:nvGraphicFramePr>
        <xdr:cNvPr id="51" name="Chart 50">
          <a:extLst>
            <a:ext uri="{FF2B5EF4-FFF2-40B4-BE49-F238E27FC236}">
              <a16:creationId xmlns:a16="http://schemas.microsoft.com/office/drawing/2014/main" id="{F29DDF52-0071-4101-B83F-03C39231B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6</xdr:col>
      <xdr:colOff>600075</xdr:colOff>
      <xdr:row>403</xdr:row>
      <xdr:rowOff>121920</xdr:rowOff>
    </xdr:from>
    <xdr:to>
      <xdr:col>14</xdr:col>
      <xdr:colOff>302895</xdr:colOff>
      <xdr:row>418</xdr:row>
      <xdr:rowOff>152400</xdr:rowOff>
    </xdr:to>
    <xdr:graphicFrame macro="">
      <xdr:nvGraphicFramePr>
        <xdr:cNvPr id="52" name="Chart 51">
          <a:extLst>
            <a:ext uri="{FF2B5EF4-FFF2-40B4-BE49-F238E27FC236}">
              <a16:creationId xmlns:a16="http://schemas.microsoft.com/office/drawing/2014/main" id="{1B483172-527B-4130-A71F-4E000B09A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49937</xdr:colOff>
      <xdr:row>215</xdr:row>
      <xdr:rowOff>114164</xdr:rowOff>
    </xdr:from>
    <xdr:to>
      <xdr:col>14</xdr:col>
      <xdr:colOff>346573</xdr:colOff>
      <xdr:row>230</xdr:row>
      <xdr:rowOff>138929</xdr:rowOff>
    </xdr:to>
    <mc:AlternateContent xmlns:mc="http://schemas.openxmlformats.org/markup-compatibility/2006">
      <mc:Choice xmlns:cx4="http://schemas.microsoft.com/office/drawing/2016/5/10/chartex" Requires="cx4">
        <xdr:graphicFrame macro="">
          <xdr:nvGraphicFramePr>
            <xdr:cNvPr id="53" name="Chart 52">
              <a:extLst>
                <a:ext uri="{FF2B5EF4-FFF2-40B4-BE49-F238E27FC236}">
                  <a16:creationId xmlns:a16="http://schemas.microsoft.com/office/drawing/2014/main" id="{F709DAA1-D4DA-D3FA-C0A7-B0648F2B73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4578394" y="39934107"/>
              <a:ext cx="4563836" cy="280062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422773</xdr:colOff>
      <xdr:row>216</xdr:row>
      <xdr:rowOff>156074</xdr:rowOff>
    </xdr:from>
    <xdr:to>
      <xdr:col>22</xdr:col>
      <xdr:colOff>117973</xdr:colOff>
      <xdr:row>231</xdr:row>
      <xdr:rowOff>180839</xdr:rowOff>
    </xdr:to>
    <mc:AlternateContent xmlns:mc="http://schemas.openxmlformats.org/markup-compatibility/2006">
      <mc:Choice xmlns:cx4="http://schemas.microsoft.com/office/drawing/2016/5/10/chartex" Requires="cx4">
        <xdr:graphicFrame macro="">
          <xdr:nvGraphicFramePr>
            <xdr:cNvPr id="54" name="Chart 53">
              <a:extLst>
                <a:ext uri="{FF2B5EF4-FFF2-40B4-BE49-F238E27FC236}">
                  <a16:creationId xmlns:a16="http://schemas.microsoft.com/office/drawing/2014/main" id="{CEF2BF3F-2218-B082-8662-51E82D514A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6"/>
            </a:graphicData>
          </a:graphic>
        </xdr:graphicFrame>
      </mc:Choice>
      <mc:Fallback>
        <xdr:sp macro="" textlink="">
          <xdr:nvSpPr>
            <xdr:cNvPr id="0" name=""/>
            <xdr:cNvSpPr>
              <a:spLocks noTextEdit="1"/>
            </xdr:cNvSpPr>
          </xdr:nvSpPr>
          <xdr:spPr>
            <a:xfrm>
              <a:off x="9218430" y="40161074"/>
              <a:ext cx="4572000" cy="280062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46127</xdr:colOff>
      <xdr:row>231</xdr:row>
      <xdr:rowOff>39869</xdr:rowOff>
    </xdr:from>
    <xdr:to>
      <xdr:col>14</xdr:col>
      <xdr:colOff>354193</xdr:colOff>
      <xdr:row>246</xdr:row>
      <xdr:rowOff>66539</xdr:rowOff>
    </xdr:to>
    <mc:AlternateContent xmlns:mc="http://schemas.openxmlformats.org/markup-compatibility/2006">
      <mc:Choice xmlns:cx4="http://schemas.microsoft.com/office/drawing/2016/5/10/chartex" Requires="cx4">
        <xdr:graphicFrame macro="">
          <xdr:nvGraphicFramePr>
            <xdr:cNvPr id="55" name="Chart 54">
              <a:extLst>
                <a:ext uri="{FF2B5EF4-FFF2-40B4-BE49-F238E27FC236}">
                  <a16:creationId xmlns:a16="http://schemas.microsoft.com/office/drawing/2014/main" id="{D0F6025C-EB9B-A799-46B7-F2852C8C93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7"/>
            </a:graphicData>
          </a:graphic>
        </xdr:graphicFrame>
      </mc:Choice>
      <mc:Fallback>
        <xdr:sp macro="" textlink="">
          <xdr:nvSpPr>
            <xdr:cNvPr id="0" name=""/>
            <xdr:cNvSpPr>
              <a:spLocks noTextEdit="1"/>
            </xdr:cNvSpPr>
          </xdr:nvSpPr>
          <xdr:spPr>
            <a:xfrm>
              <a:off x="4574584" y="42820726"/>
              <a:ext cx="4575266" cy="280252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46899</xdr:colOff>
      <xdr:row>457</xdr:row>
      <xdr:rowOff>65848</xdr:rowOff>
    </xdr:from>
    <xdr:to>
      <xdr:col>14</xdr:col>
      <xdr:colOff>351699</xdr:colOff>
      <xdr:row>472</xdr:row>
      <xdr:rowOff>91610</xdr:rowOff>
    </xdr:to>
    <xdr:graphicFrame macro="">
      <xdr:nvGraphicFramePr>
        <xdr:cNvPr id="12" name="Chart 11">
          <a:extLst>
            <a:ext uri="{FF2B5EF4-FFF2-40B4-BE49-F238E27FC236}">
              <a16:creationId xmlns:a16="http://schemas.microsoft.com/office/drawing/2014/main" id="{2EED6E77-7786-4B25-8D6D-12EC0ADD7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7</xdr:col>
      <xdr:colOff>97155</xdr:colOff>
      <xdr:row>421</xdr:row>
      <xdr:rowOff>131445</xdr:rowOff>
    </xdr:from>
    <xdr:to>
      <xdr:col>14</xdr:col>
      <xdr:colOff>401954</xdr:colOff>
      <xdr:row>436</xdr:row>
      <xdr:rowOff>162560</xdr:rowOff>
    </xdr:to>
    <xdr:graphicFrame macro="">
      <xdr:nvGraphicFramePr>
        <xdr:cNvPr id="16" name="Chart 15">
          <a:extLst>
            <a:ext uri="{FF2B5EF4-FFF2-40B4-BE49-F238E27FC236}">
              <a16:creationId xmlns:a16="http://schemas.microsoft.com/office/drawing/2014/main" id="{8D4C443D-B300-42BA-9DFE-CB6604EC5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14</xdr:col>
      <xdr:colOff>514929</xdr:colOff>
      <xdr:row>197</xdr:row>
      <xdr:rowOff>142406</xdr:rowOff>
    </xdr:from>
    <xdr:to>
      <xdr:col>22</xdr:col>
      <xdr:colOff>189211</xdr:colOff>
      <xdr:row>212</xdr:row>
      <xdr:rowOff>84135</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15B96A96-86E4-90E9-185F-2951004541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0"/>
            </a:graphicData>
          </a:graphic>
        </xdr:graphicFrame>
      </mc:Choice>
      <mc:Fallback>
        <xdr:sp macro="" textlink="">
          <xdr:nvSpPr>
            <xdr:cNvPr id="0" name=""/>
            <xdr:cNvSpPr>
              <a:spLocks noTextEdit="1"/>
            </xdr:cNvSpPr>
          </xdr:nvSpPr>
          <xdr:spPr>
            <a:xfrm>
              <a:off x="9340274" y="35665461"/>
              <a:ext cx="4551082" cy="264336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29</xdr:col>
      <xdr:colOff>591671</xdr:colOff>
      <xdr:row>3</xdr:row>
      <xdr:rowOff>161364</xdr:rowOff>
    </xdr:from>
    <xdr:to>
      <xdr:col>54</xdr:col>
      <xdr:colOff>208936</xdr:colOff>
      <xdr:row>37</xdr:row>
      <xdr:rowOff>59877</xdr:rowOff>
    </xdr:to>
    <xdr:pic>
      <xdr:nvPicPr>
        <xdr:cNvPr id="21" name="Picture 20">
          <a:extLst>
            <a:ext uri="{FF2B5EF4-FFF2-40B4-BE49-F238E27FC236}">
              <a16:creationId xmlns:a16="http://schemas.microsoft.com/office/drawing/2014/main" id="{6BECA418-4E15-0893-B4D2-8FFC92C34105}"/>
            </a:ext>
          </a:extLst>
        </xdr:cNvPr>
        <xdr:cNvPicPr>
          <a:picLocks noChangeAspect="1"/>
        </xdr:cNvPicPr>
      </xdr:nvPicPr>
      <xdr:blipFill>
        <a:blip xmlns:r="http://schemas.openxmlformats.org/officeDocument/2006/relationships" r:embed="rId31"/>
        <a:stretch>
          <a:fillRect/>
        </a:stretch>
      </xdr:blipFill>
      <xdr:spPr>
        <a:xfrm>
          <a:off x="18539012" y="735105"/>
          <a:ext cx="14870600" cy="6001588"/>
        </a:xfrm>
        <a:prstGeom prst="rect">
          <a:avLst/>
        </a:prstGeom>
      </xdr:spPr>
    </xdr:pic>
    <xdr:clientData/>
  </xdr:twoCellAnchor>
  <xdr:twoCellAnchor editAs="oneCell">
    <xdr:from>
      <xdr:col>29</xdr:col>
      <xdr:colOff>544286</xdr:colOff>
      <xdr:row>39</xdr:row>
      <xdr:rowOff>87085</xdr:rowOff>
    </xdr:from>
    <xdr:to>
      <xdr:col>43</xdr:col>
      <xdr:colOff>231108</xdr:colOff>
      <xdr:row>66</xdr:row>
      <xdr:rowOff>97581</xdr:rowOff>
    </xdr:to>
    <xdr:pic>
      <xdr:nvPicPr>
        <xdr:cNvPr id="22" name="Picture 21">
          <a:extLst>
            <a:ext uri="{FF2B5EF4-FFF2-40B4-BE49-F238E27FC236}">
              <a16:creationId xmlns:a16="http://schemas.microsoft.com/office/drawing/2014/main" id="{40D03F16-C4E1-53CA-D57E-E3A5B8140CDD}"/>
            </a:ext>
          </a:extLst>
        </xdr:cNvPr>
        <xdr:cNvPicPr>
          <a:picLocks noChangeAspect="1"/>
        </xdr:cNvPicPr>
      </xdr:nvPicPr>
      <xdr:blipFill>
        <a:blip xmlns:r="http://schemas.openxmlformats.org/officeDocument/2006/relationships" r:embed="rId32"/>
        <a:stretch>
          <a:fillRect/>
        </a:stretch>
      </xdr:blipFill>
      <xdr:spPr>
        <a:xfrm>
          <a:off x="18483943" y="7336971"/>
          <a:ext cx="8221222" cy="5010849"/>
        </a:xfrm>
        <a:prstGeom prst="rect">
          <a:avLst/>
        </a:prstGeom>
      </xdr:spPr>
    </xdr:pic>
    <xdr:clientData/>
  </xdr:twoCellAnchor>
  <xdr:twoCellAnchor editAs="oneCell">
    <xdr:from>
      <xdr:col>30</xdr:col>
      <xdr:colOff>44824</xdr:colOff>
      <xdr:row>72</xdr:row>
      <xdr:rowOff>152400</xdr:rowOff>
    </xdr:from>
    <xdr:to>
      <xdr:col>54</xdr:col>
      <xdr:colOff>326940</xdr:colOff>
      <xdr:row>89</xdr:row>
      <xdr:rowOff>114720</xdr:rowOff>
    </xdr:to>
    <xdr:pic>
      <xdr:nvPicPr>
        <xdr:cNvPr id="24" name="Picture 23">
          <a:extLst>
            <a:ext uri="{FF2B5EF4-FFF2-40B4-BE49-F238E27FC236}">
              <a16:creationId xmlns:a16="http://schemas.microsoft.com/office/drawing/2014/main" id="{566E3B48-7EC0-E50F-5B92-55C0D007F3BF}"/>
            </a:ext>
          </a:extLst>
        </xdr:cNvPr>
        <xdr:cNvPicPr>
          <a:picLocks noChangeAspect="1"/>
        </xdr:cNvPicPr>
      </xdr:nvPicPr>
      <xdr:blipFill>
        <a:blip xmlns:r="http://schemas.openxmlformats.org/officeDocument/2006/relationships" r:embed="rId33"/>
        <a:stretch>
          <a:fillRect/>
        </a:stretch>
      </xdr:blipFill>
      <xdr:spPr>
        <a:xfrm>
          <a:off x="18601765" y="13115365"/>
          <a:ext cx="14908706" cy="3010320"/>
        </a:xfrm>
        <a:prstGeom prst="rect">
          <a:avLst/>
        </a:prstGeom>
      </xdr:spPr>
    </xdr:pic>
    <xdr:clientData/>
  </xdr:twoCellAnchor>
  <xdr:twoCellAnchor>
    <xdr:from>
      <xdr:col>7</xdr:col>
      <xdr:colOff>0</xdr:colOff>
      <xdr:row>91</xdr:row>
      <xdr:rowOff>0</xdr:rowOff>
    </xdr:from>
    <xdr:to>
      <xdr:col>14</xdr:col>
      <xdr:colOff>304800</xdr:colOff>
      <xdr:row>106</xdr:row>
      <xdr:rowOff>17145</xdr:rowOff>
    </xdr:to>
    <xdr:graphicFrame macro="">
      <xdr:nvGraphicFramePr>
        <xdr:cNvPr id="25" name="Chart 24">
          <a:extLst>
            <a:ext uri="{FF2B5EF4-FFF2-40B4-BE49-F238E27FC236}">
              <a16:creationId xmlns:a16="http://schemas.microsoft.com/office/drawing/2014/main" id="{D014998C-D583-4CD7-89A1-316DDC574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30</xdr:col>
      <xdr:colOff>0</xdr:colOff>
      <xdr:row>91</xdr:row>
      <xdr:rowOff>0</xdr:rowOff>
    </xdr:from>
    <xdr:to>
      <xdr:col>38</xdr:col>
      <xdr:colOff>681</xdr:colOff>
      <xdr:row>106</xdr:row>
      <xdr:rowOff>174203</xdr:rowOff>
    </xdr:to>
    <xdr:pic>
      <xdr:nvPicPr>
        <xdr:cNvPr id="27" name="Picture 26">
          <a:extLst>
            <a:ext uri="{FF2B5EF4-FFF2-40B4-BE49-F238E27FC236}">
              <a16:creationId xmlns:a16="http://schemas.microsoft.com/office/drawing/2014/main" id="{4D547148-5AF6-0186-8EF9-2757397862B1}"/>
            </a:ext>
          </a:extLst>
        </xdr:cNvPr>
        <xdr:cNvPicPr>
          <a:picLocks noChangeAspect="1"/>
        </xdr:cNvPicPr>
      </xdr:nvPicPr>
      <xdr:blipFill>
        <a:blip xmlns:r="http://schemas.openxmlformats.org/officeDocument/2006/relationships" r:embed="rId35"/>
        <a:stretch>
          <a:fillRect/>
        </a:stretch>
      </xdr:blipFill>
      <xdr:spPr>
        <a:xfrm>
          <a:off x="18556941" y="16369553"/>
          <a:ext cx="4877481" cy="2867425"/>
        </a:xfrm>
        <a:prstGeom prst="rect">
          <a:avLst/>
        </a:prstGeom>
      </xdr:spPr>
    </xdr:pic>
    <xdr:clientData/>
  </xdr:twoCellAnchor>
  <xdr:twoCellAnchor>
    <xdr:from>
      <xdr:col>7</xdr:col>
      <xdr:colOff>44824</xdr:colOff>
      <xdr:row>108</xdr:row>
      <xdr:rowOff>116541</xdr:rowOff>
    </xdr:from>
    <xdr:to>
      <xdr:col>14</xdr:col>
      <xdr:colOff>349624</xdr:colOff>
      <xdr:row>123</xdr:row>
      <xdr:rowOff>145387</xdr:rowOff>
    </xdr:to>
    <xdr:graphicFrame macro="">
      <xdr:nvGraphicFramePr>
        <xdr:cNvPr id="28" name="Chart 27">
          <a:extLst>
            <a:ext uri="{FF2B5EF4-FFF2-40B4-BE49-F238E27FC236}">
              <a16:creationId xmlns:a16="http://schemas.microsoft.com/office/drawing/2014/main" id="{BAB6DC6F-9E0A-41EB-8903-253A1ABD6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editAs="oneCell">
    <xdr:from>
      <xdr:col>30</xdr:col>
      <xdr:colOff>0</xdr:colOff>
      <xdr:row>108</xdr:row>
      <xdr:rowOff>0</xdr:rowOff>
    </xdr:from>
    <xdr:to>
      <xdr:col>38</xdr:col>
      <xdr:colOff>54029</xdr:colOff>
      <xdr:row>124</xdr:row>
      <xdr:rowOff>130181</xdr:rowOff>
    </xdr:to>
    <xdr:pic>
      <xdr:nvPicPr>
        <xdr:cNvPr id="30" name="Picture 29">
          <a:extLst>
            <a:ext uri="{FF2B5EF4-FFF2-40B4-BE49-F238E27FC236}">
              <a16:creationId xmlns:a16="http://schemas.microsoft.com/office/drawing/2014/main" id="{4465920A-86FC-3AB0-6FB3-116348FFE371}"/>
            </a:ext>
          </a:extLst>
        </xdr:cNvPr>
        <xdr:cNvPicPr>
          <a:picLocks noChangeAspect="1"/>
        </xdr:cNvPicPr>
      </xdr:nvPicPr>
      <xdr:blipFill>
        <a:blip xmlns:r="http://schemas.openxmlformats.org/officeDocument/2006/relationships" r:embed="rId37"/>
        <a:stretch>
          <a:fillRect/>
        </a:stretch>
      </xdr:blipFill>
      <xdr:spPr>
        <a:xfrm>
          <a:off x="18556941" y="19417553"/>
          <a:ext cx="4934639" cy="2991267"/>
        </a:xfrm>
        <a:prstGeom prst="rect">
          <a:avLst/>
        </a:prstGeom>
      </xdr:spPr>
    </xdr:pic>
    <xdr:clientData/>
  </xdr:twoCellAnchor>
  <xdr:twoCellAnchor editAs="oneCell">
    <xdr:from>
      <xdr:col>30</xdr:col>
      <xdr:colOff>71718</xdr:colOff>
      <xdr:row>126</xdr:row>
      <xdr:rowOff>62753</xdr:rowOff>
    </xdr:from>
    <xdr:to>
      <xdr:col>38</xdr:col>
      <xdr:colOff>186715</xdr:colOff>
      <xdr:row>142</xdr:row>
      <xdr:rowOff>97674</xdr:rowOff>
    </xdr:to>
    <xdr:pic>
      <xdr:nvPicPr>
        <xdr:cNvPr id="4" name="Picture 3">
          <a:extLst>
            <a:ext uri="{FF2B5EF4-FFF2-40B4-BE49-F238E27FC236}">
              <a16:creationId xmlns:a16="http://schemas.microsoft.com/office/drawing/2014/main" id="{D6D024B4-A05B-720A-295F-188D449773A8}"/>
            </a:ext>
          </a:extLst>
        </xdr:cNvPr>
        <xdr:cNvPicPr>
          <a:picLocks noChangeAspect="1"/>
        </xdr:cNvPicPr>
      </xdr:nvPicPr>
      <xdr:blipFill>
        <a:blip xmlns:r="http://schemas.openxmlformats.org/officeDocument/2006/relationships" r:embed="rId38"/>
        <a:stretch>
          <a:fillRect/>
        </a:stretch>
      </xdr:blipFill>
      <xdr:spPr>
        <a:xfrm>
          <a:off x="18628659" y="22707600"/>
          <a:ext cx="4991797" cy="2915057"/>
        </a:xfrm>
        <a:prstGeom prst="rect">
          <a:avLst/>
        </a:prstGeom>
      </xdr:spPr>
    </xdr:pic>
    <xdr:clientData/>
  </xdr:twoCellAnchor>
  <xdr:twoCellAnchor editAs="oneCell">
    <xdr:from>
      <xdr:col>30</xdr:col>
      <xdr:colOff>35859</xdr:colOff>
      <xdr:row>143</xdr:row>
      <xdr:rowOff>152400</xdr:rowOff>
    </xdr:from>
    <xdr:to>
      <xdr:col>38</xdr:col>
      <xdr:colOff>169910</xdr:colOff>
      <xdr:row>160</xdr:row>
      <xdr:rowOff>95666</xdr:rowOff>
    </xdr:to>
    <xdr:pic>
      <xdr:nvPicPr>
        <xdr:cNvPr id="13" name="Picture 12">
          <a:extLst>
            <a:ext uri="{FF2B5EF4-FFF2-40B4-BE49-F238E27FC236}">
              <a16:creationId xmlns:a16="http://schemas.microsoft.com/office/drawing/2014/main" id="{3BE133D6-3991-1E1F-B644-19B38E128D9C}"/>
            </a:ext>
          </a:extLst>
        </xdr:cNvPr>
        <xdr:cNvPicPr>
          <a:picLocks noChangeAspect="1"/>
        </xdr:cNvPicPr>
      </xdr:nvPicPr>
      <xdr:blipFill>
        <a:blip xmlns:r="http://schemas.openxmlformats.org/officeDocument/2006/relationships" r:embed="rId39"/>
        <a:stretch>
          <a:fillRect/>
        </a:stretch>
      </xdr:blipFill>
      <xdr:spPr>
        <a:xfrm>
          <a:off x="18592800" y="25845247"/>
          <a:ext cx="5020376" cy="2981741"/>
        </a:xfrm>
        <a:prstGeom prst="rect">
          <a:avLst/>
        </a:prstGeom>
      </xdr:spPr>
    </xdr:pic>
    <xdr:clientData/>
  </xdr:twoCellAnchor>
  <xdr:twoCellAnchor editAs="oneCell">
    <xdr:from>
      <xdr:col>30</xdr:col>
      <xdr:colOff>0</xdr:colOff>
      <xdr:row>162</xdr:row>
      <xdr:rowOff>98611</xdr:rowOff>
    </xdr:from>
    <xdr:to>
      <xdr:col>46</xdr:col>
      <xdr:colOff>397657</xdr:colOff>
      <xdr:row>178</xdr:row>
      <xdr:rowOff>167824</xdr:rowOff>
    </xdr:to>
    <xdr:pic>
      <xdr:nvPicPr>
        <xdr:cNvPr id="31" name="Picture 30">
          <a:extLst>
            <a:ext uri="{FF2B5EF4-FFF2-40B4-BE49-F238E27FC236}">
              <a16:creationId xmlns:a16="http://schemas.microsoft.com/office/drawing/2014/main" id="{5067732D-80AD-3126-AD96-43DAC122E024}"/>
            </a:ext>
          </a:extLst>
        </xdr:cNvPr>
        <xdr:cNvPicPr>
          <a:picLocks noChangeAspect="1"/>
        </xdr:cNvPicPr>
      </xdr:nvPicPr>
      <xdr:blipFill>
        <a:blip xmlns:r="http://schemas.openxmlformats.org/officeDocument/2006/relationships" r:embed="rId40"/>
        <a:stretch>
          <a:fillRect/>
        </a:stretch>
      </xdr:blipFill>
      <xdr:spPr>
        <a:xfrm>
          <a:off x="18556941" y="29198046"/>
          <a:ext cx="10155067" cy="2934109"/>
        </a:xfrm>
        <a:prstGeom prst="rect">
          <a:avLst/>
        </a:prstGeom>
      </xdr:spPr>
    </xdr:pic>
    <xdr:clientData/>
  </xdr:twoCellAnchor>
  <xdr:twoCellAnchor editAs="oneCell">
    <xdr:from>
      <xdr:col>30</xdr:col>
      <xdr:colOff>10886</xdr:colOff>
      <xdr:row>182</xdr:row>
      <xdr:rowOff>65314</xdr:rowOff>
    </xdr:from>
    <xdr:to>
      <xdr:col>43</xdr:col>
      <xdr:colOff>434961</xdr:colOff>
      <xdr:row>209</xdr:row>
      <xdr:rowOff>92957</xdr:rowOff>
    </xdr:to>
    <xdr:pic>
      <xdr:nvPicPr>
        <xdr:cNvPr id="35" name="Picture 34">
          <a:extLst>
            <a:ext uri="{FF2B5EF4-FFF2-40B4-BE49-F238E27FC236}">
              <a16:creationId xmlns:a16="http://schemas.microsoft.com/office/drawing/2014/main" id="{6485A440-430A-8129-582A-F4FDFFB3D0B0}"/>
            </a:ext>
          </a:extLst>
        </xdr:cNvPr>
        <xdr:cNvPicPr>
          <a:picLocks noChangeAspect="1"/>
        </xdr:cNvPicPr>
      </xdr:nvPicPr>
      <xdr:blipFill>
        <a:blip xmlns:r="http://schemas.openxmlformats.org/officeDocument/2006/relationships" r:embed="rId41"/>
        <a:stretch>
          <a:fillRect/>
        </a:stretch>
      </xdr:blipFill>
      <xdr:spPr>
        <a:xfrm>
          <a:off x="18560143" y="33778371"/>
          <a:ext cx="8345065" cy="5020376"/>
        </a:xfrm>
        <a:prstGeom prst="rect">
          <a:avLst/>
        </a:prstGeom>
      </xdr:spPr>
    </xdr:pic>
    <xdr:clientData/>
  </xdr:twoCellAnchor>
  <xdr:twoCellAnchor editAs="oneCell">
    <xdr:from>
      <xdr:col>30</xdr:col>
      <xdr:colOff>304800</xdr:colOff>
      <xdr:row>218</xdr:row>
      <xdr:rowOff>97971</xdr:rowOff>
    </xdr:from>
    <xdr:to>
      <xdr:col>43</xdr:col>
      <xdr:colOff>591695</xdr:colOff>
      <xdr:row>246</xdr:row>
      <xdr:rowOff>16767</xdr:rowOff>
    </xdr:to>
    <xdr:pic>
      <xdr:nvPicPr>
        <xdr:cNvPr id="36" name="Picture 35">
          <a:extLst>
            <a:ext uri="{FF2B5EF4-FFF2-40B4-BE49-F238E27FC236}">
              <a16:creationId xmlns:a16="http://schemas.microsoft.com/office/drawing/2014/main" id="{FAEDDB82-2FF6-D48A-AC49-A19ECF57B477}"/>
            </a:ext>
          </a:extLst>
        </xdr:cNvPr>
        <xdr:cNvPicPr>
          <a:picLocks noChangeAspect="1"/>
        </xdr:cNvPicPr>
      </xdr:nvPicPr>
      <xdr:blipFill>
        <a:blip xmlns:r="http://schemas.openxmlformats.org/officeDocument/2006/relationships" r:embed="rId42"/>
        <a:stretch>
          <a:fillRect/>
        </a:stretch>
      </xdr:blipFill>
      <xdr:spPr>
        <a:xfrm>
          <a:off x="18854057" y="40473085"/>
          <a:ext cx="8202170" cy="5096586"/>
        </a:xfrm>
        <a:prstGeom prst="rect">
          <a:avLst/>
        </a:prstGeom>
      </xdr:spPr>
    </xdr:pic>
    <xdr:clientData/>
  </xdr:twoCellAnchor>
  <xdr:twoCellAnchor editAs="oneCell">
    <xdr:from>
      <xdr:col>30</xdr:col>
      <xdr:colOff>438268</xdr:colOff>
      <xdr:row>250</xdr:row>
      <xdr:rowOff>169910</xdr:rowOff>
    </xdr:from>
    <xdr:to>
      <xdr:col>33</xdr:col>
      <xdr:colOff>592851</xdr:colOff>
      <xdr:row>255</xdr:row>
      <xdr:rowOff>93910</xdr:rowOff>
    </xdr:to>
    <xdr:pic>
      <xdr:nvPicPr>
        <xdr:cNvPr id="37" name="Picture 36">
          <a:extLst>
            <a:ext uri="{FF2B5EF4-FFF2-40B4-BE49-F238E27FC236}">
              <a16:creationId xmlns:a16="http://schemas.microsoft.com/office/drawing/2014/main" id="{2B13E0AB-498E-A7B1-EA63-BEB51D33075C}"/>
            </a:ext>
          </a:extLst>
        </xdr:cNvPr>
        <xdr:cNvPicPr>
          <a:picLocks noChangeAspect="1"/>
        </xdr:cNvPicPr>
      </xdr:nvPicPr>
      <xdr:blipFill>
        <a:blip xmlns:r="http://schemas.openxmlformats.org/officeDocument/2006/relationships" r:embed="rId43"/>
        <a:stretch>
          <a:fillRect/>
        </a:stretch>
      </xdr:blipFill>
      <xdr:spPr>
        <a:xfrm>
          <a:off x="18987525" y="46466853"/>
          <a:ext cx="1991003" cy="845476"/>
        </a:xfrm>
        <a:prstGeom prst="rect">
          <a:avLst/>
        </a:prstGeom>
      </xdr:spPr>
    </xdr:pic>
    <xdr:clientData/>
  </xdr:twoCellAnchor>
  <xdr:twoCellAnchor>
    <xdr:from>
      <xdr:col>7</xdr:col>
      <xdr:colOff>0</xdr:colOff>
      <xdr:row>259</xdr:row>
      <xdr:rowOff>0</xdr:rowOff>
    </xdr:from>
    <xdr:to>
      <xdr:col>14</xdr:col>
      <xdr:colOff>304800</xdr:colOff>
      <xdr:row>274</xdr:row>
      <xdr:rowOff>17147</xdr:rowOff>
    </xdr:to>
    <xdr:graphicFrame macro="">
      <xdr:nvGraphicFramePr>
        <xdr:cNvPr id="38" name="Chart 37">
          <a:extLst>
            <a:ext uri="{FF2B5EF4-FFF2-40B4-BE49-F238E27FC236}">
              <a16:creationId xmlns:a16="http://schemas.microsoft.com/office/drawing/2014/main" id="{9A393712-D74A-4437-8419-1D18475DA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editAs="oneCell">
    <xdr:from>
      <xdr:col>30</xdr:col>
      <xdr:colOff>256615</xdr:colOff>
      <xdr:row>258</xdr:row>
      <xdr:rowOff>86288</xdr:rowOff>
    </xdr:from>
    <xdr:to>
      <xdr:col>38</xdr:col>
      <xdr:colOff>0</xdr:colOff>
      <xdr:row>273</xdr:row>
      <xdr:rowOff>97859</xdr:rowOff>
    </xdr:to>
    <xdr:pic>
      <xdr:nvPicPr>
        <xdr:cNvPr id="41" name="Picture 40">
          <a:extLst>
            <a:ext uri="{FF2B5EF4-FFF2-40B4-BE49-F238E27FC236}">
              <a16:creationId xmlns:a16="http://schemas.microsoft.com/office/drawing/2014/main" id="{514E506A-28A1-D231-F656-6CEDEEE09B49}"/>
            </a:ext>
          </a:extLst>
        </xdr:cNvPr>
        <xdr:cNvPicPr>
          <a:picLocks noChangeAspect="1"/>
        </xdr:cNvPicPr>
      </xdr:nvPicPr>
      <xdr:blipFill>
        <a:blip xmlns:r="http://schemas.openxmlformats.org/officeDocument/2006/relationships" r:embed="rId45"/>
        <a:stretch>
          <a:fillRect/>
        </a:stretch>
      </xdr:blipFill>
      <xdr:spPr>
        <a:xfrm>
          <a:off x="18830365" y="49235288"/>
          <a:ext cx="4620185" cy="2865261"/>
        </a:xfrm>
        <a:prstGeom prst="rect">
          <a:avLst/>
        </a:prstGeom>
      </xdr:spPr>
    </xdr:pic>
    <xdr:clientData/>
  </xdr:twoCellAnchor>
  <xdr:twoCellAnchor>
    <xdr:from>
      <xdr:col>7</xdr:col>
      <xdr:colOff>0</xdr:colOff>
      <xdr:row>277</xdr:row>
      <xdr:rowOff>0</xdr:rowOff>
    </xdr:from>
    <xdr:to>
      <xdr:col>14</xdr:col>
      <xdr:colOff>304800</xdr:colOff>
      <xdr:row>292</xdr:row>
      <xdr:rowOff>24764</xdr:rowOff>
    </xdr:to>
    <xdr:graphicFrame macro="">
      <xdr:nvGraphicFramePr>
        <xdr:cNvPr id="44" name="Chart 43">
          <a:extLst>
            <a:ext uri="{FF2B5EF4-FFF2-40B4-BE49-F238E27FC236}">
              <a16:creationId xmlns:a16="http://schemas.microsoft.com/office/drawing/2014/main" id="{998614F2-EFB6-40ED-8CD6-C2AD8DDCD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editAs="oneCell">
    <xdr:from>
      <xdr:col>30</xdr:col>
      <xdr:colOff>304800</xdr:colOff>
      <xdr:row>276</xdr:row>
      <xdr:rowOff>11431</xdr:rowOff>
    </xdr:from>
    <xdr:to>
      <xdr:col>37</xdr:col>
      <xdr:colOff>441691</xdr:colOff>
      <xdr:row>291</xdr:row>
      <xdr:rowOff>15241</xdr:rowOff>
    </xdr:to>
    <xdr:pic>
      <xdr:nvPicPr>
        <xdr:cNvPr id="49" name="Picture 48">
          <a:extLst>
            <a:ext uri="{FF2B5EF4-FFF2-40B4-BE49-F238E27FC236}">
              <a16:creationId xmlns:a16="http://schemas.microsoft.com/office/drawing/2014/main" id="{331E3618-167F-4634-3180-7BD7E383DFC2}"/>
            </a:ext>
          </a:extLst>
        </xdr:cNvPr>
        <xdr:cNvPicPr>
          <a:picLocks noChangeAspect="1"/>
        </xdr:cNvPicPr>
      </xdr:nvPicPr>
      <xdr:blipFill>
        <a:blip xmlns:r="http://schemas.openxmlformats.org/officeDocument/2006/relationships" r:embed="rId47"/>
        <a:stretch>
          <a:fillRect/>
        </a:stretch>
      </xdr:blipFill>
      <xdr:spPr>
        <a:xfrm>
          <a:off x="18878550" y="52589431"/>
          <a:ext cx="4407901" cy="2865120"/>
        </a:xfrm>
        <a:prstGeom prst="rect">
          <a:avLst/>
        </a:prstGeom>
      </xdr:spPr>
    </xdr:pic>
    <xdr:clientData/>
  </xdr:twoCellAnchor>
  <xdr:twoCellAnchor>
    <xdr:from>
      <xdr:col>7</xdr:col>
      <xdr:colOff>0</xdr:colOff>
      <xdr:row>294</xdr:row>
      <xdr:rowOff>132262</xdr:rowOff>
    </xdr:from>
    <xdr:to>
      <xdr:col>14</xdr:col>
      <xdr:colOff>304800</xdr:colOff>
      <xdr:row>308</xdr:row>
      <xdr:rowOff>13608</xdr:rowOff>
    </xdr:to>
    <xdr:graphicFrame macro="">
      <xdr:nvGraphicFramePr>
        <xdr:cNvPr id="56" name="Chart 55">
          <a:extLst>
            <a:ext uri="{FF2B5EF4-FFF2-40B4-BE49-F238E27FC236}">
              <a16:creationId xmlns:a16="http://schemas.microsoft.com/office/drawing/2014/main" id="{B7C0841F-1913-4803-AC80-09A4F745C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editAs="oneCell">
    <xdr:from>
      <xdr:col>30</xdr:col>
      <xdr:colOff>304800</xdr:colOff>
      <xdr:row>292</xdr:row>
      <xdr:rowOff>133350</xdr:rowOff>
    </xdr:from>
    <xdr:to>
      <xdr:col>38</xdr:col>
      <xdr:colOff>206406</xdr:colOff>
      <xdr:row>306</xdr:row>
      <xdr:rowOff>131800</xdr:rowOff>
    </xdr:to>
    <xdr:pic>
      <xdr:nvPicPr>
        <xdr:cNvPr id="57" name="Picture 56">
          <a:extLst>
            <a:ext uri="{FF2B5EF4-FFF2-40B4-BE49-F238E27FC236}">
              <a16:creationId xmlns:a16="http://schemas.microsoft.com/office/drawing/2014/main" id="{28030413-1D4D-3D36-F768-ACA44A44843C}"/>
            </a:ext>
          </a:extLst>
        </xdr:cNvPr>
        <xdr:cNvPicPr>
          <a:picLocks noChangeAspect="1"/>
        </xdr:cNvPicPr>
      </xdr:nvPicPr>
      <xdr:blipFill>
        <a:blip xmlns:r="http://schemas.openxmlformats.org/officeDocument/2006/relationships" r:embed="rId49"/>
        <a:stretch>
          <a:fillRect/>
        </a:stretch>
      </xdr:blipFill>
      <xdr:spPr>
        <a:xfrm>
          <a:off x="18878550" y="53035200"/>
          <a:ext cx="4774596" cy="2545435"/>
        </a:xfrm>
        <a:prstGeom prst="rect">
          <a:avLst/>
        </a:prstGeom>
      </xdr:spPr>
    </xdr:pic>
    <xdr:clientData/>
  </xdr:twoCellAnchor>
  <xdr:twoCellAnchor>
    <xdr:from>
      <xdr:col>7</xdr:col>
      <xdr:colOff>19050</xdr:colOff>
      <xdr:row>311</xdr:row>
      <xdr:rowOff>9525</xdr:rowOff>
    </xdr:from>
    <xdr:to>
      <xdr:col>14</xdr:col>
      <xdr:colOff>323850</xdr:colOff>
      <xdr:row>326</xdr:row>
      <xdr:rowOff>36195</xdr:rowOff>
    </xdr:to>
    <xdr:graphicFrame macro="">
      <xdr:nvGraphicFramePr>
        <xdr:cNvPr id="58" name="Chart 57">
          <a:extLst>
            <a:ext uri="{FF2B5EF4-FFF2-40B4-BE49-F238E27FC236}">
              <a16:creationId xmlns:a16="http://schemas.microsoft.com/office/drawing/2014/main" id="{18385F9C-E781-4B0C-ABF7-393F4239F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14</xdr:col>
      <xdr:colOff>529590</xdr:colOff>
      <xdr:row>311</xdr:row>
      <xdr:rowOff>28575</xdr:rowOff>
    </xdr:from>
    <xdr:to>
      <xdr:col>22</xdr:col>
      <xdr:colOff>224790</xdr:colOff>
      <xdr:row>326</xdr:row>
      <xdr:rowOff>59055</xdr:rowOff>
    </xdr:to>
    <xdr:graphicFrame macro="">
      <xdr:nvGraphicFramePr>
        <xdr:cNvPr id="59" name="Chart 58">
          <a:extLst>
            <a:ext uri="{FF2B5EF4-FFF2-40B4-BE49-F238E27FC236}">
              <a16:creationId xmlns:a16="http://schemas.microsoft.com/office/drawing/2014/main" id="{CDE563BE-08F7-4410-A13C-3454F1584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editAs="oneCell">
    <xdr:from>
      <xdr:col>30</xdr:col>
      <xdr:colOff>304800</xdr:colOff>
      <xdr:row>310</xdr:row>
      <xdr:rowOff>0</xdr:rowOff>
    </xdr:from>
    <xdr:to>
      <xdr:col>46</xdr:col>
      <xdr:colOff>56573</xdr:colOff>
      <xdr:row>325</xdr:row>
      <xdr:rowOff>93739</xdr:rowOff>
    </xdr:to>
    <xdr:pic>
      <xdr:nvPicPr>
        <xdr:cNvPr id="60" name="Picture 59">
          <a:extLst>
            <a:ext uri="{FF2B5EF4-FFF2-40B4-BE49-F238E27FC236}">
              <a16:creationId xmlns:a16="http://schemas.microsoft.com/office/drawing/2014/main" id="{516D26DD-D0C8-2AF7-79FE-AAC9A8D90D28}"/>
            </a:ext>
          </a:extLst>
        </xdr:cNvPr>
        <xdr:cNvPicPr>
          <a:picLocks noChangeAspect="1"/>
        </xdr:cNvPicPr>
      </xdr:nvPicPr>
      <xdr:blipFill>
        <a:blip xmlns:r="http://schemas.openxmlformats.org/officeDocument/2006/relationships" r:embed="rId52"/>
        <a:stretch>
          <a:fillRect/>
        </a:stretch>
      </xdr:blipFill>
      <xdr:spPr>
        <a:xfrm>
          <a:off x="18878550" y="56159400"/>
          <a:ext cx="9514898" cy="2817889"/>
        </a:xfrm>
        <a:prstGeom prst="rect">
          <a:avLst/>
        </a:prstGeom>
      </xdr:spPr>
    </xdr:pic>
    <xdr:clientData/>
  </xdr:twoCellAnchor>
  <xdr:twoCellAnchor>
    <xdr:from>
      <xdr:col>7</xdr:col>
      <xdr:colOff>0</xdr:colOff>
      <xdr:row>330</xdr:row>
      <xdr:rowOff>0</xdr:rowOff>
    </xdr:from>
    <xdr:to>
      <xdr:col>14</xdr:col>
      <xdr:colOff>304800</xdr:colOff>
      <xdr:row>345</xdr:row>
      <xdr:rowOff>28575</xdr:rowOff>
    </xdr:to>
    <xdr:graphicFrame macro="">
      <xdr:nvGraphicFramePr>
        <xdr:cNvPr id="61" name="Chart 60">
          <a:extLst>
            <a:ext uri="{FF2B5EF4-FFF2-40B4-BE49-F238E27FC236}">
              <a16:creationId xmlns:a16="http://schemas.microsoft.com/office/drawing/2014/main" id="{8F307293-39C9-40B0-B988-436FE789F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editAs="oneCell">
    <xdr:from>
      <xdr:col>15</xdr:col>
      <xdr:colOff>102870</xdr:colOff>
      <xdr:row>330</xdr:row>
      <xdr:rowOff>55245</xdr:rowOff>
    </xdr:from>
    <xdr:to>
      <xdr:col>22</xdr:col>
      <xdr:colOff>476250</xdr:colOff>
      <xdr:row>344</xdr:row>
      <xdr:rowOff>130158</xdr:rowOff>
    </xdr:to>
    <xdr:pic>
      <xdr:nvPicPr>
        <xdr:cNvPr id="63" name="Picture 62">
          <a:extLst>
            <a:ext uri="{FF2B5EF4-FFF2-40B4-BE49-F238E27FC236}">
              <a16:creationId xmlns:a16="http://schemas.microsoft.com/office/drawing/2014/main" id="{7CECF5AC-B471-0158-E797-8031207B2A79}"/>
            </a:ext>
          </a:extLst>
        </xdr:cNvPr>
        <xdr:cNvPicPr>
          <a:picLocks noChangeAspect="1"/>
        </xdr:cNvPicPr>
      </xdr:nvPicPr>
      <xdr:blipFill>
        <a:blip xmlns:r="http://schemas.openxmlformats.org/officeDocument/2006/relationships" r:embed="rId54"/>
        <a:stretch>
          <a:fillRect/>
        </a:stretch>
      </xdr:blipFill>
      <xdr:spPr>
        <a:xfrm>
          <a:off x="9532620" y="59834145"/>
          <a:ext cx="4688205" cy="2604753"/>
        </a:xfrm>
        <a:prstGeom prst="rect">
          <a:avLst/>
        </a:prstGeom>
      </xdr:spPr>
    </xdr:pic>
    <xdr:clientData/>
  </xdr:twoCellAnchor>
  <xdr:twoCellAnchor>
    <xdr:from>
      <xdr:col>7</xdr:col>
      <xdr:colOff>0</xdr:colOff>
      <xdr:row>349</xdr:row>
      <xdr:rowOff>20002</xdr:rowOff>
    </xdr:from>
    <xdr:to>
      <xdr:col>14</xdr:col>
      <xdr:colOff>304800</xdr:colOff>
      <xdr:row>364</xdr:row>
      <xdr:rowOff>48577</xdr:rowOff>
    </xdr:to>
    <xdr:graphicFrame macro="">
      <xdr:nvGraphicFramePr>
        <xdr:cNvPr id="64" name="Chart 63">
          <a:extLst>
            <a:ext uri="{FF2B5EF4-FFF2-40B4-BE49-F238E27FC236}">
              <a16:creationId xmlns:a16="http://schemas.microsoft.com/office/drawing/2014/main" id="{EA741D35-8708-41B0-B046-01FBC0331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14</xdr:col>
      <xdr:colOff>383858</xdr:colOff>
      <xdr:row>349</xdr:row>
      <xdr:rowOff>0</xdr:rowOff>
    </xdr:from>
    <xdr:to>
      <xdr:col>22</xdr:col>
      <xdr:colOff>79058</xdr:colOff>
      <xdr:row>364</xdr:row>
      <xdr:rowOff>34290</xdr:rowOff>
    </xdr:to>
    <xdr:graphicFrame macro="">
      <xdr:nvGraphicFramePr>
        <xdr:cNvPr id="65" name="Chart 64">
          <a:extLst>
            <a:ext uri="{FF2B5EF4-FFF2-40B4-BE49-F238E27FC236}">
              <a16:creationId xmlns:a16="http://schemas.microsoft.com/office/drawing/2014/main" id="{3AAE9CE4-0B42-41AD-A88E-3082BF4DC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editAs="oneCell">
    <xdr:from>
      <xdr:col>31</xdr:col>
      <xdr:colOff>57150</xdr:colOff>
      <xdr:row>348</xdr:row>
      <xdr:rowOff>81915</xdr:rowOff>
    </xdr:from>
    <xdr:to>
      <xdr:col>46</xdr:col>
      <xdr:colOff>189903</xdr:colOff>
      <xdr:row>364</xdr:row>
      <xdr:rowOff>21530</xdr:rowOff>
    </xdr:to>
    <xdr:pic>
      <xdr:nvPicPr>
        <xdr:cNvPr id="66" name="Picture 65">
          <a:extLst>
            <a:ext uri="{FF2B5EF4-FFF2-40B4-BE49-F238E27FC236}">
              <a16:creationId xmlns:a16="http://schemas.microsoft.com/office/drawing/2014/main" id="{72157BAE-6576-8636-F72F-91C31C00915C}"/>
            </a:ext>
          </a:extLst>
        </xdr:cNvPr>
        <xdr:cNvPicPr>
          <a:picLocks noChangeAspect="1"/>
        </xdr:cNvPicPr>
      </xdr:nvPicPr>
      <xdr:blipFill>
        <a:blip xmlns:r="http://schemas.openxmlformats.org/officeDocument/2006/relationships" r:embed="rId57"/>
        <a:stretch>
          <a:fillRect/>
        </a:stretch>
      </xdr:blipFill>
      <xdr:spPr>
        <a:xfrm>
          <a:off x="19240500" y="63118365"/>
          <a:ext cx="9276753" cy="2842835"/>
        </a:xfrm>
        <a:prstGeom prst="rect">
          <a:avLst/>
        </a:prstGeom>
      </xdr:spPr>
    </xdr:pic>
    <xdr:clientData/>
  </xdr:twoCellAnchor>
  <xdr:twoCellAnchor editAs="oneCell">
    <xdr:from>
      <xdr:col>31</xdr:col>
      <xdr:colOff>0</xdr:colOff>
      <xdr:row>365</xdr:row>
      <xdr:rowOff>47625</xdr:rowOff>
    </xdr:from>
    <xdr:to>
      <xdr:col>38</xdr:col>
      <xdr:colOff>513114</xdr:colOff>
      <xdr:row>380</xdr:row>
      <xdr:rowOff>169941</xdr:rowOff>
    </xdr:to>
    <xdr:pic>
      <xdr:nvPicPr>
        <xdr:cNvPr id="67" name="Picture 66">
          <a:extLst>
            <a:ext uri="{FF2B5EF4-FFF2-40B4-BE49-F238E27FC236}">
              <a16:creationId xmlns:a16="http://schemas.microsoft.com/office/drawing/2014/main" id="{F18CD2A7-6E6F-83FE-C066-4C3B8627705A}"/>
            </a:ext>
          </a:extLst>
        </xdr:cNvPr>
        <xdr:cNvPicPr>
          <a:picLocks noChangeAspect="1"/>
        </xdr:cNvPicPr>
      </xdr:nvPicPr>
      <xdr:blipFill>
        <a:blip xmlns:r="http://schemas.openxmlformats.org/officeDocument/2006/relationships" r:embed="rId58"/>
        <a:stretch>
          <a:fillRect/>
        </a:stretch>
      </xdr:blipFill>
      <xdr:spPr>
        <a:xfrm>
          <a:off x="19183350" y="66160650"/>
          <a:ext cx="4789839" cy="2840751"/>
        </a:xfrm>
        <a:prstGeom prst="rect">
          <a:avLst/>
        </a:prstGeom>
      </xdr:spPr>
    </xdr:pic>
    <xdr:clientData/>
  </xdr:twoCellAnchor>
  <xdr:twoCellAnchor editAs="oneCell">
    <xdr:from>
      <xdr:col>30</xdr:col>
      <xdr:colOff>504825</xdr:colOff>
      <xdr:row>385</xdr:row>
      <xdr:rowOff>47625</xdr:rowOff>
    </xdr:from>
    <xdr:to>
      <xdr:col>46</xdr:col>
      <xdr:colOff>363290</xdr:colOff>
      <xdr:row>401</xdr:row>
      <xdr:rowOff>17546</xdr:rowOff>
    </xdr:to>
    <xdr:pic>
      <xdr:nvPicPr>
        <xdr:cNvPr id="68" name="Picture 67">
          <a:extLst>
            <a:ext uri="{FF2B5EF4-FFF2-40B4-BE49-F238E27FC236}">
              <a16:creationId xmlns:a16="http://schemas.microsoft.com/office/drawing/2014/main" id="{7198429D-4A99-45F5-99EC-519EAEB14EEB}"/>
            </a:ext>
          </a:extLst>
        </xdr:cNvPr>
        <xdr:cNvPicPr>
          <a:picLocks noChangeAspect="1"/>
        </xdr:cNvPicPr>
      </xdr:nvPicPr>
      <xdr:blipFill>
        <a:blip xmlns:r="http://schemas.openxmlformats.org/officeDocument/2006/relationships" r:embed="rId59"/>
        <a:stretch>
          <a:fillRect/>
        </a:stretch>
      </xdr:blipFill>
      <xdr:spPr>
        <a:xfrm>
          <a:off x="19078575" y="69780150"/>
          <a:ext cx="9602540" cy="2878856"/>
        </a:xfrm>
        <a:prstGeom prst="rect">
          <a:avLst/>
        </a:prstGeom>
      </xdr:spPr>
    </xdr:pic>
    <xdr:clientData/>
  </xdr:twoCellAnchor>
  <xdr:twoCellAnchor editAs="oneCell">
    <xdr:from>
      <xdr:col>30</xdr:col>
      <xdr:colOff>495300</xdr:colOff>
      <xdr:row>402</xdr:row>
      <xdr:rowOff>95250</xdr:rowOff>
    </xdr:from>
    <xdr:to>
      <xdr:col>41</xdr:col>
      <xdr:colOff>38972</xdr:colOff>
      <xdr:row>418</xdr:row>
      <xdr:rowOff>2296</xdr:rowOff>
    </xdr:to>
    <xdr:pic>
      <xdr:nvPicPr>
        <xdr:cNvPr id="70" name="Picture 69">
          <a:extLst>
            <a:ext uri="{FF2B5EF4-FFF2-40B4-BE49-F238E27FC236}">
              <a16:creationId xmlns:a16="http://schemas.microsoft.com/office/drawing/2014/main" id="{AFF76B72-CC55-F796-D78F-F2F57657EC0A}"/>
            </a:ext>
          </a:extLst>
        </xdr:cNvPr>
        <xdr:cNvPicPr>
          <a:picLocks noChangeAspect="1"/>
        </xdr:cNvPicPr>
      </xdr:nvPicPr>
      <xdr:blipFill>
        <a:blip xmlns:r="http://schemas.openxmlformats.org/officeDocument/2006/relationships" r:embed="rId60"/>
        <a:stretch>
          <a:fillRect/>
        </a:stretch>
      </xdr:blipFill>
      <xdr:spPr>
        <a:xfrm>
          <a:off x="19116675" y="72904350"/>
          <a:ext cx="6249272" cy="2802646"/>
        </a:xfrm>
        <a:prstGeom prst="rect">
          <a:avLst/>
        </a:prstGeom>
      </xdr:spPr>
    </xdr:pic>
    <xdr:clientData/>
  </xdr:twoCellAnchor>
  <xdr:twoCellAnchor editAs="oneCell">
    <xdr:from>
      <xdr:col>41</xdr:col>
      <xdr:colOff>200025</xdr:colOff>
      <xdr:row>402</xdr:row>
      <xdr:rowOff>142875</xdr:rowOff>
    </xdr:from>
    <xdr:to>
      <xdr:col>51</xdr:col>
      <xdr:colOff>435223</xdr:colOff>
      <xdr:row>418</xdr:row>
      <xdr:rowOff>76595</xdr:rowOff>
    </xdr:to>
    <xdr:pic>
      <xdr:nvPicPr>
        <xdr:cNvPr id="71" name="Picture 70">
          <a:extLst>
            <a:ext uri="{FF2B5EF4-FFF2-40B4-BE49-F238E27FC236}">
              <a16:creationId xmlns:a16="http://schemas.microsoft.com/office/drawing/2014/main" id="{9B481109-DAA3-465B-EA1A-2625F64A2995}"/>
            </a:ext>
          </a:extLst>
        </xdr:cNvPr>
        <xdr:cNvPicPr>
          <a:picLocks noChangeAspect="1"/>
        </xdr:cNvPicPr>
      </xdr:nvPicPr>
      <xdr:blipFill>
        <a:blip xmlns:r="http://schemas.openxmlformats.org/officeDocument/2006/relationships" r:embed="rId61"/>
        <a:stretch>
          <a:fillRect/>
        </a:stretch>
      </xdr:blipFill>
      <xdr:spPr>
        <a:xfrm>
          <a:off x="25527000" y="72951975"/>
          <a:ext cx="6325483" cy="2829320"/>
        </a:xfrm>
        <a:prstGeom prst="rect">
          <a:avLst/>
        </a:prstGeom>
      </xdr:spPr>
    </xdr:pic>
    <xdr:clientData/>
  </xdr:twoCellAnchor>
  <xdr:twoCellAnchor editAs="oneCell">
    <xdr:from>
      <xdr:col>30</xdr:col>
      <xdr:colOff>352425</xdr:colOff>
      <xdr:row>420</xdr:row>
      <xdr:rowOff>19050</xdr:rowOff>
    </xdr:from>
    <xdr:to>
      <xdr:col>38</xdr:col>
      <xdr:colOff>174010</xdr:colOff>
      <xdr:row>436</xdr:row>
      <xdr:rowOff>15643</xdr:rowOff>
    </xdr:to>
    <xdr:pic>
      <xdr:nvPicPr>
        <xdr:cNvPr id="72" name="Picture 71">
          <a:extLst>
            <a:ext uri="{FF2B5EF4-FFF2-40B4-BE49-F238E27FC236}">
              <a16:creationId xmlns:a16="http://schemas.microsoft.com/office/drawing/2014/main" id="{7660803B-8101-A01A-C40F-3D0B20A64EDB}"/>
            </a:ext>
          </a:extLst>
        </xdr:cNvPr>
        <xdr:cNvPicPr>
          <a:picLocks noChangeAspect="1"/>
        </xdr:cNvPicPr>
      </xdr:nvPicPr>
      <xdr:blipFill>
        <a:blip xmlns:r="http://schemas.openxmlformats.org/officeDocument/2006/relationships" r:embed="rId62"/>
        <a:stretch>
          <a:fillRect/>
        </a:stretch>
      </xdr:blipFill>
      <xdr:spPr>
        <a:xfrm>
          <a:off x="18973800" y="76085700"/>
          <a:ext cx="4698385" cy="2882668"/>
        </a:xfrm>
        <a:prstGeom prst="rect">
          <a:avLst/>
        </a:prstGeom>
      </xdr:spPr>
    </xdr:pic>
    <xdr:clientData/>
  </xdr:twoCellAnchor>
  <xdr:twoCellAnchor editAs="oneCell">
    <xdr:from>
      <xdr:col>39</xdr:col>
      <xdr:colOff>129541</xdr:colOff>
      <xdr:row>421</xdr:row>
      <xdr:rowOff>26670</xdr:rowOff>
    </xdr:from>
    <xdr:to>
      <xdr:col>46</xdr:col>
      <xdr:colOff>322369</xdr:colOff>
      <xdr:row>435</xdr:row>
      <xdr:rowOff>129540</xdr:rowOff>
    </xdr:to>
    <xdr:pic>
      <xdr:nvPicPr>
        <xdr:cNvPr id="73" name="Picture 72">
          <a:extLst>
            <a:ext uri="{FF2B5EF4-FFF2-40B4-BE49-F238E27FC236}">
              <a16:creationId xmlns:a16="http://schemas.microsoft.com/office/drawing/2014/main" id="{62DD75D6-2344-43C2-DC3C-C9630DF51104}"/>
            </a:ext>
          </a:extLst>
        </xdr:cNvPr>
        <xdr:cNvPicPr>
          <a:picLocks noChangeAspect="1"/>
        </xdr:cNvPicPr>
      </xdr:nvPicPr>
      <xdr:blipFill>
        <a:blip xmlns:r="http://schemas.openxmlformats.org/officeDocument/2006/relationships" r:embed="rId63"/>
        <a:stretch>
          <a:fillRect/>
        </a:stretch>
      </xdr:blipFill>
      <xdr:spPr>
        <a:xfrm>
          <a:off x="24237316" y="76274295"/>
          <a:ext cx="4475268" cy="2630805"/>
        </a:xfrm>
        <a:prstGeom prst="rect">
          <a:avLst/>
        </a:prstGeom>
      </xdr:spPr>
    </xdr:pic>
    <xdr:clientData/>
  </xdr:twoCellAnchor>
  <xdr:twoCellAnchor editAs="oneCell">
    <xdr:from>
      <xdr:col>30</xdr:col>
      <xdr:colOff>257175</xdr:colOff>
      <xdr:row>438</xdr:row>
      <xdr:rowOff>9525</xdr:rowOff>
    </xdr:from>
    <xdr:to>
      <xdr:col>38</xdr:col>
      <xdr:colOff>154971</xdr:colOff>
      <xdr:row>453</xdr:row>
      <xdr:rowOff>171850</xdr:rowOff>
    </xdr:to>
    <xdr:pic>
      <xdr:nvPicPr>
        <xdr:cNvPr id="74" name="Picture 73">
          <a:extLst>
            <a:ext uri="{FF2B5EF4-FFF2-40B4-BE49-F238E27FC236}">
              <a16:creationId xmlns:a16="http://schemas.microsoft.com/office/drawing/2014/main" id="{A4F48BBD-D355-CC3C-FA1A-E15D1B747690}"/>
            </a:ext>
          </a:extLst>
        </xdr:cNvPr>
        <xdr:cNvPicPr>
          <a:picLocks noChangeAspect="1"/>
        </xdr:cNvPicPr>
      </xdr:nvPicPr>
      <xdr:blipFill>
        <a:blip xmlns:r="http://schemas.openxmlformats.org/officeDocument/2006/relationships" r:embed="rId64"/>
        <a:stretch>
          <a:fillRect/>
        </a:stretch>
      </xdr:blipFill>
      <xdr:spPr>
        <a:xfrm>
          <a:off x="18878550" y="79333725"/>
          <a:ext cx="4774596" cy="2867425"/>
        </a:xfrm>
        <a:prstGeom prst="rect">
          <a:avLst/>
        </a:prstGeom>
      </xdr:spPr>
    </xdr:pic>
    <xdr:clientData/>
  </xdr:twoCellAnchor>
  <xdr:twoCellAnchor editAs="oneCell">
    <xdr:from>
      <xdr:col>39</xdr:col>
      <xdr:colOff>1</xdr:colOff>
      <xdr:row>439</xdr:row>
      <xdr:rowOff>1</xdr:rowOff>
    </xdr:from>
    <xdr:to>
      <xdr:col>45</xdr:col>
      <xdr:colOff>571501</xdr:colOff>
      <xdr:row>452</xdr:row>
      <xdr:rowOff>173083</xdr:rowOff>
    </xdr:to>
    <xdr:pic>
      <xdr:nvPicPr>
        <xdr:cNvPr id="75" name="Picture 74">
          <a:extLst>
            <a:ext uri="{FF2B5EF4-FFF2-40B4-BE49-F238E27FC236}">
              <a16:creationId xmlns:a16="http://schemas.microsoft.com/office/drawing/2014/main" id="{18AF5C68-A331-BB92-9043-9618B6418ED6}"/>
            </a:ext>
          </a:extLst>
        </xdr:cNvPr>
        <xdr:cNvPicPr>
          <a:picLocks noChangeAspect="1"/>
        </xdr:cNvPicPr>
      </xdr:nvPicPr>
      <xdr:blipFill>
        <a:blip xmlns:r="http://schemas.openxmlformats.org/officeDocument/2006/relationships" r:embed="rId65"/>
        <a:stretch>
          <a:fillRect/>
        </a:stretch>
      </xdr:blipFill>
      <xdr:spPr>
        <a:xfrm>
          <a:off x="24107776" y="79505176"/>
          <a:ext cx="4229100" cy="2512422"/>
        </a:xfrm>
        <a:prstGeom prst="rect">
          <a:avLst/>
        </a:prstGeom>
      </xdr:spPr>
    </xdr:pic>
    <xdr:clientData/>
  </xdr:twoCellAnchor>
  <xdr:twoCellAnchor editAs="oneCell">
    <xdr:from>
      <xdr:col>30</xdr:col>
      <xdr:colOff>266700</xdr:colOff>
      <xdr:row>454</xdr:row>
      <xdr:rowOff>152400</xdr:rowOff>
    </xdr:from>
    <xdr:to>
      <xdr:col>38</xdr:col>
      <xdr:colOff>168307</xdr:colOff>
      <xdr:row>470</xdr:row>
      <xdr:rowOff>124225</xdr:rowOff>
    </xdr:to>
    <xdr:pic>
      <xdr:nvPicPr>
        <xdr:cNvPr id="76" name="Picture 75">
          <a:extLst>
            <a:ext uri="{FF2B5EF4-FFF2-40B4-BE49-F238E27FC236}">
              <a16:creationId xmlns:a16="http://schemas.microsoft.com/office/drawing/2014/main" id="{1A9D1E1B-C551-2D58-35C0-262DF32DBB63}"/>
            </a:ext>
          </a:extLst>
        </xdr:cNvPr>
        <xdr:cNvPicPr>
          <a:picLocks noChangeAspect="1"/>
        </xdr:cNvPicPr>
      </xdr:nvPicPr>
      <xdr:blipFill>
        <a:blip xmlns:r="http://schemas.openxmlformats.org/officeDocument/2006/relationships" r:embed="rId66"/>
        <a:stretch>
          <a:fillRect/>
        </a:stretch>
      </xdr:blipFill>
      <xdr:spPr>
        <a:xfrm>
          <a:off x="18888075" y="82372200"/>
          <a:ext cx="4778407" cy="28674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user" id="{5B5B782E-2A0A-438A-A5A1-177EBCEC19F0}" userId="user"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WindowsUser" refreshedDate="45562.466841203706" createdVersion="8" refreshedVersion="8" minRefreshableVersion="3" recordCount="44" xr:uid="{BA3E0835-6DD5-49D2-BF63-49D5A7E0ED5E}">
  <cacheSource type="worksheet">
    <worksheetSource ref="A5:E49" sheet="6. Charts"/>
  </cacheSource>
  <cacheFields count="5">
    <cacheField name="Observation" numFmtId="3">
      <sharedItems containsSemiMixedTypes="0" containsString="0" containsNumber="1" containsInteger="1" minValue="1" maxValue="44"/>
    </cacheField>
    <cacheField name="Data 1" numFmtId="4">
      <sharedItems containsSemiMixedTypes="0" containsString="0" containsNumber="1" containsInteger="1" minValue="-5" maxValue="5" count="11">
        <n v="2"/>
        <n v="-1"/>
        <n v="4"/>
        <n v="5"/>
        <n v="-2"/>
        <n v="1"/>
        <n v="0"/>
        <n v="-3"/>
        <n v="-4"/>
        <n v="3"/>
        <n v="-5"/>
      </sharedItems>
    </cacheField>
    <cacheField name="Data 2" numFmtId="4">
      <sharedItems containsSemiMixedTypes="0" containsString="0" containsNumber="1" minValue="4.2043461718417219E-2" maxValue="2.9788967610697545" count="44">
        <n v="1.8109214372981315"/>
        <n v="2.5905737989007691"/>
        <n v="1.8142262935476663"/>
        <n v="1.9550141650678929"/>
        <n v="2.8363339306848254"/>
        <n v="2.1596363152368427"/>
        <n v="1.9599325373471794"/>
        <n v="1.875014876681754"/>
        <n v="1.7917186200425816"/>
        <n v="0.44552623141760328"/>
        <n v="2.8153261591835714"/>
        <n v="1.4053785810924828"/>
        <n v="2.5741667309607252"/>
        <n v="2.5622602011899778"/>
        <n v="2.7485502859952482"/>
        <n v="9.3779590993076201E-2"/>
        <n v="2.9788967610697545"/>
        <n v="2.9496437594343314"/>
        <n v="4.2043461718417219E-2"/>
        <n v="2.8917730838956124"/>
        <n v="1.9999379201029699"/>
        <n v="0.84491926684303353"/>
        <n v="1.9883541494724741"/>
        <n v="2.0982753709135715"/>
        <n v="0.11478237085731069"/>
        <n v="0.39021720267095206"/>
        <n v="2.7287134654179281"/>
        <n v="0.63618417138910355"/>
        <n v="2.2069290019763321"/>
        <n v="0.50173815733843996"/>
        <n v="1.9618935058689135"/>
        <n v="0.27848121516603996"/>
        <n v="2.0345714347173249"/>
        <n v="0.32276640359913511"/>
        <n v="1.0553036448004516"/>
        <n v="1.0415518072153302"/>
        <n v="0.73324271528591056"/>
        <n v="0.72673451456429117"/>
        <n v="2.5846117410114227"/>
        <n v="0.3676493154073206"/>
        <n v="1.3885648278661464"/>
        <n v="1.1818591336976039"/>
        <n v="0.18444621686123341"/>
        <n v="0.43911508427168433"/>
      </sharedItems>
    </cacheField>
    <cacheField name="Data 3" numFmtId="4">
      <sharedItems containsSemiMixedTypes="0" containsString="0" containsNumber="1" minValue="0.15475364784804269" maxValue="9.4280057220096154"/>
    </cacheField>
    <cacheField name="Data 4" numFmtId="4">
      <sharedItems containsSemiMixedTypes="0" containsString="0" containsNumber="1" minValue="-7.9571479379693519" maxValue="21.4361422096169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n v="1"/>
    <x v="0"/>
    <x v="0"/>
    <n v="3.8142053619659535"/>
    <n v="1.0535863885888921"/>
  </r>
  <r>
    <n v="2"/>
    <x v="1"/>
    <x v="1"/>
    <n v="7.8693798891939446"/>
    <n v="-1.0937479096589318"/>
  </r>
  <r>
    <n v="3"/>
    <x v="2"/>
    <x v="2"/>
    <n v="2.092017049945547"/>
    <n v="21.436142209616996"/>
  </r>
  <r>
    <n v="4"/>
    <x v="1"/>
    <x v="3"/>
    <n v="8.3200751839804798"/>
    <n v="-0.81114673752533961"/>
  </r>
  <r>
    <n v="5"/>
    <x v="2"/>
    <x v="4"/>
    <n v="6.211213271338865"/>
    <n v="1.7427168115770999"/>
  </r>
  <r>
    <n v="6"/>
    <x v="3"/>
    <x v="5"/>
    <n v="0.89690823635206085"/>
    <n v="9.7998375208759789"/>
  </r>
  <r>
    <n v="7"/>
    <x v="3"/>
    <x v="6"/>
    <n v="3.5676022907838592"/>
    <n v="2.6383475194258241"/>
  </r>
  <r>
    <n v="8"/>
    <x v="0"/>
    <x v="7"/>
    <n v="0.15475364784804269"/>
    <n v="1.9667171440659352"/>
  </r>
  <r>
    <n v="9"/>
    <x v="4"/>
    <x v="8"/>
    <n v="0.84632906110049366"/>
    <n v="-1.6572157673278893"/>
  </r>
  <r>
    <n v="10"/>
    <x v="1"/>
    <x v="9"/>
    <n v="3.8123899189198651"/>
    <n v="-1.0721601939677019"/>
  </r>
  <r>
    <n v="11"/>
    <x v="4"/>
    <x v="10"/>
    <n v="1.4016699417898049"/>
    <n v="-1.3667979593696533"/>
  </r>
  <r>
    <n v="12"/>
    <x v="5"/>
    <x v="11"/>
    <n v="5.912547565525359"/>
    <n v="3.7543815003844063"/>
  </r>
  <r>
    <n v="13"/>
    <x v="6"/>
    <x v="12"/>
    <n v="4.6358807386385816"/>
    <n v="0"/>
  </r>
  <r>
    <n v="14"/>
    <x v="7"/>
    <x v="13"/>
    <n v="6.714489127724371"/>
    <n v="-7.0581234960348986"/>
  </r>
  <r>
    <n v="15"/>
    <x v="4"/>
    <x v="14"/>
    <n v="5.3358632489228484"/>
    <n v="-2.382027490382121"/>
  </r>
  <r>
    <n v="16"/>
    <x v="2"/>
    <x v="15"/>
    <n v="6.7742326635337236"/>
    <n v="8.9091714761648007"/>
  </r>
  <r>
    <n v="17"/>
    <x v="6"/>
    <x v="16"/>
    <n v="7.4212839803512924"/>
    <n v="0"/>
  </r>
  <r>
    <n v="18"/>
    <x v="1"/>
    <x v="17"/>
    <n v="2.5024349903241392"/>
    <n v="-0.56835412136087005"/>
  </r>
  <r>
    <n v="19"/>
    <x v="8"/>
    <x v="18"/>
    <n v="4.9238457073952988"/>
    <n v="-2.8761874412424495"/>
  </r>
  <r>
    <n v="20"/>
    <x v="6"/>
    <x v="19"/>
    <n v="2.4795234894810392"/>
    <n v="0"/>
  </r>
  <r>
    <n v="21"/>
    <x v="4"/>
    <x v="20"/>
    <n v="0.88527709558692602"/>
    <n v="-1.0641587757944062"/>
  </r>
  <r>
    <n v="22"/>
    <x v="4"/>
    <x v="21"/>
    <n v="3.4355207351112602"/>
    <n v="-1.4771883087268423"/>
  </r>
  <r>
    <n v="23"/>
    <x v="3"/>
    <x v="22"/>
    <n v="5.4516765151590931"/>
    <n v="4.8113779209706999"/>
  </r>
  <r>
    <n v="24"/>
    <x v="0"/>
    <x v="23"/>
    <n v="4.1786254072598457"/>
    <n v="2.297296339337628"/>
  </r>
  <r>
    <n v="25"/>
    <x v="0"/>
    <x v="24"/>
    <n v="3.3850317199417468"/>
    <n v="1.2602684623351494"/>
  </r>
  <r>
    <n v="26"/>
    <x v="5"/>
    <x v="25"/>
    <n v="9.0600681993983994"/>
    <n v="1.0110366391300989"/>
  </r>
  <r>
    <n v="27"/>
    <x v="4"/>
    <x v="26"/>
    <n v="3.4948126228094898"/>
    <n v="-5.8299167359071875"/>
  </r>
  <r>
    <n v="28"/>
    <x v="9"/>
    <x v="27"/>
    <n v="2.7074059326877356"/>
    <n v="8.6896473619859993"/>
  </r>
  <r>
    <n v="29"/>
    <x v="0"/>
    <x v="28"/>
    <n v="5.1237431334005894"/>
    <n v="3.3840281939889536"/>
  </r>
  <r>
    <n v="30"/>
    <x v="10"/>
    <x v="29"/>
    <n v="3.7592166746530098"/>
    <n v="-3.1115125260320426"/>
  </r>
  <r>
    <n v="31"/>
    <x v="6"/>
    <x v="30"/>
    <n v="9.4280057220096154"/>
    <n v="0"/>
  </r>
  <r>
    <n v="32"/>
    <x v="3"/>
    <x v="31"/>
    <n v="2.5282354608785393"/>
    <n v="2.5432131685481982"/>
  </r>
  <r>
    <n v="33"/>
    <x v="10"/>
    <x v="32"/>
    <n v="0.4332367863427744"/>
    <n v="-2.533567579017987"/>
  </r>
  <r>
    <n v="34"/>
    <x v="4"/>
    <x v="33"/>
    <n v="5.3763937328217626"/>
    <n v="-2.9546624453981676"/>
  </r>
  <r>
    <n v="35"/>
    <x v="10"/>
    <x v="34"/>
    <n v="8.4434090802367123"/>
    <n v="-0.91017341412450004"/>
  </r>
  <r>
    <n v="36"/>
    <x v="9"/>
    <x v="35"/>
    <n v="8.3935336833090748"/>
    <n v="3.0839267191792028"/>
  </r>
  <r>
    <n v="37"/>
    <x v="2"/>
    <x v="36"/>
    <n v="1.6434409096585889"/>
    <n v="2.143960764507022"/>
  </r>
  <r>
    <n v="38"/>
    <x v="9"/>
    <x v="37"/>
    <n v="0.47272517020168436"/>
    <n v="2.6838478218474151"/>
  </r>
  <r>
    <n v="39"/>
    <x v="6"/>
    <x v="38"/>
    <n v="1.6735700189346414"/>
    <n v="0"/>
  </r>
  <r>
    <n v="40"/>
    <x v="8"/>
    <x v="39"/>
    <n v="4.8538296270728907"/>
    <n v="-7.9571479379693519"/>
  </r>
  <r>
    <n v="41"/>
    <x v="3"/>
    <x v="40"/>
    <n v="4.6698327346125108"/>
    <n v="4.6465086136534381"/>
  </r>
  <r>
    <n v="42"/>
    <x v="8"/>
    <x v="41"/>
    <n v="8.2441451067236198"/>
    <n v="-3.0194676687115347"/>
  </r>
  <r>
    <n v="43"/>
    <x v="2"/>
    <x v="42"/>
    <n v="4.5020291525664913"/>
    <n v="2.2154595164630355"/>
  </r>
  <r>
    <n v="44"/>
    <x v="5"/>
    <x v="43"/>
    <n v="6.6451210924288446"/>
    <n v="0.601381595040173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C5FF89-44C3-4845-9029-AC9E9A5481E8}"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N81" firstHeaderRow="1" firstDataRow="2" firstDataCol="1"/>
  <pivotFields count="5">
    <pivotField dataField="1" numFmtId="3" showAll="0"/>
    <pivotField axis="axisCol" numFmtId="4" showAll="0">
      <items count="12">
        <item x="10"/>
        <item x="8"/>
        <item x="7"/>
        <item x="4"/>
        <item x="1"/>
        <item x="6"/>
        <item x="5"/>
        <item x="0"/>
        <item x="9"/>
        <item x="2"/>
        <item x="3"/>
        <item t="default"/>
      </items>
    </pivotField>
    <pivotField axis="axisRow" numFmtId="4" showAll="0">
      <items count="45">
        <item x="18"/>
        <item x="15"/>
        <item x="24"/>
        <item x="42"/>
        <item x="31"/>
        <item x="33"/>
        <item x="39"/>
        <item x="25"/>
        <item x="43"/>
        <item x="9"/>
        <item x="29"/>
        <item x="27"/>
        <item x="37"/>
        <item x="36"/>
        <item x="21"/>
        <item x="35"/>
        <item x="34"/>
        <item x="41"/>
        <item x="40"/>
        <item x="11"/>
        <item x="8"/>
        <item x="0"/>
        <item x="2"/>
        <item x="7"/>
        <item x="3"/>
        <item x="6"/>
        <item x="30"/>
        <item x="22"/>
        <item x="20"/>
        <item x="32"/>
        <item x="23"/>
        <item x="5"/>
        <item x="28"/>
        <item x="13"/>
        <item x="12"/>
        <item x="38"/>
        <item x="1"/>
        <item x="26"/>
        <item x="14"/>
        <item x="10"/>
        <item x="4"/>
        <item x="19"/>
        <item x="17"/>
        <item x="16"/>
        <item t="default"/>
      </items>
    </pivotField>
    <pivotField numFmtId="4" showAll="0"/>
    <pivotField numFmtId="4" showAll="0"/>
  </pivotFields>
  <rowFields count="1">
    <field x="2"/>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Fields count="1">
    <field x="1"/>
  </colFields>
  <colItems count="12">
    <i>
      <x/>
    </i>
    <i>
      <x v="1"/>
    </i>
    <i>
      <x v="2"/>
    </i>
    <i>
      <x v="3"/>
    </i>
    <i>
      <x v="4"/>
    </i>
    <i>
      <x v="5"/>
    </i>
    <i>
      <x v="6"/>
    </i>
    <i>
      <x v="7"/>
    </i>
    <i>
      <x v="8"/>
    </i>
    <i>
      <x v="9"/>
    </i>
    <i>
      <x v="10"/>
    </i>
    <i t="grand">
      <x/>
    </i>
  </colItems>
  <dataFields count="1">
    <dataField name="Sum of Observation"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12</v>
    <v>x</v>
    <v>0</v>
  </rv>
  <rv s="1">
    <v>10</v>
    <v>12</v>
  </rv>
  <rv s="1">
    <v>10</v>
    <v>28</v>
  </rv>
  <rv s="2">
    <v>0</v>
    <v>5</v>
    <v>Pink hued beach sand meeting the sea</v>
  </rv>
</rvData>
</file>

<file path=xl/richData/rdrichvaluestructure.xml><?xml version="1.0" encoding="utf-8"?>
<rvStructures xmlns="http://schemas.microsoft.com/office/spreadsheetml/2017/richdata" count="3">
  <s t="_error">
    <k n="errorType" t="i"/>
    <k n="field" t="s"/>
    <k n="subType" t="i"/>
  </s>
  <s t="_error">
    <k n="errorType"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0FC1DA-148B-493C-881A-5DDBCB5ECC3E}" name="Table1" displayName="Table1" ref="B15:D30" totalsRowShown="0">
  <autoFilter ref="B15:D30" xr:uid="{C80FC1DA-148B-493C-881A-5DDBCB5ECC3E}"/>
  <tableColumns count="3">
    <tableColumn id="1" xr3:uid="{179D994D-6D73-4E4E-84C9-833D5BAB19CB}" name="Date" dataDxfId="6"/>
    <tableColumn id="2" xr3:uid="{0510FD32-A133-4967-ABAD-8E557F43E950}" name="Val1"/>
    <tableColumn id="3" xr3:uid="{95E0CA40-84BC-435B-8EB8-9F5360143D8A}" name="Val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47" dT="2024-09-26T13:19:17.30" personId="{5B5B782E-2A0A-438A-A5A1-177EBCEC19F0}" id="{E8D86244-F944-49F0-8416-C13652F2FA8F}">
    <text>This is a new comment</text>
  </threadedComment>
  <threadedComment ref="B147" dT="2024-09-26T13:19:40.11" personId="{5B5B782E-2A0A-438A-A5A1-177EBCEC19F0}" id="{C8A25E52-A696-4D17-A314-8C24769CC6FE}" parentId="{E8D86244-F944-49F0-8416-C13652F2FA8F}">
    <text>You can comment on the comment</text>
  </threadedComment>
</ThreadedComments>
</file>

<file path=xl/worksheets/_rels/sheet2.xml.rels><?xml version="1.0" encoding="UTF-8" standalone="yes"?>
<Relationships xmlns="http://schemas.openxmlformats.org/package/2006/relationships"><Relationship Id="rId117" Type="http://schemas.openxmlformats.org/officeDocument/2006/relationships/hyperlink" Target="https://support.microsoft.com/en-us/excel/functions/daverage-function" TargetMode="External"/><Relationship Id="rId21" Type="http://schemas.openxmlformats.org/officeDocument/2006/relationships/hyperlink" Target="https://support.microsoft.com/en-us/excel/functions/atan-function" TargetMode="External"/><Relationship Id="rId324" Type="http://schemas.openxmlformats.org/officeDocument/2006/relationships/hyperlink" Target="https://support.microsoft.com/en-us/excel/functions/normsinv-function" TargetMode="External"/><Relationship Id="rId170" Type="http://schemas.openxmlformats.org/officeDocument/2006/relationships/hyperlink" Target="https://support.microsoft.com/en-us/excel/functions/fact-function" TargetMode="External"/><Relationship Id="rId268" Type="http://schemas.openxmlformats.org/officeDocument/2006/relationships/hyperlink" Target="https://support.microsoft.com/en-us/excel/functions/lambda-function" TargetMode="External"/><Relationship Id="rId475" Type="http://schemas.openxmlformats.org/officeDocument/2006/relationships/hyperlink" Target="https://support.microsoft.com/en-us/excel/functions/unique-function" TargetMode="External"/><Relationship Id="rId32" Type="http://schemas.openxmlformats.org/officeDocument/2006/relationships/hyperlink" Target="https://support.microsoft.com/en-us/excel/functions/besselj-function" TargetMode="External"/><Relationship Id="rId74" Type="http://schemas.openxmlformats.org/officeDocument/2006/relationships/hyperlink" Target="https://support.microsoft.com/en-us/excel/functions/combin-function" TargetMode="External"/><Relationship Id="rId128" Type="http://schemas.openxmlformats.org/officeDocument/2006/relationships/hyperlink" Target="https://support.microsoft.com/en-us/excel/functions/dec2oct-function" TargetMode="External"/><Relationship Id="rId335" Type="http://schemas.openxmlformats.org/officeDocument/2006/relationships/hyperlink" Target="https://support.microsoft.com/en-us/excel/functions/oddfyield-function" TargetMode="External"/><Relationship Id="rId377" Type="http://schemas.openxmlformats.org/officeDocument/2006/relationships/hyperlink" Target="https://support.microsoft.com/en-us/excel/functions/rank-avg-function" TargetMode="External"/><Relationship Id="rId500" Type="http://schemas.openxmlformats.org/officeDocument/2006/relationships/hyperlink" Target="https://support.microsoft.com/en-us/excel/functions/xnpv-function" TargetMode="External"/><Relationship Id="rId5" Type="http://schemas.openxmlformats.org/officeDocument/2006/relationships/hyperlink" Target="https://support.microsoft.com/en-us/excel/functions/accrintm-function" TargetMode="External"/><Relationship Id="rId181" Type="http://schemas.openxmlformats.org/officeDocument/2006/relationships/hyperlink" Target="https://support.microsoft.com/en-us/excel/functions/floor-function" TargetMode="External"/><Relationship Id="rId237" Type="http://schemas.openxmlformats.org/officeDocument/2006/relationships/hyperlink" Target="https://support.microsoft.com/en-us/excel/functions/importcsv-function" TargetMode="External"/><Relationship Id="rId402" Type="http://schemas.openxmlformats.org/officeDocument/2006/relationships/hyperlink" Target="https://support.microsoft.com/en-us/excel/functions/second-function" TargetMode="External"/><Relationship Id="rId279" Type="http://schemas.openxmlformats.org/officeDocument/2006/relationships/hyperlink" Target="https://support.microsoft.com/en-us/excel/functions/loginv-function" TargetMode="External"/><Relationship Id="rId444" Type="http://schemas.openxmlformats.org/officeDocument/2006/relationships/hyperlink" Target="https://support.microsoft.com/en-us/excel/functions/t-test-function" TargetMode="External"/><Relationship Id="rId486" Type="http://schemas.openxmlformats.org/officeDocument/2006/relationships/hyperlink" Target="https://support.microsoft.com/en-us/excel/functions/vlookup-function" TargetMode="External"/><Relationship Id="rId43" Type="http://schemas.openxmlformats.org/officeDocument/2006/relationships/hyperlink" Target="https://support.microsoft.com/en-us/excel/functions/binom-dist-range-function" TargetMode="External"/><Relationship Id="rId139" Type="http://schemas.openxmlformats.org/officeDocument/2006/relationships/hyperlink" Target="https://support.microsoft.com/en-us/excel/functions/dollarde-function" TargetMode="External"/><Relationship Id="rId290" Type="http://schemas.openxmlformats.org/officeDocument/2006/relationships/hyperlink" Target="https://support.microsoft.com/en-us/excel/functions/maxifs-function" TargetMode="External"/><Relationship Id="rId304" Type="http://schemas.openxmlformats.org/officeDocument/2006/relationships/hyperlink" Target="https://support.microsoft.com/en-us/excel/functions/mode-mult-function" TargetMode="External"/><Relationship Id="rId346" Type="http://schemas.openxmlformats.org/officeDocument/2006/relationships/hyperlink" Target="https://support.microsoft.com/en-us/excel/functions/percentrank-function" TargetMode="External"/><Relationship Id="rId388" Type="http://schemas.openxmlformats.org/officeDocument/2006/relationships/hyperlink" Target="https://support.microsoft.com/en-us/excel/functions/right-function" TargetMode="External"/><Relationship Id="rId511" Type="http://schemas.openxmlformats.org/officeDocument/2006/relationships/hyperlink" Target="https://support.microsoft.com/en-us/excel/functions/is-functions" TargetMode="External"/><Relationship Id="rId85" Type="http://schemas.openxmlformats.org/officeDocument/2006/relationships/hyperlink" Target="https://support.microsoft.com/en-us/excel/functions/cos-function" TargetMode="External"/><Relationship Id="rId150" Type="http://schemas.openxmlformats.org/officeDocument/2006/relationships/hyperlink" Target="https://support.microsoft.com/en-us/excel/functions/effect-function" TargetMode="External"/><Relationship Id="rId192" Type="http://schemas.openxmlformats.org/officeDocument/2006/relationships/hyperlink" Target="https://support.microsoft.com/en-us/excel/functions/fv-function" TargetMode="External"/><Relationship Id="rId206" Type="http://schemas.openxmlformats.org/officeDocument/2006/relationships/hyperlink" Target="https://support.microsoft.com/en-us/excel/functions/groupby-function" TargetMode="External"/><Relationship Id="rId413" Type="http://schemas.openxmlformats.org/officeDocument/2006/relationships/hyperlink" Target="https://support.microsoft.com/en-us/excel/functions/slope-function" TargetMode="External"/><Relationship Id="rId248" Type="http://schemas.openxmlformats.org/officeDocument/2006/relationships/hyperlink" Target="https://support.microsoft.com/en-us/excel/functions/imsum-function" TargetMode="External"/><Relationship Id="rId455" Type="http://schemas.openxmlformats.org/officeDocument/2006/relationships/hyperlink" Target="https://support.microsoft.com/en-us/excel/functions/textjoin-function" TargetMode="External"/><Relationship Id="rId497" Type="http://schemas.openxmlformats.org/officeDocument/2006/relationships/hyperlink" Target="https://support.microsoft.com/en-us/excel/functions/xirr-function" TargetMode="External"/><Relationship Id="rId12" Type="http://schemas.openxmlformats.org/officeDocument/2006/relationships/hyperlink" Target="https://support.microsoft.com/en-us/excel/functions/amordegrc-function" TargetMode="External"/><Relationship Id="rId108" Type="http://schemas.openxmlformats.org/officeDocument/2006/relationships/hyperlink" Target="https://support.microsoft.com/en-us/excel/functions/cuberankedmember-function" TargetMode="External"/><Relationship Id="rId315" Type="http://schemas.openxmlformats.org/officeDocument/2006/relationships/hyperlink" Target="https://support.microsoft.com/en-us/excel/functions/networkdays-intl-function" TargetMode="External"/><Relationship Id="rId357" Type="http://schemas.openxmlformats.org/officeDocument/2006/relationships/hyperlink" Target="https://support.microsoft.com/en-us/excel/functions/poisson-dist-function" TargetMode="External"/><Relationship Id="rId522" Type="http://schemas.openxmlformats.org/officeDocument/2006/relationships/hyperlink" Target="https://support.microsoft.com/en-us/excel/functions/sqrt-function" TargetMode="External"/><Relationship Id="rId54" Type="http://schemas.openxmlformats.org/officeDocument/2006/relationships/hyperlink" Target="https://support.microsoft.com/en-us/excel/functions/ceiling-function" TargetMode="External"/><Relationship Id="rId96" Type="http://schemas.openxmlformats.org/officeDocument/2006/relationships/hyperlink" Target="https://support.microsoft.com/en-us/excel/functions/coupncd-function" TargetMode="External"/><Relationship Id="rId161" Type="http://schemas.openxmlformats.org/officeDocument/2006/relationships/hyperlink" Target="https://support.microsoft.com/en-us/excel/functions/exp-function" TargetMode="External"/><Relationship Id="rId217" Type="http://schemas.openxmlformats.org/officeDocument/2006/relationships/hyperlink" Target="https://support.microsoft.com/en-us/excel/functions/hypgeomdist-function" TargetMode="External"/><Relationship Id="rId399" Type="http://schemas.openxmlformats.org/officeDocument/2006/relationships/hyperlink" Target="https://support.microsoft.com/en-us/excel/functions/search-function" TargetMode="External"/><Relationship Id="rId259" Type="http://schemas.openxmlformats.org/officeDocument/2006/relationships/hyperlink" Target="https://support.microsoft.com/en-us/excel/functions/iseven-function" TargetMode="External"/><Relationship Id="rId424" Type="http://schemas.openxmlformats.org/officeDocument/2006/relationships/hyperlink" Target="https://support.microsoft.com/en-us/excel/functions/steyx-function" TargetMode="External"/><Relationship Id="rId466" Type="http://schemas.openxmlformats.org/officeDocument/2006/relationships/hyperlink" Target="https://support.microsoft.com/en-us/excel/functions/trim-function" TargetMode="External"/><Relationship Id="rId23" Type="http://schemas.openxmlformats.org/officeDocument/2006/relationships/hyperlink" Target="https://support.microsoft.com/en-us/excel/functions/atanh-function" TargetMode="External"/><Relationship Id="rId119" Type="http://schemas.openxmlformats.org/officeDocument/2006/relationships/hyperlink" Target="https://support.microsoft.com/en-us/excel/functions/days-function" TargetMode="External"/><Relationship Id="rId270" Type="http://schemas.openxmlformats.org/officeDocument/2006/relationships/hyperlink" Target="https://support.microsoft.com/en-us/excel/functions/lcm-function" TargetMode="External"/><Relationship Id="rId326" Type="http://schemas.openxmlformats.org/officeDocument/2006/relationships/hyperlink" Target="https://support.microsoft.com/en-us/excel/functions/now-function" TargetMode="External"/><Relationship Id="rId65" Type="http://schemas.openxmlformats.org/officeDocument/2006/relationships/hyperlink" Target="https://support.microsoft.com/en-us/excel/functions/chisq-test-function" TargetMode="External"/><Relationship Id="rId130" Type="http://schemas.openxmlformats.org/officeDocument/2006/relationships/hyperlink" Target="https://support.microsoft.com/en-us/excel/functions/degrees-function" TargetMode="External"/><Relationship Id="rId368" Type="http://schemas.openxmlformats.org/officeDocument/2006/relationships/hyperlink" Target="https://support.microsoft.com/en-us/excel/functions/quartile-function" TargetMode="External"/><Relationship Id="rId172" Type="http://schemas.openxmlformats.org/officeDocument/2006/relationships/hyperlink" Target="https://support.microsoft.com/en-us/excel/functions/false-function" TargetMode="External"/><Relationship Id="rId228" Type="http://schemas.openxmlformats.org/officeDocument/2006/relationships/hyperlink" Target="https://support.microsoft.com/en-us/excel/functions/imcosh-function" TargetMode="External"/><Relationship Id="rId435" Type="http://schemas.openxmlformats.org/officeDocument/2006/relationships/hyperlink" Target="https://support.microsoft.com/en-us/excel/functions/sumxmy2-function" TargetMode="External"/><Relationship Id="rId477" Type="http://schemas.openxmlformats.org/officeDocument/2006/relationships/hyperlink" Target="https://support.microsoft.com/en-us/excel/functions/value-function" TargetMode="External"/><Relationship Id="rId281" Type="http://schemas.openxmlformats.org/officeDocument/2006/relationships/hyperlink" Target="https://support.microsoft.com/en-us/excel/functions/lognorm-inv-function" TargetMode="External"/><Relationship Id="rId337" Type="http://schemas.openxmlformats.org/officeDocument/2006/relationships/hyperlink" Target="https://support.microsoft.com/en-us/excel/functions/oddlyield-function" TargetMode="External"/><Relationship Id="rId502" Type="http://schemas.openxmlformats.org/officeDocument/2006/relationships/hyperlink" Target="https://support.microsoft.com/en-us/excel/functions/year-function" TargetMode="External"/><Relationship Id="rId34" Type="http://schemas.openxmlformats.org/officeDocument/2006/relationships/hyperlink" Target="https://support.microsoft.com/en-us/excel/functions/bessely-function" TargetMode="External"/><Relationship Id="rId76" Type="http://schemas.openxmlformats.org/officeDocument/2006/relationships/hyperlink" Target="https://support.microsoft.com/en-us/excel/functions/complex-function" TargetMode="External"/><Relationship Id="rId141" Type="http://schemas.openxmlformats.org/officeDocument/2006/relationships/hyperlink" Target="https://support.microsoft.com/en-us/excel/functions/dproduct-function" TargetMode="External"/><Relationship Id="rId379" Type="http://schemas.openxmlformats.org/officeDocument/2006/relationships/hyperlink" Target="https://support.microsoft.com/en-us/excel/functions/rate-function" TargetMode="External"/><Relationship Id="rId7" Type="http://schemas.openxmlformats.org/officeDocument/2006/relationships/hyperlink" Target="https://support.microsoft.com/en-us/excel/functions/acosh-function" TargetMode="External"/><Relationship Id="rId183" Type="http://schemas.openxmlformats.org/officeDocument/2006/relationships/hyperlink" Target="https://support.microsoft.com/en-us/excel/functions/floor-precise-function" TargetMode="External"/><Relationship Id="rId239" Type="http://schemas.openxmlformats.org/officeDocument/2006/relationships/hyperlink" Target="https://support.microsoft.com/en-us/excel/functions/impower-function" TargetMode="External"/><Relationship Id="rId390" Type="http://schemas.openxmlformats.org/officeDocument/2006/relationships/hyperlink" Target="https://support.microsoft.com/en-us/excel/functions/round-function" TargetMode="External"/><Relationship Id="rId404" Type="http://schemas.openxmlformats.org/officeDocument/2006/relationships/hyperlink" Target="https://support.microsoft.com/en-us/excel/functions/seriessum-function" TargetMode="External"/><Relationship Id="rId446" Type="http://schemas.openxmlformats.org/officeDocument/2006/relationships/hyperlink" Target="https://support.microsoft.com/en-us/excel/functions/tan-function" TargetMode="External"/><Relationship Id="rId250" Type="http://schemas.openxmlformats.org/officeDocument/2006/relationships/hyperlink" Target="https://support.microsoft.com/en-us/excel/functions/index-function" TargetMode="External"/><Relationship Id="rId292" Type="http://schemas.openxmlformats.org/officeDocument/2006/relationships/hyperlink" Target="https://support.microsoft.com/en-us/excel/functions/mduration-function" TargetMode="External"/><Relationship Id="rId306" Type="http://schemas.openxmlformats.org/officeDocument/2006/relationships/hyperlink" Target="https://support.microsoft.com/en-us/excel/functions/month-function" TargetMode="External"/><Relationship Id="rId488" Type="http://schemas.openxmlformats.org/officeDocument/2006/relationships/hyperlink" Target="https://support.microsoft.com/en-us/excel/functions/webservice-function" TargetMode="External"/><Relationship Id="rId45" Type="http://schemas.openxmlformats.org/officeDocument/2006/relationships/hyperlink" Target="https://support.microsoft.com/en-us/excel/functions/binomdist-function" TargetMode="External"/><Relationship Id="rId87" Type="http://schemas.openxmlformats.org/officeDocument/2006/relationships/hyperlink" Target="https://support.microsoft.com/en-us/excel/functions/cot-function" TargetMode="External"/><Relationship Id="rId110" Type="http://schemas.openxmlformats.org/officeDocument/2006/relationships/hyperlink" Target="https://support.microsoft.com/en-us/excel/functions/cubesetcount-function" TargetMode="External"/><Relationship Id="rId348" Type="http://schemas.openxmlformats.org/officeDocument/2006/relationships/hyperlink" Target="https://support.microsoft.com/en-us/excel/functions/percentrank-inc-function" TargetMode="External"/><Relationship Id="rId513" Type="http://schemas.openxmlformats.org/officeDocument/2006/relationships/hyperlink" Target="https://support.microsoft.com/en-us/excel/functions/is-functions" TargetMode="External"/><Relationship Id="rId152" Type="http://schemas.openxmlformats.org/officeDocument/2006/relationships/hyperlink" Target="https://support.microsoft.com/en-us/excel/functions/eomonth-function" TargetMode="External"/><Relationship Id="rId194" Type="http://schemas.openxmlformats.org/officeDocument/2006/relationships/hyperlink" Target="https://support.microsoft.com/en-us/excel/functions/gamma-function" TargetMode="External"/><Relationship Id="rId208" Type="http://schemas.openxmlformats.org/officeDocument/2006/relationships/hyperlink" Target="https://support.microsoft.com/en-us/excel/functions/harmean-function" TargetMode="External"/><Relationship Id="rId415" Type="http://schemas.openxmlformats.org/officeDocument/2006/relationships/hyperlink" Target="https://support.microsoft.com/en-us/excel/functions/sort-function" TargetMode="External"/><Relationship Id="rId457" Type="http://schemas.openxmlformats.org/officeDocument/2006/relationships/hyperlink" Target="https://support.microsoft.com/en-us/excel/functions/time-function" TargetMode="External"/><Relationship Id="rId261" Type="http://schemas.openxmlformats.org/officeDocument/2006/relationships/hyperlink" Target="https://support.microsoft.com/en-us/excel/functions/iso-ceiling-function" TargetMode="External"/><Relationship Id="rId499" Type="http://schemas.openxmlformats.org/officeDocument/2006/relationships/hyperlink" Target="https://support.microsoft.com/en-us/excel/functions/xmatch-function" TargetMode="External"/><Relationship Id="rId14" Type="http://schemas.openxmlformats.org/officeDocument/2006/relationships/hyperlink" Target="https://support.microsoft.com/en-us/excel/functions/and-function" TargetMode="External"/><Relationship Id="rId56" Type="http://schemas.openxmlformats.org/officeDocument/2006/relationships/hyperlink" Target="https://support.microsoft.com/en-us/excel/functions/ceiling-precise-function" TargetMode="External"/><Relationship Id="rId317" Type="http://schemas.openxmlformats.org/officeDocument/2006/relationships/hyperlink" Target="https://support.microsoft.com/en-us/excel/functions/norm-dist-function" TargetMode="External"/><Relationship Id="rId359" Type="http://schemas.openxmlformats.org/officeDocument/2006/relationships/hyperlink" Target="https://support.microsoft.com/en-us/excel/functions/ppmt-function" TargetMode="External"/><Relationship Id="rId524" Type="http://schemas.openxmlformats.org/officeDocument/2006/relationships/drawing" Target="../drawings/drawing1.xml"/><Relationship Id="rId98" Type="http://schemas.openxmlformats.org/officeDocument/2006/relationships/hyperlink" Target="https://support.microsoft.com/en-us/excel/functions/couppcd-function" TargetMode="External"/><Relationship Id="rId121" Type="http://schemas.openxmlformats.org/officeDocument/2006/relationships/hyperlink" Target="https://support.microsoft.com/en-us/excel/functions/db-function" TargetMode="External"/><Relationship Id="rId163" Type="http://schemas.openxmlformats.org/officeDocument/2006/relationships/hyperlink" Target="https://support.microsoft.com/en-us/excel/functions/expon-dist-function" TargetMode="External"/><Relationship Id="rId219" Type="http://schemas.openxmlformats.org/officeDocument/2006/relationships/hyperlink" Target="https://support.microsoft.com/en-us/excel/functions/iferror-function" TargetMode="External"/><Relationship Id="rId370" Type="http://schemas.openxmlformats.org/officeDocument/2006/relationships/hyperlink" Target="https://support.microsoft.com/en-us/excel/functions/quartile-inc-function" TargetMode="External"/><Relationship Id="rId426" Type="http://schemas.openxmlformats.org/officeDocument/2006/relationships/hyperlink" Target="https://support.microsoft.com/en-us/excel/functions/substitute-function" TargetMode="External"/><Relationship Id="rId230" Type="http://schemas.openxmlformats.org/officeDocument/2006/relationships/hyperlink" Target="https://support.microsoft.com/en-us/excel/functions/imcsc-function" TargetMode="External"/><Relationship Id="rId468" Type="http://schemas.openxmlformats.org/officeDocument/2006/relationships/hyperlink" Target="https://support.microsoft.com/en-us/excel/functions/trimrange-function" TargetMode="External"/><Relationship Id="rId25" Type="http://schemas.openxmlformats.org/officeDocument/2006/relationships/hyperlink" Target="https://support.microsoft.com/en-us/excel/functions/average-function" TargetMode="External"/><Relationship Id="rId67" Type="http://schemas.openxmlformats.org/officeDocument/2006/relationships/hyperlink" Target="https://support.microsoft.com/en-us/excel/functions/choose-function" TargetMode="External"/><Relationship Id="rId272" Type="http://schemas.openxmlformats.org/officeDocument/2006/relationships/hyperlink" Target="https://support.microsoft.com/en-us/excel/functions/len-function" TargetMode="External"/><Relationship Id="rId328" Type="http://schemas.openxmlformats.org/officeDocument/2006/relationships/hyperlink" Target="https://support.microsoft.com/en-us/excel/functions/npv-function" TargetMode="External"/><Relationship Id="rId132" Type="http://schemas.openxmlformats.org/officeDocument/2006/relationships/hyperlink" Target="https://support.microsoft.com/en-us/excel/functions/detectlanguage-function" TargetMode="External"/><Relationship Id="rId174" Type="http://schemas.openxmlformats.org/officeDocument/2006/relationships/hyperlink" Target="https://support.microsoft.com/en-us/excel/functions/fieldvalue-function" TargetMode="External"/><Relationship Id="rId381" Type="http://schemas.openxmlformats.org/officeDocument/2006/relationships/hyperlink" Target="https://support.microsoft.com/en-us/excel/functions/reduce-function" TargetMode="External"/><Relationship Id="rId241" Type="http://schemas.openxmlformats.org/officeDocument/2006/relationships/hyperlink" Target="https://support.microsoft.com/en-us/excel/functions/imreal-function" TargetMode="External"/><Relationship Id="rId437" Type="http://schemas.openxmlformats.org/officeDocument/2006/relationships/hyperlink" Target="https://support.microsoft.com/en-us/excel/functions/syd-function" TargetMode="External"/><Relationship Id="rId479" Type="http://schemas.openxmlformats.org/officeDocument/2006/relationships/hyperlink" Target="https://support.microsoft.com/en-us/excel/functions/var-function" TargetMode="External"/><Relationship Id="rId36" Type="http://schemas.openxmlformats.org/officeDocument/2006/relationships/hyperlink" Target="https://support.microsoft.com/en-us/excel/functions/beta-inv-function" TargetMode="External"/><Relationship Id="rId283" Type="http://schemas.openxmlformats.org/officeDocument/2006/relationships/hyperlink" Target="https://support.microsoft.com/en-us/excel/functions/lookup-function" TargetMode="External"/><Relationship Id="rId339" Type="http://schemas.openxmlformats.org/officeDocument/2006/relationships/hyperlink" Target="https://support.microsoft.com/en-us/excel/functions/or-function" TargetMode="External"/><Relationship Id="rId490" Type="http://schemas.openxmlformats.org/officeDocument/2006/relationships/hyperlink" Target="https://support.microsoft.com/en-us/excel/functions/weeknum-function" TargetMode="External"/><Relationship Id="rId504" Type="http://schemas.openxmlformats.org/officeDocument/2006/relationships/hyperlink" Target="https://support.microsoft.com/en-us/excel/functions/yield-function" TargetMode="External"/><Relationship Id="rId78" Type="http://schemas.openxmlformats.org/officeDocument/2006/relationships/hyperlink" Target="https://support.microsoft.com/en-us/excel/functions/concatenate-function" TargetMode="External"/><Relationship Id="rId101" Type="http://schemas.openxmlformats.org/officeDocument/2006/relationships/hyperlink" Target="https://support.microsoft.com/en-us/excel/functions/covariance-s-function" TargetMode="External"/><Relationship Id="rId143" Type="http://schemas.openxmlformats.org/officeDocument/2006/relationships/hyperlink" Target="https://support.microsoft.com/en-us/excel/functions/dstdev-function" TargetMode="External"/><Relationship Id="rId185" Type="http://schemas.openxmlformats.org/officeDocument/2006/relationships/hyperlink" Target="https://support.microsoft.com/en-us/excel/functions/forecast-ets-function" TargetMode="External"/><Relationship Id="rId350" Type="http://schemas.openxmlformats.org/officeDocument/2006/relationships/hyperlink" Target="https://support.microsoft.com/en-us/excel/functions/permutationa-function" TargetMode="External"/><Relationship Id="rId406" Type="http://schemas.openxmlformats.org/officeDocument/2006/relationships/hyperlink" Target="https://support.microsoft.com/en-us/excel/functions/sheets-function" TargetMode="External"/><Relationship Id="rId9" Type="http://schemas.openxmlformats.org/officeDocument/2006/relationships/hyperlink" Target="https://support.microsoft.com/en-us/excel/functions/acoth-function" TargetMode="External"/><Relationship Id="rId210" Type="http://schemas.openxmlformats.org/officeDocument/2006/relationships/hyperlink" Target="https://support.microsoft.com/en-us/excel/functions/hex2dec-function" TargetMode="External"/><Relationship Id="rId392" Type="http://schemas.openxmlformats.org/officeDocument/2006/relationships/hyperlink" Target="https://support.microsoft.com/en-us/excel/functions/roundup-function" TargetMode="External"/><Relationship Id="rId448" Type="http://schemas.openxmlformats.org/officeDocument/2006/relationships/hyperlink" Target="https://support.microsoft.com/en-us/excel/functions/tbilleq-function" TargetMode="External"/><Relationship Id="rId252" Type="http://schemas.openxmlformats.org/officeDocument/2006/relationships/hyperlink" Target="https://support.microsoft.com/en-us/excel/functions/info-function" TargetMode="External"/><Relationship Id="rId294" Type="http://schemas.openxmlformats.org/officeDocument/2006/relationships/hyperlink" Target="https://support.microsoft.com/en-us/excel/functions/mid-function" TargetMode="External"/><Relationship Id="rId308" Type="http://schemas.openxmlformats.org/officeDocument/2006/relationships/hyperlink" Target="https://support.microsoft.com/en-us/excel/functions/multinomial-function" TargetMode="External"/><Relationship Id="rId515" Type="http://schemas.openxmlformats.org/officeDocument/2006/relationships/hyperlink" Target="https://support.microsoft.com/en-us/excel/functions/is-functions" TargetMode="External"/><Relationship Id="rId47" Type="http://schemas.openxmlformats.org/officeDocument/2006/relationships/hyperlink" Target="https://support.microsoft.com/en-us/excel/functions/bitlshift-function" TargetMode="External"/><Relationship Id="rId89" Type="http://schemas.openxmlformats.org/officeDocument/2006/relationships/hyperlink" Target="https://support.microsoft.com/en-us/excel/functions/count-function" TargetMode="External"/><Relationship Id="rId112" Type="http://schemas.openxmlformats.org/officeDocument/2006/relationships/hyperlink" Target="https://support.microsoft.com/en-us/excel/functions/cumipmt-function" TargetMode="External"/><Relationship Id="rId154" Type="http://schemas.openxmlformats.org/officeDocument/2006/relationships/hyperlink" Target="https://support.microsoft.com/en-us/excel/functions/erf-precise-function" TargetMode="External"/><Relationship Id="rId361" Type="http://schemas.openxmlformats.org/officeDocument/2006/relationships/hyperlink" Target="https://support.microsoft.com/en-us/excel/functions/pricedisc-function" TargetMode="External"/><Relationship Id="rId196" Type="http://schemas.openxmlformats.org/officeDocument/2006/relationships/hyperlink" Target="https://support.microsoft.com/en-us/excel/functions/gamma-inv-function" TargetMode="External"/><Relationship Id="rId417" Type="http://schemas.openxmlformats.org/officeDocument/2006/relationships/hyperlink" Target="https://support.microsoft.com/en-us/excel/functions/standardize-function" TargetMode="External"/><Relationship Id="rId459" Type="http://schemas.openxmlformats.org/officeDocument/2006/relationships/hyperlink" Target="https://support.microsoft.com/en-us/excel/functions/tinv-function" TargetMode="External"/><Relationship Id="rId16" Type="http://schemas.openxmlformats.org/officeDocument/2006/relationships/hyperlink" Target="https://support.microsoft.com/en-us/excel/functions/areas-function" TargetMode="External"/><Relationship Id="rId221" Type="http://schemas.openxmlformats.org/officeDocument/2006/relationships/hyperlink" Target="https://support.microsoft.com/en-us/excel/functions/ifs-function" TargetMode="External"/><Relationship Id="rId263" Type="http://schemas.openxmlformats.org/officeDocument/2006/relationships/hyperlink" Target="https://support.microsoft.com/en-us/excel/functions/isomitted-function" TargetMode="External"/><Relationship Id="rId319" Type="http://schemas.openxmlformats.org/officeDocument/2006/relationships/hyperlink" Target="https://support.microsoft.com/en-us/excel/functions/norm-s-dist-function" TargetMode="External"/><Relationship Id="rId470" Type="http://schemas.openxmlformats.org/officeDocument/2006/relationships/hyperlink" Target="https://support.microsoft.com/en-us/excel/functions/trunc-function" TargetMode="External"/><Relationship Id="rId58" Type="http://schemas.openxmlformats.org/officeDocument/2006/relationships/hyperlink" Target="https://support.microsoft.com/en-us/excel/functions/char-function" TargetMode="External"/><Relationship Id="rId123" Type="http://schemas.openxmlformats.org/officeDocument/2006/relationships/hyperlink" Target="https://support.microsoft.com/en-us/excel/functions/dcount-function" TargetMode="External"/><Relationship Id="rId330" Type="http://schemas.openxmlformats.org/officeDocument/2006/relationships/hyperlink" Target="https://support.microsoft.com/en-us/excel/functions/oct2bin-function" TargetMode="External"/><Relationship Id="rId165" Type="http://schemas.openxmlformats.org/officeDocument/2006/relationships/hyperlink" Target="https://support.microsoft.com/en-us/excel/functions/f-dist-function" TargetMode="External"/><Relationship Id="rId372" Type="http://schemas.openxmlformats.org/officeDocument/2006/relationships/hyperlink" Target="https://support.microsoft.com/en-us/excel/functions/radians-function" TargetMode="External"/><Relationship Id="rId428" Type="http://schemas.openxmlformats.org/officeDocument/2006/relationships/hyperlink" Target="https://support.microsoft.com/en-us/excel/functions/sum-function" TargetMode="External"/><Relationship Id="rId232" Type="http://schemas.openxmlformats.org/officeDocument/2006/relationships/hyperlink" Target="https://support.microsoft.com/en-us/excel/functions/imdiv-function" TargetMode="External"/><Relationship Id="rId274" Type="http://schemas.openxmlformats.org/officeDocument/2006/relationships/hyperlink" Target="https://support.microsoft.com/en-us/excel/functions/linest-function" TargetMode="External"/><Relationship Id="rId481" Type="http://schemas.openxmlformats.org/officeDocument/2006/relationships/hyperlink" Target="https://support.microsoft.com/en-us/excel/functions/var-s-function" TargetMode="External"/><Relationship Id="rId27" Type="http://schemas.openxmlformats.org/officeDocument/2006/relationships/hyperlink" Target="https://support.microsoft.com/en-us/excel/functions/averageif-function" TargetMode="External"/><Relationship Id="rId69" Type="http://schemas.openxmlformats.org/officeDocument/2006/relationships/hyperlink" Target="https://support.microsoft.com/en-us/excel/functions/chooserows-function" TargetMode="External"/><Relationship Id="rId134" Type="http://schemas.openxmlformats.org/officeDocument/2006/relationships/hyperlink" Target="https://support.microsoft.com/en-us/excel/functions/dget-function" TargetMode="External"/><Relationship Id="rId80" Type="http://schemas.openxmlformats.org/officeDocument/2006/relationships/hyperlink" Target="https://support.microsoft.com/en-us/excel/functions/confidence-norm-function" TargetMode="External"/><Relationship Id="rId176" Type="http://schemas.openxmlformats.org/officeDocument/2006/relationships/hyperlink" Target="https://support.microsoft.com/en-us/excel/functions/filterxml-function" TargetMode="External"/><Relationship Id="rId341" Type="http://schemas.openxmlformats.org/officeDocument/2006/relationships/hyperlink" Target="https://support.microsoft.com/en-us/excel/functions/pearson-function" TargetMode="External"/><Relationship Id="rId383" Type="http://schemas.openxmlformats.org/officeDocument/2006/relationships/hyperlink" Target="https://support.microsoft.com/en-us/excel/functions/regexreplace-function" TargetMode="External"/><Relationship Id="rId439" Type="http://schemas.openxmlformats.org/officeDocument/2006/relationships/hyperlink" Target="https://support.microsoft.com/en-us/excel/functions/t-dist-function" TargetMode="External"/><Relationship Id="rId201" Type="http://schemas.openxmlformats.org/officeDocument/2006/relationships/hyperlink" Target="https://support.microsoft.com/en-us/excel/functions/gauss-function" TargetMode="External"/><Relationship Id="rId243" Type="http://schemas.openxmlformats.org/officeDocument/2006/relationships/hyperlink" Target="https://support.microsoft.com/en-us/excel/functions/imsech-function" TargetMode="External"/><Relationship Id="rId285" Type="http://schemas.openxmlformats.org/officeDocument/2006/relationships/hyperlink" Target="https://support.microsoft.com/en-us/excel/functions/makearray-function" TargetMode="External"/><Relationship Id="rId450" Type="http://schemas.openxmlformats.org/officeDocument/2006/relationships/hyperlink" Target="https://support.microsoft.com/en-us/excel/functions/tbillyield-function" TargetMode="External"/><Relationship Id="rId506" Type="http://schemas.openxmlformats.org/officeDocument/2006/relationships/hyperlink" Target="https://support.microsoft.com/en-us/excel/functions/yieldmat-function" TargetMode="External"/><Relationship Id="rId38" Type="http://schemas.openxmlformats.org/officeDocument/2006/relationships/hyperlink" Target="https://support.microsoft.com/en-us/excel/functions/betainv-function" TargetMode="External"/><Relationship Id="rId103" Type="http://schemas.openxmlformats.org/officeDocument/2006/relationships/hyperlink" Target="https://support.microsoft.com/en-us/excel/functions/csc-function" TargetMode="External"/><Relationship Id="rId310" Type="http://schemas.openxmlformats.org/officeDocument/2006/relationships/hyperlink" Target="https://support.microsoft.com/en-us/excel/functions/n-function" TargetMode="External"/><Relationship Id="rId492" Type="http://schemas.openxmlformats.org/officeDocument/2006/relationships/hyperlink" Target="https://support.microsoft.com/en-us/excel/functions/weibull-dist-function" TargetMode="External"/><Relationship Id="rId91" Type="http://schemas.openxmlformats.org/officeDocument/2006/relationships/hyperlink" Target="https://support.microsoft.com/en-us/excel/functions/countblank-function" TargetMode="External"/><Relationship Id="rId145" Type="http://schemas.openxmlformats.org/officeDocument/2006/relationships/hyperlink" Target="https://support.microsoft.com/en-us/excel/functions/dsum-function" TargetMode="External"/><Relationship Id="rId187" Type="http://schemas.openxmlformats.org/officeDocument/2006/relationships/hyperlink" Target="https://support.microsoft.com/en-us/excel/functions/forecast-ets-seasonality-function" TargetMode="External"/><Relationship Id="rId352" Type="http://schemas.openxmlformats.org/officeDocument/2006/relationships/hyperlink" Target="https://support.microsoft.com/en-us/excel/functions/phonetic-function" TargetMode="External"/><Relationship Id="rId394" Type="http://schemas.openxmlformats.org/officeDocument/2006/relationships/hyperlink" Target="https://support.microsoft.com/en-us/excel/functions/rows-function" TargetMode="External"/><Relationship Id="rId408" Type="http://schemas.openxmlformats.org/officeDocument/2006/relationships/hyperlink" Target="https://support.microsoft.com/en-us/excel/functions/sin-function" TargetMode="External"/><Relationship Id="rId212" Type="http://schemas.openxmlformats.org/officeDocument/2006/relationships/hyperlink" Target="https://support.microsoft.com/en-us/excel/functions/hlookup-function" TargetMode="External"/><Relationship Id="rId254" Type="http://schemas.openxmlformats.org/officeDocument/2006/relationships/hyperlink" Target="https://support.microsoft.com/en-us/excel/functions/intercept-function" TargetMode="External"/><Relationship Id="rId49" Type="http://schemas.openxmlformats.org/officeDocument/2006/relationships/hyperlink" Target="https://support.microsoft.com/en-us/excel/functions/bitrshift-function" TargetMode="External"/><Relationship Id="rId114" Type="http://schemas.openxmlformats.org/officeDocument/2006/relationships/hyperlink" Target="https://support.microsoft.com/en-us/excel/functions/date-function" TargetMode="External"/><Relationship Id="rId296" Type="http://schemas.openxmlformats.org/officeDocument/2006/relationships/hyperlink" Target="https://support.microsoft.com/en-us/excel/functions/mina-function" TargetMode="External"/><Relationship Id="rId461" Type="http://schemas.openxmlformats.org/officeDocument/2006/relationships/hyperlink" Target="https://support.microsoft.com/en-us/excel/functions/today-function" TargetMode="External"/><Relationship Id="rId517" Type="http://schemas.openxmlformats.org/officeDocument/2006/relationships/hyperlink" Target="https://support.microsoft.com/en-us/excel/functions/len-function" TargetMode="External"/><Relationship Id="rId60" Type="http://schemas.openxmlformats.org/officeDocument/2006/relationships/hyperlink" Target="https://support.microsoft.com/en-us/excel/functions/chiinv-function" TargetMode="External"/><Relationship Id="rId156" Type="http://schemas.openxmlformats.org/officeDocument/2006/relationships/hyperlink" Target="https://support.microsoft.com/en-us/excel/functions/erfc-precise-function" TargetMode="External"/><Relationship Id="rId198" Type="http://schemas.openxmlformats.org/officeDocument/2006/relationships/hyperlink" Target="https://support.microsoft.com/en-us/excel/functions/gammainv-function" TargetMode="External"/><Relationship Id="rId321" Type="http://schemas.openxmlformats.org/officeDocument/2006/relationships/hyperlink" Target="https://support.microsoft.com/en-us/excel/functions/normdist-function" TargetMode="External"/><Relationship Id="rId363" Type="http://schemas.openxmlformats.org/officeDocument/2006/relationships/hyperlink" Target="https://support.microsoft.com/en-us/excel/functions/prob-function" TargetMode="External"/><Relationship Id="rId419" Type="http://schemas.openxmlformats.org/officeDocument/2006/relationships/hyperlink" Target="https://support.microsoft.com/en-us/excel/functions/stdev-p-function" TargetMode="External"/><Relationship Id="rId223" Type="http://schemas.openxmlformats.org/officeDocument/2006/relationships/hyperlink" Target="https://support.microsoft.com/en-us/excel/functions/image-function" TargetMode="External"/><Relationship Id="rId430" Type="http://schemas.openxmlformats.org/officeDocument/2006/relationships/hyperlink" Target="https://support.microsoft.com/en-us/excel/functions/sumifs-function" TargetMode="External"/><Relationship Id="rId18" Type="http://schemas.openxmlformats.org/officeDocument/2006/relationships/hyperlink" Target="https://support.microsoft.com/en-us/excel/functions/asc-function" TargetMode="External"/><Relationship Id="rId265" Type="http://schemas.openxmlformats.org/officeDocument/2006/relationships/hyperlink" Target="https://support.microsoft.com/en-us/excel/functions/ispmt-function" TargetMode="External"/><Relationship Id="rId472" Type="http://schemas.openxmlformats.org/officeDocument/2006/relationships/hyperlink" Target="https://support.microsoft.com/en-us/excel/functions/type-function" TargetMode="External"/><Relationship Id="rId125" Type="http://schemas.openxmlformats.org/officeDocument/2006/relationships/hyperlink" Target="https://support.microsoft.com/en-us/excel/functions/ddb-function" TargetMode="External"/><Relationship Id="rId167" Type="http://schemas.openxmlformats.org/officeDocument/2006/relationships/hyperlink" Target="https://support.microsoft.com/en-us/excel/functions/f-inv-function" TargetMode="External"/><Relationship Id="rId332" Type="http://schemas.openxmlformats.org/officeDocument/2006/relationships/hyperlink" Target="https://support.microsoft.com/en-us/excel/functions/oct2hex-function" TargetMode="External"/><Relationship Id="rId374" Type="http://schemas.openxmlformats.org/officeDocument/2006/relationships/hyperlink" Target="https://support.microsoft.com/en-us/excel/functions/randarray-function" TargetMode="External"/><Relationship Id="rId71" Type="http://schemas.openxmlformats.org/officeDocument/2006/relationships/hyperlink" Target="https://support.microsoft.com/en-us/excel/functions/code-function" TargetMode="External"/><Relationship Id="rId234" Type="http://schemas.openxmlformats.org/officeDocument/2006/relationships/hyperlink" Target="https://support.microsoft.com/en-us/excel/functions/imln-function" TargetMode="External"/><Relationship Id="rId2" Type="http://schemas.openxmlformats.org/officeDocument/2006/relationships/hyperlink" Target="https://bettersolutions.com/excel/functions/updates.htm" TargetMode="External"/><Relationship Id="rId29" Type="http://schemas.openxmlformats.org/officeDocument/2006/relationships/hyperlink" Target="https://support.microsoft.com/en-us/excel/functions/bahttext-function" TargetMode="External"/><Relationship Id="rId276" Type="http://schemas.openxmlformats.org/officeDocument/2006/relationships/hyperlink" Target="https://support.microsoft.com/en-us/excel/functions/log-function" TargetMode="External"/><Relationship Id="rId441" Type="http://schemas.openxmlformats.org/officeDocument/2006/relationships/hyperlink" Target="https://support.microsoft.com/en-us/excel/functions/t-dist-rt-function" TargetMode="External"/><Relationship Id="rId483" Type="http://schemas.openxmlformats.org/officeDocument/2006/relationships/hyperlink" Target="https://support.microsoft.com/en-us/excel/functions/varp-function" TargetMode="External"/><Relationship Id="rId40" Type="http://schemas.openxmlformats.org/officeDocument/2006/relationships/hyperlink" Target="https://support.microsoft.com/en-us/excel/functions/bin2hex-function" TargetMode="External"/><Relationship Id="rId136" Type="http://schemas.openxmlformats.org/officeDocument/2006/relationships/hyperlink" Target="https://support.microsoft.com/en-us/excel/functions/dmax-function" TargetMode="External"/><Relationship Id="rId178" Type="http://schemas.openxmlformats.org/officeDocument/2006/relationships/hyperlink" Target="https://support.microsoft.com/en-us/excel/functions/fisher-function" TargetMode="External"/><Relationship Id="rId301" Type="http://schemas.openxmlformats.org/officeDocument/2006/relationships/hyperlink" Target="https://support.microsoft.com/en-us/excel/functions/mmult-function" TargetMode="External"/><Relationship Id="rId343" Type="http://schemas.openxmlformats.org/officeDocument/2006/relationships/hyperlink" Target="https://support.microsoft.com/en-us/excel/functions/percentile-exc-function" TargetMode="External"/><Relationship Id="rId82" Type="http://schemas.openxmlformats.org/officeDocument/2006/relationships/hyperlink" Target="https://support.microsoft.com/en-us/excel/functions/convert-function" TargetMode="External"/><Relationship Id="rId203" Type="http://schemas.openxmlformats.org/officeDocument/2006/relationships/hyperlink" Target="https://support.microsoft.com/en-us/excel/functions/geomean-function" TargetMode="External"/><Relationship Id="rId385" Type="http://schemas.openxmlformats.org/officeDocument/2006/relationships/hyperlink" Target="https://support.microsoft.com/en-us/excel/functions/register-id-function" TargetMode="External"/><Relationship Id="rId245" Type="http://schemas.openxmlformats.org/officeDocument/2006/relationships/hyperlink" Target="https://support.microsoft.com/en-us/excel/functions/imsinh-function" TargetMode="External"/><Relationship Id="rId287" Type="http://schemas.openxmlformats.org/officeDocument/2006/relationships/hyperlink" Target="https://support.microsoft.com/en-us/excel/functions/match-function" TargetMode="External"/><Relationship Id="rId410" Type="http://schemas.openxmlformats.org/officeDocument/2006/relationships/hyperlink" Target="https://support.microsoft.com/en-us/excel/functions/skew-function" TargetMode="External"/><Relationship Id="rId452" Type="http://schemas.openxmlformats.org/officeDocument/2006/relationships/hyperlink" Target="https://support.microsoft.com/en-us/excel/functions/text-function" TargetMode="External"/><Relationship Id="rId494" Type="http://schemas.openxmlformats.org/officeDocument/2006/relationships/hyperlink" Target="https://support.microsoft.com/en-us/excel/functions/workday-intl-function" TargetMode="External"/><Relationship Id="rId508" Type="http://schemas.openxmlformats.org/officeDocument/2006/relationships/hyperlink" Target="https://support.microsoft.com/en-us/excel/functions/ztest-function" TargetMode="External"/><Relationship Id="rId105" Type="http://schemas.openxmlformats.org/officeDocument/2006/relationships/hyperlink" Target="https://support.microsoft.com/en-us/excel/functions/cubekpimember-function" TargetMode="External"/><Relationship Id="rId147" Type="http://schemas.openxmlformats.org/officeDocument/2006/relationships/hyperlink" Target="https://support.microsoft.com/en-us/excel/functions/dvar-function" TargetMode="External"/><Relationship Id="rId312" Type="http://schemas.openxmlformats.org/officeDocument/2006/relationships/hyperlink" Target="https://support.microsoft.com/en-us/excel/functions/negbinom-dist-function" TargetMode="External"/><Relationship Id="rId354" Type="http://schemas.openxmlformats.org/officeDocument/2006/relationships/hyperlink" Target="https://support.microsoft.com/en-us/excel/functions/pivotby-function" TargetMode="External"/><Relationship Id="rId51" Type="http://schemas.openxmlformats.org/officeDocument/2006/relationships/hyperlink" Target="https://support.microsoft.com/en-us/excel/functions/bycol-function" TargetMode="External"/><Relationship Id="rId93" Type="http://schemas.openxmlformats.org/officeDocument/2006/relationships/hyperlink" Target="https://support.microsoft.com/en-us/excel/functions/coupdaybs-function" TargetMode="External"/><Relationship Id="rId189" Type="http://schemas.openxmlformats.org/officeDocument/2006/relationships/hyperlink" Target="https://support.microsoft.com/en-us/excel/functions/formulatext-function" TargetMode="External"/><Relationship Id="rId396" Type="http://schemas.openxmlformats.org/officeDocument/2006/relationships/hyperlink" Target="https://support.microsoft.com/en-us/excel/functions/rsq-function" TargetMode="External"/><Relationship Id="rId214" Type="http://schemas.openxmlformats.org/officeDocument/2006/relationships/hyperlink" Target="https://support.microsoft.com/en-us/excel/functions/hstack-function" TargetMode="External"/><Relationship Id="rId256" Type="http://schemas.openxmlformats.org/officeDocument/2006/relationships/hyperlink" Target="https://support.microsoft.com/en-us/excel/functions/ipmt-function" TargetMode="External"/><Relationship Id="rId298" Type="http://schemas.openxmlformats.org/officeDocument/2006/relationships/hyperlink" Target="https://support.microsoft.com/en-us/excel/functions/minute-function" TargetMode="External"/><Relationship Id="rId421" Type="http://schemas.openxmlformats.org/officeDocument/2006/relationships/hyperlink" Target="https://support.microsoft.com/en-us/excel/functions/stdeva-function" TargetMode="External"/><Relationship Id="rId463" Type="http://schemas.openxmlformats.org/officeDocument/2006/relationships/hyperlink" Target="https://support.microsoft.com/en-us/excel/functions/translate-function" TargetMode="External"/><Relationship Id="rId519" Type="http://schemas.openxmlformats.org/officeDocument/2006/relationships/hyperlink" Target="https://support.microsoft.com/en-us/excel/functions/replace-function" TargetMode="External"/><Relationship Id="rId116" Type="http://schemas.openxmlformats.org/officeDocument/2006/relationships/hyperlink" Target="https://support.microsoft.com/en-us/excel/functions/datevalue-function" TargetMode="External"/><Relationship Id="rId158" Type="http://schemas.openxmlformats.org/officeDocument/2006/relationships/hyperlink" Target="https://support.microsoft.com/en-us/excel/functions/euroconvert-function" TargetMode="External"/><Relationship Id="rId323" Type="http://schemas.openxmlformats.org/officeDocument/2006/relationships/hyperlink" Target="https://support.microsoft.com/en-us/excel/functions/normsdist-function" TargetMode="External"/><Relationship Id="rId20" Type="http://schemas.openxmlformats.org/officeDocument/2006/relationships/hyperlink" Target="https://support.microsoft.com/en-us/excel/functions/asinh-function" TargetMode="External"/><Relationship Id="rId62" Type="http://schemas.openxmlformats.org/officeDocument/2006/relationships/hyperlink" Target="https://support.microsoft.com/en-us/excel/functions/chisq-dist-rt-function" TargetMode="External"/><Relationship Id="rId365" Type="http://schemas.openxmlformats.org/officeDocument/2006/relationships/hyperlink" Target="https://support.microsoft.com/en-us/excel/functions/proper-function" TargetMode="External"/><Relationship Id="rId225" Type="http://schemas.openxmlformats.org/officeDocument/2006/relationships/hyperlink" Target="https://support.microsoft.com/en-us/excel/functions/imargument-function" TargetMode="External"/><Relationship Id="rId267" Type="http://schemas.openxmlformats.org/officeDocument/2006/relationships/hyperlink" Target="https://support.microsoft.com/en-us/excel/functions/kurt-function" TargetMode="External"/><Relationship Id="rId432" Type="http://schemas.openxmlformats.org/officeDocument/2006/relationships/hyperlink" Target="https://support.microsoft.com/en-us/excel/functions/sumsq-function" TargetMode="External"/><Relationship Id="rId474" Type="http://schemas.openxmlformats.org/officeDocument/2006/relationships/hyperlink" Target="https://support.microsoft.com/en-us/excel/functions/unicode-function" TargetMode="External"/><Relationship Id="rId127" Type="http://schemas.openxmlformats.org/officeDocument/2006/relationships/hyperlink" Target="https://support.microsoft.com/en-us/excel/functions/dec2hex-function" TargetMode="External"/><Relationship Id="rId31" Type="http://schemas.openxmlformats.org/officeDocument/2006/relationships/hyperlink" Target="https://support.microsoft.com/en-us/excel/functions/besseli-function" TargetMode="External"/><Relationship Id="rId73" Type="http://schemas.openxmlformats.org/officeDocument/2006/relationships/hyperlink" Target="https://support.microsoft.com/en-us/excel/functions/columns-function" TargetMode="External"/><Relationship Id="rId169" Type="http://schemas.openxmlformats.org/officeDocument/2006/relationships/hyperlink" Target="https://support.microsoft.com/en-us/excel/functions/f-test-function" TargetMode="External"/><Relationship Id="rId334" Type="http://schemas.openxmlformats.org/officeDocument/2006/relationships/hyperlink" Target="https://support.microsoft.com/en-us/excel/functions/oddfprice-function" TargetMode="External"/><Relationship Id="rId376" Type="http://schemas.openxmlformats.org/officeDocument/2006/relationships/hyperlink" Target="https://support.microsoft.com/en-us/excel/functions/rank-function" TargetMode="External"/><Relationship Id="rId4" Type="http://schemas.openxmlformats.org/officeDocument/2006/relationships/hyperlink" Target="https://support.microsoft.com/en-us/excel/functions/accrint-function" TargetMode="External"/><Relationship Id="rId180" Type="http://schemas.openxmlformats.org/officeDocument/2006/relationships/hyperlink" Target="https://support.microsoft.com/en-us/excel/functions/fixed-function" TargetMode="External"/><Relationship Id="rId236" Type="http://schemas.openxmlformats.org/officeDocument/2006/relationships/hyperlink" Target="https://support.microsoft.com/en-us/excel/functions/imlog2-function" TargetMode="External"/><Relationship Id="rId278" Type="http://schemas.openxmlformats.org/officeDocument/2006/relationships/hyperlink" Target="https://support.microsoft.com/en-us/excel/functions/logest-function" TargetMode="External"/><Relationship Id="rId401" Type="http://schemas.openxmlformats.org/officeDocument/2006/relationships/hyperlink" Target="https://support.microsoft.com/en-us/excel/functions/sech-function" TargetMode="External"/><Relationship Id="rId443" Type="http://schemas.openxmlformats.org/officeDocument/2006/relationships/hyperlink" Target="https://support.microsoft.com/en-us/excel/functions/t-inv-2t-function" TargetMode="External"/><Relationship Id="rId303" Type="http://schemas.openxmlformats.org/officeDocument/2006/relationships/hyperlink" Target="https://support.microsoft.com/en-us/excel/functions/mode-function" TargetMode="External"/><Relationship Id="rId485" Type="http://schemas.openxmlformats.org/officeDocument/2006/relationships/hyperlink" Target="https://support.microsoft.com/en-us/excel/functions/vdb-function" TargetMode="External"/><Relationship Id="rId42" Type="http://schemas.openxmlformats.org/officeDocument/2006/relationships/hyperlink" Target="https://support.microsoft.com/en-us/excel/functions/binom-dist-function" TargetMode="External"/><Relationship Id="rId84" Type="http://schemas.openxmlformats.org/officeDocument/2006/relationships/hyperlink" Target="https://support.microsoft.com/en-us/excel/functions/correl-function" TargetMode="External"/><Relationship Id="rId138" Type="http://schemas.openxmlformats.org/officeDocument/2006/relationships/hyperlink" Target="https://support.microsoft.com/en-us/excel/functions/dollar-function" TargetMode="External"/><Relationship Id="rId345" Type="http://schemas.openxmlformats.org/officeDocument/2006/relationships/hyperlink" Target="https://support.microsoft.com/en-us/excel/functions/percentof-function" TargetMode="External"/><Relationship Id="rId387" Type="http://schemas.openxmlformats.org/officeDocument/2006/relationships/hyperlink" Target="https://support.microsoft.com/en-us/excel/functions/rept-function" TargetMode="External"/><Relationship Id="rId510" Type="http://schemas.openxmlformats.org/officeDocument/2006/relationships/hyperlink" Target="https://support.microsoft.com/en-us/excel/functions/*" TargetMode="External"/><Relationship Id="rId191" Type="http://schemas.openxmlformats.org/officeDocument/2006/relationships/hyperlink" Target="https://support.microsoft.com/en-us/excel/functions/ftest-function" TargetMode="External"/><Relationship Id="rId205" Type="http://schemas.openxmlformats.org/officeDocument/2006/relationships/hyperlink" Target="https://support.microsoft.com/en-us/excel/functions/getpivotdata-function" TargetMode="External"/><Relationship Id="rId247" Type="http://schemas.openxmlformats.org/officeDocument/2006/relationships/hyperlink" Target="https://support.microsoft.com/en-us/excel/functions/imsub-function" TargetMode="External"/><Relationship Id="rId412" Type="http://schemas.openxmlformats.org/officeDocument/2006/relationships/hyperlink" Target="https://support.microsoft.com/en-us/excel/functions/sln-function" TargetMode="External"/><Relationship Id="rId107" Type="http://schemas.openxmlformats.org/officeDocument/2006/relationships/hyperlink" Target="https://support.microsoft.com/en-us/excel/functions/cubememberproperty-function" TargetMode="External"/><Relationship Id="rId289" Type="http://schemas.openxmlformats.org/officeDocument/2006/relationships/hyperlink" Target="https://support.microsoft.com/en-us/excel/functions/maxa-function" TargetMode="External"/><Relationship Id="rId454" Type="http://schemas.openxmlformats.org/officeDocument/2006/relationships/hyperlink" Target="https://support.microsoft.com/en-us/excel/functions/textbefore-function" TargetMode="External"/><Relationship Id="rId496" Type="http://schemas.openxmlformats.org/officeDocument/2006/relationships/hyperlink" Target="https://support.microsoft.com/en-us/excel/functions/wraprows-function" TargetMode="External"/><Relationship Id="rId11" Type="http://schemas.openxmlformats.org/officeDocument/2006/relationships/hyperlink" Target="https://support.microsoft.com/en-us/excel/functions/aggregate-function" TargetMode="External"/><Relationship Id="rId53" Type="http://schemas.openxmlformats.org/officeDocument/2006/relationships/hyperlink" Target="https://support.microsoft.com/en-us/excel/functions/call-function" TargetMode="External"/><Relationship Id="rId149" Type="http://schemas.openxmlformats.org/officeDocument/2006/relationships/hyperlink" Target="https://support.microsoft.com/en-us/excel/functions/edate-function" TargetMode="External"/><Relationship Id="rId314" Type="http://schemas.openxmlformats.org/officeDocument/2006/relationships/hyperlink" Target="https://support.microsoft.com/en-us/excel/functions/networkdays-function" TargetMode="External"/><Relationship Id="rId356" Type="http://schemas.openxmlformats.org/officeDocument/2006/relationships/hyperlink" Target="https://support.microsoft.com/en-us/excel/functions/poisson-function" TargetMode="External"/><Relationship Id="rId398" Type="http://schemas.openxmlformats.org/officeDocument/2006/relationships/hyperlink" Target="https://support.microsoft.com/en-us/excel/functions/scan-function" TargetMode="External"/><Relationship Id="rId521" Type="http://schemas.openxmlformats.org/officeDocument/2006/relationships/hyperlink" Target="https://support.microsoft.com/en-us/excel/functions/search-function" TargetMode="External"/><Relationship Id="rId95" Type="http://schemas.openxmlformats.org/officeDocument/2006/relationships/hyperlink" Target="https://support.microsoft.com/en-us/excel/functions/coupdaysnc-function" TargetMode="External"/><Relationship Id="rId160" Type="http://schemas.openxmlformats.org/officeDocument/2006/relationships/hyperlink" Target="https://support.microsoft.com/en-us/excel/functions/exact-function" TargetMode="External"/><Relationship Id="rId216" Type="http://schemas.openxmlformats.org/officeDocument/2006/relationships/hyperlink" Target="https://support.microsoft.com/en-us/excel/functions/hypgeom-dist-function" TargetMode="External"/><Relationship Id="rId423" Type="http://schemas.openxmlformats.org/officeDocument/2006/relationships/hyperlink" Target="https://support.microsoft.com/en-us/excel/functions/stdevpa-function" TargetMode="External"/><Relationship Id="rId258" Type="http://schemas.openxmlformats.org/officeDocument/2006/relationships/hyperlink" Target="https://support.microsoft.com/en-us/excel/functions/is-functions" TargetMode="External"/><Relationship Id="rId465" Type="http://schemas.openxmlformats.org/officeDocument/2006/relationships/hyperlink" Target="https://support.microsoft.com/en-us/excel/functions/trend-function" TargetMode="External"/><Relationship Id="rId22" Type="http://schemas.openxmlformats.org/officeDocument/2006/relationships/hyperlink" Target="https://support.microsoft.com/en-us/excel/functions/atan2-function" TargetMode="External"/><Relationship Id="rId64" Type="http://schemas.openxmlformats.org/officeDocument/2006/relationships/hyperlink" Target="https://support.microsoft.com/en-us/excel/functions/chisq-inv-rt-function" TargetMode="External"/><Relationship Id="rId118" Type="http://schemas.openxmlformats.org/officeDocument/2006/relationships/hyperlink" Target="https://support.microsoft.com/en-us/excel/functions/day-function" TargetMode="External"/><Relationship Id="rId325" Type="http://schemas.openxmlformats.org/officeDocument/2006/relationships/hyperlink" Target="https://support.microsoft.com/en-us/excel/functions/not-function" TargetMode="External"/><Relationship Id="rId367" Type="http://schemas.openxmlformats.org/officeDocument/2006/relationships/hyperlink" Target="https://support.microsoft.com/en-us/excel/functions/py-function" TargetMode="External"/><Relationship Id="rId171" Type="http://schemas.openxmlformats.org/officeDocument/2006/relationships/hyperlink" Target="https://support.microsoft.com/en-us/excel/functions/factdouble-function" TargetMode="External"/><Relationship Id="rId227" Type="http://schemas.openxmlformats.org/officeDocument/2006/relationships/hyperlink" Target="https://support.microsoft.com/en-us/excel/functions/imcos-function" TargetMode="External"/><Relationship Id="rId269" Type="http://schemas.openxmlformats.org/officeDocument/2006/relationships/hyperlink" Target="https://support.microsoft.com/en-us/excel/functions/large-function" TargetMode="External"/><Relationship Id="rId434" Type="http://schemas.openxmlformats.org/officeDocument/2006/relationships/hyperlink" Target="https://support.microsoft.com/en-us/excel/functions/sumx2py2-function" TargetMode="External"/><Relationship Id="rId476" Type="http://schemas.openxmlformats.org/officeDocument/2006/relationships/hyperlink" Target="https://support.microsoft.com/en-us/excel/functions/upper-function" TargetMode="External"/><Relationship Id="rId33" Type="http://schemas.openxmlformats.org/officeDocument/2006/relationships/hyperlink" Target="https://support.microsoft.com/en-us/excel/functions/besselk-function" TargetMode="External"/><Relationship Id="rId129" Type="http://schemas.openxmlformats.org/officeDocument/2006/relationships/hyperlink" Target="https://support.microsoft.com/en-us/excel/functions/decimal-function" TargetMode="External"/><Relationship Id="rId280" Type="http://schemas.openxmlformats.org/officeDocument/2006/relationships/hyperlink" Target="https://support.microsoft.com/en-us/excel/functions/lognorm-dist-function" TargetMode="External"/><Relationship Id="rId336" Type="http://schemas.openxmlformats.org/officeDocument/2006/relationships/hyperlink" Target="https://support.microsoft.com/en-us/excel/functions/oddlprice-function" TargetMode="External"/><Relationship Id="rId501" Type="http://schemas.openxmlformats.org/officeDocument/2006/relationships/hyperlink" Target="https://support.microsoft.com/en-us/excel/functions/xor-function" TargetMode="External"/><Relationship Id="rId75" Type="http://schemas.openxmlformats.org/officeDocument/2006/relationships/hyperlink" Target="https://support.microsoft.com/en-us/excel/functions/combina-function" TargetMode="External"/><Relationship Id="rId140" Type="http://schemas.openxmlformats.org/officeDocument/2006/relationships/hyperlink" Target="https://support.microsoft.com/en-us/excel/functions/dollarfr-function" TargetMode="External"/><Relationship Id="rId182" Type="http://schemas.openxmlformats.org/officeDocument/2006/relationships/hyperlink" Target="https://support.microsoft.com/en-us/excel/functions/floor-math-function" TargetMode="External"/><Relationship Id="rId378" Type="http://schemas.openxmlformats.org/officeDocument/2006/relationships/hyperlink" Target="https://support.microsoft.com/en-us/excel/functions/rank-eq-function" TargetMode="External"/><Relationship Id="rId403" Type="http://schemas.openxmlformats.org/officeDocument/2006/relationships/hyperlink" Target="https://support.microsoft.com/en-us/excel/functions/sequence-function" TargetMode="External"/><Relationship Id="rId6" Type="http://schemas.openxmlformats.org/officeDocument/2006/relationships/hyperlink" Target="https://support.microsoft.com/en-us/excel/functions/acos-function" TargetMode="External"/><Relationship Id="rId238" Type="http://schemas.openxmlformats.org/officeDocument/2006/relationships/hyperlink" Target="https://support.microsoft.com/en-us/excel/functions/importtext-function" TargetMode="External"/><Relationship Id="rId445" Type="http://schemas.openxmlformats.org/officeDocument/2006/relationships/hyperlink" Target="https://support.microsoft.com/en-us/excel/functions/take-function" TargetMode="External"/><Relationship Id="rId487" Type="http://schemas.openxmlformats.org/officeDocument/2006/relationships/hyperlink" Target="https://support.microsoft.com/en-us/excel/functions/vstack-function" TargetMode="External"/><Relationship Id="rId291" Type="http://schemas.openxmlformats.org/officeDocument/2006/relationships/hyperlink" Target="https://support.microsoft.com/en-us/excel/functions/mdeterm-function" TargetMode="External"/><Relationship Id="rId305" Type="http://schemas.openxmlformats.org/officeDocument/2006/relationships/hyperlink" Target="https://support.microsoft.com/en-us/excel/functions/mode-sngl-function" TargetMode="External"/><Relationship Id="rId347" Type="http://schemas.openxmlformats.org/officeDocument/2006/relationships/hyperlink" Target="https://support.microsoft.com/en-us/excel/functions/percentrank-exc-function" TargetMode="External"/><Relationship Id="rId512" Type="http://schemas.openxmlformats.org/officeDocument/2006/relationships/hyperlink" Target="https://support.microsoft.com/en-us/excel/functions/is-functions" TargetMode="External"/><Relationship Id="rId44" Type="http://schemas.openxmlformats.org/officeDocument/2006/relationships/hyperlink" Target="https://support.microsoft.com/en-us/excel/functions/binom-inv-function" TargetMode="External"/><Relationship Id="rId86" Type="http://schemas.openxmlformats.org/officeDocument/2006/relationships/hyperlink" Target="https://support.microsoft.com/en-us/excel/functions/cosh-function" TargetMode="External"/><Relationship Id="rId151" Type="http://schemas.openxmlformats.org/officeDocument/2006/relationships/hyperlink" Target="https://support.microsoft.com/en-us/excel/functions/encodeurl-function" TargetMode="External"/><Relationship Id="rId389" Type="http://schemas.openxmlformats.org/officeDocument/2006/relationships/hyperlink" Target="https://support.microsoft.com/en-us/excel/functions/roman-function" TargetMode="External"/><Relationship Id="rId193" Type="http://schemas.openxmlformats.org/officeDocument/2006/relationships/hyperlink" Target="https://support.microsoft.com/en-us/excel/functions/fvschedule-function" TargetMode="External"/><Relationship Id="rId207" Type="http://schemas.openxmlformats.org/officeDocument/2006/relationships/hyperlink" Target="https://support.microsoft.com/en-us/excel/functions/growth-function" TargetMode="External"/><Relationship Id="rId249" Type="http://schemas.openxmlformats.org/officeDocument/2006/relationships/hyperlink" Target="https://support.microsoft.com/en-us/excel/functions/imtan-function" TargetMode="External"/><Relationship Id="rId414" Type="http://schemas.openxmlformats.org/officeDocument/2006/relationships/hyperlink" Target="https://support.microsoft.com/en-us/excel/functions/small-function" TargetMode="External"/><Relationship Id="rId456" Type="http://schemas.openxmlformats.org/officeDocument/2006/relationships/hyperlink" Target="https://support.microsoft.com/en-us/excel/functions/textsplit-function" TargetMode="External"/><Relationship Id="rId498" Type="http://schemas.openxmlformats.org/officeDocument/2006/relationships/hyperlink" Target="https://support.microsoft.com/en-us/excel/functions/xlookup-function" TargetMode="External"/><Relationship Id="rId13" Type="http://schemas.openxmlformats.org/officeDocument/2006/relationships/hyperlink" Target="https://support.microsoft.com/en-us/excel/functions/amorlinc-function" TargetMode="External"/><Relationship Id="rId109" Type="http://schemas.openxmlformats.org/officeDocument/2006/relationships/hyperlink" Target="https://support.microsoft.com/en-us/excel/functions/cubeset-function" TargetMode="External"/><Relationship Id="rId260" Type="http://schemas.openxmlformats.org/officeDocument/2006/relationships/hyperlink" Target="https://support.microsoft.com/en-us/excel/functions/isformula-function" TargetMode="External"/><Relationship Id="rId316" Type="http://schemas.openxmlformats.org/officeDocument/2006/relationships/hyperlink" Target="https://support.microsoft.com/en-us/excel/functions/nominal-function" TargetMode="External"/><Relationship Id="rId523" Type="http://schemas.openxmlformats.org/officeDocument/2006/relationships/hyperlink" Target="https://support.microsoft.com/en-us/excel/functions/sqrtpi-function" TargetMode="External"/><Relationship Id="rId55" Type="http://schemas.openxmlformats.org/officeDocument/2006/relationships/hyperlink" Target="https://support.microsoft.com/en-us/excel/functions/ceiling-math-function" TargetMode="External"/><Relationship Id="rId97" Type="http://schemas.openxmlformats.org/officeDocument/2006/relationships/hyperlink" Target="https://support.microsoft.com/en-us/excel/functions/coupnum-function" TargetMode="External"/><Relationship Id="rId120" Type="http://schemas.openxmlformats.org/officeDocument/2006/relationships/hyperlink" Target="https://support.microsoft.com/en-us/excel/functions/days360-function" TargetMode="External"/><Relationship Id="rId358" Type="http://schemas.openxmlformats.org/officeDocument/2006/relationships/hyperlink" Target="https://support.microsoft.com/en-us/excel/functions/power-function" TargetMode="External"/><Relationship Id="rId162" Type="http://schemas.openxmlformats.org/officeDocument/2006/relationships/hyperlink" Target="https://support.microsoft.com/en-us/excel/functions/expand-function" TargetMode="External"/><Relationship Id="rId218" Type="http://schemas.openxmlformats.org/officeDocument/2006/relationships/hyperlink" Target="https://support.microsoft.com/en-us/excel/functions/if-function" TargetMode="External"/><Relationship Id="rId425" Type="http://schemas.openxmlformats.org/officeDocument/2006/relationships/hyperlink" Target="https://support.microsoft.com/en-us/excel/functions/stockhistory-function" TargetMode="External"/><Relationship Id="rId467" Type="http://schemas.openxmlformats.org/officeDocument/2006/relationships/hyperlink" Target="https://support.microsoft.com/en-us/excel/functions/trimmean-function" TargetMode="External"/><Relationship Id="rId271" Type="http://schemas.openxmlformats.org/officeDocument/2006/relationships/hyperlink" Target="https://support.microsoft.com/en-us/excel/functions/left-function" TargetMode="External"/><Relationship Id="rId24" Type="http://schemas.openxmlformats.org/officeDocument/2006/relationships/hyperlink" Target="https://support.microsoft.com/en-us/excel/functions/avedev-function" TargetMode="External"/><Relationship Id="rId66" Type="http://schemas.openxmlformats.org/officeDocument/2006/relationships/hyperlink" Target="https://support.microsoft.com/en-us/excel/functions/chitest-function" TargetMode="External"/><Relationship Id="rId131" Type="http://schemas.openxmlformats.org/officeDocument/2006/relationships/hyperlink" Target="https://support.microsoft.com/en-us/excel/functions/delta-function" TargetMode="External"/><Relationship Id="rId327" Type="http://schemas.openxmlformats.org/officeDocument/2006/relationships/hyperlink" Target="https://support.microsoft.com/en-us/excel/functions/nper-function" TargetMode="External"/><Relationship Id="rId369" Type="http://schemas.openxmlformats.org/officeDocument/2006/relationships/hyperlink" Target="https://support.microsoft.com/en-us/excel/functions/quartile-exc-function" TargetMode="External"/><Relationship Id="rId173" Type="http://schemas.openxmlformats.org/officeDocument/2006/relationships/hyperlink" Target="https://support.microsoft.com/en-us/excel/functions/fdist-function" TargetMode="External"/><Relationship Id="rId229" Type="http://schemas.openxmlformats.org/officeDocument/2006/relationships/hyperlink" Target="https://support.microsoft.com/en-us/excel/functions/imcot-function" TargetMode="External"/><Relationship Id="rId380" Type="http://schemas.openxmlformats.org/officeDocument/2006/relationships/hyperlink" Target="https://support.microsoft.com/en-us/excel/functions/received-function" TargetMode="External"/><Relationship Id="rId436" Type="http://schemas.openxmlformats.org/officeDocument/2006/relationships/hyperlink" Target="https://support.microsoft.com/en-us/excel/functions/switch-function" TargetMode="External"/><Relationship Id="rId240" Type="http://schemas.openxmlformats.org/officeDocument/2006/relationships/hyperlink" Target="https://support.microsoft.com/en-us/excel/functions/improduct-function" TargetMode="External"/><Relationship Id="rId478" Type="http://schemas.openxmlformats.org/officeDocument/2006/relationships/hyperlink" Target="https://support.microsoft.com/en-us/excel/functions/valuetotext-function" TargetMode="External"/><Relationship Id="rId35" Type="http://schemas.openxmlformats.org/officeDocument/2006/relationships/hyperlink" Target="https://support.microsoft.com/en-us/excel/functions/beta-dist-function" TargetMode="External"/><Relationship Id="rId77" Type="http://schemas.openxmlformats.org/officeDocument/2006/relationships/hyperlink" Target="https://support.microsoft.com/en-us/excel/functions/concat-function" TargetMode="External"/><Relationship Id="rId100" Type="http://schemas.openxmlformats.org/officeDocument/2006/relationships/hyperlink" Target="https://support.microsoft.com/en-us/excel/functions/covariance-p-function" TargetMode="External"/><Relationship Id="rId282" Type="http://schemas.openxmlformats.org/officeDocument/2006/relationships/hyperlink" Target="https://support.microsoft.com/en-us/excel/functions/lognormdist-function" TargetMode="External"/><Relationship Id="rId338" Type="http://schemas.openxmlformats.org/officeDocument/2006/relationships/hyperlink" Target="https://support.microsoft.com/en-us/excel/functions/offset-function" TargetMode="External"/><Relationship Id="rId503" Type="http://schemas.openxmlformats.org/officeDocument/2006/relationships/hyperlink" Target="https://support.microsoft.com/en-us/excel/functions/yearfrac-function" TargetMode="External"/><Relationship Id="rId8" Type="http://schemas.openxmlformats.org/officeDocument/2006/relationships/hyperlink" Target="https://support.microsoft.com/en-us/excel/functions/acot-function" TargetMode="External"/><Relationship Id="rId142" Type="http://schemas.openxmlformats.org/officeDocument/2006/relationships/hyperlink" Target="https://support.microsoft.com/en-us/excel/functions/drop-function" TargetMode="External"/><Relationship Id="rId184" Type="http://schemas.openxmlformats.org/officeDocument/2006/relationships/hyperlink" Target="https://support.microsoft.com/en-us/excel/functions/forecast-and-forecast-linear-functions" TargetMode="External"/><Relationship Id="rId391" Type="http://schemas.openxmlformats.org/officeDocument/2006/relationships/hyperlink" Target="https://support.microsoft.com/en-us/excel/functions/rounddown-function" TargetMode="External"/><Relationship Id="rId405" Type="http://schemas.openxmlformats.org/officeDocument/2006/relationships/hyperlink" Target="https://support.microsoft.com/en-us/excel/functions/sheet-function" TargetMode="External"/><Relationship Id="rId447" Type="http://schemas.openxmlformats.org/officeDocument/2006/relationships/hyperlink" Target="https://support.microsoft.com/en-us/excel/functions/tanh-function" TargetMode="External"/><Relationship Id="rId251" Type="http://schemas.openxmlformats.org/officeDocument/2006/relationships/hyperlink" Target="https://support.microsoft.com/en-us/excel/functions/indirect-function" TargetMode="External"/><Relationship Id="rId489" Type="http://schemas.openxmlformats.org/officeDocument/2006/relationships/hyperlink" Target="https://support.microsoft.com/en-us/excel/functions/weekday-function" TargetMode="External"/><Relationship Id="rId46" Type="http://schemas.openxmlformats.org/officeDocument/2006/relationships/hyperlink" Target="https://support.microsoft.com/en-us/excel/functions/bitand-function" TargetMode="External"/><Relationship Id="rId293" Type="http://schemas.openxmlformats.org/officeDocument/2006/relationships/hyperlink" Target="https://support.microsoft.com/en-us/excel/functions/median-function" TargetMode="External"/><Relationship Id="rId307" Type="http://schemas.openxmlformats.org/officeDocument/2006/relationships/hyperlink" Target="https://support.microsoft.com/en-us/excel/functions/mround-function" TargetMode="External"/><Relationship Id="rId349" Type="http://schemas.openxmlformats.org/officeDocument/2006/relationships/hyperlink" Target="https://support.microsoft.com/en-us/excel/functions/permut-function" TargetMode="External"/><Relationship Id="rId514" Type="http://schemas.openxmlformats.org/officeDocument/2006/relationships/hyperlink" Target="https://support.microsoft.com/en-us/excel/functions/is-functions" TargetMode="External"/><Relationship Id="rId88" Type="http://schemas.openxmlformats.org/officeDocument/2006/relationships/hyperlink" Target="https://support.microsoft.com/en-us/excel/functions/coth-function" TargetMode="External"/><Relationship Id="rId111" Type="http://schemas.openxmlformats.org/officeDocument/2006/relationships/hyperlink" Target="https://support.microsoft.com/en-us/excel/functions/cubevalue-function" TargetMode="External"/><Relationship Id="rId153" Type="http://schemas.openxmlformats.org/officeDocument/2006/relationships/hyperlink" Target="https://support.microsoft.com/en-us/excel/functions/erf-function" TargetMode="External"/><Relationship Id="rId195" Type="http://schemas.openxmlformats.org/officeDocument/2006/relationships/hyperlink" Target="https://support.microsoft.com/en-us/excel/functions/gamma-dist-function" TargetMode="External"/><Relationship Id="rId209" Type="http://schemas.openxmlformats.org/officeDocument/2006/relationships/hyperlink" Target="https://support.microsoft.com/en-us/excel/functions/hex2bin-function" TargetMode="External"/><Relationship Id="rId360" Type="http://schemas.openxmlformats.org/officeDocument/2006/relationships/hyperlink" Target="https://support.microsoft.com/en-us/excel/functions/price-function" TargetMode="External"/><Relationship Id="rId416" Type="http://schemas.openxmlformats.org/officeDocument/2006/relationships/hyperlink" Target="https://support.microsoft.com/en-us/excel/functions/sortby-function" TargetMode="External"/><Relationship Id="rId220" Type="http://schemas.openxmlformats.org/officeDocument/2006/relationships/hyperlink" Target="https://support.microsoft.com/en-us/excel/functions/ifna-function" TargetMode="External"/><Relationship Id="rId458" Type="http://schemas.openxmlformats.org/officeDocument/2006/relationships/hyperlink" Target="https://support.microsoft.com/en-us/excel/functions/timevalue-function" TargetMode="External"/><Relationship Id="rId15" Type="http://schemas.openxmlformats.org/officeDocument/2006/relationships/hyperlink" Target="https://support.microsoft.com/en-us/excel/functions/arabic-function" TargetMode="External"/><Relationship Id="rId57" Type="http://schemas.openxmlformats.org/officeDocument/2006/relationships/hyperlink" Target="https://support.microsoft.com/en-us/excel/functions/cell-function" TargetMode="External"/><Relationship Id="rId262" Type="http://schemas.openxmlformats.org/officeDocument/2006/relationships/hyperlink" Target="https://support.microsoft.com/en-us/excel/functions/isodd-function" TargetMode="External"/><Relationship Id="rId318" Type="http://schemas.openxmlformats.org/officeDocument/2006/relationships/hyperlink" Target="https://support.microsoft.com/en-us/excel/functions/norm-inv-function" TargetMode="External"/><Relationship Id="rId99" Type="http://schemas.openxmlformats.org/officeDocument/2006/relationships/hyperlink" Target="https://support.microsoft.com/en-us/excel/functions/covar-function" TargetMode="External"/><Relationship Id="rId122" Type="http://schemas.openxmlformats.org/officeDocument/2006/relationships/hyperlink" Target="https://support.microsoft.com/en-us/excel/functions/dbcs-function" TargetMode="External"/><Relationship Id="rId164" Type="http://schemas.openxmlformats.org/officeDocument/2006/relationships/hyperlink" Target="https://support.microsoft.com/en-us/excel/functions/expondist-function" TargetMode="External"/><Relationship Id="rId371" Type="http://schemas.openxmlformats.org/officeDocument/2006/relationships/hyperlink" Target="https://support.microsoft.com/en-us/excel/functions/quotient-function" TargetMode="External"/><Relationship Id="rId427" Type="http://schemas.openxmlformats.org/officeDocument/2006/relationships/hyperlink" Target="https://support.microsoft.com/en-us/excel/functions/subtotal-function" TargetMode="External"/><Relationship Id="rId469" Type="http://schemas.openxmlformats.org/officeDocument/2006/relationships/hyperlink" Target="https://support.microsoft.com/en-us/excel/functions/true-function" TargetMode="External"/><Relationship Id="rId26" Type="http://schemas.openxmlformats.org/officeDocument/2006/relationships/hyperlink" Target="https://support.microsoft.com/en-us/excel/functions/averagea-function" TargetMode="External"/><Relationship Id="rId231" Type="http://schemas.openxmlformats.org/officeDocument/2006/relationships/hyperlink" Target="https://support.microsoft.com/en-us/excel/functions/imcsch-function" TargetMode="External"/><Relationship Id="rId273" Type="http://schemas.openxmlformats.org/officeDocument/2006/relationships/hyperlink" Target="https://support.microsoft.com/en-us/excel/functions/let-function" TargetMode="External"/><Relationship Id="rId329" Type="http://schemas.openxmlformats.org/officeDocument/2006/relationships/hyperlink" Target="https://support.microsoft.com/en-us/excel/functions/numbervalue-function" TargetMode="External"/><Relationship Id="rId480" Type="http://schemas.openxmlformats.org/officeDocument/2006/relationships/hyperlink" Target="https://support.microsoft.com/en-us/excel/functions/var-p-function" TargetMode="External"/><Relationship Id="rId68" Type="http://schemas.openxmlformats.org/officeDocument/2006/relationships/hyperlink" Target="https://support.microsoft.com/en-us/excel/functions/choosecols-function" TargetMode="External"/><Relationship Id="rId133" Type="http://schemas.openxmlformats.org/officeDocument/2006/relationships/hyperlink" Target="https://support.microsoft.com/en-us/excel/functions/devsq-function" TargetMode="External"/><Relationship Id="rId175" Type="http://schemas.openxmlformats.org/officeDocument/2006/relationships/hyperlink" Target="https://support.microsoft.com/en-us/excel/functions/filter-function" TargetMode="External"/><Relationship Id="rId340" Type="http://schemas.openxmlformats.org/officeDocument/2006/relationships/hyperlink" Target="https://support.microsoft.com/en-us/excel/functions/pduration-function" TargetMode="External"/><Relationship Id="rId200" Type="http://schemas.openxmlformats.org/officeDocument/2006/relationships/hyperlink" Target="https://support.microsoft.com/en-us/excel/functions/gammaln-precise-function" TargetMode="External"/><Relationship Id="rId382" Type="http://schemas.openxmlformats.org/officeDocument/2006/relationships/hyperlink" Target="https://support.microsoft.com/en-us/excel/functions/regexextract-function" TargetMode="External"/><Relationship Id="rId438" Type="http://schemas.openxmlformats.org/officeDocument/2006/relationships/hyperlink" Target="https://support.microsoft.com/en-us/excel/functions/t-function" TargetMode="External"/><Relationship Id="rId242" Type="http://schemas.openxmlformats.org/officeDocument/2006/relationships/hyperlink" Target="https://support.microsoft.com/en-us/excel/functions/imsec-function" TargetMode="External"/><Relationship Id="rId284" Type="http://schemas.openxmlformats.org/officeDocument/2006/relationships/hyperlink" Target="https://support.microsoft.com/en-us/excel/functions/lower-function" TargetMode="External"/><Relationship Id="rId491" Type="http://schemas.openxmlformats.org/officeDocument/2006/relationships/hyperlink" Target="https://support.microsoft.com/en-us/excel/functions/weibull-function" TargetMode="External"/><Relationship Id="rId505" Type="http://schemas.openxmlformats.org/officeDocument/2006/relationships/hyperlink" Target="https://support.microsoft.com/en-us/excel/functions/yielddisc-function" TargetMode="External"/><Relationship Id="rId37" Type="http://schemas.openxmlformats.org/officeDocument/2006/relationships/hyperlink" Target="https://support.microsoft.com/en-us/excel/functions/betadist-function" TargetMode="External"/><Relationship Id="rId79" Type="http://schemas.openxmlformats.org/officeDocument/2006/relationships/hyperlink" Target="https://support.microsoft.com/en-us/excel/functions/confidence-function" TargetMode="External"/><Relationship Id="rId102" Type="http://schemas.openxmlformats.org/officeDocument/2006/relationships/hyperlink" Target="https://support.microsoft.com/en-us/excel/functions/critbinom-function" TargetMode="External"/><Relationship Id="rId144" Type="http://schemas.openxmlformats.org/officeDocument/2006/relationships/hyperlink" Target="https://support.microsoft.com/en-us/excel/functions/dstdevp-function" TargetMode="External"/><Relationship Id="rId90" Type="http://schemas.openxmlformats.org/officeDocument/2006/relationships/hyperlink" Target="https://support.microsoft.com/en-us/excel/functions/counta-function" TargetMode="External"/><Relationship Id="rId186" Type="http://schemas.openxmlformats.org/officeDocument/2006/relationships/hyperlink" Target="https://support.microsoft.com/en-us/excel/functions/forecast-ets-confint-function" TargetMode="External"/><Relationship Id="rId351" Type="http://schemas.openxmlformats.org/officeDocument/2006/relationships/hyperlink" Target="https://support.microsoft.com/en-us/excel/functions/phi-function" TargetMode="External"/><Relationship Id="rId393" Type="http://schemas.openxmlformats.org/officeDocument/2006/relationships/hyperlink" Target="https://support.microsoft.com/en-us/excel/functions/row-function" TargetMode="External"/><Relationship Id="rId407" Type="http://schemas.openxmlformats.org/officeDocument/2006/relationships/hyperlink" Target="https://support.microsoft.com/en-us/excel/functions/sign-function" TargetMode="External"/><Relationship Id="rId449" Type="http://schemas.openxmlformats.org/officeDocument/2006/relationships/hyperlink" Target="https://support.microsoft.com/en-us/excel/functions/tbillprice-function" TargetMode="External"/><Relationship Id="rId211" Type="http://schemas.openxmlformats.org/officeDocument/2006/relationships/hyperlink" Target="https://support.microsoft.com/en-us/excel/functions/hex2oct-function" TargetMode="External"/><Relationship Id="rId253" Type="http://schemas.openxmlformats.org/officeDocument/2006/relationships/hyperlink" Target="https://support.microsoft.com/en-us/excel/functions/int-function" TargetMode="External"/><Relationship Id="rId295" Type="http://schemas.openxmlformats.org/officeDocument/2006/relationships/hyperlink" Target="https://support.microsoft.com/en-us/excel/functions/min-function" TargetMode="External"/><Relationship Id="rId309" Type="http://schemas.openxmlformats.org/officeDocument/2006/relationships/hyperlink" Target="https://support.microsoft.com/en-us/excel/functions/munit-function" TargetMode="External"/><Relationship Id="rId460" Type="http://schemas.openxmlformats.org/officeDocument/2006/relationships/hyperlink" Target="https://support.microsoft.com/en-us/excel/functions/tocol-function" TargetMode="External"/><Relationship Id="rId516" Type="http://schemas.openxmlformats.org/officeDocument/2006/relationships/hyperlink" Target="https://support.microsoft.com/en-us/excel/functions/left-function" TargetMode="External"/><Relationship Id="rId48" Type="http://schemas.openxmlformats.org/officeDocument/2006/relationships/hyperlink" Target="https://support.microsoft.com/en-us/excel/functions/bitor-function" TargetMode="External"/><Relationship Id="rId113" Type="http://schemas.openxmlformats.org/officeDocument/2006/relationships/hyperlink" Target="https://support.microsoft.com/en-us/excel/functions/cumprinc-function" TargetMode="External"/><Relationship Id="rId320" Type="http://schemas.openxmlformats.org/officeDocument/2006/relationships/hyperlink" Target="https://support.microsoft.com/en-us/excel/functions/norm-s-inv-function" TargetMode="External"/><Relationship Id="rId155" Type="http://schemas.openxmlformats.org/officeDocument/2006/relationships/hyperlink" Target="https://support.microsoft.com/en-us/excel/functions/erfc-function" TargetMode="External"/><Relationship Id="rId197" Type="http://schemas.openxmlformats.org/officeDocument/2006/relationships/hyperlink" Target="https://support.microsoft.com/en-us/excel/functions/gammadist-function" TargetMode="External"/><Relationship Id="rId362" Type="http://schemas.openxmlformats.org/officeDocument/2006/relationships/hyperlink" Target="https://support.microsoft.com/en-us/excel/functions/pricemat-function" TargetMode="External"/><Relationship Id="rId418" Type="http://schemas.openxmlformats.org/officeDocument/2006/relationships/hyperlink" Target="https://support.microsoft.com/en-us/excel/functions/stdev-function" TargetMode="External"/><Relationship Id="rId222" Type="http://schemas.openxmlformats.org/officeDocument/2006/relationships/hyperlink" Target="https://support.microsoft.com/en-us/excel/functions/imabs-function" TargetMode="External"/><Relationship Id="rId264" Type="http://schemas.openxmlformats.org/officeDocument/2006/relationships/hyperlink" Target="https://support.microsoft.com/en-us/excel/functions/isoweeknum-function" TargetMode="External"/><Relationship Id="rId471" Type="http://schemas.openxmlformats.org/officeDocument/2006/relationships/hyperlink" Target="https://support.microsoft.com/en-us/excel/functions/ttest-function" TargetMode="External"/><Relationship Id="rId17" Type="http://schemas.openxmlformats.org/officeDocument/2006/relationships/hyperlink" Target="https://support.microsoft.com/en-us/excel/functions/arraytotext-function" TargetMode="External"/><Relationship Id="rId59" Type="http://schemas.openxmlformats.org/officeDocument/2006/relationships/hyperlink" Target="https://support.microsoft.com/en-us/excel/functions/chidist-function" TargetMode="External"/><Relationship Id="rId124" Type="http://schemas.openxmlformats.org/officeDocument/2006/relationships/hyperlink" Target="https://support.microsoft.com/en-us/excel/functions/dcounta-function" TargetMode="External"/><Relationship Id="rId70" Type="http://schemas.openxmlformats.org/officeDocument/2006/relationships/hyperlink" Target="https://support.microsoft.com/en-us/excel/functions/clean-function" TargetMode="External"/><Relationship Id="rId166" Type="http://schemas.openxmlformats.org/officeDocument/2006/relationships/hyperlink" Target="https://support.microsoft.com/en-us/excel/functions/f-dist-rt-function" TargetMode="External"/><Relationship Id="rId331" Type="http://schemas.openxmlformats.org/officeDocument/2006/relationships/hyperlink" Target="https://support.microsoft.com/en-us/excel/functions/oct2dec-function" TargetMode="External"/><Relationship Id="rId373" Type="http://schemas.openxmlformats.org/officeDocument/2006/relationships/hyperlink" Target="https://support.microsoft.com/en-us/excel/functions/rand-function" TargetMode="External"/><Relationship Id="rId429" Type="http://schemas.openxmlformats.org/officeDocument/2006/relationships/hyperlink" Target="https://support.microsoft.com/en-us/excel/functions/sumif-function" TargetMode="External"/><Relationship Id="rId1" Type="http://schemas.openxmlformats.org/officeDocument/2006/relationships/hyperlink" Target="https://bettersolutions.com/excel/functions/complete-list.htm" TargetMode="External"/><Relationship Id="rId233" Type="http://schemas.openxmlformats.org/officeDocument/2006/relationships/hyperlink" Target="https://support.microsoft.com/en-us/excel/functions/imexp-function" TargetMode="External"/><Relationship Id="rId440" Type="http://schemas.openxmlformats.org/officeDocument/2006/relationships/hyperlink" Target="https://support.microsoft.com/en-us/excel/functions/t-dist-2t-function" TargetMode="External"/><Relationship Id="rId28" Type="http://schemas.openxmlformats.org/officeDocument/2006/relationships/hyperlink" Target="https://support.microsoft.com/en-us/excel/functions/averageifs-function" TargetMode="External"/><Relationship Id="rId275" Type="http://schemas.openxmlformats.org/officeDocument/2006/relationships/hyperlink" Target="https://support.microsoft.com/en-us/excel/functions/ln-function" TargetMode="External"/><Relationship Id="rId300" Type="http://schemas.openxmlformats.org/officeDocument/2006/relationships/hyperlink" Target="https://support.microsoft.com/en-us/excel/functions/mirr-function" TargetMode="External"/><Relationship Id="rId482" Type="http://schemas.openxmlformats.org/officeDocument/2006/relationships/hyperlink" Target="https://support.microsoft.com/en-us/excel/functions/vara-function" TargetMode="External"/><Relationship Id="rId81" Type="http://schemas.openxmlformats.org/officeDocument/2006/relationships/hyperlink" Target="https://support.microsoft.com/en-us/excel/functions/confidence-t-function" TargetMode="External"/><Relationship Id="rId135" Type="http://schemas.openxmlformats.org/officeDocument/2006/relationships/hyperlink" Target="https://support.microsoft.com/en-us/excel/functions/disc-function" TargetMode="External"/><Relationship Id="rId177" Type="http://schemas.openxmlformats.org/officeDocument/2006/relationships/hyperlink" Target="https://support.microsoft.com/en-us/excel/functions/finv-function" TargetMode="External"/><Relationship Id="rId342" Type="http://schemas.openxmlformats.org/officeDocument/2006/relationships/hyperlink" Target="https://support.microsoft.com/en-us/excel/functions/percentile-function" TargetMode="External"/><Relationship Id="rId384" Type="http://schemas.openxmlformats.org/officeDocument/2006/relationships/hyperlink" Target="https://support.microsoft.com/en-us/excel/functions/regextest-function" TargetMode="External"/><Relationship Id="rId202" Type="http://schemas.openxmlformats.org/officeDocument/2006/relationships/hyperlink" Target="https://support.microsoft.com/en-us/excel/functions/gcd-function" TargetMode="External"/><Relationship Id="rId244" Type="http://schemas.openxmlformats.org/officeDocument/2006/relationships/hyperlink" Target="https://support.microsoft.com/en-us/excel/functions/imsin-function" TargetMode="External"/><Relationship Id="rId39" Type="http://schemas.openxmlformats.org/officeDocument/2006/relationships/hyperlink" Target="https://support.microsoft.com/en-us/excel/functions/bin2dec-function" TargetMode="External"/><Relationship Id="rId286" Type="http://schemas.openxmlformats.org/officeDocument/2006/relationships/hyperlink" Target="https://support.microsoft.com/en-us/excel/functions/map-function" TargetMode="External"/><Relationship Id="rId451" Type="http://schemas.openxmlformats.org/officeDocument/2006/relationships/hyperlink" Target="https://support.microsoft.com/en-us/excel/functions/tdist-function" TargetMode="External"/><Relationship Id="rId493" Type="http://schemas.openxmlformats.org/officeDocument/2006/relationships/hyperlink" Target="https://support.microsoft.com/en-us/excel/functions/workday-function" TargetMode="External"/><Relationship Id="rId507" Type="http://schemas.openxmlformats.org/officeDocument/2006/relationships/hyperlink" Target="https://support.microsoft.com/en-us/excel/functions/z-test-function" TargetMode="External"/><Relationship Id="rId50" Type="http://schemas.openxmlformats.org/officeDocument/2006/relationships/hyperlink" Target="https://support.microsoft.com/en-us/excel/functions/bitxor-function" TargetMode="External"/><Relationship Id="rId104" Type="http://schemas.openxmlformats.org/officeDocument/2006/relationships/hyperlink" Target="https://support.microsoft.com/en-us/excel/functions/csch-function" TargetMode="External"/><Relationship Id="rId146" Type="http://schemas.openxmlformats.org/officeDocument/2006/relationships/hyperlink" Target="https://support.microsoft.com/en-us/excel/functions/duration-function" TargetMode="External"/><Relationship Id="rId188" Type="http://schemas.openxmlformats.org/officeDocument/2006/relationships/hyperlink" Target="https://support.microsoft.com/en-us/excel/functions/forecast-ets-stat-function" TargetMode="External"/><Relationship Id="rId311" Type="http://schemas.openxmlformats.org/officeDocument/2006/relationships/hyperlink" Target="https://support.microsoft.com/en-us/excel/functions/na-function" TargetMode="External"/><Relationship Id="rId353" Type="http://schemas.openxmlformats.org/officeDocument/2006/relationships/hyperlink" Target="https://support.microsoft.com/en-us/excel/functions/pi-function" TargetMode="External"/><Relationship Id="rId395" Type="http://schemas.openxmlformats.org/officeDocument/2006/relationships/hyperlink" Target="https://support.microsoft.com/en-us/excel/functions/rri-function" TargetMode="External"/><Relationship Id="rId409" Type="http://schemas.openxmlformats.org/officeDocument/2006/relationships/hyperlink" Target="https://support.microsoft.com/en-us/excel/functions/sinh-function" TargetMode="External"/><Relationship Id="rId92" Type="http://schemas.openxmlformats.org/officeDocument/2006/relationships/hyperlink" Target="https://support.microsoft.com/en-us/excel/functions/countifs-function" TargetMode="External"/><Relationship Id="rId213" Type="http://schemas.openxmlformats.org/officeDocument/2006/relationships/hyperlink" Target="https://support.microsoft.com/en-us/excel/functions/hour-function" TargetMode="External"/><Relationship Id="rId420" Type="http://schemas.openxmlformats.org/officeDocument/2006/relationships/hyperlink" Target="https://support.microsoft.com/en-us/excel/functions/stdev-s-function" TargetMode="External"/><Relationship Id="rId255" Type="http://schemas.openxmlformats.org/officeDocument/2006/relationships/hyperlink" Target="https://support.microsoft.com/en-us/excel/functions/intrate-function" TargetMode="External"/><Relationship Id="rId297" Type="http://schemas.openxmlformats.org/officeDocument/2006/relationships/hyperlink" Target="https://support.microsoft.com/en-us/excel/functions/minifs-function" TargetMode="External"/><Relationship Id="rId462" Type="http://schemas.openxmlformats.org/officeDocument/2006/relationships/hyperlink" Target="https://support.microsoft.com/en-us/excel/functions/torow-function" TargetMode="External"/><Relationship Id="rId518" Type="http://schemas.openxmlformats.org/officeDocument/2006/relationships/hyperlink" Target="https://support.microsoft.com/en-us/excel/functions/mid-function" TargetMode="External"/><Relationship Id="rId115" Type="http://schemas.openxmlformats.org/officeDocument/2006/relationships/hyperlink" Target="https://support.microsoft.com/en-us/excel/functions/datedif-function" TargetMode="External"/><Relationship Id="rId157" Type="http://schemas.openxmlformats.org/officeDocument/2006/relationships/hyperlink" Target="https://support.microsoft.com/en-us/excel/functions/error-type-function" TargetMode="External"/><Relationship Id="rId322" Type="http://schemas.openxmlformats.org/officeDocument/2006/relationships/hyperlink" Target="https://support.microsoft.com/en-us/excel/functions/norminv-function" TargetMode="External"/><Relationship Id="rId364" Type="http://schemas.openxmlformats.org/officeDocument/2006/relationships/hyperlink" Target="https://support.microsoft.com/en-us/excel/functions/product-function" TargetMode="External"/><Relationship Id="rId61" Type="http://schemas.openxmlformats.org/officeDocument/2006/relationships/hyperlink" Target="https://support.microsoft.com/en-us/excel/functions/chisq-dist-function" TargetMode="External"/><Relationship Id="rId199" Type="http://schemas.openxmlformats.org/officeDocument/2006/relationships/hyperlink" Target="https://support.microsoft.com/en-us/excel/functions/gammaln-function" TargetMode="External"/><Relationship Id="rId19" Type="http://schemas.openxmlformats.org/officeDocument/2006/relationships/hyperlink" Target="https://support.microsoft.com/en-us/excel/functions/asin-function" TargetMode="External"/><Relationship Id="rId224" Type="http://schemas.openxmlformats.org/officeDocument/2006/relationships/hyperlink" Target="https://support.microsoft.com/en-us/excel/functions/imaginary-function" TargetMode="External"/><Relationship Id="rId266" Type="http://schemas.openxmlformats.org/officeDocument/2006/relationships/hyperlink" Target="https://support.microsoft.com/en-us/excel/functions/jis-function" TargetMode="External"/><Relationship Id="rId431" Type="http://schemas.openxmlformats.org/officeDocument/2006/relationships/hyperlink" Target="https://support.microsoft.com/en-us/excel/functions/sumproduct-function" TargetMode="External"/><Relationship Id="rId473" Type="http://schemas.openxmlformats.org/officeDocument/2006/relationships/hyperlink" Target="https://support.microsoft.com/en-us/excel/functions/unichar-function" TargetMode="External"/><Relationship Id="rId30" Type="http://schemas.openxmlformats.org/officeDocument/2006/relationships/hyperlink" Target="https://support.microsoft.com/en-us/excel/functions/base-function" TargetMode="External"/><Relationship Id="rId126" Type="http://schemas.openxmlformats.org/officeDocument/2006/relationships/hyperlink" Target="https://support.microsoft.com/en-us/excel/functions/dec2bin-function" TargetMode="External"/><Relationship Id="rId168" Type="http://schemas.openxmlformats.org/officeDocument/2006/relationships/hyperlink" Target="https://support.microsoft.com/en-us/excel/functions/f-inv-rt-function" TargetMode="External"/><Relationship Id="rId333" Type="http://schemas.openxmlformats.org/officeDocument/2006/relationships/hyperlink" Target="https://support.microsoft.com/en-us/excel/functions/odd-function" TargetMode="External"/><Relationship Id="rId72" Type="http://schemas.openxmlformats.org/officeDocument/2006/relationships/hyperlink" Target="https://support.microsoft.com/en-us/excel/functions/column-function" TargetMode="External"/><Relationship Id="rId375" Type="http://schemas.openxmlformats.org/officeDocument/2006/relationships/hyperlink" Target="https://support.microsoft.com/en-us/excel/functions/randbetween-function" TargetMode="External"/><Relationship Id="rId3" Type="http://schemas.openxmlformats.org/officeDocument/2006/relationships/hyperlink" Target="https://support.microsoft.com/en-us/excel/functions/abs-function" TargetMode="External"/><Relationship Id="rId235" Type="http://schemas.openxmlformats.org/officeDocument/2006/relationships/hyperlink" Target="https://support.microsoft.com/en-us/excel/functions/imlog10-function" TargetMode="External"/><Relationship Id="rId277" Type="http://schemas.openxmlformats.org/officeDocument/2006/relationships/hyperlink" Target="https://support.microsoft.com/en-us/excel/functions/log10-function" TargetMode="External"/><Relationship Id="rId400" Type="http://schemas.openxmlformats.org/officeDocument/2006/relationships/hyperlink" Target="https://support.microsoft.com/en-us/excel/functions/sec-function" TargetMode="External"/><Relationship Id="rId442" Type="http://schemas.openxmlformats.org/officeDocument/2006/relationships/hyperlink" Target="https://support.microsoft.com/en-us/excel/functions/t-inv-function" TargetMode="External"/><Relationship Id="rId484" Type="http://schemas.openxmlformats.org/officeDocument/2006/relationships/hyperlink" Target="https://support.microsoft.com/en-us/excel/functions/varpa-function" TargetMode="External"/><Relationship Id="rId137" Type="http://schemas.openxmlformats.org/officeDocument/2006/relationships/hyperlink" Target="https://support.microsoft.com/en-us/excel/functions/dmin-function" TargetMode="External"/><Relationship Id="rId302" Type="http://schemas.openxmlformats.org/officeDocument/2006/relationships/hyperlink" Target="https://support.microsoft.com/en-us/excel/functions/mod-function" TargetMode="External"/><Relationship Id="rId344" Type="http://schemas.openxmlformats.org/officeDocument/2006/relationships/hyperlink" Target="https://support.microsoft.com/en-us/excel/functions/percentile-inc-function" TargetMode="External"/><Relationship Id="rId41" Type="http://schemas.openxmlformats.org/officeDocument/2006/relationships/hyperlink" Target="https://support.microsoft.com/en-us/excel/functions/bin2oct-function" TargetMode="External"/><Relationship Id="rId83" Type="http://schemas.openxmlformats.org/officeDocument/2006/relationships/hyperlink" Target="https://support.microsoft.com/en-us/excel/functions/copilot-function" TargetMode="External"/><Relationship Id="rId179" Type="http://schemas.openxmlformats.org/officeDocument/2006/relationships/hyperlink" Target="https://support.microsoft.com/en-us/excel/functions/fisherinv-function" TargetMode="External"/><Relationship Id="rId386" Type="http://schemas.openxmlformats.org/officeDocument/2006/relationships/hyperlink" Target="https://support.microsoft.com/en-us/excel/functions/replace-function" TargetMode="External"/><Relationship Id="rId190" Type="http://schemas.openxmlformats.org/officeDocument/2006/relationships/hyperlink" Target="https://support.microsoft.com/en-us/excel/functions/frequency-function" TargetMode="External"/><Relationship Id="rId204" Type="http://schemas.openxmlformats.org/officeDocument/2006/relationships/hyperlink" Target="https://support.microsoft.com/en-us/excel/functions/gestep-function" TargetMode="External"/><Relationship Id="rId246" Type="http://schemas.openxmlformats.org/officeDocument/2006/relationships/hyperlink" Target="https://support.microsoft.com/en-us/excel/functions/imsqrt-function" TargetMode="External"/><Relationship Id="rId288" Type="http://schemas.openxmlformats.org/officeDocument/2006/relationships/hyperlink" Target="https://support.microsoft.com/en-us/excel/functions/max-function" TargetMode="External"/><Relationship Id="rId411" Type="http://schemas.openxmlformats.org/officeDocument/2006/relationships/hyperlink" Target="https://support.microsoft.com/en-us/excel/functions/skew-p-function" TargetMode="External"/><Relationship Id="rId453" Type="http://schemas.openxmlformats.org/officeDocument/2006/relationships/hyperlink" Target="https://support.microsoft.com/en-us/excel/functions/textafter-function" TargetMode="External"/><Relationship Id="rId509" Type="http://schemas.openxmlformats.org/officeDocument/2006/relationships/hyperlink" Target="https://support.microsoft.com/en-us/excel/functions/forecast-and-forecast-linear-functions" TargetMode="External"/><Relationship Id="rId106" Type="http://schemas.openxmlformats.org/officeDocument/2006/relationships/hyperlink" Target="https://support.microsoft.com/en-us/excel/functions/cubemember-function" TargetMode="External"/><Relationship Id="rId313" Type="http://schemas.openxmlformats.org/officeDocument/2006/relationships/hyperlink" Target="https://support.microsoft.com/en-us/excel/functions/negbinomdist-function" TargetMode="External"/><Relationship Id="rId495" Type="http://schemas.openxmlformats.org/officeDocument/2006/relationships/hyperlink" Target="https://support.microsoft.com/en-us/excel/functions/wrapcols-function" TargetMode="External"/><Relationship Id="rId10" Type="http://schemas.openxmlformats.org/officeDocument/2006/relationships/hyperlink" Target="https://support.microsoft.com/en-us/excel/functions/address-function" TargetMode="External"/><Relationship Id="rId52" Type="http://schemas.openxmlformats.org/officeDocument/2006/relationships/hyperlink" Target="https://support.microsoft.com/en-us/excel/functions/byrow-function" TargetMode="External"/><Relationship Id="rId94" Type="http://schemas.openxmlformats.org/officeDocument/2006/relationships/hyperlink" Target="https://support.microsoft.com/en-us/excel/functions/coupdays-function" TargetMode="External"/><Relationship Id="rId148" Type="http://schemas.openxmlformats.org/officeDocument/2006/relationships/hyperlink" Target="https://support.microsoft.com/en-us/excel/functions/dvarp-function" TargetMode="External"/><Relationship Id="rId355" Type="http://schemas.openxmlformats.org/officeDocument/2006/relationships/hyperlink" Target="https://support.microsoft.com/en-us/excel/functions/pmt-function" TargetMode="External"/><Relationship Id="rId397" Type="http://schemas.openxmlformats.org/officeDocument/2006/relationships/hyperlink" Target="https://support.microsoft.com/en-us/excel/functions/rtd-function" TargetMode="External"/><Relationship Id="rId520" Type="http://schemas.openxmlformats.org/officeDocument/2006/relationships/hyperlink" Target="https://support.microsoft.com/en-us/excel/functions/right-function" TargetMode="External"/><Relationship Id="rId215" Type="http://schemas.openxmlformats.org/officeDocument/2006/relationships/hyperlink" Target="https://support.microsoft.com/en-us/excel/functions/hyperlink-function" TargetMode="External"/><Relationship Id="rId257" Type="http://schemas.openxmlformats.org/officeDocument/2006/relationships/hyperlink" Target="https://support.microsoft.com/en-us/excel/functions/irr-function" TargetMode="External"/><Relationship Id="rId422" Type="http://schemas.openxmlformats.org/officeDocument/2006/relationships/hyperlink" Target="https://support.microsoft.com/en-us/excel/functions/stdevp-function" TargetMode="External"/><Relationship Id="rId464" Type="http://schemas.openxmlformats.org/officeDocument/2006/relationships/hyperlink" Target="https://support.microsoft.com/en-us/excel/functions/transpose-function" TargetMode="External"/><Relationship Id="rId299" Type="http://schemas.openxmlformats.org/officeDocument/2006/relationships/hyperlink" Target="https://support.microsoft.com/en-us/excel/functions/minverse-function" TargetMode="External"/><Relationship Id="rId63" Type="http://schemas.openxmlformats.org/officeDocument/2006/relationships/hyperlink" Target="https://support.microsoft.com/en-us/excel/functions/chisq-inv-function" TargetMode="External"/><Relationship Id="rId159" Type="http://schemas.openxmlformats.org/officeDocument/2006/relationships/hyperlink" Target="https://support.microsoft.com/en-us/excel/functions/even-function" TargetMode="External"/><Relationship Id="rId366" Type="http://schemas.openxmlformats.org/officeDocument/2006/relationships/hyperlink" Target="https://support.microsoft.com/en-us/excel/functions/pv-function" TargetMode="External"/><Relationship Id="rId226" Type="http://schemas.openxmlformats.org/officeDocument/2006/relationships/hyperlink" Target="https://support.microsoft.com/en-us/excel/functions/imconjugate-function" TargetMode="External"/><Relationship Id="rId433" Type="http://schemas.openxmlformats.org/officeDocument/2006/relationships/hyperlink" Target="https://support.microsoft.com/en-us/excel/functions/sumx2my2-function" TargetMode="External"/></Relationships>
</file>

<file path=xl/worksheets/_rels/sheet3.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printerSettings" Target="../printerSettings/printerSettings1.bin"/><Relationship Id="rId7" Type="http://schemas.openxmlformats.org/officeDocument/2006/relationships/comments" Target="../comments1.xml"/><Relationship Id="rId2" Type="http://schemas.openxmlformats.org/officeDocument/2006/relationships/hyperlink" Target="https://www.example.com/" TargetMode="Externa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507AE-7EF5-496F-B3CE-8757BEECAABE}">
  <dimension ref="A1"/>
  <sheetViews>
    <sheetView tabSelected="1" workbookViewId="0"/>
  </sheetViews>
  <sheetFormatPr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B46E-EC62-491D-A49D-3FBFFC9873E2}">
  <dimension ref="A1:I614"/>
  <sheetViews>
    <sheetView zoomScaleNormal="100" zoomScaleSheetLayoutView="100" workbookViewId="0"/>
  </sheetViews>
  <sheetFormatPr defaultRowHeight="14.4"/>
  <cols>
    <col min="1" max="1" width="25.6640625" style="51" bestFit="1" customWidth="1"/>
    <col min="2" max="2" width="25.6640625" style="51" customWidth="1"/>
    <col min="3" max="3" width="26" style="51" bestFit="1" customWidth="1"/>
    <col min="4" max="5" width="29.109375" style="51" customWidth="1"/>
    <col min="6" max="6" width="38.44140625" style="51" customWidth="1"/>
    <col min="7" max="7" width="2.6640625" style="51" customWidth="1"/>
    <col min="8" max="8" width="66" style="51" customWidth="1"/>
    <col min="9" max="9" width="39" style="51" customWidth="1"/>
    <col min="10" max="10" width="70" style="51" customWidth="1"/>
    <col min="11" max="16384" width="8.88671875" style="51"/>
  </cols>
  <sheetData>
    <row r="1" spans="1:9">
      <c r="A1" s="59" t="s">
        <v>676</v>
      </c>
      <c r="B1" s="59"/>
    </row>
    <row r="2" spans="1:9">
      <c r="A2" s="51" t="s">
        <v>742</v>
      </c>
    </row>
    <row r="3" spans="1:9">
      <c r="H3" s="59" t="s">
        <v>743</v>
      </c>
    </row>
    <row r="4" spans="1:9">
      <c r="A4" s="52" t="s">
        <v>137</v>
      </c>
      <c r="B4" s="52"/>
      <c r="E4" s="51" t="s">
        <v>678</v>
      </c>
      <c r="F4" s="60">
        <f>COUNTA(A11:A537)</f>
        <v>527</v>
      </c>
      <c r="H4" s="51" t="str" cm="1">
        <f t="array" aca="1" ref="H4:H19" ca="1">_xlfn._xlws.SORT(_xlfn.UNIQUE(E11:E537),,1)</f>
        <v/>
      </c>
    </row>
    <row r="5" spans="1:9">
      <c r="A5" s="57" t="s">
        <v>139</v>
      </c>
      <c r="B5" s="57"/>
      <c r="E5" s="51" t="s">
        <v>677</v>
      </c>
      <c r="F5" s="60">
        <f ca="1">COUNTIF(D11:D537,TRUE)</f>
        <v>512</v>
      </c>
      <c r="H5" s="51" t="str">
        <f ca="1"/>
        <v>?CALL (untested)</v>
      </c>
    </row>
    <row r="6" spans="1:9">
      <c r="A6" s="57" t="s">
        <v>141</v>
      </c>
      <c r="B6" s="57"/>
      <c r="E6" s="51" t="s">
        <v>679</v>
      </c>
      <c r="F6" s="60">
        <f ca="1">COUNTIF(D11:D537,"NOT TESTED")</f>
        <v>10</v>
      </c>
      <c r="H6" s="51" t="str">
        <f ca="1"/>
        <v>?CUBEKPIMEMBER (untested)</v>
      </c>
    </row>
    <row r="7" spans="1:9">
      <c r="A7" s="45" t="s">
        <v>739</v>
      </c>
      <c r="B7" s="45"/>
      <c r="E7" s="51" t="s">
        <v>680</v>
      </c>
      <c r="F7" s="60">
        <f ca="1">COUNTIF(D11:D537,FALSE)</f>
        <v>5</v>
      </c>
      <c r="H7" s="51" t="str">
        <f ca="1"/>
        <v>?CUBEMEMBER (untested)</v>
      </c>
    </row>
    <row r="8" spans="1:9">
      <c r="F8" s="60"/>
      <c r="H8" s="51" t="str">
        <f ca="1"/>
        <v>?CUBEMEMBERPROPERTY (untested)</v>
      </c>
    </row>
    <row r="9" spans="1:9">
      <c r="H9" s="51" t="str">
        <f ca="1"/>
        <v>?CUBERANKEDMEMBER (untested)</v>
      </c>
    </row>
    <row r="10" spans="1:9">
      <c r="A10" s="49" t="s">
        <v>132</v>
      </c>
      <c r="B10" s="49" t="s">
        <v>741</v>
      </c>
      <c r="C10" s="49" t="s">
        <v>133</v>
      </c>
      <c r="D10" s="49" t="s">
        <v>134</v>
      </c>
      <c r="E10" s="50" t="s">
        <v>135</v>
      </c>
      <c r="F10" s="50" t="s">
        <v>136</v>
      </c>
      <c r="H10" s="51" t="str">
        <f ca="1"/>
        <v>?CUBESET (untested)</v>
      </c>
    </row>
    <row r="11" spans="1:9">
      <c r="A11" s="53" t="s">
        <v>138</v>
      </c>
      <c r="B11" s="45" t="s">
        <v>138</v>
      </c>
      <c r="C11" s="53">
        <f>ABS(1)</f>
        <v>1</v>
      </c>
      <c r="D11" s="54" t="b">
        <f t="shared" ref="D11:D76" si="0">IF(NOT(_xlfn.ISFORMULA(C11)),"NOT TESTED",IFERROR(ERROR.TYPE(C11)&lt;&gt;5,TRUE))</f>
        <v>1</v>
      </c>
      <c r="E11" s="55" t="str">
        <f>IF(D11="NOT TESTED","?"&amp;A11&amp;" (untested)",IF(D11=FALSE,A11,""))</f>
        <v/>
      </c>
      <c r="F11" s="56"/>
      <c r="H11" t="str">
        <f ca="1"/>
        <v>?CUBESETCOUNT (untested)</v>
      </c>
      <c r="I11"/>
    </row>
    <row r="12" spans="1:9">
      <c r="A12" s="53" t="s">
        <v>140</v>
      </c>
      <c r="B12" s="45" t="s">
        <v>140</v>
      </c>
      <c r="C12" s="53">
        <f>ACCRINT(DATE(2020,1,1),DATE(2020,7,1),DATE(2021,1,1),0.05,100,1)</f>
        <v>5</v>
      </c>
      <c r="D12" s="54" t="b">
        <f t="shared" si="0"/>
        <v>1</v>
      </c>
      <c r="E12" s="55" t="str">
        <f t="shared" ref="E12:E75" si="1">IF(D12="NOT TESTED","?"&amp;A12&amp;" (untested)",IF(D12=FALSE,A12,""))</f>
        <v/>
      </c>
      <c r="F12" s="56"/>
      <c r="H12" t="str">
        <f ca="1"/>
        <v>?CUBEVALUE (untested)</v>
      </c>
      <c r="I12"/>
    </row>
    <row r="13" spans="1:9">
      <c r="A13" s="53" t="s">
        <v>142</v>
      </c>
      <c r="B13" s="45" t="s">
        <v>142</v>
      </c>
      <c r="C13" s="53">
        <f>ACCRINTM(DATE(2020,1,1),DATE(2021,1,1),0.05,100)</f>
        <v>5</v>
      </c>
      <c r="D13" s="54" t="b">
        <f t="shared" si="0"/>
        <v>1</v>
      </c>
      <c r="E13" s="55" t="str">
        <f t="shared" si="1"/>
        <v/>
      </c>
      <c r="F13" s="56"/>
      <c r="H13" t="str">
        <f ca="1"/>
        <v>?REGISTER.ID (untested)</v>
      </c>
      <c r="I13"/>
    </row>
    <row r="14" spans="1:9">
      <c r="A14" s="53" t="s">
        <v>143</v>
      </c>
      <c r="B14" s="45" t="s">
        <v>143</v>
      </c>
      <c r="C14" s="53">
        <f>ACOS(1)</f>
        <v>0</v>
      </c>
      <c r="D14" s="54" t="b">
        <f t="shared" si="0"/>
        <v>1</v>
      </c>
      <c r="E14" s="55" t="str">
        <f t="shared" si="1"/>
        <v/>
      </c>
      <c r="F14" s="56"/>
      <c r="H14" t="str">
        <f ca="1"/>
        <v>?TABLE (untested)</v>
      </c>
      <c r="I14"/>
    </row>
    <row r="15" spans="1:9">
      <c r="A15" s="53" t="s">
        <v>144</v>
      </c>
      <c r="B15" s="45" t="s">
        <v>144</v>
      </c>
      <c r="C15" s="53">
        <f>ACOSH(1)</f>
        <v>0</v>
      </c>
      <c r="D15" s="54" t="b">
        <f t="shared" si="0"/>
        <v>1</v>
      </c>
      <c r="E15" s="55" t="str">
        <f t="shared" si="1"/>
        <v/>
      </c>
      <c r="F15" s="56"/>
      <c r="H15" t="str">
        <f ca="1"/>
        <v>COPILOT</v>
      </c>
      <c r="I15"/>
    </row>
    <row r="16" spans="1:9">
      <c r="A16" s="53" t="s">
        <v>145</v>
      </c>
      <c r="B16" s="45" t="s">
        <v>145</v>
      </c>
      <c r="C16" s="53">
        <f>_xlfn.ACOT(1)</f>
        <v>0.78539816339744828</v>
      </c>
      <c r="D16" s="54" t="b">
        <f t="shared" si="0"/>
        <v>1</v>
      </c>
      <c r="E16" s="55" t="str">
        <f t="shared" si="1"/>
        <v/>
      </c>
      <c r="F16" s="56"/>
      <c r="H16" t="str">
        <f ca="1"/>
        <v>EUROCONVERT</v>
      </c>
      <c r="I16"/>
    </row>
    <row r="17" spans="1:9">
      <c r="A17" s="53" t="s">
        <v>146</v>
      </c>
      <c r="B17" s="45" t="s">
        <v>146</v>
      </c>
      <c r="C17" s="53">
        <f>_xlfn.ACOTH(2)</f>
        <v>0.54930614433405489</v>
      </c>
      <c r="D17" s="54" t="b">
        <f t="shared" si="0"/>
        <v>1</v>
      </c>
      <c r="E17" s="55" t="str">
        <f t="shared" si="1"/>
        <v/>
      </c>
      <c r="F17" s="56"/>
      <c r="H17" t="str">
        <f ca="1"/>
        <v>IMPORTCSV</v>
      </c>
      <c r="I17"/>
    </row>
    <row r="18" spans="1:9">
      <c r="A18" s="53" t="s">
        <v>147</v>
      </c>
      <c r="B18" s="45" t="s">
        <v>147</v>
      </c>
      <c r="C18" s="53" t="str">
        <f>ADDRESS(1,1)</f>
        <v>$A$1</v>
      </c>
      <c r="D18" s="54" t="b">
        <f t="shared" si="0"/>
        <v>1</v>
      </c>
      <c r="E18" s="55" t="str">
        <f t="shared" si="1"/>
        <v/>
      </c>
      <c r="F18" s="56"/>
      <c r="H18" t="str">
        <f ca="1"/>
        <v>IMPORTTEXT</v>
      </c>
      <c r="I18"/>
    </row>
    <row r="19" spans="1:9">
      <c r="A19" s="53" t="s">
        <v>730</v>
      </c>
      <c r="B19" s="45" t="s">
        <v>730</v>
      </c>
      <c r="C19" s="53" t="e">
        <f>_xlfn.AGGREGATE(1,0,{1,1,1})</f>
        <v>#VALUE!</v>
      </c>
      <c r="D19" s="54" t="b">
        <f t="shared" si="0"/>
        <v>1</v>
      </c>
      <c r="E19" s="55" t="str">
        <f t="shared" si="1"/>
        <v/>
      </c>
      <c r="F19" s="56"/>
      <c r="H19" t="str">
        <f ca="1"/>
        <v>JIS</v>
      </c>
      <c r="I19"/>
    </row>
    <row r="20" spans="1:9">
      <c r="A20" s="53" t="s">
        <v>148</v>
      </c>
      <c r="B20" s="45" t="s">
        <v>148</v>
      </c>
      <c r="C20" s="53">
        <f>AMORDEGRC(1000,DATE(2020,1,1),DATE(2020,12,31),100,1,0.1)</f>
        <v>188</v>
      </c>
      <c r="D20" s="54" t="b">
        <f t="shared" si="0"/>
        <v>1</v>
      </c>
      <c r="E20" s="55" t="str">
        <f t="shared" si="1"/>
        <v/>
      </c>
      <c r="F20" s="56"/>
      <c r="H20"/>
      <c r="I20"/>
    </row>
    <row r="21" spans="1:9">
      <c r="A21" s="53" t="s">
        <v>149</v>
      </c>
      <c r="B21" s="45" t="s">
        <v>149</v>
      </c>
      <c r="C21" s="53">
        <f>AMORLINC(1000,DATE(2020,1,1),DATE(2020,12,31),100,1,0.1)</f>
        <v>100</v>
      </c>
      <c r="D21" s="54" t="b">
        <f t="shared" si="0"/>
        <v>1</v>
      </c>
      <c r="E21" s="55" t="str">
        <f t="shared" si="1"/>
        <v/>
      </c>
      <c r="F21" s="56"/>
      <c r="H21"/>
      <c r="I21"/>
    </row>
    <row r="22" spans="1:9">
      <c r="A22" s="53" t="s">
        <v>150</v>
      </c>
      <c r="B22" s="45" t="s">
        <v>150</v>
      </c>
      <c r="C22" s="53" t="b">
        <f>AND(1)</f>
        <v>1</v>
      </c>
      <c r="D22" s="54" t="b">
        <f t="shared" si="0"/>
        <v>1</v>
      </c>
      <c r="E22" s="55" t="str">
        <f t="shared" si="1"/>
        <v/>
      </c>
      <c r="F22" s="56"/>
      <c r="H22"/>
      <c r="I22"/>
    </row>
    <row r="23" spans="1:9">
      <c r="A23" s="53" t="s">
        <v>151</v>
      </c>
      <c r="B23" s="45" t="s">
        <v>151</v>
      </c>
      <c r="C23" s="53">
        <f>_xlfn.ARABIC("I")</f>
        <v>1</v>
      </c>
      <c r="D23" s="54" t="b">
        <f t="shared" si="0"/>
        <v>1</v>
      </c>
      <c r="E23" s="55" t="str">
        <f t="shared" si="1"/>
        <v/>
      </c>
      <c r="F23" s="56"/>
      <c r="H23"/>
      <c r="I23"/>
    </row>
    <row r="24" spans="1:9">
      <c r="A24" s="53" t="s">
        <v>152</v>
      </c>
      <c r="B24" s="45" t="s">
        <v>152</v>
      </c>
      <c r="C24" s="53">
        <f>AREAS(A10)</f>
        <v>1</v>
      </c>
      <c r="D24" s="54" t="b">
        <f t="shared" si="0"/>
        <v>1</v>
      </c>
      <c r="E24" s="55" t="str">
        <f t="shared" si="1"/>
        <v/>
      </c>
      <c r="F24" s="56"/>
      <c r="H24"/>
      <c r="I24"/>
    </row>
    <row r="25" spans="1:9">
      <c r="A25" s="53" t="s">
        <v>153</v>
      </c>
      <c r="B25" s="45" t="s">
        <v>153</v>
      </c>
      <c r="C25" s="53" t="str">
        <f>_xlfn.ARRAYTOTEXT(1)</f>
        <v>1</v>
      </c>
      <c r="D25" s="54" t="b">
        <f t="shared" si="0"/>
        <v>1</v>
      </c>
      <c r="E25" s="55" t="str">
        <f t="shared" si="1"/>
        <v/>
      </c>
      <c r="F25" s="56"/>
      <c r="H25"/>
      <c r="I25"/>
    </row>
    <row r="26" spans="1:9">
      <c r="A26" s="53" t="s">
        <v>154</v>
      </c>
      <c r="B26" s="45" t="s">
        <v>154</v>
      </c>
      <c r="C26" s="53" t="str">
        <f>ASC(1)</f>
        <v>1</v>
      </c>
      <c r="D26" s="54" t="b">
        <f t="shared" si="0"/>
        <v>1</v>
      </c>
      <c r="E26" s="55" t="str">
        <f t="shared" si="1"/>
        <v/>
      </c>
      <c r="F26" s="56"/>
      <c r="H26"/>
      <c r="I26"/>
    </row>
    <row r="27" spans="1:9">
      <c r="A27" s="53" t="s">
        <v>155</v>
      </c>
      <c r="B27" s="45" t="s">
        <v>155</v>
      </c>
      <c r="C27" s="53">
        <f>ASIN(1)</f>
        <v>1.5707963267948966</v>
      </c>
      <c r="D27" s="54" t="b">
        <f t="shared" si="0"/>
        <v>1</v>
      </c>
      <c r="E27" s="55" t="str">
        <f t="shared" si="1"/>
        <v/>
      </c>
      <c r="F27" s="56"/>
      <c r="H27"/>
      <c r="I27"/>
    </row>
    <row r="28" spans="1:9">
      <c r="A28" s="53" t="s">
        <v>156</v>
      </c>
      <c r="B28" s="45" t="s">
        <v>156</v>
      </c>
      <c r="C28" s="53">
        <f>ASINH(1)</f>
        <v>0.88137358701954294</v>
      </c>
      <c r="D28" s="54" t="b">
        <f t="shared" si="0"/>
        <v>1</v>
      </c>
      <c r="E28" s="55" t="str">
        <f t="shared" si="1"/>
        <v/>
      </c>
      <c r="F28" s="56"/>
      <c r="H28"/>
      <c r="I28"/>
    </row>
    <row r="29" spans="1:9">
      <c r="A29" s="53" t="s">
        <v>157</v>
      </c>
      <c r="B29" s="45" t="s">
        <v>157</v>
      </c>
      <c r="C29" s="53">
        <f>ATAN(1)</f>
        <v>0.78539816339744828</v>
      </c>
      <c r="D29" s="54" t="b">
        <f t="shared" si="0"/>
        <v>1</v>
      </c>
      <c r="E29" s="55" t="str">
        <f t="shared" si="1"/>
        <v/>
      </c>
      <c r="F29" s="56"/>
      <c r="H29"/>
      <c r="I29"/>
    </row>
    <row r="30" spans="1:9">
      <c r="A30" s="53" t="s">
        <v>158</v>
      </c>
      <c r="B30" s="45" t="s">
        <v>158</v>
      </c>
      <c r="C30" s="53">
        <f>ATAN2(1,1)</f>
        <v>0.78539816339744828</v>
      </c>
      <c r="D30" s="54" t="b">
        <f t="shared" si="0"/>
        <v>1</v>
      </c>
      <c r="E30" s="55" t="str">
        <f t="shared" si="1"/>
        <v/>
      </c>
      <c r="F30" s="56"/>
      <c r="H30"/>
      <c r="I30"/>
    </row>
    <row r="31" spans="1:9">
      <c r="A31" s="53" t="s">
        <v>159</v>
      </c>
      <c r="B31" s="45" t="s">
        <v>159</v>
      </c>
      <c r="C31" s="53">
        <f>ATANH(0.5)</f>
        <v>0.54930614433405489</v>
      </c>
      <c r="D31" s="54" t="b">
        <f t="shared" si="0"/>
        <v>1</v>
      </c>
      <c r="E31" s="55" t="str">
        <f t="shared" si="1"/>
        <v/>
      </c>
      <c r="F31" s="56"/>
      <c r="H31"/>
      <c r="I31"/>
    </row>
    <row r="32" spans="1:9">
      <c r="A32" s="53" t="s">
        <v>160</v>
      </c>
      <c r="B32" s="45" t="s">
        <v>160</v>
      </c>
      <c r="C32" s="53">
        <f>AVEDEV(1)</f>
        <v>0</v>
      </c>
      <c r="D32" s="54" t="b">
        <f t="shared" si="0"/>
        <v>1</v>
      </c>
      <c r="E32" s="55" t="str">
        <f t="shared" si="1"/>
        <v/>
      </c>
      <c r="F32" s="56"/>
      <c r="H32"/>
      <c r="I32"/>
    </row>
    <row r="33" spans="1:9">
      <c r="A33" s="53" t="s">
        <v>161</v>
      </c>
      <c r="B33" s="45" t="s">
        <v>161</v>
      </c>
      <c r="C33" s="53">
        <f>AVERAGE(1)</f>
        <v>1</v>
      </c>
      <c r="D33" s="54" t="b">
        <f t="shared" si="0"/>
        <v>1</v>
      </c>
      <c r="E33" s="55" t="str">
        <f t="shared" si="1"/>
        <v/>
      </c>
      <c r="F33" s="56"/>
      <c r="H33"/>
      <c r="I33"/>
    </row>
    <row r="34" spans="1:9">
      <c r="A34" s="53" t="s">
        <v>162</v>
      </c>
      <c r="B34" s="45" t="s">
        <v>162</v>
      </c>
      <c r="C34" s="53">
        <f>AVERAGEA(1)</f>
        <v>1</v>
      </c>
      <c r="D34" s="54" t="b">
        <f t="shared" si="0"/>
        <v>1</v>
      </c>
      <c r="E34" s="55" t="str">
        <f t="shared" si="1"/>
        <v/>
      </c>
      <c r="F34" s="56"/>
      <c r="H34"/>
      <c r="I34"/>
    </row>
    <row r="35" spans="1:9">
      <c r="A35" s="53" t="s">
        <v>163</v>
      </c>
      <c r="B35" s="45" t="s">
        <v>163</v>
      </c>
      <c r="C35" s="53" t="e">
        <f>AVERAGEIF($A$11:$A$12,"&gt;0")</f>
        <v>#DIV/0!</v>
      </c>
      <c r="D35" s="54" t="b">
        <f t="shared" si="0"/>
        <v>1</v>
      </c>
      <c r="E35" s="55" t="str">
        <f t="shared" si="1"/>
        <v/>
      </c>
      <c r="F35" s="56"/>
      <c r="H35"/>
      <c r="I35"/>
    </row>
    <row r="36" spans="1:9">
      <c r="A36" s="53" t="s">
        <v>164</v>
      </c>
      <c r="B36" s="45" t="s">
        <v>164</v>
      </c>
      <c r="C36" s="53">
        <f>AVERAGEIFS($C$11:$C$12,$C$11:$C$12,"&gt;0")</f>
        <v>3</v>
      </c>
      <c r="D36" s="54" t="b">
        <f t="shared" si="0"/>
        <v>1</v>
      </c>
      <c r="E36" s="55" t="str">
        <f t="shared" si="1"/>
        <v/>
      </c>
      <c r="F36" s="56"/>
      <c r="H36"/>
      <c r="I36"/>
    </row>
    <row r="37" spans="1:9">
      <c r="A37" s="53" t="s">
        <v>165</v>
      </c>
      <c r="B37" s="45" t="s">
        <v>165</v>
      </c>
      <c r="C37" s="53" t="str">
        <f>BAHTTEXT(1)</f>
        <v>หนึ่งบาทถ้วน</v>
      </c>
      <c r="D37" s="54" t="b">
        <f t="shared" si="0"/>
        <v>1</v>
      </c>
      <c r="E37" s="55" t="str">
        <f t="shared" si="1"/>
        <v/>
      </c>
      <c r="F37" s="56"/>
      <c r="H37"/>
      <c r="I37"/>
    </row>
    <row r="38" spans="1:9">
      <c r="A38" s="53" t="s">
        <v>731</v>
      </c>
      <c r="B38" s="45" t="s">
        <v>731</v>
      </c>
      <c r="C38" s="53" t="str">
        <f>_xlfn.BASE(7,2)</f>
        <v>111</v>
      </c>
      <c r="D38" s="54" t="b">
        <f t="shared" si="0"/>
        <v>1</v>
      </c>
      <c r="E38" s="55" t="str">
        <f t="shared" si="1"/>
        <v/>
      </c>
      <c r="F38" s="56"/>
      <c r="H38"/>
      <c r="I38"/>
    </row>
    <row r="39" spans="1:9">
      <c r="A39" s="53" t="s">
        <v>166</v>
      </c>
      <c r="B39" s="45" t="s">
        <v>166</v>
      </c>
      <c r="C39" s="53">
        <f>BESSELI(1,1)</f>
        <v>0.56515909758194349</v>
      </c>
      <c r="D39" s="54" t="b">
        <f t="shared" si="0"/>
        <v>1</v>
      </c>
      <c r="E39" s="55" t="str">
        <f t="shared" si="1"/>
        <v/>
      </c>
      <c r="F39" s="56"/>
      <c r="H39"/>
      <c r="I39"/>
    </row>
    <row r="40" spans="1:9">
      <c r="A40" s="53" t="s">
        <v>167</v>
      </c>
      <c r="B40" s="45" t="s">
        <v>167</v>
      </c>
      <c r="C40" s="53">
        <f>BESSELJ(1,1)</f>
        <v>0.44005058567713012</v>
      </c>
      <c r="D40" s="54" t="b">
        <f t="shared" si="0"/>
        <v>1</v>
      </c>
      <c r="E40" s="55" t="str">
        <f t="shared" si="1"/>
        <v/>
      </c>
      <c r="F40" s="56"/>
      <c r="H40"/>
      <c r="I40"/>
    </row>
    <row r="41" spans="1:9">
      <c r="A41" s="53" t="s">
        <v>168</v>
      </c>
      <c r="B41" s="45" t="s">
        <v>168</v>
      </c>
      <c r="C41" s="53">
        <f>BESSELK(1,1)</f>
        <v>0.60190723166690574</v>
      </c>
      <c r="D41" s="54" t="b">
        <f t="shared" si="0"/>
        <v>1</v>
      </c>
      <c r="E41" s="55" t="str">
        <f t="shared" si="1"/>
        <v/>
      </c>
      <c r="F41" s="56"/>
      <c r="H41"/>
      <c r="I41"/>
    </row>
    <row r="42" spans="1:9">
      <c r="A42" s="53" t="s">
        <v>169</v>
      </c>
      <c r="B42" s="45" t="s">
        <v>169</v>
      </c>
      <c r="C42" s="53">
        <f>BESSELY(1,1)</f>
        <v>-0.78121282095311972</v>
      </c>
      <c r="D42" s="54" t="b">
        <f t="shared" si="0"/>
        <v>1</v>
      </c>
      <c r="E42" s="55" t="str">
        <f t="shared" si="1"/>
        <v/>
      </c>
      <c r="F42" s="56"/>
      <c r="H42"/>
      <c r="I42"/>
    </row>
    <row r="43" spans="1:9">
      <c r="A43" s="53" t="s">
        <v>170</v>
      </c>
      <c r="B43" s="45" t="s">
        <v>170</v>
      </c>
      <c r="C43" s="53">
        <f>_xlfn.BETA.DIST(0.5,2,2,TRUE)</f>
        <v>0.5</v>
      </c>
      <c r="D43" s="54" t="b">
        <f t="shared" si="0"/>
        <v>1</v>
      </c>
      <c r="E43" s="55" t="str">
        <f t="shared" si="1"/>
        <v/>
      </c>
      <c r="F43" s="56"/>
      <c r="H43"/>
      <c r="I43"/>
    </row>
    <row r="44" spans="1:9">
      <c r="A44" s="53" t="s">
        <v>171</v>
      </c>
      <c r="B44" s="45" t="s">
        <v>171</v>
      </c>
      <c r="C44" s="53">
        <f>_xlfn.BETA.INV(0.5,2,2)</f>
        <v>0.5</v>
      </c>
      <c r="D44" s="54" t="b">
        <f t="shared" si="0"/>
        <v>1</v>
      </c>
      <c r="E44" s="55" t="str">
        <f t="shared" si="1"/>
        <v/>
      </c>
      <c r="F44" s="56"/>
      <c r="H44"/>
      <c r="I44"/>
    </row>
    <row r="45" spans="1:9">
      <c r="A45" s="53" t="s">
        <v>172</v>
      </c>
      <c r="B45" s="45" t="s">
        <v>172</v>
      </c>
      <c r="C45" s="53">
        <f>BETADIST(0.5,2,2)</f>
        <v>0.5</v>
      </c>
      <c r="D45" s="54" t="b">
        <f t="shared" si="0"/>
        <v>1</v>
      </c>
      <c r="E45" s="55" t="str">
        <f t="shared" si="1"/>
        <v/>
      </c>
      <c r="F45" s="56"/>
      <c r="H45"/>
      <c r="I45"/>
    </row>
    <row r="46" spans="1:9">
      <c r="A46" s="53" t="s">
        <v>173</v>
      </c>
      <c r="B46" s="45" t="s">
        <v>173</v>
      </c>
      <c r="C46" s="53">
        <f>BETAINV(0.5,2,2)</f>
        <v>0.5</v>
      </c>
      <c r="D46" s="54" t="b">
        <f t="shared" si="0"/>
        <v>1</v>
      </c>
      <c r="E46" s="55" t="str">
        <f t="shared" si="1"/>
        <v/>
      </c>
      <c r="F46" s="56"/>
      <c r="H46"/>
      <c r="I46"/>
    </row>
    <row r="47" spans="1:9">
      <c r="A47" s="53" t="s">
        <v>174</v>
      </c>
      <c r="B47" s="45" t="s">
        <v>174</v>
      </c>
      <c r="C47" s="53">
        <f>BIN2DEC(1)</f>
        <v>1</v>
      </c>
      <c r="D47" s="54" t="b">
        <f t="shared" si="0"/>
        <v>1</v>
      </c>
      <c r="E47" s="55" t="str">
        <f t="shared" si="1"/>
        <v/>
      </c>
      <c r="F47" s="56"/>
      <c r="H47"/>
      <c r="I47"/>
    </row>
    <row r="48" spans="1:9">
      <c r="A48" s="53" t="s">
        <v>175</v>
      </c>
      <c r="B48" s="45" t="s">
        <v>175</v>
      </c>
      <c r="C48" s="53" t="str">
        <f>BIN2HEX(1)</f>
        <v>1</v>
      </c>
      <c r="D48" s="54" t="b">
        <f t="shared" si="0"/>
        <v>1</v>
      </c>
      <c r="E48" s="55" t="str">
        <f t="shared" si="1"/>
        <v/>
      </c>
      <c r="F48" s="56"/>
      <c r="H48"/>
      <c r="I48"/>
    </row>
    <row r="49" spans="1:9">
      <c r="A49" s="53" t="s">
        <v>176</v>
      </c>
      <c r="B49" s="45" t="s">
        <v>176</v>
      </c>
      <c r="C49" s="53" t="str">
        <f>BIN2OCT(1)</f>
        <v>1</v>
      </c>
      <c r="D49" s="54" t="b">
        <f t="shared" si="0"/>
        <v>1</v>
      </c>
      <c r="E49" s="55" t="str">
        <f t="shared" si="1"/>
        <v/>
      </c>
      <c r="F49" s="56"/>
      <c r="H49"/>
      <c r="I49"/>
    </row>
    <row r="50" spans="1:9">
      <c r="A50" s="53" t="s">
        <v>177</v>
      </c>
      <c r="B50" s="45" t="s">
        <v>177</v>
      </c>
      <c r="C50" s="53">
        <f>_xlfn.BINOM.DIST(1,2,0.5,TRUE)</f>
        <v>0.75</v>
      </c>
      <c r="D50" s="54" t="b">
        <f t="shared" si="0"/>
        <v>1</v>
      </c>
      <c r="E50" s="55" t="str">
        <f t="shared" si="1"/>
        <v/>
      </c>
      <c r="F50" s="56"/>
      <c r="H50"/>
      <c r="I50"/>
    </row>
    <row r="51" spans="1:9">
      <c r="A51" s="53" t="s">
        <v>178</v>
      </c>
      <c r="B51" s="45" t="s">
        <v>178</v>
      </c>
      <c r="C51" s="53">
        <f>_xlfn.BINOM.DIST.RANGE(2,0.5,1)</f>
        <v>0.49999999999999994</v>
      </c>
      <c r="D51" s="54" t="b">
        <f t="shared" si="0"/>
        <v>1</v>
      </c>
      <c r="E51" s="55" t="str">
        <f t="shared" si="1"/>
        <v/>
      </c>
      <c r="F51" s="56"/>
      <c r="H51"/>
      <c r="I51"/>
    </row>
    <row r="52" spans="1:9">
      <c r="A52" s="53" t="s">
        <v>179</v>
      </c>
      <c r="B52" s="45" t="s">
        <v>179</v>
      </c>
      <c r="C52" s="53">
        <f>_xlfn.BINOM.INV(2,0.5,0.5)</f>
        <v>1</v>
      </c>
      <c r="D52" s="54" t="b">
        <f t="shared" si="0"/>
        <v>1</v>
      </c>
      <c r="E52" s="55" t="str">
        <f t="shared" si="1"/>
        <v/>
      </c>
      <c r="F52" s="56"/>
      <c r="H52"/>
      <c r="I52"/>
    </row>
    <row r="53" spans="1:9">
      <c r="A53" s="53" t="s">
        <v>180</v>
      </c>
      <c r="B53" s="45" t="s">
        <v>180</v>
      </c>
      <c r="C53" s="53">
        <f>BINOMDIST(1,2,0.5,TRUE)</f>
        <v>0.75</v>
      </c>
      <c r="D53" s="54" t="b">
        <f t="shared" si="0"/>
        <v>1</v>
      </c>
      <c r="E53" s="55" t="str">
        <f t="shared" si="1"/>
        <v/>
      </c>
      <c r="F53" s="56"/>
      <c r="H53"/>
      <c r="I53"/>
    </row>
    <row r="54" spans="1:9">
      <c r="A54" s="53" t="s">
        <v>181</v>
      </c>
      <c r="B54" s="45" t="s">
        <v>181</v>
      </c>
      <c r="C54" s="53">
        <f>_xlfn.BITAND(1,1)</f>
        <v>1</v>
      </c>
      <c r="D54" s="54" t="b">
        <f t="shared" si="0"/>
        <v>1</v>
      </c>
      <c r="E54" s="55" t="str">
        <f t="shared" si="1"/>
        <v/>
      </c>
      <c r="F54" s="56"/>
      <c r="H54"/>
      <c r="I54"/>
    </row>
    <row r="55" spans="1:9">
      <c r="A55" s="53" t="s">
        <v>182</v>
      </c>
      <c r="B55" s="45" t="s">
        <v>182</v>
      </c>
      <c r="C55" s="53">
        <f>_xlfn.BITLSHIFT(1,1)</f>
        <v>2</v>
      </c>
      <c r="D55" s="54" t="b">
        <f t="shared" si="0"/>
        <v>1</v>
      </c>
      <c r="E55" s="55" t="str">
        <f t="shared" si="1"/>
        <v/>
      </c>
      <c r="F55" s="56"/>
      <c r="H55"/>
      <c r="I55"/>
    </row>
    <row r="56" spans="1:9">
      <c r="A56" s="53" t="s">
        <v>183</v>
      </c>
      <c r="B56" s="45" t="s">
        <v>183</v>
      </c>
      <c r="C56" s="53">
        <f>_xlfn.BITOR(1,1)</f>
        <v>1</v>
      </c>
      <c r="D56" s="54" t="b">
        <f t="shared" si="0"/>
        <v>1</v>
      </c>
      <c r="E56" s="55" t="str">
        <f t="shared" si="1"/>
        <v/>
      </c>
      <c r="F56" s="56"/>
      <c r="H56"/>
      <c r="I56"/>
    </row>
    <row r="57" spans="1:9">
      <c r="A57" s="53" t="s">
        <v>184</v>
      </c>
      <c r="B57" s="45" t="s">
        <v>184</v>
      </c>
      <c r="C57" s="53">
        <f>_xlfn.BITRSHIFT(1,1)</f>
        <v>0</v>
      </c>
      <c r="D57" s="54" t="b">
        <f t="shared" si="0"/>
        <v>1</v>
      </c>
      <c r="E57" s="55" t="str">
        <f t="shared" si="1"/>
        <v/>
      </c>
      <c r="F57" s="56"/>
      <c r="H57"/>
      <c r="I57"/>
    </row>
    <row r="58" spans="1:9">
      <c r="A58" s="53" t="s">
        <v>185</v>
      </c>
      <c r="B58" s="45" t="s">
        <v>185</v>
      </c>
      <c r="C58" s="53">
        <f>_xlfn.BITXOR(1,1)</f>
        <v>0</v>
      </c>
      <c r="D58" s="54" t="b">
        <f t="shared" si="0"/>
        <v>1</v>
      </c>
      <c r="E58" s="55" t="str">
        <f t="shared" si="1"/>
        <v/>
      </c>
      <c r="F58" s="56"/>
      <c r="H58"/>
      <c r="I58"/>
    </row>
    <row r="59" spans="1:9">
      <c r="A59" s="53" t="s">
        <v>186</v>
      </c>
      <c r="B59" s="45" t="s">
        <v>186</v>
      </c>
      <c r="C59" s="53">
        <f>INDEX(_xlfn.BYCOL({1,2},_xlfn.LAMBDA(_xlpm.x,SUM(_xlpm.x))),1,1)</f>
        <v>1</v>
      </c>
      <c r="D59" s="54" t="b">
        <f t="shared" si="0"/>
        <v>1</v>
      </c>
      <c r="E59" s="55" t="str">
        <f t="shared" si="1"/>
        <v/>
      </c>
      <c r="F59" s="56"/>
      <c r="H59"/>
      <c r="I59"/>
    </row>
    <row r="60" spans="1:9">
      <c r="A60" s="53" t="s">
        <v>187</v>
      </c>
      <c r="B60" s="45" t="s">
        <v>187</v>
      </c>
      <c r="C60" s="53">
        <f>INDEX(_xlfn.BYROW({1;2},_xlfn.LAMBDA(_xlpm.x,SUM(_xlpm.x))),1,1)</f>
        <v>1</v>
      </c>
      <c r="D60" s="54" t="b">
        <f t="shared" si="0"/>
        <v>1</v>
      </c>
      <c r="E60" s="55" t="str">
        <f t="shared" si="1"/>
        <v/>
      </c>
      <c r="F60" s="56"/>
      <c r="H60"/>
      <c r="I60"/>
    </row>
    <row r="61" spans="1:9" ht="57.6">
      <c r="A61" s="53" t="s">
        <v>188</v>
      </c>
      <c r="B61" s="45" t="s">
        <v>188</v>
      </c>
      <c r="C61" s="53" t="s">
        <v>189</v>
      </c>
      <c r="D61" s="54" t="str">
        <f t="shared" si="0"/>
        <v>NOT TESTED</v>
      </c>
      <c r="E61" s="55" t="str">
        <f t="shared" si="1"/>
        <v>?CALL (untested)</v>
      </c>
      <c r="F61" s="56" t="s">
        <v>190</v>
      </c>
      <c r="H61"/>
      <c r="I61"/>
    </row>
    <row r="62" spans="1:9">
      <c r="A62" s="53" t="s">
        <v>191</v>
      </c>
      <c r="B62" s="45" t="s">
        <v>191</v>
      </c>
      <c r="C62" s="53">
        <f>CEILING(1,1)</f>
        <v>1</v>
      </c>
      <c r="D62" s="54" t="b">
        <f t="shared" si="0"/>
        <v>1</v>
      </c>
      <c r="E62" s="55" t="str">
        <f t="shared" si="1"/>
        <v/>
      </c>
      <c r="F62" s="56"/>
      <c r="H62"/>
      <c r="I62"/>
    </row>
    <row r="63" spans="1:9">
      <c r="A63" s="53" t="s">
        <v>192</v>
      </c>
      <c r="B63" s="45" t="s">
        <v>192</v>
      </c>
      <c r="C63" s="53">
        <f>_xlfn.CEILING.MATH(1)</f>
        <v>1</v>
      </c>
      <c r="D63" s="54" t="b">
        <f t="shared" si="0"/>
        <v>1</v>
      </c>
      <c r="E63" s="55" t="str">
        <f t="shared" si="1"/>
        <v/>
      </c>
      <c r="F63" s="56"/>
      <c r="H63"/>
      <c r="I63"/>
    </row>
    <row r="64" spans="1:9">
      <c r="A64" s="53" t="s">
        <v>193</v>
      </c>
      <c r="B64" s="45" t="s">
        <v>193</v>
      </c>
      <c r="C64" s="53">
        <f>_xlfn.CEILING.PRECISE(1)</f>
        <v>1</v>
      </c>
      <c r="D64" s="54" t="b">
        <f t="shared" si="0"/>
        <v>1</v>
      </c>
      <c r="E64" s="55" t="str">
        <f t="shared" si="1"/>
        <v/>
      </c>
      <c r="F64" s="56"/>
      <c r="H64"/>
      <c r="I64"/>
    </row>
    <row r="65" spans="1:9">
      <c r="A65" s="53" t="s">
        <v>194</v>
      </c>
      <c r="B65" s="45" t="s">
        <v>194</v>
      </c>
      <c r="C65" s="53" t="str" cm="1">
        <f t="array" aca="1" ref="C65" ca="1">CELL("address",A10)</f>
        <v>$A$10</v>
      </c>
      <c r="D65" s="54" t="b">
        <f t="shared" ca="1" si="0"/>
        <v>1</v>
      </c>
      <c r="E65" s="55" t="str">
        <f t="shared" ca="1" si="1"/>
        <v/>
      </c>
      <c r="F65" s="56"/>
      <c r="H65"/>
      <c r="I65"/>
    </row>
    <row r="66" spans="1:9">
      <c r="A66" s="53" t="s">
        <v>195</v>
      </c>
      <c r="B66" s="45" t="s">
        <v>195</v>
      </c>
      <c r="C66" s="53" t="str">
        <f>CHAR(65)</f>
        <v>A</v>
      </c>
      <c r="D66" s="54" t="b">
        <f t="shared" si="0"/>
        <v>1</v>
      </c>
      <c r="E66" s="55" t="str">
        <f t="shared" si="1"/>
        <v/>
      </c>
      <c r="F66" s="56"/>
      <c r="H66"/>
      <c r="I66"/>
    </row>
    <row r="67" spans="1:9">
      <c r="A67" s="53" t="s">
        <v>196</v>
      </c>
      <c r="B67" s="45" t="s">
        <v>196</v>
      </c>
      <c r="C67" s="53">
        <f>CHIDIST(1,1)</f>
        <v>0.31731050786291398</v>
      </c>
      <c r="D67" s="54" t="b">
        <f t="shared" si="0"/>
        <v>1</v>
      </c>
      <c r="E67" s="55" t="str">
        <f t="shared" si="1"/>
        <v/>
      </c>
      <c r="F67" s="56"/>
      <c r="H67"/>
      <c r="I67"/>
    </row>
    <row r="68" spans="1:9">
      <c r="A68" s="53" t="s">
        <v>197</v>
      </c>
      <c r="B68" s="45" t="s">
        <v>197</v>
      </c>
      <c r="C68" s="53">
        <f>CHIINV(0.5,1)</f>
        <v>0.45493642311957289</v>
      </c>
      <c r="D68" s="54" t="b">
        <f t="shared" si="0"/>
        <v>1</v>
      </c>
      <c r="E68" s="55" t="str">
        <f t="shared" si="1"/>
        <v/>
      </c>
      <c r="F68" s="56"/>
      <c r="H68"/>
      <c r="I68"/>
    </row>
    <row r="69" spans="1:9">
      <c r="A69" s="53" t="s">
        <v>198</v>
      </c>
      <c r="B69" s="45" t="s">
        <v>198</v>
      </c>
      <c r="C69" s="53">
        <f>_xlfn.CHISQ.DIST(1,1,TRUE)</f>
        <v>0.68268949213708607</v>
      </c>
      <c r="D69" s="54" t="b">
        <f t="shared" si="0"/>
        <v>1</v>
      </c>
      <c r="E69" s="55" t="str">
        <f t="shared" si="1"/>
        <v/>
      </c>
      <c r="F69" s="56"/>
      <c r="H69"/>
      <c r="I69"/>
    </row>
    <row r="70" spans="1:9">
      <c r="A70" s="53" t="s">
        <v>199</v>
      </c>
      <c r="B70" s="45" t="s">
        <v>199</v>
      </c>
      <c r="C70" s="53">
        <f>_xlfn.CHISQ.DIST.RT(1,1)</f>
        <v>0.31731050786291398</v>
      </c>
      <c r="D70" s="54" t="b">
        <f t="shared" si="0"/>
        <v>1</v>
      </c>
      <c r="E70" s="55" t="str">
        <f t="shared" si="1"/>
        <v/>
      </c>
      <c r="F70" s="56"/>
      <c r="H70"/>
      <c r="I70"/>
    </row>
    <row r="71" spans="1:9">
      <c r="A71" s="53" t="s">
        <v>200</v>
      </c>
      <c r="B71" s="45" t="s">
        <v>200</v>
      </c>
      <c r="C71" s="53">
        <f>_xlfn.CHISQ.INV(0.5,1)</f>
        <v>0.45493642311957289</v>
      </c>
      <c r="D71" s="54" t="b">
        <f t="shared" si="0"/>
        <v>1</v>
      </c>
      <c r="E71" s="55" t="str">
        <f t="shared" si="1"/>
        <v/>
      </c>
      <c r="F71" s="56"/>
      <c r="H71"/>
      <c r="I71"/>
    </row>
    <row r="72" spans="1:9">
      <c r="A72" s="53" t="s">
        <v>201</v>
      </c>
      <c r="B72" s="45" t="s">
        <v>201</v>
      </c>
      <c r="C72" s="53">
        <f>_xlfn.CHISQ.INV.RT(0.5,1)</f>
        <v>0.45493642311957289</v>
      </c>
      <c r="D72" s="54" t="b">
        <f t="shared" si="0"/>
        <v>1</v>
      </c>
      <c r="E72" s="55" t="str">
        <f t="shared" si="1"/>
        <v/>
      </c>
      <c r="F72" s="56"/>
      <c r="H72"/>
      <c r="I72"/>
    </row>
    <row r="73" spans="1:9">
      <c r="A73" s="53" t="s">
        <v>202</v>
      </c>
      <c r="B73" s="45" t="s">
        <v>202</v>
      </c>
      <c r="C73" s="53">
        <f>_xlfn.CHISQ.TEST({1,2},{1,2})</f>
        <v>1</v>
      </c>
      <c r="D73" s="54" t="b">
        <f t="shared" si="0"/>
        <v>1</v>
      </c>
      <c r="E73" s="55" t="str">
        <f t="shared" si="1"/>
        <v/>
      </c>
      <c r="F73" s="56"/>
      <c r="H73"/>
      <c r="I73"/>
    </row>
    <row r="74" spans="1:9">
      <c r="A74" s="53" t="s">
        <v>203</v>
      </c>
      <c r="B74" s="45" t="s">
        <v>203</v>
      </c>
      <c r="C74" s="53">
        <f>CHITEST({1,2},{1,2})</f>
        <v>1</v>
      </c>
      <c r="D74" s="54" t="b">
        <f t="shared" si="0"/>
        <v>1</v>
      </c>
      <c r="E74" s="55" t="str">
        <f t="shared" si="1"/>
        <v/>
      </c>
      <c r="F74" s="56"/>
      <c r="H74"/>
      <c r="I74"/>
    </row>
    <row r="75" spans="1:9">
      <c r="A75" s="53" t="s">
        <v>204</v>
      </c>
      <c r="B75" s="45" t="s">
        <v>204</v>
      </c>
      <c r="C75" s="53">
        <f>CHOOSE(1,1)</f>
        <v>1</v>
      </c>
      <c r="D75" s="54" t="b">
        <f t="shared" si="0"/>
        <v>1</v>
      </c>
      <c r="E75" s="55" t="str">
        <f t="shared" si="1"/>
        <v/>
      </c>
      <c r="F75" s="56"/>
      <c r="H75"/>
      <c r="I75"/>
    </row>
    <row r="76" spans="1:9">
      <c r="A76" s="53" t="s">
        <v>205</v>
      </c>
      <c r="B76" s="45" t="s">
        <v>205</v>
      </c>
      <c r="C76" s="53" cm="1">
        <f t="array" ref="C76">_xlfn.CHOOSECOLS(1,1)</f>
        <v>1</v>
      </c>
      <c r="D76" s="54" t="b">
        <f t="shared" si="0"/>
        <v>1</v>
      </c>
      <c r="E76" s="55" t="str">
        <f t="shared" ref="E76:E139" si="2">IF(D76="NOT TESTED","?"&amp;A76&amp;" (untested)",IF(D76=FALSE,A76,""))</f>
        <v/>
      </c>
      <c r="F76" s="56"/>
      <c r="H76"/>
      <c r="I76"/>
    </row>
    <row r="77" spans="1:9">
      <c r="A77" s="53" t="s">
        <v>206</v>
      </c>
      <c r="B77" s="45" t="s">
        <v>206</v>
      </c>
      <c r="C77" s="53" cm="1">
        <f t="array" ref="C77">_xlfn.CHOOSEROWS(1,1)</f>
        <v>1</v>
      </c>
      <c r="D77" s="54" t="b">
        <f t="shared" ref="D77:D140" si="3">IF(NOT(_xlfn.ISFORMULA(C77)),"NOT TESTED",IFERROR(ERROR.TYPE(C77)&lt;&gt;5,TRUE))</f>
        <v>1</v>
      </c>
      <c r="E77" s="55" t="str">
        <f t="shared" si="2"/>
        <v/>
      </c>
      <c r="F77" s="56"/>
      <c r="H77"/>
      <c r="I77"/>
    </row>
    <row r="78" spans="1:9">
      <c r="A78" s="53" t="s">
        <v>207</v>
      </c>
      <c r="B78" s="45" t="s">
        <v>207</v>
      </c>
      <c r="C78" s="53" t="str">
        <f>CLEAN(1)</f>
        <v>1</v>
      </c>
      <c r="D78" s="54" t="b">
        <f t="shared" si="3"/>
        <v>1</v>
      </c>
      <c r="E78" s="55" t="str">
        <f t="shared" si="2"/>
        <v/>
      </c>
      <c r="F78" s="56"/>
      <c r="H78"/>
      <c r="I78"/>
    </row>
    <row r="79" spans="1:9">
      <c r="A79" s="53" t="s">
        <v>208</v>
      </c>
      <c r="B79" s="45" t="s">
        <v>208</v>
      </c>
      <c r="C79" s="53">
        <f>CODE(1)</f>
        <v>49</v>
      </c>
      <c r="D79" s="54" t="b">
        <f t="shared" si="3"/>
        <v>1</v>
      </c>
      <c r="E79" s="55" t="str">
        <f t="shared" si="2"/>
        <v/>
      </c>
      <c r="F79" s="56"/>
      <c r="H79"/>
      <c r="I79"/>
    </row>
    <row r="80" spans="1:9">
      <c r="A80" s="53" t="s">
        <v>209</v>
      </c>
      <c r="B80" s="45" t="s">
        <v>209</v>
      </c>
      <c r="C80" s="53">
        <f>COLUMN(A10)</f>
        <v>1</v>
      </c>
      <c r="D80" s="54" t="b">
        <f t="shared" si="3"/>
        <v>1</v>
      </c>
      <c r="E80" s="55" t="str">
        <f t="shared" si="2"/>
        <v/>
      </c>
      <c r="F80" s="56"/>
      <c r="H80"/>
      <c r="I80"/>
    </row>
    <row r="81" spans="1:9">
      <c r="A81" s="53" t="s">
        <v>210</v>
      </c>
      <c r="B81" s="45" t="s">
        <v>210</v>
      </c>
      <c r="C81" s="53">
        <f>COLUMNS(1)</f>
        <v>1</v>
      </c>
      <c r="D81" s="54" t="b">
        <f t="shared" si="3"/>
        <v>1</v>
      </c>
      <c r="E81" s="55" t="str">
        <f t="shared" si="2"/>
        <v/>
      </c>
      <c r="F81" s="56"/>
      <c r="H81"/>
      <c r="I81"/>
    </row>
    <row r="82" spans="1:9">
      <c r="A82" s="53" t="s">
        <v>211</v>
      </c>
      <c r="B82" s="45" t="s">
        <v>211</v>
      </c>
      <c r="C82" s="53">
        <f>COMBIN(2,1)</f>
        <v>2</v>
      </c>
      <c r="D82" s="54" t="b">
        <f t="shared" si="3"/>
        <v>1</v>
      </c>
      <c r="E82" s="55" t="str">
        <f t="shared" si="2"/>
        <v/>
      </c>
      <c r="F82" s="56"/>
      <c r="H82"/>
      <c r="I82"/>
    </row>
    <row r="83" spans="1:9">
      <c r="A83" s="53" t="s">
        <v>212</v>
      </c>
      <c r="B83" s="45" t="s">
        <v>732</v>
      </c>
      <c r="C83" s="53" t="str">
        <f>COMPLEX(1,1)</f>
        <v>1+i</v>
      </c>
      <c r="D83" s="54" t="b">
        <f t="shared" si="3"/>
        <v>1</v>
      </c>
      <c r="E83" s="55" t="str">
        <f t="shared" si="2"/>
        <v/>
      </c>
      <c r="F83" s="56"/>
      <c r="H83"/>
      <c r="I83"/>
    </row>
    <row r="84" spans="1:9">
      <c r="A84" s="53" t="s">
        <v>213</v>
      </c>
      <c r="B84" s="45" t="s">
        <v>212</v>
      </c>
      <c r="C84" s="53" t="str">
        <f>_xlfn.CONCAT(1)</f>
        <v>1</v>
      </c>
      <c r="D84" s="54" t="b">
        <f t="shared" si="3"/>
        <v>1</v>
      </c>
      <c r="E84" s="55" t="str">
        <f t="shared" si="2"/>
        <v/>
      </c>
      <c r="F84" s="56"/>
      <c r="H84"/>
      <c r="I84"/>
    </row>
    <row r="85" spans="1:9">
      <c r="A85" s="53" t="s">
        <v>214</v>
      </c>
      <c r="B85" s="45" t="s">
        <v>213</v>
      </c>
      <c r="C85" s="53" t="str">
        <f>CONCATENATE(1)</f>
        <v>1</v>
      </c>
      <c r="D85" s="54" t="b">
        <f t="shared" si="3"/>
        <v>1</v>
      </c>
      <c r="E85" s="55" t="str">
        <f t="shared" si="2"/>
        <v/>
      </c>
      <c r="F85" s="56"/>
      <c r="H85"/>
      <c r="I85"/>
    </row>
    <row r="86" spans="1:9">
      <c r="A86" s="53" t="s">
        <v>215</v>
      </c>
      <c r="B86" s="45" t="s">
        <v>214</v>
      </c>
      <c r="C86" s="53">
        <f>CONFIDENCE(0.05,1,10)</f>
        <v>0.61979503230456146</v>
      </c>
      <c r="D86" s="54" t="b">
        <f t="shared" si="3"/>
        <v>1</v>
      </c>
      <c r="E86" s="55" t="str">
        <f t="shared" si="2"/>
        <v/>
      </c>
      <c r="F86" s="56"/>
      <c r="H86"/>
      <c r="I86"/>
    </row>
    <row r="87" spans="1:9">
      <c r="A87" s="53" t="s">
        <v>216</v>
      </c>
      <c r="B87" s="45" t="s">
        <v>215</v>
      </c>
      <c r="C87" s="53">
        <f>_xlfn.CONFIDENCE.NORM(0.05,1,10)</f>
        <v>0.61979503230456146</v>
      </c>
      <c r="D87" s="54" t="b">
        <f t="shared" si="3"/>
        <v>1</v>
      </c>
      <c r="E87" s="55" t="str">
        <f t="shared" si="2"/>
        <v/>
      </c>
      <c r="F87" s="56"/>
      <c r="H87"/>
      <c r="I87"/>
    </row>
    <row r="88" spans="1:9">
      <c r="A88" s="53" t="s">
        <v>217</v>
      </c>
      <c r="B88" s="45" t="s">
        <v>216</v>
      </c>
      <c r="C88" s="53">
        <f>_xlfn.CONFIDENCE.T(0.05,1,10)</f>
        <v>0.71535690597066481</v>
      </c>
      <c r="D88" s="54" t="b">
        <f t="shared" si="3"/>
        <v>1</v>
      </c>
      <c r="E88" s="55" t="str">
        <f t="shared" si="2"/>
        <v/>
      </c>
      <c r="F88" s="56"/>
      <c r="H88"/>
      <c r="I88"/>
    </row>
    <row r="89" spans="1:9">
      <c r="A89" s="53" t="s">
        <v>218</v>
      </c>
      <c r="B89" s="45" t="s">
        <v>217</v>
      </c>
      <c r="C89" s="53">
        <f>CONVERT(1,"m","cm")</f>
        <v>100</v>
      </c>
      <c r="D89" s="54" t="b">
        <f t="shared" si="3"/>
        <v>1</v>
      </c>
      <c r="E89" s="55" t="str">
        <f t="shared" si="2"/>
        <v/>
      </c>
      <c r="F89" s="56"/>
      <c r="H89"/>
      <c r="I89"/>
    </row>
    <row r="90" spans="1:9" ht="43.2">
      <c r="A90" s="53" t="s">
        <v>219</v>
      </c>
      <c r="B90" s="45" t="s">
        <v>218</v>
      </c>
      <c r="C90" s="53" t="e" cm="1">
        <f t="array" aca="1" ref="C90" ca="1">COPILOT(1)</f>
        <v>#NAME?</v>
      </c>
      <c r="D90" s="54" t="b">
        <f t="shared" ca="1" si="3"/>
        <v>0</v>
      </c>
      <c r="E90" s="55" t="str">
        <f t="shared" ca="1" si="2"/>
        <v>COPILOT</v>
      </c>
      <c r="F90" s="56" t="s">
        <v>220</v>
      </c>
      <c r="H90"/>
      <c r="I90"/>
    </row>
    <row r="91" spans="1:9">
      <c r="A91" s="53" t="s">
        <v>221</v>
      </c>
      <c r="B91" s="45" t="s">
        <v>219</v>
      </c>
      <c r="C91" s="53">
        <f>CORREL({1,2},{1,2})</f>
        <v>1</v>
      </c>
      <c r="D91" s="54" t="b">
        <f t="shared" si="3"/>
        <v>1</v>
      </c>
      <c r="E91" s="55" t="str">
        <f t="shared" si="2"/>
        <v/>
      </c>
      <c r="F91" s="56"/>
      <c r="H91"/>
      <c r="I91"/>
    </row>
    <row r="92" spans="1:9">
      <c r="A92" s="53" t="s">
        <v>222</v>
      </c>
      <c r="B92" s="45" t="s">
        <v>221</v>
      </c>
      <c r="C92" s="53">
        <f>COS(1)</f>
        <v>0.54030230586813977</v>
      </c>
      <c r="D92" s="54" t="b">
        <f t="shared" si="3"/>
        <v>1</v>
      </c>
      <c r="E92" s="55" t="str">
        <f t="shared" si="2"/>
        <v/>
      </c>
      <c r="F92" s="56"/>
      <c r="H92"/>
      <c r="I92"/>
    </row>
    <row r="93" spans="1:9">
      <c r="A93" s="53" t="s">
        <v>223</v>
      </c>
      <c r="B93" s="45" t="s">
        <v>222</v>
      </c>
      <c r="C93" s="53">
        <f>COSH(1)</f>
        <v>1.5430806348152437</v>
      </c>
      <c r="D93" s="54" t="b">
        <f t="shared" si="3"/>
        <v>1</v>
      </c>
      <c r="E93" s="55" t="str">
        <f t="shared" si="2"/>
        <v/>
      </c>
      <c r="F93" s="56"/>
      <c r="H93"/>
      <c r="I93"/>
    </row>
    <row r="94" spans="1:9">
      <c r="A94" s="53" t="s">
        <v>224</v>
      </c>
      <c r="B94" s="45" t="s">
        <v>223</v>
      </c>
      <c r="C94" s="53">
        <f>_xlfn.COT(1)</f>
        <v>0.64209261593433065</v>
      </c>
      <c r="D94" s="54" t="b">
        <f t="shared" si="3"/>
        <v>1</v>
      </c>
      <c r="E94" s="55" t="str">
        <f t="shared" si="2"/>
        <v/>
      </c>
      <c r="F94" s="56"/>
      <c r="H94"/>
      <c r="I94"/>
    </row>
    <row r="95" spans="1:9">
      <c r="A95" s="53" t="s">
        <v>225</v>
      </c>
      <c r="B95" s="45" t="s">
        <v>224</v>
      </c>
      <c r="C95" s="53">
        <f>_xlfn.COTH(1)</f>
        <v>1.3130352854993315</v>
      </c>
      <c r="D95" s="54" t="b">
        <f t="shared" si="3"/>
        <v>1</v>
      </c>
      <c r="E95" s="55" t="str">
        <f t="shared" si="2"/>
        <v/>
      </c>
      <c r="F95" s="56"/>
      <c r="H95"/>
      <c r="I95"/>
    </row>
    <row r="96" spans="1:9">
      <c r="A96" s="53" t="s">
        <v>226</v>
      </c>
      <c r="B96" s="45" t="s">
        <v>225</v>
      </c>
      <c r="C96" s="53">
        <f>COUNT(1)</f>
        <v>1</v>
      </c>
      <c r="D96" s="54" t="b">
        <f t="shared" si="3"/>
        <v>1</v>
      </c>
      <c r="E96" s="55" t="str">
        <f t="shared" si="2"/>
        <v/>
      </c>
      <c r="F96" s="56"/>
      <c r="H96"/>
      <c r="I96"/>
    </row>
    <row r="97" spans="1:9">
      <c r="A97" s="53" t="s">
        <v>227</v>
      </c>
      <c r="B97" s="45" t="s">
        <v>226</v>
      </c>
      <c r="C97" s="53">
        <f>COUNTA(1)</f>
        <v>1</v>
      </c>
      <c r="D97" s="54" t="b">
        <f t="shared" si="3"/>
        <v>1</v>
      </c>
      <c r="E97" s="55" t="str">
        <f t="shared" si="2"/>
        <v/>
      </c>
      <c r="F97" s="56"/>
      <c r="H97"/>
      <c r="I97"/>
    </row>
    <row r="98" spans="1:9">
      <c r="A98" s="53" t="s">
        <v>228</v>
      </c>
      <c r="B98" s="45" t="s">
        <v>227</v>
      </c>
      <c r="C98" s="53">
        <f>COUNTBLANK(A10)</f>
        <v>0</v>
      </c>
      <c r="D98" s="54" t="b">
        <f t="shared" si="3"/>
        <v>1</v>
      </c>
      <c r="E98" s="55" t="str">
        <f t="shared" si="2"/>
        <v/>
      </c>
      <c r="F98" s="56"/>
      <c r="H98"/>
      <c r="I98"/>
    </row>
    <row r="99" spans="1:9">
      <c r="A99" s="53" t="s">
        <v>229</v>
      </c>
      <c r="B99" s="45" t="s">
        <v>228</v>
      </c>
      <c r="C99" s="53">
        <f>COUNTIF($A$11:$A$12,"&gt;0")</f>
        <v>0</v>
      </c>
      <c r="D99" s="54" t="b">
        <f t="shared" si="3"/>
        <v>1</v>
      </c>
      <c r="E99" s="55" t="str">
        <f t="shared" si="2"/>
        <v/>
      </c>
      <c r="F99" s="56"/>
      <c r="H99"/>
      <c r="I99"/>
    </row>
    <row r="100" spans="1:9">
      <c r="A100" s="53" t="s">
        <v>230</v>
      </c>
      <c r="B100" s="45" t="s">
        <v>230</v>
      </c>
      <c r="C100" s="53">
        <f>COUNTIFS($A$11:$A$12,"&gt;0")</f>
        <v>0</v>
      </c>
      <c r="D100" s="54" t="b">
        <f t="shared" si="3"/>
        <v>1</v>
      </c>
      <c r="E100" s="55" t="str">
        <f t="shared" si="2"/>
        <v/>
      </c>
      <c r="F100" s="56"/>
      <c r="H100"/>
      <c r="I100"/>
    </row>
    <row r="101" spans="1:9">
      <c r="A101" s="53" t="s">
        <v>231</v>
      </c>
      <c r="B101" s="45" t="s">
        <v>231</v>
      </c>
      <c r="C101" s="53">
        <f>COUPDAYBS(DATE(2020,1,1),DATE(2021,1,1),1)</f>
        <v>0</v>
      </c>
      <c r="D101" s="54" t="b">
        <f t="shared" si="3"/>
        <v>1</v>
      </c>
      <c r="E101" s="55" t="str">
        <f t="shared" si="2"/>
        <v/>
      </c>
      <c r="F101" s="56"/>
      <c r="H101"/>
      <c r="I101"/>
    </row>
    <row r="102" spans="1:9">
      <c r="A102" s="53" t="s">
        <v>232</v>
      </c>
      <c r="B102" s="45" t="s">
        <v>232</v>
      </c>
      <c r="C102" s="53">
        <f>COUPDAYS(DATE(2020,1,1),DATE(2021,1,1),1)</f>
        <v>360</v>
      </c>
      <c r="D102" s="54" t="b">
        <f t="shared" si="3"/>
        <v>1</v>
      </c>
      <c r="E102" s="55" t="str">
        <f t="shared" si="2"/>
        <v/>
      </c>
      <c r="F102" s="56"/>
      <c r="H102"/>
      <c r="I102"/>
    </row>
    <row r="103" spans="1:9">
      <c r="A103" s="53" t="s">
        <v>233</v>
      </c>
      <c r="B103" s="45" t="s">
        <v>233</v>
      </c>
      <c r="C103" s="53">
        <f>COUPDAYSNC(DATE(2020,1,1),DATE(2021,1,1),1)</f>
        <v>360</v>
      </c>
      <c r="D103" s="54" t="b">
        <f t="shared" si="3"/>
        <v>1</v>
      </c>
      <c r="E103" s="55" t="str">
        <f t="shared" si="2"/>
        <v/>
      </c>
      <c r="F103" s="56"/>
      <c r="H103"/>
      <c r="I103"/>
    </row>
    <row r="104" spans="1:9">
      <c r="A104" s="53" t="s">
        <v>234</v>
      </c>
      <c r="B104" s="45" t="s">
        <v>234</v>
      </c>
      <c r="C104" s="53">
        <f>COUPNCD(DATE(2020,1,1),DATE(2021,1,1),1)</f>
        <v>44197</v>
      </c>
      <c r="D104" s="54" t="b">
        <f t="shared" si="3"/>
        <v>1</v>
      </c>
      <c r="E104" s="55" t="str">
        <f t="shared" si="2"/>
        <v/>
      </c>
      <c r="F104" s="56"/>
      <c r="H104"/>
      <c r="I104"/>
    </row>
    <row r="105" spans="1:9">
      <c r="A105" s="53" t="s">
        <v>235</v>
      </c>
      <c r="B105" s="45" t="s">
        <v>235</v>
      </c>
      <c r="C105" s="53">
        <f>COUPNUM(DATE(2020,1,1),DATE(2021,1,1),1)</f>
        <v>1</v>
      </c>
      <c r="D105" s="54" t="b">
        <f t="shared" si="3"/>
        <v>1</v>
      </c>
      <c r="E105" s="55" t="str">
        <f t="shared" si="2"/>
        <v/>
      </c>
      <c r="F105" s="56"/>
      <c r="H105"/>
      <c r="I105"/>
    </row>
    <row r="106" spans="1:9">
      <c r="A106" s="53" t="s">
        <v>236</v>
      </c>
      <c r="B106" s="45" t="s">
        <v>236</v>
      </c>
      <c r="C106" s="53">
        <f>COUPPCD(DATE(2020,1,1),DATE(2021,1,1),1)</f>
        <v>43831</v>
      </c>
      <c r="D106" s="54" t="b">
        <f t="shared" si="3"/>
        <v>1</v>
      </c>
      <c r="E106" s="55" t="str">
        <f t="shared" si="2"/>
        <v/>
      </c>
      <c r="F106" s="56"/>
      <c r="H106"/>
      <c r="I106"/>
    </row>
    <row r="107" spans="1:9">
      <c r="A107" s="53" t="s">
        <v>237</v>
      </c>
      <c r="B107" s="45" t="s">
        <v>237</v>
      </c>
      <c r="C107" s="53">
        <f>COVAR({1,2},{1,2})</f>
        <v>0.25</v>
      </c>
      <c r="D107" s="54" t="b">
        <f t="shared" si="3"/>
        <v>1</v>
      </c>
      <c r="E107" s="55" t="str">
        <f t="shared" si="2"/>
        <v/>
      </c>
      <c r="F107" s="56"/>
      <c r="H107"/>
      <c r="I107"/>
    </row>
    <row r="108" spans="1:9">
      <c r="A108" s="53" t="s">
        <v>238</v>
      </c>
      <c r="B108" s="45" t="s">
        <v>238</v>
      </c>
      <c r="C108" s="53">
        <f>_xlfn.COVARIANCE.P({1,2},{1,2})</f>
        <v>0.25</v>
      </c>
      <c r="D108" s="54" t="b">
        <f t="shared" si="3"/>
        <v>1</v>
      </c>
      <c r="E108" s="55" t="str">
        <f t="shared" si="2"/>
        <v/>
      </c>
      <c r="F108" s="56"/>
      <c r="H108"/>
      <c r="I108"/>
    </row>
    <row r="109" spans="1:9">
      <c r="A109" s="53" t="s">
        <v>239</v>
      </c>
      <c r="B109" s="45" t="s">
        <v>239</v>
      </c>
      <c r="C109" s="53">
        <f>_xlfn.COVARIANCE.S({1,2},{1,2})</f>
        <v>0.5</v>
      </c>
      <c r="D109" s="54" t="b">
        <f t="shared" si="3"/>
        <v>1</v>
      </c>
      <c r="E109" s="55" t="str">
        <f t="shared" si="2"/>
        <v/>
      </c>
      <c r="F109" s="56"/>
      <c r="H109"/>
      <c r="I109"/>
    </row>
    <row r="110" spans="1:9">
      <c r="A110" s="53" t="s">
        <v>240</v>
      </c>
      <c r="B110" s="45" t="s">
        <v>240</v>
      </c>
      <c r="C110" s="53">
        <f>CRITBINOM(2,0.5,0.5)</f>
        <v>1</v>
      </c>
      <c r="D110" s="54" t="b">
        <f t="shared" si="3"/>
        <v>1</v>
      </c>
      <c r="E110" s="55" t="str">
        <f t="shared" si="2"/>
        <v/>
      </c>
      <c r="F110" s="56"/>
      <c r="H110"/>
      <c r="I110"/>
    </row>
    <row r="111" spans="1:9">
      <c r="A111" s="53" t="s">
        <v>241</v>
      </c>
      <c r="B111" s="45" t="s">
        <v>241</v>
      </c>
      <c r="C111" s="53">
        <f>_xlfn.CSC(1)</f>
        <v>1.1883951057781212</v>
      </c>
      <c r="D111" s="54" t="b">
        <f t="shared" si="3"/>
        <v>1</v>
      </c>
      <c r="E111" s="55" t="str">
        <f t="shared" si="2"/>
        <v/>
      </c>
      <c r="F111" s="56"/>
      <c r="H111"/>
      <c r="I111"/>
    </row>
    <row r="112" spans="1:9">
      <c r="A112" s="53" t="s">
        <v>242</v>
      </c>
      <c r="B112" s="45" t="s">
        <v>242</v>
      </c>
      <c r="C112" s="53">
        <f>_xlfn.CSCH(1)</f>
        <v>0.85091812823932156</v>
      </c>
      <c r="D112" s="54" t="b">
        <f t="shared" si="3"/>
        <v>1</v>
      </c>
      <c r="E112" s="55" t="str">
        <f t="shared" si="2"/>
        <v/>
      </c>
      <c r="F112" s="56"/>
      <c r="H112"/>
      <c r="I112"/>
    </row>
    <row r="113" spans="1:9" ht="72">
      <c r="A113" s="53" t="s">
        <v>243</v>
      </c>
      <c r="B113" s="45" t="s">
        <v>243</v>
      </c>
      <c r="C113" s="53" t="s">
        <v>244</v>
      </c>
      <c r="D113" s="54" t="str">
        <f t="shared" si="3"/>
        <v>NOT TESTED</v>
      </c>
      <c r="E113" s="55" t="str">
        <f t="shared" si="2"/>
        <v>?CUBEKPIMEMBER (untested)</v>
      </c>
      <c r="F113" s="56" t="s">
        <v>245</v>
      </c>
      <c r="H113"/>
      <c r="I113"/>
    </row>
    <row r="114" spans="1:9" ht="72">
      <c r="A114" s="53" t="s">
        <v>246</v>
      </c>
      <c r="B114" s="45" t="s">
        <v>246</v>
      </c>
      <c r="C114" s="53" t="s">
        <v>247</v>
      </c>
      <c r="D114" s="54" t="str">
        <f t="shared" si="3"/>
        <v>NOT TESTED</v>
      </c>
      <c r="E114" s="55" t="str">
        <f t="shared" si="2"/>
        <v>?CUBEMEMBER (untested)</v>
      </c>
      <c r="F114" s="56" t="s">
        <v>245</v>
      </c>
      <c r="H114"/>
      <c r="I114"/>
    </row>
    <row r="115" spans="1:9" ht="72">
      <c r="A115" s="53" t="s">
        <v>248</v>
      </c>
      <c r="B115" s="45" t="s">
        <v>248</v>
      </c>
      <c r="C115" s="53" t="s">
        <v>249</v>
      </c>
      <c r="D115" s="54" t="str">
        <f t="shared" si="3"/>
        <v>NOT TESTED</v>
      </c>
      <c r="E115" s="55" t="str">
        <f t="shared" si="2"/>
        <v>?CUBEMEMBERPROPERTY (untested)</v>
      </c>
      <c r="F115" s="56" t="s">
        <v>245</v>
      </c>
      <c r="H115"/>
      <c r="I115"/>
    </row>
    <row r="116" spans="1:9" ht="72">
      <c r="A116" s="53" t="s">
        <v>250</v>
      </c>
      <c r="B116" s="45" t="s">
        <v>250</v>
      </c>
      <c r="C116" s="53" t="s">
        <v>251</v>
      </c>
      <c r="D116" s="54" t="str">
        <f t="shared" si="3"/>
        <v>NOT TESTED</v>
      </c>
      <c r="E116" s="55" t="str">
        <f t="shared" si="2"/>
        <v>?CUBERANKEDMEMBER (untested)</v>
      </c>
      <c r="F116" s="56" t="s">
        <v>245</v>
      </c>
      <c r="H116"/>
      <c r="I116"/>
    </row>
    <row r="117" spans="1:9" ht="72">
      <c r="A117" s="53" t="s">
        <v>252</v>
      </c>
      <c r="B117" s="45" t="s">
        <v>252</v>
      </c>
      <c r="C117" s="53" t="s">
        <v>253</v>
      </c>
      <c r="D117" s="54" t="str">
        <f t="shared" si="3"/>
        <v>NOT TESTED</v>
      </c>
      <c r="E117" s="55" t="str">
        <f t="shared" si="2"/>
        <v>?CUBESET (untested)</v>
      </c>
      <c r="F117" s="56" t="s">
        <v>245</v>
      </c>
      <c r="H117"/>
      <c r="I117"/>
    </row>
    <row r="118" spans="1:9" ht="72">
      <c r="A118" s="53" t="s">
        <v>254</v>
      </c>
      <c r="B118" s="45" t="s">
        <v>254</v>
      </c>
      <c r="C118" s="53" t="s">
        <v>255</v>
      </c>
      <c r="D118" s="54" t="str">
        <f t="shared" si="3"/>
        <v>NOT TESTED</v>
      </c>
      <c r="E118" s="55" t="str">
        <f t="shared" si="2"/>
        <v>?CUBESETCOUNT (untested)</v>
      </c>
      <c r="F118" s="56" t="s">
        <v>245</v>
      </c>
      <c r="H118"/>
      <c r="I118"/>
    </row>
    <row r="119" spans="1:9" ht="72">
      <c r="A119" s="53" t="s">
        <v>256</v>
      </c>
      <c r="B119" s="45" t="s">
        <v>256</v>
      </c>
      <c r="C119" s="53" t="s">
        <v>257</v>
      </c>
      <c r="D119" s="54" t="str">
        <f t="shared" si="3"/>
        <v>NOT TESTED</v>
      </c>
      <c r="E119" s="55" t="str">
        <f t="shared" si="2"/>
        <v>?CUBEVALUE (untested)</v>
      </c>
      <c r="F119" s="56" t="s">
        <v>245</v>
      </c>
      <c r="H119"/>
      <c r="I119"/>
    </row>
    <row r="120" spans="1:9">
      <c r="A120" s="53" t="s">
        <v>258</v>
      </c>
      <c r="B120" s="45" t="s">
        <v>258</v>
      </c>
      <c r="C120" s="53">
        <f>CUMIPMT(0.01,12,1000,1,1,0)</f>
        <v>-9.9999999999999716</v>
      </c>
      <c r="D120" s="54" t="b">
        <f t="shared" si="3"/>
        <v>1</v>
      </c>
      <c r="E120" s="55" t="str">
        <f t="shared" si="2"/>
        <v/>
      </c>
      <c r="F120" s="56"/>
      <c r="H120"/>
      <c r="I120"/>
    </row>
    <row r="121" spans="1:9">
      <c r="A121" s="53" t="s">
        <v>259</v>
      </c>
      <c r="B121" s="45" t="s">
        <v>259</v>
      </c>
      <c r="C121" s="53">
        <f>CUMPRINC(0.01,12,1000,1,1,0)</f>
        <v>-78.848788678341705</v>
      </c>
      <c r="D121" s="54" t="b">
        <f t="shared" si="3"/>
        <v>1</v>
      </c>
      <c r="E121" s="55" t="str">
        <f t="shared" si="2"/>
        <v/>
      </c>
      <c r="F121" s="56"/>
      <c r="H121"/>
      <c r="I121"/>
    </row>
    <row r="122" spans="1:9">
      <c r="A122" s="53" t="s">
        <v>260</v>
      </c>
      <c r="B122" s="45" t="s">
        <v>260</v>
      </c>
      <c r="C122" s="53">
        <f>DATE(2020,1,1)</f>
        <v>43831</v>
      </c>
      <c r="D122" s="54" t="b">
        <f t="shared" si="3"/>
        <v>1</v>
      </c>
      <c r="E122" s="55" t="str">
        <f t="shared" si="2"/>
        <v/>
      </c>
      <c r="F122" s="56"/>
      <c r="H122"/>
      <c r="I122"/>
    </row>
    <row r="123" spans="1:9">
      <c r="A123" s="53" t="s">
        <v>261</v>
      </c>
      <c r="B123" s="45" t="s">
        <v>261</v>
      </c>
      <c r="C123" s="53">
        <f>DATEDIF(DATE(2020,1,1),DATE(2021,1,1),"Y")</f>
        <v>1</v>
      </c>
      <c r="D123" s="54" t="b">
        <f t="shared" si="3"/>
        <v>1</v>
      </c>
      <c r="E123" s="55" t="str">
        <f t="shared" si="2"/>
        <v/>
      </c>
      <c r="F123" s="56"/>
      <c r="H123"/>
      <c r="I123"/>
    </row>
    <row r="124" spans="1:9">
      <c r="A124" s="53" t="s">
        <v>262</v>
      </c>
      <c r="B124" s="45" t="s">
        <v>262</v>
      </c>
      <c r="C124" s="53">
        <f>DATEVALUE("1/1/2020")</f>
        <v>43831</v>
      </c>
      <c r="D124" s="54" t="b">
        <f t="shared" si="3"/>
        <v>1</v>
      </c>
      <c r="E124" s="55" t="str">
        <f t="shared" si="2"/>
        <v/>
      </c>
      <c r="F124" s="56"/>
      <c r="H124"/>
      <c r="I124"/>
    </row>
    <row r="125" spans="1:9">
      <c r="A125" s="53" t="s">
        <v>263</v>
      </c>
      <c r="B125" s="45" t="s">
        <v>263</v>
      </c>
      <c r="C125" s="53" t="e">
        <f>DAVERAGE(A10:A11,1,A10:A11)</f>
        <v>#DIV/0!</v>
      </c>
      <c r="D125" s="54" t="b">
        <f t="shared" si="3"/>
        <v>1</v>
      </c>
      <c r="E125" s="55" t="str">
        <f t="shared" si="2"/>
        <v/>
      </c>
      <c r="F125" s="56"/>
      <c r="H125"/>
      <c r="I125"/>
    </row>
    <row r="126" spans="1:9">
      <c r="A126" s="53" t="s">
        <v>264</v>
      </c>
      <c r="B126" s="45" t="s">
        <v>264</v>
      </c>
      <c r="C126" s="53">
        <f>DAY(1)</f>
        <v>1</v>
      </c>
      <c r="D126" s="54" t="b">
        <f t="shared" si="3"/>
        <v>1</v>
      </c>
      <c r="E126" s="55" t="str">
        <f t="shared" si="2"/>
        <v/>
      </c>
      <c r="F126" s="56"/>
      <c r="H126"/>
      <c r="I126"/>
    </row>
    <row r="127" spans="1:9">
      <c r="A127" s="53" t="s">
        <v>265</v>
      </c>
      <c r="B127" s="45" t="s">
        <v>265</v>
      </c>
      <c r="C127" s="53">
        <f>_xlfn.DAYS(DATE(2021,1,1),DATE(2020,1,1))</f>
        <v>366</v>
      </c>
      <c r="D127" s="54" t="b">
        <f t="shared" si="3"/>
        <v>1</v>
      </c>
      <c r="E127" s="55" t="str">
        <f t="shared" si="2"/>
        <v/>
      </c>
      <c r="F127" s="56"/>
      <c r="H127"/>
      <c r="I127"/>
    </row>
    <row r="128" spans="1:9">
      <c r="A128" s="53" t="s">
        <v>266</v>
      </c>
      <c r="B128" s="45" t="s">
        <v>266</v>
      </c>
      <c r="C128" s="53">
        <f>DAYS360(DATE(2020,1,1),DATE(2021,1,1))</f>
        <v>360</v>
      </c>
      <c r="D128" s="54" t="b">
        <f t="shared" si="3"/>
        <v>1</v>
      </c>
      <c r="E128" s="55" t="str">
        <f t="shared" si="2"/>
        <v/>
      </c>
      <c r="F128" s="56"/>
      <c r="H128"/>
      <c r="I128"/>
    </row>
    <row r="129" spans="1:9">
      <c r="A129" s="53" t="s">
        <v>267</v>
      </c>
      <c r="B129" s="45" t="s">
        <v>267</v>
      </c>
      <c r="C129" s="53">
        <f>DB(1000,100,10,1)</f>
        <v>206</v>
      </c>
      <c r="D129" s="54" t="b">
        <f t="shared" si="3"/>
        <v>1</v>
      </c>
      <c r="E129" s="55" t="str">
        <f t="shared" si="2"/>
        <v/>
      </c>
      <c r="F129" s="56"/>
      <c r="H129"/>
      <c r="I129"/>
    </row>
    <row r="130" spans="1:9">
      <c r="A130" s="53" t="s">
        <v>268</v>
      </c>
      <c r="B130" s="45" t="s">
        <v>268</v>
      </c>
      <c r="C130" s="53" t="str">
        <f>DBCS(1)</f>
        <v>1</v>
      </c>
      <c r="D130" s="54" t="b">
        <f t="shared" si="3"/>
        <v>1</v>
      </c>
      <c r="E130" s="55" t="str">
        <f t="shared" si="2"/>
        <v/>
      </c>
      <c r="F130" s="56"/>
      <c r="H130"/>
      <c r="I130"/>
    </row>
    <row r="131" spans="1:9">
      <c r="A131" s="53" t="s">
        <v>269</v>
      </c>
      <c r="B131" s="45" t="s">
        <v>269</v>
      </c>
      <c r="C131" s="53">
        <f>DCOUNT(A10:A11,1,A10:A11)</f>
        <v>0</v>
      </c>
      <c r="D131" s="54" t="b">
        <f t="shared" si="3"/>
        <v>1</v>
      </c>
      <c r="E131" s="55" t="str">
        <f t="shared" si="2"/>
        <v/>
      </c>
      <c r="F131" s="56"/>
      <c r="H131"/>
      <c r="I131"/>
    </row>
    <row r="132" spans="1:9">
      <c r="A132" s="53" t="s">
        <v>270</v>
      </c>
      <c r="B132" s="45" t="s">
        <v>270</v>
      </c>
      <c r="C132" s="53">
        <f>DCOUNTA(A10:A11,1,A10:A11)</f>
        <v>1</v>
      </c>
      <c r="D132" s="54" t="b">
        <f t="shared" si="3"/>
        <v>1</v>
      </c>
      <c r="E132" s="55" t="str">
        <f t="shared" si="2"/>
        <v/>
      </c>
      <c r="F132" s="56"/>
      <c r="H132"/>
      <c r="I132"/>
    </row>
    <row r="133" spans="1:9">
      <c r="A133" s="53" t="s">
        <v>271</v>
      </c>
      <c r="B133" s="45" t="s">
        <v>271</v>
      </c>
      <c r="C133" s="53">
        <f>DDB(1000,100,10,1)</f>
        <v>200</v>
      </c>
      <c r="D133" s="54" t="b">
        <f t="shared" si="3"/>
        <v>1</v>
      </c>
      <c r="E133" s="55" t="str">
        <f t="shared" si="2"/>
        <v/>
      </c>
      <c r="F133" s="56"/>
      <c r="H133"/>
      <c r="I133"/>
    </row>
    <row r="134" spans="1:9">
      <c r="A134" s="53" t="s">
        <v>272</v>
      </c>
      <c r="B134" s="45" t="s">
        <v>272</v>
      </c>
      <c r="C134" s="53" t="str">
        <f>DEC2BIN(1)</f>
        <v>1</v>
      </c>
      <c r="D134" s="54" t="b">
        <f t="shared" si="3"/>
        <v>1</v>
      </c>
      <c r="E134" s="55" t="str">
        <f t="shared" si="2"/>
        <v/>
      </c>
      <c r="F134" s="56"/>
      <c r="H134"/>
      <c r="I134"/>
    </row>
    <row r="135" spans="1:9">
      <c r="A135" s="53" t="s">
        <v>273</v>
      </c>
      <c r="B135" s="45" t="s">
        <v>273</v>
      </c>
      <c r="C135" s="53" t="str">
        <f>DEC2HEX(1)</f>
        <v>1</v>
      </c>
      <c r="D135" s="54" t="b">
        <f t="shared" si="3"/>
        <v>1</v>
      </c>
      <c r="E135" s="55" t="str">
        <f t="shared" si="2"/>
        <v/>
      </c>
      <c r="F135" s="56"/>
      <c r="H135"/>
      <c r="I135"/>
    </row>
    <row r="136" spans="1:9">
      <c r="A136" s="53" t="s">
        <v>274</v>
      </c>
      <c r="B136" s="45" t="s">
        <v>274</v>
      </c>
      <c r="C136" s="53" t="str">
        <f>DEC2OCT(1)</f>
        <v>1</v>
      </c>
      <c r="D136" s="54" t="b">
        <f t="shared" si="3"/>
        <v>1</v>
      </c>
      <c r="E136" s="55" t="str">
        <f t="shared" si="2"/>
        <v/>
      </c>
      <c r="F136" s="56"/>
      <c r="H136"/>
      <c r="I136"/>
    </row>
    <row r="137" spans="1:9">
      <c r="A137" s="53" t="s">
        <v>275</v>
      </c>
      <c r="B137" s="45" t="s">
        <v>275</v>
      </c>
      <c r="C137" s="53">
        <f>_xlfn.DECIMAL("10",10)</f>
        <v>10</v>
      </c>
      <c r="D137" s="54" t="b">
        <f t="shared" si="3"/>
        <v>1</v>
      </c>
      <c r="E137" s="55" t="str">
        <f t="shared" si="2"/>
        <v/>
      </c>
      <c r="F137" s="56"/>
      <c r="H137"/>
      <c r="I137"/>
    </row>
    <row r="138" spans="1:9">
      <c r="A138" s="53" t="s">
        <v>276</v>
      </c>
      <c r="B138" s="45" t="s">
        <v>276</v>
      </c>
      <c r="C138" s="53">
        <f>DEGREES(1)</f>
        <v>57.295779513082323</v>
      </c>
      <c r="D138" s="54" t="b">
        <f t="shared" si="3"/>
        <v>1</v>
      </c>
      <c r="E138" s="55" t="str">
        <f t="shared" si="2"/>
        <v/>
      </c>
      <c r="F138" s="56"/>
      <c r="H138"/>
      <c r="I138"/>
    </row>
    <row r="139" spans="1:9">
      <c r="A139" s="53" t="s">
        <v>277</v>
      </c>
      <c r="B139" s="45" t="s">
        <v>277</v>
      </c>
      <c r="C139" s="53">
        <f>DELTA(1)</f>
        <v>0</v>
      </c>
      <c r="D139" s="54" t="b">
        <f t="shared" si="3"/>
        <v>1</v>
      </c>
      <c r="E139" s="55" t="str">
        <f t="shared" si="2"/>
        <v/>
      </c>
      <c r="F139" s="56"/>
      <c r="H139"/>
      <c r="I139"/>
    </row>
    <row r="140" spans="1:9">
      <c r="A140" s="53" t="s">
        <v>278</v>
      </c>
      <c r="B140" s="45" t="s">
        <v>278</v>
      </c>
      <c r="C140" s="53" t="str">
        <f>_xlfn.DETECTLANGUAGE(1)</f>
        <v>en</v>
      </c>
      <c r="D140" s="54" t="b">
        <f t="shared" si="3"/>
        <v>1</v>
      </c>
      <c r="E140" s="55" t="str">
        <f t="shared" ref="E140:E203" si="4">IF(D140="NOT TESTED","?"&amp;A140&amp;" (untested)",IF(D140=FALSE,A140,""))</f>
        <v/>
      </c>
      <c r="F140" s="56"/>
      <c r="H140"/>
      <c r="I140"/>
    </row>
    <row r="141" spans="1:9">
      <c r="A141" s="53" t="s">
        <v>279</v>
      </c>
      <c r="B141" s="45" t="s">
        <v>279</v>
      </c>
      <c r="C141" s="53">
        <f>DEVSQ(1)</f>
        <v>0</v>
      </c>
      <c r="D141" s="54" t="b">
        <f t="shared" ref="D141:D205" si="5">IF(NOT(_xlfn.ISFORMULA(C141)),"NOT TESTED",IFERROR(ERROR.TYPE(C141)&lt;&gt;5,TRUE))</f>
        <v>1</v>
      </c>
      <c r="E141" s="55" t="str">
        <f t="shared" si="4"/>
        <v/>
      </c>
      <c r="F141" s="56"/>
      <c r="H141"/>
      <c r="I141"/>
    </row>
    <row r="142" spans="1:9">
      <c r="A142" s="53" t="s">
        <v>280</v>
      </c>
      <c r="B142" s="45" t="s">
        <v>280</v>
      </c>
      <c r="C142" s="53" t="str">
        <f>DGET(A10:A11,1,A10:A11)</f>
        <v>ABS</v>
      </c>
      <c r="D142" s="54" t="b">
        <f t="shared" si="5"/>
        <v>1</v>
      </c>
      <c r="E142" s="55" t="str">
        <f t="shared" si="4"/>
        <v/>
      </c>
      <c r="F142" s="56"/>
      <c r="H142"/>
      <c r="I142"/>
    </row>
    <row r="143" spans="1:9">
      <c r="A143" s="53" t="s">
        <v>281</v>
      </c>
      <c r="B143" s="45" t="s">
        <v>281</v>
      </c>
      <c r="C143" s="53">
        <f>DISC(DATE(2020,1,1),DATE(2021,1,1),95,100)</f>
        <v>5.0000000000000044E-2</v>
      </c>
      <c r="D143" s="54" t="b">
        <f t="shared" si="5"/>
        <v>1</v>
      </c>
      <c r="E143" s="55" t="str">
        <f t="shared" si="4"/>
        <v/>
      </c>
      <c r="F143" s="56"/>
      <c r="H143"/>
      <c r="I143"/>
    </row>
    <row r="144" spans="1:9">
      <c r="A144" s="53" t="s">
        <v>282</v>
      </c>
      <c r="B144" s="45" t="s">
        <v>282</v>
      </c>
      <c r="C144" s="53">
        <f>DMAX(A10:A11,1,A10:A11)</f>
        <v>0</v>
      </c>
      <c r="D144" s="54" t="b">
        <f t="shared" si="5"/>
        <v>1</v>
      </c>
      <c r="E144" s="55" t="str">
        <f t="shared" si="4"/>
        <v/>
      </c>
      <c r="F144" s="56"/>
      <c r="H144"/>
      <c r="I144"/>
    </row>
    <row r="145" spans="1:9">
      <c r="A145" s="53" t="s">
        <v>283</v>
      </c>
      <c r="B145" s="45" t="s">
        <v>283</v>
      </c>
      <c r="C145" s="53">
        <f>DMIN(A10:A11,1,A10:A11)</f>
        <v>0</v>
      </c>
      <c r="D145" s="54" t="b">
        <f t="shared" si="5"/>
        <v>1</v>
      </c>
      <c r="E145" s="55" t="str">
        <f t="shared" si="4"/>
        <v/>
      </c>
      <c r="F145" s="56"/>
      <c r="H145"/>
      <c r="I145"/>
    </row>
    <row r="146" spans="1:9">
      <c r="A146" s="53" t="s">
        <v>284</v>
      </c>
      <c r="B146" s="45" t="s">
        <v>284</v>
      </c>
      <c r="C146" s="53" t="str">
        <f>DOLLAR(1)</f>
        <v>£1.00</v>
      </c>
      <c r="D146" s="54" t="b">
        <f t="shared" si="5"/>
        <v>1</v>
      </c>
      <c r="E146" s="55" t="str">
        <f t="shared" si="4"/>
        <v/>
      </c>
      <c r="F146" s="56"/>
      <c r="H146"/>
      <c r="I146"/>
    </row>
    <row r="147" spans="1:9">
      <c r="A147" s="53" t="s">
        <v>285</v>
      </c>
      <c r="B147" s="45" t="s">
        <v>285</v>
      </c>
      <c r="C147" s="53">
        <f>DOLLARDE(1.1,16)</f>
        <v>1.6250000000000004</v>
      </c>
      <c r="D147" s="54" t="b">
        <f t="shared" si="5"/>
        <v>1</v>
      </c>
      <c r="E147" s="55" t="str">
        <f t="shared" si="4"/>
        <v/>
      </c>
      <c r="F147" s="56"/>
      <c r="H147"/>
      <c r="I147"/>
    </row>
    <row r="148" spans="1:9">
      <c r="A148" s="53" t="s">
        <v>286</v>
      </c>
      <c r="B148" s="45" t="s">
        <v>286</v>
      </c>
      <c r="C148" s="53">
        <f>DOLLARFR(1.1,16)</f>
        <v>1.016</v>
      </c>
      <c r="D148" s="54" t="b">
        <f t="shared" si="5"/>
        <v>1</v>
      </c>
      <c r="E148" s="55" t="str">
        <f t="shared" si="4"/>
        <v/>
      </c>
      <c r="F148" s="56"/>
      <c r="H148"/>
      <c r="I148"/>
    </row>
    <row r="149" spans="1:9">
      <c r="A149" s="53" t="s">
        <v>287</v>
      </c>
      <c r="B149" s="45" t="s">
        <v>287</v>
      </c>
      <c r="C149" s="53">
        <f>DPRODUCT(A10:A11,1,A10:A11)</f>
        <v>0</v>
      </c>
      <c r="D149" s="54" t="b">
        <f t="shared" si="5"/>
        <v>1</v>
      </c>
      <c r="E149" s="55" t="str">
        <f t="shared" si="4"/>
        <v/>
      </c>
      <c r="F149" s="56"/>
      <c r="H149"/>
      <c r="I149"/>
    </row>
    <row r="150" spans="1:9">
      <c r="A150" s="53" t="s">
        <v>288</v>
      </c>
      <c r="B150" s="45" t="s">
        <v>288</v>
      </c>
      <c r="C150" s="53" cm="1">
        <f t="array" ref="C150">_xlfn.DROP({1;2},1)</f>
        <v>2</v>
      </c>
      <c r="D150" s="54" t="b">
        <f t="shared" si="5"/>
        <v>1</v>
      </c>
      <c r="E150" s="55" t="str">
        <f t="shared" si="4"/>
        <v/>
      </c>
      <c r="F150" s="56"/>
      <c r="H150"/>
      <c r="I150"/>
    </row>
    <row r="151" spans="1:9">
      <c r="A151" s="53" t="s">
        <v>289</v>
      </c>
      <c r="B151" s="45" t="s">
        <v>289</v>
      </c>
      <c r="C151" s="53" t="e">
        <f>DSTDEV(A10:A11,1,A10:A11)</f>
        <v>#DIV/0!</v>
      </c>
      <c r="D151" s="54" t="b">
        <f t="shared" si="5"/>
        <v>1</v>
      </c>
      <c r="E151" s="55" t="str">
        <f t="shared" si="4"/>
        <v/>
      </c>
      <c r="F151" s="56"/>
      <c r="H151"/>
      <c r="I151"/>
    </row>
    <row r="152" spans="1:9">
      <c r="A152" s="53" t="s">
        <v>290</v>
      </c>
      <c r="B152" s="45" t="s">
        <v>290</v>
      </c>
      <c r="C152" s="53" t="e">
        <f>DSTDEVP(A10:A11,1,A10:A11)</f>
        <v>#DIV/0!</v>
      </c>
      <c r="D152" s="54" t="b">
        <f t="shared" si="5"/>
        <v>1</v>
      </c>
      <c r="E152" s="55" t="str">
        <f t="shared" si="4"/>
        <v/>
      </c>
      <c r="F152" s="56"/>
      <c r="H152"/>
      <c r="I152"/>
    </row>
    <row r="153" spans="1:9">
      <c r="A153" s="53" t="s">
        <v>291</v>
      </c>
      <c r="B153" s="45" t="s">
        <v>291</v>
      </c>
      <c r="C153" s="53">
        <f>DSUM(A10:A11,1,A10:A11)</f>
        <v>0</v>
      </c>
      <c r="D153" s="54" t="b">
        <f t="shared" si="5"/>
        <v>1</v>
      </c>
      <c r="E153" s="55" t="str">
        <f t="shared" si="4"/>
        <v/>
      </c>
      <c r="F153" s="56"/>
      <c r="H153"/>
      <c r="I153"/>
    </row>
    <row r="154" spans="1:9">
      <c r="A154" s="53" t="s">
        <v>292</v>
      </c>
      <c r="B154" s="45" t="s">
        <v>292</v>
      </c>
      <c r="C154" s="53">
        <f>DURATION(DATE(2020,1,1),DATE(2021,1,1),0.05,0.05,1)</f>
        <v>1</v>
      </c>
      <c r="D154" s="54" t="b">
        <f t="shared" si="5"/>
        <v>1</v>
      </c>
      <c r="E154" s="55" t="str">
        <f t="shared" si="4"/>
        <v/>
      </c>
      <c r="F154" s="56"/>
      <c r="H154"/>
      <c r="I154"/>
    </row>
    <row r="155" spans="1:9">
      <c r="A155" s="53" t="s">
        <v>293</v>
      </c>
      <c r="B155" s="45" t="s">
        <v>293</v>
      </c>
      <c r="C155" s="53" t="e">
        <f>DVAR(A10:A11,1,A10:A11)</f>
        <v>#DIV/0!</v>
      </c>
      <c r="D155" s="54" t="b">
        <f t="shared" si="5"/>
        <v>1</v>
      </c>
      <c r="E155" s="55" t="str">
        <f t="shared" si="4"/>
        <v/>
      </c>
      <c r="F155" s="56"/>
      <c r="H155"/>
      <c r="I155"/>
    </row>
    <row r="156" spans="1:9">
      <c r="A156" s="53" t="s">
        <v>294</v>
      </c>
      <c r="B156" s="45" t="s">
        <v>294</v>
      </c>
      <c r="C156" s="53" t="e">
        <f>DVARP(A10:A11,1,A10:A11)</f>
        <v>#DIV/0!</v>
      </c>
      <c r="D156" s="54" t="b">
        <f t="shared" si="5"/>
        <v>1</v>
      </c>
      <c r="E156" s="55" t="str">
        <f t="shared" si="4"/>
        <v/>
      </c>
      <c r="F156" s="56"/>
      <c r="H156"/>
      <c r="I156"/>
    </row>
    <row r="157" spans="1:9" ht="28.8">
      <c r="A157" s="53" t="s">
        <v>295</v>
      </c>
      <c r="C157" s="53">
        <f>ECMA.CEILING(1,1)</f>
        <v>1</v>
      </c>
      <c r="D157" s="54" t="b">
        <f t="shared" si="5"/>
        <v>1</v>
      </c>
      <c r="E157" s="55" t="str">
        <f t="shared" si="4"/>
        <v/>
      </c>
      <c r="F157" s="56" t="s">
        <v>738</v>
      </c>
      <c r="H157"/>
      <c r="I157"/>
    </row>
    <row r="158" spans="1:9">
      <c r="A158" s="53" t="s">
        <v>296</v>
      </c>
      <c r="B158" s="45" t="s">
        <v>296</v>
      </c>
      <c r="C158" s="53">
        <f>EDATE(DATE(2020,1,1),1)</f>
        <v>43862</v>
      </c>
      <c r="D158" s="54" t="b">
        <f t="shared" si="5"/>
        <v>1</v>
      </c>
      <c r="E158" s="55" t="str">
        <f t="shared" si="4"/>
        <v/>
      </c>
      <c r="F158" s="56"/>
      <c r="H158"/>
      <c r="I158"/>
    </row>
    <row r="159" spans="1:9">
      <c r="A159" s="53" t="s">
        <v>297</v>
      </c>
      <c r="B159" s="45" t="s">
        <v>297</v>
      </c>
      <c r="C159" s="53">
        <f>EFFECT(0.1,12)</f>
        <v>0.10471306744129683</v>
      </c>
      <c r="D159" s="54" t="b">
        <f t="shared" si="5"/>
        <v>1</v>
      </c>
      <c r="E159" s="55" t="str">
        <f t="shared" si="4"/>
        <v/>
      </c>
      <c r="F159" s="56"/>
      <c r="H159"/>
      <c r="I159"/>
    </row>
    <row r="160" spans="1:9">
      <c r="A160" s="53" t="s">
        <v>298</v>
      </c>
      <c r="B160" s="45" t="s">
        <v>298</v>
      </c>
      <c r="C160" s="53" t="str">
        <f>_xlfn.ENCODEURL(1)</f>
        <v>1</v>
      </c>
      <c r="D160" s="54" t="b">
        <f t="shared" si="5"/>
        <v>1</v>
      </c>
      <c r="E160" s="55" t="str">
        <f t="shared" si="4"/>
        <v/>
      </c>
      <c r="F160" s="56"/>
      <c r="H160"/>
      <c r="I160"/>
    </row>
    <row r="161" spans="1:9">
      <c r="A161" s="53" t="s">
        <v>299</v>
      </c>
      <c r="B161" s="45" t="s">
        <v>299</v>
      </c>
      <c r="C161" s="53">
        <f>EOMONTH(DATE(2020,1,1),1)</f>
        <v>43890</v>
      </c>
      <c r="D161" s="54" t="b">
        <f t="shared" si="5"/>
        <v>1</v>
      </c>
      <c r="E161" s="55" t="str">
        <f t="shared" si="4"/>
        <v/>
      </c>
      <c r="F161" s="56"/>
      <c r="H161"/>
      <c r="I161"/>
    </row>
    <row r="162" spans="1:9">
      <c r="A162" s="53" t="s">
        <v>300</v>
      </c>
      <c r="B162" s="45" t="s">
        <v>300</v>
      </c>
      <c r="C162" s="53">
        <f>ERF(1)</f>
        <v>0.84270079294971489</v>
      </c>
      <c r="D162" s="54" t="b">
        <f t="shared" si="5"/>
        <v>1</v>
      </c>
      <c r="E162" s="55" t="str">
        <f t="shared" si="4"/>
        <v/>
      </c>
      <c r="F162" s="56"/>
      <c r="H162"/>
      <c r="I162"/>
    </row>
    <row r="163" spans="1:9">
      <c r="A163" s="53" t="s">
        <v>301</v>
      </c>
      <c r="B163" s="45" t="s">
        <v>301</v>
      </c>
      <c r="C163" s="53">
        <f>_xlfn.ERF.PRECISE(1)</f>
        <v>0.84270079294971489</v>
      </c>
      <c r="D163" s="54" t="b">
        <f t="shared" si="5"/>
        <v>1</v>
      </c>
      <c r="E163" s="55" t="str">
        <f t="shared" si="4"/>
        <v/>
      </c>
      <c r="F163" s="56"/>
      <c r="H163"/>
      <c r="I163"/>
    </row>
    <row r="164" spans="1:9">
      <c r="A164" s="53" t="s">
        <v>302</v>
      </c>
      <c r="B164" s="45" t="s">
        <v>302</v>
      </c>
      <c r="C164" s="53">
        <f>ERFC(1)</f>
        <v>0.15729920705028513</v>
      </c>
      <c r="D164" s="54" t="b">
        <f t="shared" si="5"/>
        <v>1</v>
      </c>
      <c r="E164" s="55" t="str">
        <f t="shared" si="4"/>
        <v/>
      </c>
      <c r="F164" s="56"/>
      <c r="H164"/>
      <c r="I164"/>
    </row>
    <row r="165" spans="1:9">
      <c r="A165" s="53" t="s">
        <v>303</v>
      </c>
      <c r="B165" s="45" t="s">
        <v>303</v>
      </c>
      <c r="C165" s="53">
        <f>_xlfn.ERFC.PRECISE(1)</f>
        <v>0.15729920705028513</v>
      </c>
      <c r="D165" s="54" t="b">
        <f t="shared" si="5"/>
        <v>1</v>
      </c>
      <c r="E165" s="55" t="str">
        <f t="shared" si="4"/>
        <v/>
      </c>
      <c r="F165" s="56"/>
      <c r="H165"/>
      <c r="I165"/>
    </row>
    <row r="166" spans="1:9">
      <c r="A166" s="53" t="s">
        <v>304</v>
      </c>
      <c r="B166" s="45" t="s">
        <v>304</v>
      </c>
      <c r="C166" s="53">
        <f>ERROR.TYPE(NA())</f>
        <v>7</v>
      </c>
      <c r="D166" s="54" t="b">
        <f t="shared" si="5"/>
        <v>1</v>
      </c>
      <c r="E166" s="55" t="str">
        <f t="shared" si="4"/>
        <v/>
      </c>
      <c r="F166" s="56"/>
      <c r="H166"/>
      <c r="I166"/>
    </row>
    <row r="167" spans="1:9" ht="43.2">
      <c r="A167" s="53" t="s">
        <v>305</v>
      </c>
      <c r="B167" s="45" t="s">
        <v>305</v>
      </c>
      <c r="C167" s="53" t="e" cm="1">
        <f t="array" aca="1" ref="C167" ca="1">EUROCONVERT(1,"EUR","DEM")</f>
        <v>#NAME?</v>
      </c>
      <c r="D167" s="54" t="b">
        <f t="shared" ca="1" si="5"/>
        <v>0</v>
      </c>
      <c r="E167" s="55" t="str">
        <f t="shared" ca="1" si="4"/>
        <v>EUROCONVERT</v>
      </c>
      <c r="F167" s="56" t="s">
        <v>306</v>
      </c>
      <c r="H167"/>
      <c r="I167"/>
    </row>
    <row r="168" spans="1:9">
      <c r="A168" s="53" t="s">
        <v>307</v>
      </c>
      <c r="B168" s="45" t="s">
        <v>307</v>
      </c>
      <c r="C168" s="53">
        <f>EVEN(1)</f>
        <v>2</v>
      </c>
      <c r="D168" s="54" t="b">
        <f t="shared" si="5"/>
        <v>1</v>
      </c>
      <c r="E168" s="55" t="str">
        <f t="shared" si="4"/>
        <v/>
      </c>
      <c r="F168" s="56"/>
      <c r="H168"/>
      <c r="I168"/>
    </row>
    <row r="169" spans="1:9">
      <c r="A169" s="53" t="s">
        <v>308</v>
      </c>
      <c r="B169" s="45" t="s">
        <v>308</v>
      </c>
      <c r="C169" s="53" t="b">
        <f>EXACT("a","a")</f>
        <v>1</v>
      </c>
      <c r="D169" s="54" t="b">
        <f t="shared" si="5"/>
        <v>1</v>
      </c>
      <c r="E169" s="55" t="str">
        <f t="shared" si="4"/>
        <v/>
      </c>
      <c r="F169" s="56"/>
      <c r="H169"/>
      <c r="I169"/>
    </row>
    <row r="170" spans="1:9">
      <c r="A170" s="53" t="s">
        <v>309</v>
      </c>
      <c r="B170" s="45" t="s">
        <v>309</v>
      </c>
      <c r="C170" s="53">
        <f>EXP(1)</f>
        <v>2.7182818284590451</v>
      </c>
      <c r="D170" s="54" t="b">
        <f t="shared" si="5"/>
        <v>1</v>
      </c>
      <c r="E170" s="55" t="str">
        <f t="shared" si="4"/>
        <v/>
      </c>
      <c r="F170" s="56"/>
      <c r="H170"/>
      <c r="I170"/>
    </row>
    <row r="171" spans="1:9">
      <c r="A171" s="53" t="s">
        <v>310</v>
      </c>
      <c r="B171" s="45" t="s">
        <v>310</v>
      </c>
      <c r="C171" s="53" cm="1">
        <f t="array" ref="C171">_xlfn.EXPAND(1,1,1)</f>
        <v>1</v>
      </c>
      <c r="D171" s="54" t="b">
        <f t="shared" si="5"/>
        <v>1</v>
      </c>
      <c r="E171" s="55" t="str">
        <f t="shared" si="4"/>
        <v/>
      </c>
      <c r="F171" s="56"/>
      <c r="H171"/>
      <c r="I171"/>
    </row>
    <row r="172" spans="1:9">
      <c r="A172" s="53" t="s">
        <v>311</v>
      </c>
      <c r="B172" s="45" t="s">
        <v>311</v>
      </c>
      <c r="C172" s="53">
        <f>_xlfn.EXPON.DIST(1,1,TRUE)</f>
        <v>0.63212055882855767</v>
      </c>
      <c r="D172" s="54" t="b">
        <f t="shared" si="5"/>
        <v>1</v>
      </c>
      <c r="E172" s="55" t="str">
        <f t="shared" si="4"/>
        <v/>
      </c>
      <c r="F172" s="56"/>
      <c r="H172"/>
      <c r="I172"/>
    </row>
    <row r="173" spans="1:9">
      <c r="A173" s="53" t="s">
        <v>312</v>
      </c>
      <c r="B173" s="45" t="s">
        <v>312</v>
      </c>
      <c r="C173" s="53">
        <f>EXPONDIST(1,1,TRUE)</f>
        <v>0.63212055882855767</v>
      </c>
      <c r="D173" s="54" t="b">
        <f t="shared" si="5"/>
        <v>1</v>
      </c>
      <c r="E173" s="55" t="str">
        <f t="shared" si="4"/>
        <v/>
      </c>
      <c r="F173" s="56"/>
      <c r="H173"/>
      <c r="I173"/>
    </row>
    <row r="174" spans="1:9">
      <c r="A174" s="53" t="s">
        <v>313</v>
      </c>
      <c r="B174" s="45" t="s">
        <v>313</v>
      </c>
      <c r="C174" s="53">
        <f>_xlfn.F.DIST(1,1,1,TRUE)</f>
        <v>0.50000000000000011</v>
      </c>
      <c r="D174" s="54" t="b">
        <f t="shared" si="5"/>
        <v>1</v>
      </c>
      <c r="E174" s="55" t="str">
        <f t="shared" si="4"/>
        <v/>
      </c>
      <c r="F174" s="56"/>
      <c r="H174"/>
      <c r="I174"/>
    </row>
    <row r="175" spans="1:9">
      <c r="A175" s="53" t="s">
        <v>314</v>
      </c>
      <c r="B175" s="45" t="s">
        <v>314</v>
      </c>
      <c r="C175" s="53">
        <f>_xlfn.F.DIST.RT(1,1,1)</f>
        <v>0.49999999999999989</v>
      </c>
      <c r="D175" s="54" t="b">
        <f t="shared" si="5"/>
        <v>1</v>
      </c>
      <c r="E175" s="55" t="str">
        <f t="shared" si="4"/>
        <v/>
      </c>
      <c r="F175" s="56"/>
      <c r="H175"/>
      <c r="I175"/>
    </row>
    <row r="176" spans="1:9">
      <c r="A176" s="53" t="s">
        <v>315</v>
      </c>
      <c r="B176" s="45" t="s">
        <v>315</v>
      </c>
      <c r="C176" s="53">
        <f>_xlfn.F.INV(0.5,1,1)</f>
        <v>0.99999999999999989</v>
      </c>
      <c r="D176" s="54" t="b">
        <f t="shared" si="5"/>
        <v>1</v>
      </c>
      <c r="E176" s="55" t="str">
        <f t="shared" si="4"/>
        <v/>
      </c>
      <c r="F176" s="56"/>
      <c r="H176"/>
      <c r="I176"/>
    </row>
    <row r="177" spans="1:9">
      <c r="A177" s="53" t="s">
        <v>316</v>
      </c>
      <c r="B177" s="45" t="s">
        <v>316</v>
      </c>
      <c r="C177" s="53">
        <f>_xlfn.F.INV.RT(0.5,1,1)</f>
        <v>1</v>
      </c>
      <c r="D177" s="54" t="b">
        <f t="shared" si="5"/>
        <v>1</v>
      </c>
      <c r="E177" s="55" t="str">
        <f t="shared" si="4"/>
        <v/>
      </c>
      <c r="F177" s="56"/>
      <c r="H177"/>
      <c r="I177"/>
    </row>
    <row r="178" spans="1:9">
      <c r="A178" s="53" t="s">
        <v>317</v>
      </c>
      <c r="B178" s="45" t="s">
        <v>317</v>
      </c>
      <c r="C178" s="53">
        <f>_xlfn.F.TEST({1,2},{1,2})</f>
        <v>0.99999999999999978</v>
      </c>
      <c r="D178" s="54" t="b">
        <f t="shared" si="5"/>
        <v>1</v>
      </c>
      <c r="E178" s="55" t="str">
        <f t="shared" si="4"/>
        <v/>
      </c>
      <c r="F178" s="56"/>
      <c r="H178"/>
      <c r="I178"/>
    </row>
    <row r="179" spans="1:9">
      <c r="A179" s="53" t="s">
        <v>318</v>
      </c>
      <c r="B179" s="45" t="s">
        <v>318</v>
      </c>
      <c r="C179" s="53">
        <f>FACT(1)</f>
        <v>1</v>
      </c>
      <c r="D179" s="54" t="b">
        <f t="shared" si="5"/>
        <v>1</v>
      </c>
      <c r="E179" s="55" t="str">
        <f t="shared" si="4"/>
        <v/>
      </c>
      <c r="F179" s="56"/>
      <c r="H179"/>
      <c r="I179"/>
    </row>
    <row r="180" spans="1:9">
      <c r="A180" s="53" t="s">
        <v>319</v>
      </c>
      <c r="B180" s="45" t="s">
        <v>319</v>
      </c>
      <c r="C180" s="53">
        <f>FACTDOUBLE(1)</f>
        <v>1</v>
      </c>
      <c r="D180" s="54" t="b">
        <f t="shared" si="5"/>
        <v>1</v>
      </c>
      <c r="E180" s="55" t="str">
        <f t="shared" si="4"/>
        <v/>
      </c>
      <c r="F180" s="56"/>
      <c r="H180"/>
      <c r="I180"/>
    </row>
    <row r="181" spans="1:9">
      <c r="A181" s="53" t="s">
        <v>320</v>
      </c>
      <c r="B181" s="75" t="s">
        <v>320</v>
      </c>
      <c r="C181" s="53" t="b">
        <f>FALSE()</f>
        <v>0</v>
      </c>
      <c r="D181" s="54" t="b">
        <f t="shared" si="5"/>
        <v>1</v>
      </c>
      <c r="E181" s="55" t="str">
        <f t="shared" si="4"/>
        <v/>
      </c>
      <c r="F181" s="56"/>
      <c r="H181"/>
      <c r="I181"/>
    </row>
    <row r="182" spans="1:9">
      <c r="A182" s="53" t="s">
        <v>321</v>
      </c>
      <c r="B182" s="45" t="s">
        <v>321</v>
      </c>
      <c r="C182" s="53">
        <f>FDIST(1,1,1)</f>
        <v>0.49999999999999989</v>
      </c>
      <c r="D182" s="54" t="b">
        <f t="shared" si="5"/>
        <v>1</v>
      </c>
      <c r="E182" s="55" t="str">
        <f t="shared" si="4"/>
        <v/>
      </c>
      <c r="F182" s="56"/>
      <c r="H182"/>
      <c r="I182"/>
    </row>
    <row r="183" spans="1:9">
      <c r="A183" s="53" t="s">
        <v>322</v>
      </c>
      <c r="B183" s="45" t="s">
        <v>322</v>
      </c>
      <c r="C183" s="53" t="e" cm="1" vm="1">
        <f t="array" ref="C183">_xlfn.FIELDVALUE("x","x")</f>
        <v>#VALUE!</v>
      </c>
      <c r="D183" s="54" t="b">
        <f t="shared" si="5"/>
        <v>1</v>
      </c>
      <c r="E183" s="55" t="str">
        <f t="shared" si="4"/>
        <v/>
      </c>
      <c r="F183" s="56"/>
      <c r="H183"/>
      <c r="I183"/>
    </row>
    <row r="184" spans="1:9">
      <c r="A184" s="53" t="s">
        <v>323</v>
      </c>
      <c r="B184" s="45" t="s">
        <v>323</v>
      </c>
      <c r="C184" s="53" cm="1">
        <f t="array" ref="C184">_xlfn._xlws.FILTER(1,TRUE)</f>
        <v>1</v>
      </c>
      <c r="D184" s="54" t="b">
        <f t="shared" si="5"/>
        <v>1</v>
      </c>
      <c r="E184" s="55" t="str">
        <f t="shared" si="4"/>
        <v/>
      </c>
      <c r="F184" s="56"/>
      <c r="H184"/>
      <c r="I184"/>
    </row>
    <row r="185" spans="1:9">
      <c r="A185" s="53" t="s">
        <v>324</v>
      </c>
      <c r="B185" s="45" t="s">
        <v>324</v>
      </c>
      <c r="C185" s="53" cm="1">
        <f t="array" ref="C185">_xlfn.FILTERXML("&lt;a&gt;1&lt;/a&gt;","//a")</f>
        <v>1</v>
      </c>
      <c r="D185" s="54" t="b">
        <f t="shared" si="5"/>
        <v>1</v>
      </c>
      <c r="E185" s="55" t="str">
        <f t="shared" si="4"/>
        <v/>
      </c>
      <c r="F185" s="56"/>
      <c r="H185"/>
      <c r="I185"/>
    </row>
    <row r="186" spans="1:9">
      <c r="A186" s="53" t="s">
        <v>325</v>
      </c>
      <c r="C186" s="53">
        <f>FIND("a","a")</f>
        <v>1</v>
      </c>
      <c r="D186" s="54" t="b">
        <f t="shared" si="5"/>
        <v>1</v>
      </c>
      <c r="E186" s="55" t="str">
        <f t="shared" si="4"/>
        <v/>
      </c>
      <c r="F186" s="56"/>
      <c r="H186"/>
      <c r="I186"/>
    </row>
    <row r="187" spans="1:9">
      <c r="A187" s="53" t="s">
        <v>326</v>
      </c>
      <c r="C187" s="53">
        <f>FINDB("a","a")</f>
        <v>1</v>
      </c>
      <c r="D187" s="54" t="b">
        <f t="shared" si="5"/>
        <v>1</v>
      </c>
      <c r="E187" s="55" t="str">
        <f t="shared" si="4"/>
        <v/>
      </c>
      <c r="F187" s="56"/>
      <c r="H187"/>
      <c r="I187"/>
    </row>
    <row r="188" spans="1:9">
      <c r="A188" s="53" t="s">
        <v>327</v>
      </c>
      <c r="B188" s="45" t="s">
        <v>327</v>
      </c>
      <c r="C188" s="53">
        <f>FINV(0.5,1,1)</f>
        <v>1</v>
      </c>
      <c r="D188" s="54" t="b">
        <f t="shared" si="5"/>
        <v>1</v>
      </c>
      <c r="E188" s="55" t="str">
        <f t="shared" si="4"/>
        <v/>
      </c>
      <c r="F188" s="56"/>
      <c r="H188"/>
      <c r="I188"/>
    </row>
    <row r="189" spans="1:9">
      <c r="A189" s="53" t="s">
        <v>328</v>
      </c>
      <c r="B189" s="45" t="s">
        <v>328</v>
      </c>
      <c r="C189" s="53">
        <f>FISHER(0.5)</f>
        <v>0.54930614433405489</v>
      </c>
      <c r="D189" s="54" t="b">
        <f t="shared" si="5"/>
        <v>1</v>
      </c>
      <c r="E189" s="55" t="str">
        <f t="shared" si="4"/>
        <v/>
      </c>
      <c r="F189" s="56"/>
      <c r="H189"/>
      <c r="I189"/>
    </row>
    <row r="190" spans="1:9">
      <c r="A190" s="53" t="s">
        <v>329</v>
      </c>
      <c r="B190" s="45" t="s">
        <v>329</v>
      </c>
      <c r="C190" s="53">
        <f>FISHERINV(1)</f>
        <v>0.76159415595576485</v>
      </c>
      <c r="D190" s="54" t="b">
        <f t="shared" si="5"/>
        <v>1</v>
      </c>
      <c r="E190" s="55" t="str">
        <f t="shared" si="4"/>
        <v/>
      </c>
      <c r="F190" s="56"/>
      <c r="H190"/>
      <c r="I190"/>
    </row>
    <row r="191" spans="1:9">
      <c r="A191" s="53" t="s">
        <v>330</v>
      </c>
      <c r="B191" s="45" t="s">
        <v>330</v>
      </c>
      <c r="C191" s="53" t="str">
        <f>FIXED(1)</f>
        <v>1.00</v>
      </c>
      <c r="D191" s="54" t="b">
        <f t="shared" si="5"/>
        <v>1</v>
      </c>
      <c r="E191" s="55" t="str">
        <f t="shared" si="4"/>
        <v/>
      </c>
      <c r="F191" s="56"/>
      <c r="H191"/>
      <c r="I191"/>
    </row>
    <row r="192" spans="1:9">
      <c r="A192" s="53" t="s">
        <v>331</v>
      </c>
      <c r="B192" s="45" t="s">
        <v>331</v>
      </c>
      <c r="C192" s="53">
        <f>FLOOR(1,1)</f>
        <v>1</v>
      </c>
      <c r="D192" s="54" t="b">
        <f t="shared" si="5"/>
        <v>1</v>
      </c>
      <c r="E192" s="55" t="str">
        <f t="shared" si="4"/>
        <v/>
      </c>
      <c r="F192" s="56"/>
      <c r="H192"/>
      <c r="I192"/>
    </row>
    <row r="193" spans="1:9">
      <c r="A193" s="53" t="s">
        <v>332</v>
      </c>
      <c r="B193" s="45" t="s">
        <v>332</v>
      </c>
      <c r="C193" s="53">
        <f>_xlfn.FLOOR.MATH(1)</f>
        <v>1</v>
      </c>
      <c r="D193" s="54" t="b">
        <f t="shared" si="5"/>
        <v>1</v>
      </c>
      <c r="E193" s="55" t="str">
        <f t="shared" si="4"/>
        <v/>
      </c>
      <c r="F193" s="56"/>
      <c r="H193"/>
      <c r="I193"/>
    </row>
    <row r="194" spans="1:9">
      <c r="A194" s="53" t="s">
        <v>333</v>
      </c>
      <c r="B194" s="45" t="s">
        <v>333</v>
      </c>
      <c r="C194" s="53">
        <f>_xlfn.FLOOR.PRECISE(1)</f>
        <v>1</v>
      </c>
      <c r="D194" s="54" t="b">
        <f t="shared" si="5"/>
        <v>1</v>
      </c>
      <c r="E194" s="55" t="str">
        <f t="shared" si="4"/>
        <v/>
      </c>
      <c r="F194" s="56"/>
      <c r="H194"/>
      <c r="I194"/>
    </row>
    <row r="195" spans="1:9">
      <c r="A195" s="53" t="s">
        <v>334</v>
      </c>
      <c r="B195" s="45" t="s">
        <v>334</v>
      </c>
      <c r="C195" s="53">
        <f>FORECAST(3,{1,2},{1,2})</f>
        <v>3</v>
      </c>
      <c r="D195" s="54" t="b">
        <f t="shared" si="5"/>
        <v>1</v>
      </c>
      <c r="E195" s="55" t="str">
        <f t="shared" si="4"/>
        <v/>
      </c>
      <c r="F195" s="56"/>
      <c r="H195"/>
      <c r="I195"/>
    </row>
    <row r="196" spans="1:9">
      <c r="A196" s="53" t="s">
        <v>335</v>
      </c>
      <c r="B196" s="45" t="s">
        <v>335</v>
      </c>
      <c r="C196" s="53">
        <f>_xlfn.FORECAST.ETS(4,{1,2,3},{1,2,3})</f>
        <v>4</v>
      </c>
      <c r="D196" s="54" t="b">
        <f t="shared" si="5"/>
        <v>1</v>
      </c>
      <c r="E196" s="55" t="str">
        <f t="shared" si="4"/>
        <v/>
      </c>
      <c r="F196" s="56"/>
      <c r="H196"/>
      <c r="I196"/>
    </row>
    <row r="197" spans="1:9">
      <c r="A197" s="53" t="s">
        <v>336</v>
      </c>
      <c r="B197" s="45" t="s">
        <v>336</v>
      </c>
      <c r="C197" s="53">
        <f>_xlfn.FORECAST.ETS.CONFINT(4,{1,2,3},{1,2,3})</f>
        <v>0</v>
      </c>
      <c r="D197" s="54" t="b">
        <f t="shared" si="5"/>
        <v>1</v>
      </c>
      <c r="E197" s="55" t="str">
        <f t="shared" si="4"/>
        <v/>
      </c>
      <c r="F197" s="56"/>
      <c r="H197"/>
      <c r="I197"/>
    </row>
    <row r="198" spans="1:9">
      <c r="A198" s="53" t="s">
        <v>337</v>
      </c>
      <c r="B198" s="45" t="s">
        <v>337</v>
      </c>
      <c r="C198" s="53">
        <f>_xlfn.FORECAST.ETS.SEASONALITY({1,2,3},{1,2,3})</f>
        <v>0</v>
      </c>
      <c r="D198" s="54" t="b">
        <f t="shared" si="5"/>
        <v>1</v>
      </c>
      <c r="E198" s="55" t="str">
        <f t="shared" si="4"/>
        <v/>
      </c>
      <c r="F198" s="56"/>
      <c r="H198"/>
      <c r="I198"/>
    </row>
    <row r="199" spans="1:9">
      <c r="A199" s="53" t="s">
        <v>338</v>
      </c>
      <c r="B199" s="45" t="s">
        <v>338</v>
      </c>
      <c r="C199" s="53">
        <f>_xlfn.FORECAST.ETS.STAT({1,2,3},{1,2,3},1)</f>
        <v>0.9</v>
      </c>
      <c r="D199" s="54" t="b">
        <f t="shared" si="5"/>
        <v>1</v>
      </c>
      <c r="E199" s="55" t="str">
        <f t="shared" si="4"/>
        <v/>
      </c>
      <c r="F199" s="56"/>
      <c r="H199"/>
      <c r="I199"/>
    </row>
    <row r="200" spans="1:9">
      <c r="A200" s="53" t="s">
        <v>339</v>
      </c>
      <c r="B200" s="45" t="s">
        <v>339</v>
      </c>
      <c r="C200" s="53">
        <f>_xlfn.FORECAST.LINEAR(3,{1,2},{1,2})</f>
        <v>3</v>
      </c>
      <c r="D200" s="54" t="b">
        <f t="shared" si="5"/>
        <v>1</v>
      </c>
      <c r="E200" s="55" t="str">
        <f t="shared" si="4"/>
        <v/>
      </c>
      <c r="F200" s="56"/>
      <c r="H200"/>
      <c r="I200"/>
    </row>
    <row r="201" spans="1:9">
      <c r="A201" s="53" t="s">
        <v>733</v>
      </c>
      <c r="B201" s="45" t="s">
        <v>733</v>
      </c>
      <c r="C201" s="53" t="str">
        <f ca="1">_xlfn.FORMULATEXT(D201)</f>
        <v>=IF(NOT(ISFORMULA(C201)),"NOT TESTED",IFERROR(ERROR.TYPE(C201)&lt;&gt;5,TRUE))</v>
      </c>
      <c r="D201" s="54" t="b">
        <f t="shared" ca="1" si="5"/>
        <v>1</v>
      </c>
      <c r="E201" s="55" t="str">
        <f t="shared" ca="1" si="4"/>
        <v/>
      </c>
      <c r="F201" s="56"/>
      <c r="H201"/>
      <c r="I201"/>
    </row>
    <row r="202" spans="1:9">
      <c r="A202" s="53" t="s">
        <v>340</v>
      </c>
      <c r="B202" s="45" t="s">
        <v>340</v>
      </c>
      <c r="C202" s="53" cm="1">
        <f t="array" ref="C202">INDEX(FREQUENCY({1,2},{1}),1)</f>
        <v>1</v>
      </c>
      <c r="D202" s="54" t="b">
        <f t="shared" si="5"/>
        <v>1</v>
      </c>
      <c r="E202" s="55" t="str">
        <f t="shared" si="4"/>
        <v/>
      </c>
      <c r="F202" s="56"/>
      <c r="H202"/>
      <c r="I202"/>
    </row>
    <row r="203" spans="1:9">
      <c r="A203" s="53" t="s">
        <v>341</v>
      </c>
      <c r="B203" s="45" t="s">
        <v>341</v>
      </c>
      <c r="C203" s="53">
        <f>FTEST({1,2},{1,2})</f>
        <v>0.99999999999999978</v>
      </c>
      <c r="D203" s="54" t="b">
        <f t="shared" si="5"/>
        <v>1</v>
      </c>
      <c r="E203" s="55" t="str">
        <f t="shared" si="4"/>
        <v/>
      </c>
      <c r="F203" s="56"/>
      <c r="H203"/>
      <c r="I203"/>
    </row>
    <row r="204" spans="1:9">
      <c r="A204" s="53" t="s">
        <v>342</v>
      </c>
      <c r="B204" s="45" t="s">
        <v>342</v>
      </c>
      <c r="C204" s="53">
        <f>FV(0.01,12,-100)</f>
        <v>1268.2503013196977</v>
      </c>
      <c r="D204" s="54" t="b">
        <f t="shared" si="5"/>
        <v>1</v>
      </c>
      <c r="E204" s="55" t="str">
        <f t="shared" ref="E204:E267" si="6">IF(D204="NOT TESTED","?"&amp;A204&amp;" (untested)",IF(D204=FALSE,A204,""))</f>
        <v/>
      </c>
      <c r="F204" s="56"/>
      <c r="H204"/>
      <c r="I204"/>
    </row>
    <row r="205" spans="1:9">
      <c r="A205" s="53" t="s">
        <v>343</v>
      </c>
      <c r="B205" s="45" t="s">
        <v>343</v>
      </c>
      <c r="C205" s="53">
        <f>FVSCHEDULE(100,{0.1})</f>
        <v>110.00000000000001</v>
      </c>
      <c r="D205" s="54" t="b">
        <f t="shared" si="5"/>
        <v>1</v>
      </c>
      <c r="E205" s="55" t="str">
        <f t="shared" si="6"/>
        <v/>
      </c>
      <c r="F205" s="56"/>
      <c r="H205"/>
      <c r="I205"/>
    </row>
    <row r="206" spans="1:9">
      <c r="A206" s="53" t="s">
        <v>344</v>
      </c>
      <c r="B206" s="45" t="s">
        <v>344</v>
      </c>
      <c r="C206" s="53">
        <f>_xlfn.GAMMA(1)</f>
        <v>1</v>
      </c>
      <c r="D206" s="54" t="b">
        <f t="shared" ref="D206:D269" si="7">IF(NOT(_xlfn.ISFORMULA(C206)),"NOT TESTED",IFERROR(ERROR.TYPE(C206)&lt;&gt;5,TRUE))</f>
        <v>1</v>
      </c>
      <c r="E206" s="55" t="str">
        <f t="shared" si="6"/>
        <v/>
      </c>
      <c r="F206" s="56"/>
      <c r="H206"/>
      <c r="I206"/>
    </row>
    <row r="207" spans="1:9">
      <c r="A207" s="53" t="s">
        <v>345</v>
      </c>
      <c r="B207" s="45" t="s">
        <v>345</v>
      </c>
      <c r="C207" s="53">
        <f>_xlfn.GAMMA.DIST(1,2,2,TRUE)</f>
        <v>9.0204010431049864E-2</v>
      </c>
      <c r="D207" s="54" t="b">
        <f t="shared" si="7"/>
        <v>1</v>
      </c>
      <c r="E207" s="55" t="str">
        <f t="shared" si="6"/>
        <v/>
      </c>
      <c r="F207" s="56"/>
      <c r="H207"/>
      <c r="I207"/>
    </row>
    <row r="208" spans="1:9">
      <c r="A208" s="53" t="s">
        <v>346</v>
      </c>
      <c r="B208" s="45" t="s">
        <v>346</v>
      </c>
      <c r="C208" s="53">
        <f>_xlfn.GAMMA.INV(0.5,2,2)</f>
        <v>3.3566939800333215</v>
      </c>
      <c r="D208" s="54" t="b">
        <f t="shared" si="7"/>
        <v>1</v>
      </c>
      <c r="E208" s="55" t="str">
        <f t="shared" si="6"/>
        <v/>
      </c>
      <c r="F208" s="56"/>
      <c r="H208"/>
      <c r="I208"/>
    </row>
    <row r="209" spans="1:9">
      <c r="A209" s="53" t="s">
        <v>347</v>
      </c>
      <c r="B209" s="45" t="s">
        <v>347</v>
      </c>
      <c r="C209" s="53">
        <f>GAMMADIST(1,2,2,TRUE)</f>
        <v>9.0204010431049864E-2</v>
      </c>
      <c r="D209" s="54" t="b">
        <f t="shared" si="7"/>
        <v>1</v>
      </c>
      <c r="E209" s="55" t="str">
        <f t="shared" si="6"/>
        <v/>
      </c>
      <c r="F209" s="56"/>
      <c r="H209"/>
      <c r="I209"/>
    </row>
    <row r="210" spans="1:9">
      <c r="A210" s="53" t="s">
        <v>348</v>
      </c>
      <c r="B210" s="45" t="s">
        <v>348</v>
      </c>
      <c r="C210" s="53">
        <f>GAMMAINV(0.5,2,2)</f>
        <v>3.3566939800333215</v>
      </c>
      <c r="D210" s="54" t="b">
        <f t="shared" si="7"/>
        <v>1</v>
      </c>
      <c r="E210" s="55" t="str">
        <f t="shared" si="6"/>
        <v/>
      </c>
      <c r="F210" s="56"/>
      <c r="H210"/>
      <c r="I210"/>
    </row>
    <row r="211" spans="1:9">
      <c r="A211" s="53" t="s">
        <v>349</v>
      </c>
      <c r="B211" s="45" t="s">
        <v>349</v>
      </c>
      <c r="C211" s="53">
        <f>GAMMALN(1)</f>
        <v>0</v>
      </c>
      <c r="D211" s="54" t="b">
        <f t="shared" si="7"/>
        <v>1</v>
      </c>
      <c r="E211" s="55" t="str">
        <f t="shared" si="6"/>
        <v/>
      </c>
      <c r="F211" s="56"/>
      <c r="H211"/>
      <c r="I211"/>
    </row>
    <row r="212" spans="1:9">
      <c r="A212" s="53" t="s">
        <v>350</v>
      </c>
      <c r="B212" s="45" t="s">
        <v>350</v>
      </c>
      <c r="C212" s="53">
        <f>_xlfn.GAMMALN.PRECISE(1)</f>
        <v>0</v>
      </c>
      <c r="D212" s="54" t="b">
        <f t="shared" si="7"/>
        <v>1</v>
      </c>
      <c r="E212" s="55" t="str">
        <f t="shared" si="6"/>
        <v/>
      </c>
      <c r="F212" s="56"/>
      <c r="H212"/>
      <c r="I212"/>
    </row>
    <row r="213" spans="1:9">
      <c r="A213" s="53" t="s">
        <v>351</v>
      </c>
      <c r="B213" s="45" t="s">
        <v>351</v>
      </c>
      <c r="C213" s="53">
        <f>_xlfn.GAUSS(1)</f>
        <v>0.34134474606854304</v>
      </c>
      <c r="D213" s="54" t="b">
        <f t="shared" si="7"/>
        <v>1</v>
      </c>
      <c r="E213" s="55" t="str">
        <f t="shared" si="6"/>
        <v/>
      </c>
      <c r="F213" s="56"/>
      <c r="H213"/>
      <c r="I213"/>
    </row>
    <row r="214" spans="1:9">
      <c r="A214" s="53" t="s">
        <v>352</v>
      </c>
      <c r="B214" s="45" t="s">
        <v>352</v>
      </c>
      <c r="C214" s="53">
        <f>GCD(1)</f>
        <v>1</v>
      </c>
      <c r="D214" s="54" t="b">
        <f t="shared" si="7"/>
        <v>1</v>
      </c>
      <c r="E214" s="55" t="str">
        <f t="shared" si="6"/>
        <v/>
      </c>
      <c r="F214" s="56"/>
      <c r="H214"/>
      <c r="I214"/>
    </row>
    <row r="215" spans="1:9">
      <c r="A215" s="53" t="s">
        <v>353</v>
      </c>
      <c r="B215" s="45" t="s">
        <v>353</v>
      </c>
      <c r="C215" s="53">
        <f>GEOMEAN(1)</f>
        <v>1</v>
      </c>
      <c r="D215" s="54" t="b">
        <f t="shared" si="7"/>
        <v>1</v>
      </c>
      <c r="E215" s="55" t="str">
        <f t="shared" si="6"/>
        <v/>
      </c>
      <c r="F215" s="56"/>
      <c r="H215"/>
      <c r="I215"/>
    </row>
    <row r="216" spans="1:9">
      <c r="A216" s="53" t="s">
        <v>354</v>
      </c>
      <c r="B216" s="45" t="s">
        <v>354</v>
      </c>
      <c r="C216" s="53">
        <f>GESTEP(1)</f>
        <v>1</v>
      </c>
      <c r="D216" s="54" t="b">
        <f t="shared" si="7"/>
        <v>1</v>
      </c>
      <c r="E216" s="55" t="str">
        <f t="shared" si="6"/>
        <v/>
      </c>
      <c r="F216" s="56"/>
      <c r="H216"/>
      <c r="I216"/>
    </row>
    <row r="217" spans="1:9" ht="57.6">
      <c r="A217" s="53" t="s">
        <v>355</v>
      </c>
      <c r="B217" s="45" t="s">
        <v>355</v>
      </c>
      <c r="C217" s="53" t="e">
        <f>GETPIVOTDATA("x",A10)</f>
        <v>#REF!</v>
      </c>
      <c r="D217" s="54" t="b">
        <f t="shared" si="7"/>
        <v>1</v>
      </c>
      <c r="E217" s="55" t="str">
        <f t="shared" si="6"/>
        <v/>
      </c>
      <c r="F217" s="56" t="s">
        <v>356</v>
      </c>
      <c r="H217"/>
      <c r="I217"/>
    </row>
    <row r="218" spans="1:9">
      <c r="A218" s="53" t="s">
        <v>357</v>
      </c>
      <c r="B218" s="45" t="s">
        <v>357</v>
      </c>
      <c r="C218" s="53">
        <f>INDEX(_xlfn.GROUPBY({1},{1},_xleta.SUM),1,1)</f>
        <v>1</v>
      </c>
      <c r="D218" s="54" t="b">
        <f t="shared" si="7"/>
        <v>1</v>
      </c>
      <c r="E218" s="55" t="str">
        <f t="shared" si="6"/>
        <v/>
      </c>
      <c r="F218" s="56"/>
      <c r="H218"/>
      <c r="I218"/>
    </row>
    <row r="219" spans="1:9">
      <c r="A219" s="53" t="s">
        <v>358</v>
      </c>
      <c r="B219" s="45" t="s">
        <v>358</v>
      </c>
      <c r="C219" s="53" cm="1">
        <f t="array" ref="C219">GROWTH(1)</f>
        <v>1</v>
      </c>
      <c r="D219" s="54" t="b">
        <f t="shared" si="7"/>
        <v>1</v>
      </c>
      <c r="E219" s="55" t="str">
        <f t="shared" si="6"/>
        <v/>
      </c>
      <c r="F219" s="56"/>
      <c r="H219"/>
      <c r="I219"/>
    </row>
    <row r="220" spans="1:9">
      <c r="A220" s="53" t="s">
        <v>359</v>
      </c>
      <c r="B220" s="45" t="s">
        <v>359</v>
      </c>
      <c r="C220" s="53">
        <f>HARMEAN(1)</f>
        <v>1</v>
      </c>
      <c r="D220" s="54" t="b">
        <f t="shared" si="7"/>
        <v>1</v>
      </c>
      <c r="E220" s="55" t="str">
        <f t="shared" si="6"/>
        <v/>
      </c>
      <c r="F220" s="56"/>
      <c r="H220"/>
      <c r="I220"/>
    </row>
    <row r="221" spans="1:9">
      <c r="A221" s="53" t="s">
        <v>360</v>
      </c>
      <c r="B221" s="45" t="s">
        <v>360</v>
      </c>
      <c r="C221" s="53" t="str">
        <f>HEX2BIN(1)</f>
        <v>1</v>
      </c>
      <c r="D221" s="54" t="b">
        <f t="shared" si="7"/>
        <v>1</v>
      </c>
      <c r="E221" s="55" t="str">
        <f t="shared" si="6"/>
        <v/>
      </c>
      <c r="F221" s="56"/>
      <c r="H221"/>
      <c r="I221"/>
    </row>
    <row r="222" spans="1:9">
      <c r="A222" s="53" t="s">
        <v>361</v>
      </c>
      <c r="B222" s="45" t="s">
        <v>361</v>
      </c>
      <c r="C222" s="53">
        <f>HEX2DEC(1)</f>
        <v>1</v>
      </c>
      <c r="D222" s="54" t="b">
        <f t="shared" si="7"/>
        <v>1</v>
      </c>
      <c r="E222" s="55" t="str">
        <f t="shared" si="6"/>
        <v/>
      </c>
      <c r="F222" s="56"/>
      <c r="H222"/>
      <c r="I222"/>
    </row>
    <row r="223" spans="1:9">
      <c r="A223" s="53" t="s">
        <v>362</v>
      </c>
      <c r="B223" s="45" t="s">
        <v>362</v>
      </c>
      <c r="C223" s="53" t="str">
        <f>HEX2OCT(1)</f>
        <v>1</v>
      </c>
      <c r="D223" s="54" t="b">
        <f t="shared" si="7"/>
        <v>1</v>
      </c>
      <c r="E223" s="55" t="str">
        <f t="shared" si="6"/>
        <v/>
      </c>
      <c r="F223" s="56"/>
      <c r="H223"/>
      <c r="I223"/>
    </row>
    <row r="224" spans="1:9">
      <c r="A224" s="53" t="s">
        <v>363</v>
      </c>
      <c r="B224" s="45" t="s">
        <v>363</v>
      </c>
      <c r="C224" s="53">
        <f>HLOOKUP(1,{1;1},1,FALSE)</f>
        <v>1</v>
      </c>
      <c r="D224" s="54" t="b">
        <f t="shared" si="7"/>
        <v>1</v>
      </c>
      <c r="E224" s="55" t="str">
        <f t="shared" si="6"/>
        <v/>
      </c>
      <c r="F224" s="56"/>
      <c r="H224"/>
      <c r="I224"/>
    </row>
    <row r="225" spans="1:9">
      <c r="A225" s="53" t="s">
        <v>364</v>
      </c>
      <c r="B225" s="45" t="s">
        <v>364</v>
      </c>
      <c r="C225" s="53">
        <f>HOUR(1)</f>
        <v>0</v>
      </c>
      <c r="D225" s="54" t="b">
        <f t="shared" si="7"/>
        <v>1</v>
      </c>
      <c r="E225" s="55" t="str">
        <f t="shared" si="6"/>
        <v/>
      </c>
      <c r="F225" s="56"/>
      <c r="H225"/>
      <c r="I225"/>
    </row>
    <row r="226" spans="1:9">
      <c r="A226" s="53" t="s">
        <v>365</v>
      </c>
      <c r="B226" s="45" t="s">
        <v>365</v>
      </c>
      <c r="C226" s="53" cm="1">
        <f t="array" ref="C226">_xlfn.HSTACK(1)</f>
        <v>1</v>
      </c>
      <c r="D226" s="54" t="b">
        <f t="shared" si="7"/>
        <v>1</v>
      </c>
      <c r="E226" s="55" t="str">
        <f t="shared" si="6"/>
        <v/>
      </c>
      <c r="F226" s="56"/>
      <c r="H226"/>
      <c r="I226"/>
    </row>
    <row r="227" spans="1:9">
      <c r="A227" s="53" t="s">
        <v>366</v>
      </c>
      <c r="B227" s="45" t="s">
        <v>366</v>
      </c>
      <c r="C227" s="58" t="str">
        <f>HYPERLINK("http://example.com")</f>
        <v>http://example.com</v>
      </c>
      <c r="D227" s="54" t="b">
        <f t="shared" si="7"/>
        <v>1</v>
      </c>
      <c r="E227" s="55" t="str">
        <f t="shared" si="6"/>
        <v/>
      </c>
      <c r="F227" s="56"/>
      <c r="H227"/>
      <c r="I227"/>
    </row>
    <row r="228" spans="1:9">
      <c r="A228" s="53" t="s">
        <v>367</v>
      </c>
      <c r="B228" s="45" t="s">
        <v>367</v>
      </c>
      <c r="C228" s="53">
        <f>_xlfn.HYPGEOM.DIST(1,2,2,4,TRUE)</f>
        <v>0.83333333333333315</v>
      </c>
      <c r="D228" s="54" t="b">
        <f t="shared" si="7"/>
        <v>1</v>
      </c>
      <c r="E228" s="55" t="str">
        <f t="shared" si="6"/>
        <v/>
      </c>
      <c r="F228" s="56"/>
      <c r="H228"/>
      <c r="I228"/>
    </row>
    <row r="229" spans="1:9">
      <c r="A229" s="53" t="s">
        <v>368</v>
      </c>
      <c r="B229" s="45" t="s">
        <v>368</v>
      </c>
      <c r="C229" s="53">
        <f>HYPGEOMDIST(1,2,2,4)</f>
        <v>0.66666666666666652</v>
      </c>
      <c r="D229" s="54" t="b">
        <f t="shared" si="7"/>
        <v>1</v>
      </c>
      <c r="E229" s="55" t="str">
        <f t="shared" si="6"/>
        <v/>
      </c>
      <c r="F229" s="56"/>
      <c r="H229"/>
      <c r="I229"/>
    </row>
    <row r="230" spans="1:9">
      <c r="A230" s="53" t="s">
        <v>369</v>
      </c>
      <c r="B230" s="45" t="s">
        <v>369</v>
      </c>
      <c r="C230" s="53">
        <f>IF(TRUE,1,0)</f>
        <v>1</v>
      </c>
      <c r="D230" s="54" t="b">
        <f t="shared" si="7"/>
        <v>1</v>
      </c>
      <c r="E230" s="55" t="str">
        <f t="shared" si="6"/>
        <v/>
      </c>
      <c r="F230" s="56"/>
      <c r="H230"/>
      <c r="I230"/>
    </row>
    <row r="231" spans="1:9">
      <c r="A231" s="53" t="s">
        <v>370</v>
      </c>
      <c r="B231" s="45" t="s">
        <v>370</v>
      </c>
      <c r="C231" s="53">
        <f>IFERROR(1,0)</f>
        <v>1</v>
      </c>
      <c r="D231" s="54" t="b">
        <f t="shared" si="7"/>
        <v>1</v>
      </c>
      <c r="E231" s="55" t="str">
        <f t="shared" si="6"/>
        <v/>
      </c>
      <c r="F231" s="56"/>
      <c r="H231"/>
      <c r="I231"/>
    </row>
    <row r="232" spans="1:9">
      <c r="A232" s="53" t="s">
        <v>371</v>
      </c>
      <c r="B232" s="45" t="s">
        <v>371</v>
      </c>
      <c r="C232" s="53">
        <f>_xlfn.IFNA(1,0)</f>
        <v>1</v>
      </c>
      <c r="D232" s="54" t="b">
        <f t="shared" si="7"/>
        <v>1</v>
      </c>
      <c r="E232" s="55" t="str">
        <f t="shared" si="6"/>
        <v/>
      </c>
      <c r="F232" s="56"/>
      <c r="H232"/>
      <c r="I232"/>
    </row>
    <row r="233" spans="1:9">
      <c r="A233" s="53" t="s">
        <v>372</v>
      </c>
      <c r="B233" s="45" t="s">
        <v>372</v>
      </c>
      <c r="C233" s="53" cm="1">
        <f t="array" ref="C233">_xlfn.IFS(TRUE,1)</f>
        <v>1</v>
      </c>
      <c r="D233" s="54" t="b">
        <f t="shared" si="7"/>
        <v>1</v>
      </c>
      <c r="E233" s="55" t="str">
        <f t="shared" si="6"/>
        <v/>
      </c>
      <c r="F233" s="56"/>
      <c r="H233"/>
      <c r="I233"/>
    </row>
    <row r="234" spans="1:9">
      <c r="A234" s="53" t="s">
        <v>373</v>
      </c>
      <c r="B234" s="45" t="s">
        <v>373</v>
      </c>
      <c r="C234" s="53">
        <f>IMABS(1)</f>
        <v>1</v>
      </c>
      <c r="D234" s="54" t="b">
        <f t="shared" si="7"/>
        <v>1</v>
      </c>
      <c r="E234" s="55" t="str">
        <f t="shared" si="6"/>
        <v/>
      </c>
      <c r="F234" s="56"/>
      <c r="H234"/>
      <c r="I234"/>
    </row>
    <row r="235" spans="1:9">
      <c r="A235" s="53" t="s">
        <v>374</v>
      </c>
      <c r="B235" s="45" t="s">
        <v>374</v>
      </c>
      <c r="C235" s="53" t="e" vm="2">
        <f ca="1">_xlfn.IMAGE("https://example.com/1.jpg")</f>
        <v>#VALUE!</v>
      </c>
      <c r="D235" s="54" t="b">
        <f t="shared" ca="1" si="7"/>
        <v>1</v>
      </c>
      <c r="E235" s="55" t="str">
        <f t="shared" ca="1" si="6"/>
        <v/>
      </c>
      <c r="F235" s="56"/>
      <c r="H235"/>
      <c r="I235"/>
    </row>
    <row r="236" spans="1:9">
      <c r="A236" s="53" t="s">
        <v>375</v>
      </c>
      <c r="B236" s="45" t="s">
        <v>375</v>
      </c>
      <c r="C236" s="53">
        <f>IMAGINARY(1)</f>
        <v>0</v>
      </c>
      <c r="D236" s="54" t="b">
        <f t="shared" si="7"/>
        <v>1</v>
      </c>
      <c r="E236" s="55" t="str">
        <f t="shared" si="6"/>
        <v/>
      </c>
      <c r="F236" s="56"/>
      <c r="H236"/>
      <c r="I236"/>
    </row>
    <row r="237" spans="1:9">
      <c r="A237" s="53" t="s">
        <v>376</v>
      </c>
      <c r="B237" s="45" t="s">
        <v>376</v>
      </c>
      <c r="C237" s="53">
        <f>IMARGUMENT(1)</f>
        <v>0</v>
      </c>
      <c r="D237" s="54" t="b">
        <f t="shared" si="7"/>
        <v>1</v>
      </c>
      <c r="E237" s="55" t="str">
        <f t="shared" si="6"/>
        <v/>
      </c>
      <c r="F237" s="56"/>
      <c r="H237"/>
      <c r="I237"/>
    </row>
    <row r="238" spans="1:9">
      <c r="A238" s="53" t="s">
        <v>377</v>
      </c>
      <c r="B238" s="45" t="s">
        <v>377</v>
      </c>
      <c r="C238" s="53" t="str">
        <f>IMCONJUGATE(1)</f>
        <v>1</v>
      </c>
      <c r="D238" s="54" t="b">
        <f t="shared" si="7"/>
        <v>1</v>
      </c>
      <c r="E238" s="55" t="str">
        <f t="shared" si="6"/>
        <v/>
      </c>
      <c r="F238" s="56"/>
      <c r="H238"/>
      <c r="I238"/>
    </row>
    <row r="239" spans="1:9">
      <c r="A239" s="53" t="s">
        <v>378</v>
      </c>
      <c r="B239" s="45" t="s">
        <v>378</v>
      </c>
      <c r="C239" s="53" t="str">
        <f>IMCOS(1)</f>
        <v>0.54030230586814</v>
      </c>
      <c r="D239" s="54" t="b">
        <f t="shared" si="7"/>
        <v>1</v>
      </c>
      <c r="E239" s="55" t="str">
        <f t="shared" si="6"/>
        <v/>
      </c>
      <c r="F239" s="56"/>
      <c r="H239"/>
      <c r="I239"/>
    </row>
    <row r="240" spans="1:9">
      <c r="A240" s="53" t="s">
        <v>379</v>
      </c>
      <c r="B240" s="45" t="s">
        <v>379</v>
      </c>
      <c r="C240" s="53" t="str">
        <f>_xlfn.IMCOSH(1)</f>
        <v>1.54308063481524</v>
      </c>
      <c r="D240" s="54" t="b">
        <f t="shared" si="7"/>
        <v>1</v>
      </c>
      <c r="E240" s="55" t="str">
        <f t="shared" si="6"/>
        <v/>
      </c>
      <c r="F240" s="56"/>
      <c r="H240"/>
      <c r="I240"/>
    </row>
    <row r="241" spans="1:9">
      <c r="A241" s="53" t="s">
        <v>380</v>
      </c>
      <c r="B241" s="45" t="s">
        <v>380</v>
      </c>
      <c r="C241" s="53" t="str">
        <f>_xlfn.IMCOT(1)</f>
        <v>0.642092615934331</v>
      </c>
      <c r="D241" s="54" t="b">
        <f t="shared" si="7"/>
        <v>1</v>
      </c>
      <c r="E241" s="55" t="str">
        <f t="shared" si="6"/>
        <v/>
      </c>
      <c r="F241" s="56"/>
      <c r="H241"/>
      <c r="I241"/>
    </row>
    <row r="242" spans="1:9">
      <c r="A242" s="53" t="s">
        <v>381</v>
      </c>
      <c r="B242" s="45" t="s">
        <v>381</v>
      </c>
      <c r="C242" s="53" t="str">
        <f>_xlfn.IMCSC(1)</f>
        <v>1.18839510577812</v>
      </c>
      <c r="D242" s="54" t="b">
        <f t="shared" si="7"/>
        <v>1</v>
      </c>
      <c r="E242" s="55" t="str">
        <f t="shared" si="6"/>
        <v/>
      </c>
      <c r="F242" s="56"/>
      <c r="H242"/>
      <c r="I242"/>
    </row>
    <row r="243" spans="1:9">
      <c r="A243" s="53" t="s">
        <v>382</v>
      </c>
      <c r="B243" s="45" t="s">
        <v>382</v>
      </c>
      <c r="C243" s="53" t="str">
        <f>_xlfn.IMCSCH(1)</f>
        <v>0.850918128239322</v>
      </c>
      <c r="D243" s="54" t="b">
        <f t="shared" si="7"/>
        <v>1</v>
      </c>
      <c r="E243" s="55" t="str">
        <f t="shared" si="6"/>
        <v/>
      </c>
      <c r="F243" s="56"/>
      <c r="H243"/>
      <c r="I243"/>
    </row>
    <row r="244" spans="1:9">
      <c r="A244" s="53" t="s">
        <v>383</v>
      </c>
      <c r="B244" s="45" t="s">
        <v>383</v>
      </c>
      <c r="C244" s="53" t="str">
        <f>IMDIV("1+i","1+i")</f>
        <v>1</v>
      </c>
      <c r="D244" s="54" t="b">
        <f t="shared" si="7"/>
        <v>1</v>
      </c>
      <c r="E244" s="55" t="str">
        <f t="shared" si="6"/>
        <v/>
      </c>
      <c r="F244" s="56"/>
      <c r="H244"/>
      <c r="I244"/>
    </row>
    <row r="245" spans="1:9">
      <c r="A245" s="53" t="s">
        <v>384</v>
      </c>
      <c r="B245" s="45" t="s">
        <v>384</v>
      </c>
      <c r="C245" s="53" t="str">
        <f>IMEXP(1)</f>
        <v>2.71828182845905</v>
      </c>
      <c r="D245" s="54" t="b">
        <f t="shared" si="7"/>
        <v>1</v>
      </c>
      <c r="E245" s="55" t="str">
        <f t="shared" si="6"/>
        <v/>
      </c>
      <c r="F245" s="56"/>
      <c r="H245"/>
      <c r="I245"/>
    </row>
    <row r="246" spans="1:9">
      <c r="A246" s="53" t="s">
        <v>385</v>
      </c>
      <c r="B246" s="45" t="s">
        <v>385</v>
      </c>
      <c r="C246" s="53" t="str">
        <f>IMLN(1)</f>
        <v>0</v>
      </c>
      <c r="D246" s="54" t="b">
        <f t="shared" si="7"/>
        <v>1</v>
      </c>
      <c r="E246" s="55" t="str">
        <f t="shared" si="6"/>
        <v/>
      </c>
      <c r="F246" s="56"/>
      <c r="H246"/>
      <c r="I246"/>
    </row>
    <row r="247" spans="1:9">
      <c r="A247" s="53" t="s">
        <v>386</v>
      </c>
      <c r="B247" s="45" t="s">
        <v>386</v>
      </c>
      <c r="C247" s="53" t="str">
        <f>IMLOG10(1)</f>
        <v>0</v>
      </c>
      <c r="D247" s="54" t="b">
        <f t="shared" si="7"/>
        <v>1</v>
      </c>
      <c r="E247" s="55" t="str">
        <f t="shared" si="6"/>
        <v/>
      </c>
      <c r="F247" s="56"/>
      <c r="H247"/>
      <c r="I247"/>
    </row>
    <row r="248" spans="1:9">
      <c r="A248" s="53" t="s">
        <v>387</v>
      </c>
      <c r="B248" s="45" t="s">
        <v>387</v>
      </c>
      <c r="C248" s="53" t="str">
        <f>IMLOG2(1)</f>
        <v>0</v>
      </c>
      <c r="D248" s="54" t="b">
        <f t="shared" si="7"/>
        <v>1</v>
      </c>
      <c r="E248" s="55" t="str">
        <f t="shared" si="6"/>
        <v/>
      </c>
      <c r="F248" s="56"/>
      <c r="H248"/>
      <c r="I248"/>
    </row>
    <row r="249" spans="1:9" ht="72">
      <c r="A249" s="53" t="s">
        <v>388</v>
      </c>
      <c r="B249" s="45" t="s">
        <v>388</v>
      </c>
      <c r="C249" s="53" t="e" cm="1">
        <f t="array" aca="1" ref="C249" ca="1">IMPORTCSV("")</f>
        <v>#NAME?</v>
      </c>
      <c r="D249" s="54" t="b">
        <f t="shared" ca="1" si="7"/>
        <v>0</v>
      </c>
      <c r="E249" s="55" t="str">
        <f t="shared" ca="1" si="6"/>
        <v>IMPORTCSV</v>
      </c>
      <c r="F249" s="56" t="s">
        <v>389</v>
      </c>
      <c r="H249"/>
      <c r="I249"/>
    </row>
    <row r="250" spans="1:9" ht="72">
      <c r="A250" s="53" t="s">
        <v>390</v>
      </c>
      <c r="B250" s="45" t="s">
        <v>390</v>
      </c>
      <c r="C250" s="53" t="e" cm="1">
        <f t="array" aca="1" ref="C250" ca="1">IMPORTTEXT("")</f>
        <v>#NAME?</v>
      </c>
      <c r="D250" s="54" t="b">
        <f t="shared" ca="1" si="7"/>
        <v>0</v>
      </c>
      <c r="E250" s="55" t="str">
        <f t="shared" ca="1" si="6"/>
        <v>IMPORTTEXT</v>
      </c>
      <c r="F250" s="56" t="s">
        <v>389</v>
      </c>
      <c r="H250"/>
      <c r="I250"/>
    </row>
    <row r="251" spans="1:9">
      <c r="A251" s="53" t="s">
        <v>391</v>
      </c>
      <c r="B251" s="45" t="s">
        <v>391</v>
      </c>
      <c r="C251" s="53" t="str">
        <f>IMPOWER("1+i",2)</f>
        <v>1.22514845490862E-16+2i</v>
      </c>
      <c r="D251" s="54" t="b">
        <f t="shared" si="7"/>
        <v>1</v>
      </c>
      <c r="E251" s="55" t="str">
        <f t="shared" si="6"/>
        <v/>
      </c>
      <c r="F251" s="56"/>
      <c r="H251"/>
      <c r="I251"/>
    </row>
    <row r="252" spans="1:9">
      <c r="A252" s="53" t="s">
        <v>392</v>
      </c>
      <c r="B252" s="45" t="s">
        <v>392</v>
      </c>
      <c r="C252" s="53" t="str">
        <f>IMPRODUCT(1)</f>
        <v>1</v>
      </c>
      <c r="D252" s="54" t="b">
        <f t="shared" si="7"/>
        <v>1</v>
      </c>
      <c r="E252" s="55" t="str">
        <f t="shared" si="6"/>
        <v/>
      </c>
      <c r="F252" s="56"/>
      <c r="H252"/>
      <c r="I252"/>
    </row>
    <row r="253" spans="1:9">
      <c r="A253" s="53" t="s">
        <v>393</v>
      </c>
      <c r="B253" s="45" t="s">
        <v>393</v>
      </c>
      <c r="C253" s="53">
        <f>IMREAL(1)</f>
        <v>1</v>
      </c>
      <c r="D253" s="54" t="b">
        <f t="shared" si="7"/>
        <v>1</v>
      </c>
      <c r="E253" s="55" t="str">
        <f t="shared" si="6"/>
        <v/>
      </c>
      <c r="F253" s="56"/>
      <c r="H253"/>
      <c r="I253"/>
    </row>
    <row r="254" spans="1:9">
      <c r="A254" s="53" t="s">
        <v>394</v>
      </c>
      <c r="B254" s="45" t="s">
        <v>394</v>
      </c>
      <c r="C254" s="53" t="str">
        <f>_xlfn.IMSEC(1)</f>
        <v>1.85081571768093</v>
      </c>
      <c r="D254" s="54" t="b">
        <f t="shared" si="7"/>
        <v>1</v>
      </c>
      <c r="E254" s="55" t="str">
        <f t="shared" si="6"/>
        <v/>
      </c>
      <c r="F254" s="56"/>
      <c r="H254"/>
      <c r="I254"/>
    </row>
    <row r="255" spans="1:9">
      <c r="A255" s="53" t="s">
        <v>395</v>
      </c>
      <c r="B255" s="45" t="s">
        <v>395</v>
      </c>
      <c r="C255" s="53" t="str">
        <f>_xlfn.IMSECH(1)</f>
        <v>0.648054273663885</v>
      </c>
      <c r="D255" s="54" t="b">
        <f t="shared" si="7"/>
        <v>1</v>
      </c>
      <c r="E255" s="55" t="str">
        <f t="shared" si="6"/>
        <v/>
      </c>
      <c r="F255" s="56"/>
      <c r="H255"/>
      <c r="I255"/>
    </row>
    <row r="256" spans="1:9">
      <c r="A256" s="53" t="s">
        <v>396</v>
      </c>
      <c r="B256" s="45" t="s">
        <v>396</v>
      </c>
      <c r="C256" s="53" t="str">
        <f>IMSIN(1)</f>
        <v>0.841470984807897</v>
      </c>
      <c r="D256" s="54" t="b">
        <f t="shared" si="7"/>
        <v>1</v>
      </c>
      <c r="E256" s="55" t="str">
        <f t="shared" si="6"/>
        <v/>
      </c>
      <c r="F256" s="56"/>
      <c r="H256"/>
      <c r="I256"/>
    </row>
    <row r="257" spans="1:9">
      <c r="A257" s="53" t="s">
        <v>397</v>
      </c>
      <c r="B257" s="45" t="s">
        <v>397</v>
      </c>
      <c r="C257" s="53" t="str">
        <f>_xlfn.IMSINH(1)</f>
        <v>1.1752011936438</v>
      </c>
      <c r="D257" s="54" t="b">
        <f t="shared" si="7"/>
        <v>1</v>
      </c>
      <c r="E257" s="55" t="str">
        <f t="shared" si="6"/>
        <v/>
      </c>
      <c r="F257" s="56"/>
      <c r="H257"/>
      <c r="I257"/>
    </row>
    <row r="258" spans="1:9">
      <c r="A258" s="53" t="s">
        <v>398</v>
      </c>
      <c r="B258" s="45" t="s">
        <v>398</v>
      </c>
      <c r="C258" s="53" t="str">
        <f>IMSQRT(1)</f>
        <v>1</v>
      </c>
      <c r="D258" s="54" t="b">
        <f t="shared" si="7"/>
        <v>1</v>
      </c>
      <c r="E258" s="55" t="str">
        <f t="shared" si="6"/>
        <v/>
      </c>
      <c r="F258" s="56"/>
      <c r="H258"/>
      <c r="I258"/>
    </row>
    <row r="259" spans="1:9">
      <c r="A259" s="53" t="s">
        <v>399</v>
      </c>
      <c r="B259" s="45" t="s">
        <v>399</v>
      </c>
      <c r="C259" s="53" t="str">
        <f>IMSUB("1+i","1+i")</f>
        <v>0</v>
      </c>
      <c r="D259" s="54" t="b">
        <f t="shared" si="7"/>
        <v>1</v>
      </c>
      <c r="E259" s="55" t="str">
        <f t="shared" si="6"/>
        <v/>
      </c>
      <c r="F259" s="56"/>
      <c r="H259"/>
      <c r="I259"/>
    </row>
    <row r="260" spans="1:9">
      <c r="A260" s="53" t="s">
        <v>400</v>
      </c>
      <c r="B260" s="45" t="s">
        <v>400</v>
      </c>
      <c r="C260" s="53" t="str">
        <f>IMSUM(1)</f>
        <v>1</v>
      </c>
      <c r="D260" s="54" t="b">
        <f t="shared" si="7"/>
        <v>1</v>
      </c>
      <c r="E260" s="55" t="str">
        <f t="shared" si="6"/>
        <v/>
      </c>
      <c r="F260" s="56"/>
      <c r="H260"/>
      <c r="I260"/>
    </row>
    <row r="261" spans="1:9">
      <c r="A261" s="53" t="s">
        <v>401</v>
      </c>
      <c r="B261" s="45" t="s">
        <v>401</v>
      </c>
      <c r="C261" s="53" t="str">
        <f>_xlfn.IMTAN(1)</f>
        <v>1.5574077246549</v>
      </c>
      <c r="D261" s="54" t="b">
        <f t="shared" si="7"/>
        <v>1</v>
      </c>
      <c r="E261" s="55" t="str">
        <f t="shared" si="6"/>
        <v/>
      </c>
      <c r="F261" s="56"/>
      <c r="H261"/>
      <c r="I261"/>
    </row>
    <row r="262" spans="1:9">
      <c r="A262" s="53" t="s">
        <v>402</v>
      </c>
      <c r="B262" s="45" t="s">
        <v>402</v>
      </c>
      <c r="C262" s="53" cm="1">
        <f t="array" ref="C262">INDEX({1},1)</f>
        <v>1</v>
      </c>
      <c r="D262" s="54" t="b">
        <f t="shared" si="7"/>
        <v>1</v>
      </c>
      <c r="E262" s="55" t="str">
        <f t="shared" si="6"/>
        <v/>
      </c>
      <c r="F262" s="56"/>
      <c r="H262"/>
      <c r="I262"/>
    </row>
    <row r="263" spans="1:9">
      <c r="A263" s="53" t="s">
        <v>403</v>
      </c>
      <c r="B263" s="45" t="s">
        <v>403</v>
      </c>
      <c r="C263" s="53" t="str" cm="1">
        <f t="array" aca="1" ref="C263" ca="1">INDIRECT("A1")</f>
        <v>Function check</v>
      </c>
      <c r="D263" s="54" t="b">
        <f t="shared" ca="1" si="7"/>
        <v>1</v>
      </c>
      <c r="E263" s="55" t="str">
        <f t="shared" ca="1" si="6"/>
        <v/>
      </c>
      <c r="F263" s="56"/>
      <c r="H263"/>
      <c r="I263"/>
    </row>
    <row r="264" spans="1:9">
      <c r="A264" s="53" t="s">
        <v>404</v>
      </c>
      <c r="B264" s="45" t="s">
        <v>404</v>
      </c>
      <c r="C264" s="53" t="str">
        <f ca="1">INFO("directory")</f>
        <v>C:\Users\FlorentinRack\OneDrive - CLI-Dartriver.com\Documents\</v>
      </c>
      <c r="D264" s="54" t="b">
        <f t="shared" ca="1" si="7"/>
        <v>1</v>
      </c>
      <c r="E264" s="55" t="str">
        <f t="shared" ca="1" si="6"/>
        <v/>
      </c>
      <c r="F264" s="56"/>
      <c r="H264"/>
      <c r="I264"/>
    </row>
    <row r="265" spans="1:9">
      <c r="A265" s="53" t="s">
        <v>405</v>
      </c>
      <c r="B265" s="45" t="s">
        <v>405</v>
      </c>
      <c r="C265" s="53">
        <f>INT(1)</f>
        <v>1</v>
      </c>
      <c r="D265" s="54" t="b">
        <f t="shared" si="7"/>
        <v>1</v>
      </c>
      <c r="E265" s="55" t="str">
        <f t="shared" si="6"/>
        <v/>
      </c>
      <c r="F265" s="56"/>
      <c r="H265"/>
      <c r="I265"/>
    </row>
    <row r="266" spans="1:9">
      <c r="A266" s="53" t="s">
        <v>406</v>
      </c>
      <c r="B266" s="45" t="s">
        <v>406</v>
      </c>
      <c r="C266" s="53">
        <f>INTERCEPT({1,2},{1,2})</f>
        <v>0</v>
      </c>
      <c r="D266" s="54" t="b">
        <f t="shared" si="7"/>
        <v>1</v>
      </c>
      <c r="E266" s="55" t="str">
        <f t="shared" si="6"/>
        <v/>
      </c>
      <c r="F266" s="56"/>
      <c r="H266"/>
      <c r="I266"/>
    </row>
    <row r="267" spans="1:9">
      <c r="A267" s="53" t="s">
        <v>407</v>
      </c>
      <c r="B267" s="45" t="s">
        <v>407</v>
      </c>
      <c r="C267" s="53">
        <f>INTRATE(DATE(2020,1,1),DATE(2021,1,1),95,100)</f>
        <v>5.2631578947368418E-2</v>
      </c>
      <c r="D267" s="54" t="b">
        <f t="shared" si="7"/>
        <v>1</v>
      </c>
      <c r="E267" s="55" t="str">
        <f t="shared" si="6"/>
        <v/>
      </c>
      <c r="F267" s="56"/>
      <c r="H267"/>
      <c r="I267"/>
    </row>
    <row r="268" spans="1:9">
      <c r="A268" s="53" t="s">
        <v>408</v>
      </c>
      <c r="B268" s="45" t="s">
        <v>408</v>
      </c>
      <c r="C268" s="53">
        <f>IPMT(0.01,1,12,1000)</f>
        <v>-9.9999999999999982</v>
      </c>
      <c r="D268" s="54" t="b">
        <f t="shared" si="7"/>
        <v>1</v>
      </c>
      <c r="E268" s="55" t="str">
        <f t="shared" ref="E268:E331" si="8">IF(D268="NOT TESTED","?"&amp;A268&amp;" (untested)",IF(D268=FALSE,A268,""))</f>
        <v/>
      </c>
      <c r="F268" s="56"/>
      <c r="H268"/>
      <c r="I268"/>
    </row>
    <row r="269" spans="1:9">
      <c r="A269" s="53" t="s">
        <v>409</v>
      </c>
      <c r="B269" s="45" t="s">
        <v>409</v>
      </c>
      <c r="C269" s="53">
        <f>IRR({-100,110})</f>
        <v>0.10000000000000009</v>
      </c>
      <c r="D269" s="54" t="b">
        <f t="shared" si="7"/>
        <v>1</v>
      </c>
      <c r="E269" s="55" t="str">
        <f t="shared" si="8"/>
        <v/>
      </c>
      <c r="F269" s="56"/>
      <c r="H269"/>
      <c r="I269"/>
    </row>
    <row r="270" spans="1:9">
      <c r="A270" s="53" t="s">
        <v>410</v>
      </c>
      <c r="B270" s="45" t="s">
        <v>410</v>
      </c>
      <c r="C270" s="53" t="b">
        <f>ISBLANK(1)</f>
        <v>0</v>
      </c>
      <c r="D270" s="54" t="b">
        <f t="shared" ref="D270:D334" si="9">IF(NOT(_xlfn.ISFORMULA(C270)),"NOT TESTED",IFERROR(ERROR.TYPE(C270)&lt;&gt;5,TRUE))</f>
        <v>1</v>
      </c>
      <c r="E270" s="55" t="str">
        <f t="shared" si="8"/>
        <v/>
      </c>
      <c r="F270" s="56"/>
      <c r="H270"/>
      <c r="I270"/>
    </row>
    <row r="271" spans="1:9">
      <c r="A271" s="53" t="s">
        <v>411</v>
      </c>
      <c r="B271" s="45" t="s">
        <v>411</v>
      </c>
      <c r="C271" s="53" t="b">
        <f>ISERR(1)</f>
        <v>0</v>
      </c>
      <c r="D271" s="54" t="b">
        <f t="shared" si="9"/>
        <v>1</v>
      </c>
      <c r="E271" s="55" t="str">
        <f t="shared" si="8"/>
        <v/>
      </c>
      <c r="F271" s="56"/>
      <c r="H271"/>
      <c r="I271"/>
    </row>
    <row r="272" spans="1:9">
      <c r="A272" s="53" t="s">
        <v>412</v>
      </c>
      <c r="B272" s="45" t="s">
        <v>412</v>
      </c>
      <c r="C272" s="53" t="b">
        <f>ISERROR(1)</f>
        <v>0</v>
      </c>
      <c r="D272" s="54" t="b">
        <f t="shared" si="9"/>
        <v>1</v>
      </c>
      <c r="E272" s="55" t="str">
        <f t="shared" si="8"/>
        <v/>
      </c>
      <c r="F272" s="56"/>
      <c r="H272"/>
      <c r="I272"/>
    </row>
    <row r="273" spans="1:9">
      <c r="A273" s="53" t="s">
        <v>413</v>
      </c>
      <c r="B273" s="45" t="s">
        <v>413</v>
      </c>
      <c r="C273" s="53" t="b">
        <f>ISEVEN(1)</f>
        <v>0</v>
      </c>
      <c r="D273" s="54" t="b">
        <f t="shared" si="9"/>
        <v>1</v>
      </c>
      <c r="E273" s="55" t="str">
        <f t="shared" si="8"/>
        <v/>
      </c>
      <c r="F273" s="56"/>
      <c r="H273"/>
      <c r="I273"/>
    </row>
    <row r="274" spans="1:9">
      <c r="A274" s="53" t="s">
        <v>414</v>
      </c>
      <c r="B274" s="45" t="s">
        <v>414</v>
      </c>
      <c r="C274" s="53" t="b">
        <f>_xlfn.ISFORMULA(A10)</f>
        <v>0</v>
      </c>
      <c r="D274" s="54" t="b">
        <f t="shared" si="9"/>
        <v>1</v>
      </c>
      <c r="E274" s="55" t="str">
        <f t="shared" si="8"/>
        <v/>
      </c>
      <c r="F274" s="56"/>
      <c r="H274"/>
      <c r="I274"/>
    </row>
    <row r="275" spans="1:9">
      <c r="A275" s="53" t="s">
        <v>415</v>
      </c>
      <c r="B275" s="45" t="s">
        <v>415</v>
      </c>
      <c r="C275" s="53" t="b">
        <f>ISLOGICAL(1)</f>
        <v>0</v>
      </c>
      <c r="D275" s="54" t="b">
        <f t="shared" si="9"/>
        <v>1</v>
      </c>
      <c r="E275" s="55" t="str">
        <f t="shared" si="8"/>
        <v/>
      </c>
      <c r="F275" s="56"/>
      <c r="H275"/>
      <c r="I275"/>
    </row>
    <row r="276" spans="1:9">
      <c r="A276" s="53" t="s">
        <v>416</v>
      </c>
      <c r="B276" s="45" t="s">
        <v>416</v>
      </c>
      <c r="C276" s="53" t="b">
        <f>ISNA(1)</f>
        <v>0</v>
      </c>
      <c r="D276" s="54" t="b">
        <f t="shared" si="9"/>
        <v>1</v>
      </c>
      <c r="E276" s="55" t="str">
        <f t="shared" si="8"/>
        <v/>
      </c>
      <c r="F276" s="56"/>
      <c r="H276"/>
      <c r="I276"/>
    </row>
    <row r="277" spans="1:9">
      <c r="A277" s="53" t="s">
        <v>417</v>
      </c>
      <c r="B277" s="45" t="s">
        <v>417</v>
      </c>
      <c r="C277" s="53" t="b">
        <f>ISNONTEXT(1)</f>
        <v>1</v>
      </c>
      <c r="D277" s="54" t="b">
        <f t="shared" si="9"/>
        <v>1</v>
      </c>
      <c r="E277" s="55" t="str">
        <f t="shared" si="8"/>
        <v/>
      </c>
      <c r="F277" s="56"/>
      <c r="H277"/>
      <c r="I277"/>
    </row>
    <row r="278" spans="1:9">
      <c r="A278" s="53" t="s">
        <v>418</v>
      </c>
      <c r="B278" s="45" t="s">
        <v>418</v>
      </c>
      <c r="C278" s="53" t="b">
        <f>ISNUMBER(1)</f>
        <v>1</v>
      </c>
      <c r="D278" s="54" t="b">
        <f t="shared" si="9"/>
        <v>1</v>
      </c>
      <c r="E278" s="55" t="str">
        <f t="shared" si="8"/>
        <v/>
      </c>
      <c r="F278" s="56"/>
      <c r="H278"/>
      <c r="I278"/>
    </row>
    <row r="279" spans="1:9">
      <c r="A279" s="53" t="s">
        <v>419</v>
      </c>
      <c r="B279" s="45" t="s">
        <v>419</v>
      </c>
      <c r="C279" s="53">
        <f>ISO.CEILING(1)</f>
        <v>1</v>
      </c>
      <c r="D279" s="54" t="b">
        <f t="shared" si="9"/>
        <v>1</v>
      </c>
      <c r="E279" s="55" t="str">
        <f t="shared" si="8"/>
        <v/>
      </c>
      <c r="F279" s="56"/>
      <c r="H279"/>
      <c r="I279"/>
    </row>
    <row r="280" spans="1:9">
      <c r="A280" s="53" t="s">
        <v>420</v>
      </c>
      <c r="B280" s="45" t="s">
        <v>420</v>
      </c>
      <c r="C280" s="53" t="b">
        <f>ISODD(1)</f>
        <v>1</v>
      </c>
      <c r="D280" s="54" t="b">
        <f t="shared" si="9"/>
        <v>1</v>
      </c>
      <c r="E280" s="55" t="str">
        <f t="shared" si="8"/>
        <v/>
      </c>
      <c r="F280" s="56"/>
      <c r="H280"/>
      <c r="I280"/>
    </row>
    <row r="281" spans="1:9">
      <c r="A281" s="53" t="s">
        <v>421</v>
      </c>
      <c r="B281" s="45" t="s">
        <v>421</v>
      </c>
      <c r="C281" s="53" t="b">
        <f>_xlfn.ISOMITTED(1)</f>
        <v>0</v>
      </c>
      <c r="D281" s="54" t="b">
        <f t="shared" si="9"/>
        <v>1</v>
      </c>
      <c r="E281" s="55" t="str">
        <f t="shared" si="8"/>
        <v/>
      </c>
      <c r="F281" s="56"/>
      <c r="H281"/>
      <c r="I281"/>
    </row>
    <row r="282" spans="1:9">
      <c r="A282" s="53" t="s">
        <v>422</v>
      </c>
      <c r="B282" s="45" t="s">
        <v>422</v>
      </c>
      <c r="C282" s="53">
        <f>_xlfn.ISOWEEKNUM(1)</f>
        <v>52</v>
      </c>
      <c r="D282" s="54" t="b">
        <f t="shared" si="9"/>
        <v>1</v>
      </c>
      <c r="E282" s="55" t="str">
        <f t="shared" si="8"/>
        <v/>
      </c>
      <c r="F282" s="56"/>
      <c r="H282"/>
      <c r="I282"/>
    </row>
    <row r="283" spans="1:9">
      <c r="A283" s="53" t="s">
        <v>423</v>
      </c>
      <c r="B283" s="45" t="s">
        <v>423</v>
      </c>
      <c r="C283" s="53">
        <f>ISPMT(0.01,1,12,1000)</f>
        <v>-9.1666666666666661</v>
      </c>
      <c r="D283" s="54" t="b">
        <f t="shared" si="9"/>
        <v>1</v>
      </c>
      <c r="E283" s="55" t="str">
        <f t="shared" si="8"/>
        <v/>
      </c>
      <c r="F283" s="56"/>
      <c r="H283"/>
      <c r="I283"/>
    </row>
    <row r="284" spans="1:9">
      <c r="A284" s="53" t="s">
        <v>424</v>
      </c>
      <c r="B284" s="45" t="s">
        <v>424</v>
      </c>
      <c r="C284" s="53" t="b">
        <f>ISREF(1)</f>
        <v>0</v>
      </c>
      <c r="D284" s="54" t="b">
        <f t="shared" si="9"/>
        <v>1</v>
      </c>
      <c r="E284" s="55" t="str">
        <f t="shared" si="8"/>
        <v/>
      </c>
      <c r="F284" s="56"/>
      <c r="H284"/>
      <c r="I284"/>
    </row>
    <row r="285" spans="1:9">
      <c r="A285" s="53" t="s">
        <v>425</v>
      </c>
      <c r="B285" s="45" t="s">
        <v>425</v>
      </c>
      <c r="C285" s="53" t="b">
        <f>ISTEXT(1)</f>
        <v>0</v>
      </c>
      <c r="D285" s="54" t="b">
        <f t="shared" si="9"/>
        <v>1</v>
      </c>
      <c r="E285" s="55" t="str">
        <f t="shared" si="8"/>
        <v/>
      </c>
      <c r="F285" s="56"/>
      <c r="H285"/>
      <c r="I285"/>
    </row>
    <row r="286" spans="1:9">
      <c r="A286" s="53" t="s">
        <v>734</v>
      </c>
      <c r="B286" s="45" t="s">
        <v>734</v>
      </c>
      <c r="C286" s="53" t="e" cm="1">
        <f t="array" aca="1" ref="C286" ca="1">JIS(" Half-width katakana E (ｴ) Half-width katakana Ku (ｸ) Half-width katakana Se (ｾ) Half-width katakana Ru (ﾙ) ")</f>
        <v>#NAME?</v>
      </c>
      <c r="D286" s="54" t="b">
        <f t="shared" ca="1" si="9"/>
        <v>0</v>
      </c>
      <c r="E286" s="55" t="str">
        <f t="shared" ca="1" si="8"/>
        <v>JIS</v>
      </c>
      <c r="F286" s="56"/>
      <c r="H286"/>
      <c r="I286"/>
    </row>
    <row r="287" spans="1:9">
      <c r="A287" s="53" t="s">
        <v>426</v>
      </c>
      <c r="B287" s="45" t="s">
        <v>426</v>
      </c>
      <c r="C287" s="53">
        <f>KURT({1,2,3,4,5})</f>
        <v>-1.1999999999999984</v>
      </c>
      <c r="D287" s="54" t="b">
        <f t="shared" si="9"/>
        <v>1</v>
      </c>
      <c r="E287" s="55" t="str">
        <f t="shared" si="8"/>
        <v/>
      </c>
      <c r="F287" s="56"/>
      <c r="H287"/>
      <c r="I287"/>
    </row>
    <row r="288" spans="1:9">
      <c r="A288" s="53" t="s">
        <v>427</v>
      </c>
      <c r="B288" s="45" t="s">
        <v>427</v>
      </c>
      <c r="C288" s="53" cm="1">
        <f t="array" ref="C288">_xlfn.LAMBDA(_xlpm.x,_xlpm.x)(1)</f>
        <v>1</v>
      </c>
      <c r="D288" s="54" t="b">
        <f t="shared" si="9"/>
        <v>1</v>
      </c>
      <c r="E288" s="55" t="str">
        <f t="shared" si="8"/>
        <v/>
      </c>
      <c r="F288" s="56"/>
      <c r="H288"/>
      <c r="I288"/>
    </row>
    <row r="289" spans="1:9">
      <c r="A289" s="53" t="s">
        <v>428</v>
      </c>
      <c r="B289" s="45" t="s">
        <v>428</v>
      </c>
      <c r="C289" s="53">
        <f>LARGE({1,2},1)</f>
        <v>2</v>
      </c>
      <c r="D289" s="54" t="b">
        <f t="shared" si="9"/>
        <v>1</v>
      </c>
      <c r="E289" s="55" t="str">
        <f t="shared" si="8"/>
        <v/>
      </c>
      <c r="F289" s="56"/>
      <c r="H289"/>
      <c r="I289"/>
    </row>
    <row r="290" spans="1:9">
      <c r="A290" s="53" t="s">
        <v>429</v>
      </c>
      <c r="B290" s="45" t="s">
        <v>429</v>
      </c>
      <c r="C290" s="53">
        <f>LCM(1)</f>
        <v>1</v>
      </c>
      <c r="D290" s="54" t="b">
        <f t="shared" si="9"/>
        <v>1</v>
      </c>
      <c r="E290" s="55" t="str">
        <f t="shared" si="8"/>
        <v/>
      </c>
      <c r="F290" s="56"/>
      <c r="H290"/>
      <c r="I290"/>
    </row>
    <row r="291" spans="1:9">
      <c r="A291" s="53" t="s">
        <v>430</v>
      </c>
      <c r="B291" s="45" t="s">
        <v>430</v>
      </c>
      <c r="C291" s="53" t="str">
        <f>LEFT(1)</f>
        <v>1</v>
      </c>
      <c r="D291" s="54" t="b">
        <f t="shared" si="9"/>
        <v>1</v>
      </c>
      <c r="E291" s="55" t="str">
        <f t="shared" si="8"/>
        <v/>
      </c>
      <c r="F291" s="56"/>
      <c r="H291"/>
      <c r="I291"/>
    </row>
    <row r="292" spans="1:9">
      <c r="A292" s="53" t="s">
        <v>431</v>
      </c>
      <c r="B292" s="45" t="s">
        <v>431</v>
      </c>
      <c r="C292" s="53" t="str">
        <f>LEFTB(1)</f>
        <v>1</v>
      </c>
      <c r="D292" s="54" t="b">
        <f t="shared" si="9"/>
        <v>1</v>
      </c>
      <c r="E292" s="55" t="str">
        <f t="shared" si="8"/>
        <v/>
      </c>
      <c r="F292" s="56"/>
      <c r="H292"/>
      <c r="I292"/>
    </row>
    <row r="293" spans="1:9">
      <c r="A293" s="53" t="s">
        <v>432</v>
      </c>
      <c r="B293" s="45" t="s">
        <v>432</v>
      </c>
      <c r="C293" s="53">
        <f>LEN(1)</f>
        <v>1</v>
      </c>
      <c r="D293" s="54" t="b">
        <f t="shared" si="9"/>
        <v>1</v>
      </c>
      <c r="E293" s="55" t="str">
        <f t="shared" si="8"/>
        <v/>
      </c>
      <c r="F293" s="56"/>
      <c r="H293"/>
      <c r="I293"/>
    </row>
    <row r="294" spans="1:9">
      <c r="A294" s="53" t="s">
        <v>433</v>
      </c>
      <c r="B294" s="45" t="s">
        <v>433</v>
      </c>
      <c r="C294" s="53">
        <f>LENB(1)</f>
        <v>1</v>
      </c>
      <c r="D294" s="54" t="b">
        <f t="shared" si="9"/>
        <v>1</v>
      </c>
      <c r="E294" s="55" t="str">
        <f t="shared" si="8"/>
        <v/>
      </c>
      <c r="F294" s="56"/>
      <c r="H294"/>
      <c r="I294"/>
    </row>
    <row r="295" spans="1:9">
      <c r="A295" s="53" t="s">
        <v>434</v>
      </c>
      <c r="B295" s="45" t="s">
        <v>434</v>
      </c>
      <c r="C295" s="53">
        <f>_xlfn.LET(_xlpm.x,1,_xlpm.x)</f>
        <v>1</v>
      </c>
      <c r="D295" s="54" t="b">
        <f t="shared" si="9"/>
        <v>1</v>
      </c>
      <c r="E295" s="55" t="str">
        <f t="shared" si="8"/>
        <v/>
      </c>
      <c r="F295" s="56"/>
      <c r="H295"/>
      <c r="I295"/>
    </row>
    <row r="296" spans="1:9">
      <c r="A296" s="53" t="s">
        <v>435</v>
      </c>
      <c r="B296" s="45" t="s">
        <v>435</v>
      </c>
      <c r="C296" s="53">
        <f>INDEX(LINEST({1,2},{1,2}),1,1)</f>
        <v>1</v>
      </c>
      <c r="D296" s="54" t="b">
        <f t="shared" si="9"/>
        <v>1</v>
      </c>
      <c r="E296" s="55" t="str">
        <f t="shared" si="8"/>
        <v/>
      </c>
      <c r="F296" s="56"/>
      <c r="H296"/>
      <c r="I296"/>
    </row>
    <row r="297" spans="1:9">
      <c r="A297" s="53" t="s">
        <v>436</v>
      </c>
      <c r="B297" s="45" t="s">
        <v>436</v>
      </c>
      <c r="C297" s="53">
        <f>LN(1)</f>
        <v>0</v>
      </c>
      <c r="D297" s="54" t="b">
        <f t="shared" si="9"/>
        <v>1</v>
      </c>
      <c r="E297" s="55" t="str">
        <f t="shared" si="8"/>
        <v/>
      </c>
      <c r="F297" s="56"/>
      <c r="H297"/>
      <c r="I297"/>
    </row>
    <row r="298" spans="1:9">
      <c r="A298" s="53" t="s">
        <v>437</v>
      </c>
      <c r="B298" s="45" t="s">
        <v>437</v>
      </c>
      <c r="C298" s="53">
        <f>LOG(1)</f>
        <v>0</v>
      </c>
      <c r="D298" s="54" t="b">
        <f t="shared" si="9"/>
        <v>1</v>
      </c>
      <c r="E298" s="55" t="str">
        <f t="shared" si="8"/>
        <v/>
      </c>
      <c r="F298" s="56"/>
      <c r="H298"/>
      <c r="I298"/>
    </row>
    <row r="299" spans="1:9">
      <c r="A299" s="53" t="s">
        <v>438</v>
      </c>
      <c r="B299" s="45" t="s">
        <v>438</v>
      </c>
      <c r="C299" s="53">
        <f>LOG10(1)</f>
        <v>0</v>
      </c>
      <c r="D299" s="54" t="b">
        <f t="shared" si="9"/>
        <v>1</v>
      </c>
      <c r="E299" s="55" t="str">
        <f t="shared" si="8"/>
        <v/>
      </c>
      <c r="F299" s="56"/>
      <c r="H299"/>
      <c r="I299"/>
    </row>
    <row r="300" spans="1:9">
      <c r="A300" s="53" t="s">
        <v>439</v>
      </c>
      <c r="B300" s="45" t="s">
        <v>439</v>
      </c>
      <c r="C300" s="53">
        <f>INDEX(LOGEST({1,2},{1,2}),1,1)</f>
        <v>2</v>
      </c>
      <c r="D300" s="54" t="b">
        <f t="shared" si="9"/>
        <v>1</v>
      </c>
      <c r="E300" s="55" t="str">
        <f t="shared" si="8"/>
        <v/>
      </c>
      <c r="F300" s="56"/>
      <c r="H300"/>
      <c r="I300"/>
    </row>
    <row r="301" spans="1:9">
      <c r="A301" s="53" t="s">
        <v>440</v>
      </c>
      <c r="B301" s="45" t="s">
        <v>440</v>
      </c>
      <c r="C301" s="53">
        <f>LOGINV(0.5,0,1)</f>
        <v>1</v>
      </c>
      <c r="D301" s="54" t="b">
        <f t="shared" si="9"/>
        <v>1</v>
      </c>
      <c r="E301" s="55" t="str">
        <f t="shared" si="8"/>
        <v/>
      </c>
      <c r="F301" s="56"/>
      <c r="H301"/>
      <c r="I301"/>
    </row>
    <row r="302" spans="1:9">
      <c r="A302" s="53" t="s">
        <v>441</v>
      </c>
      <c r="B302" s="45" t="s">
        <v>441</v>
      </c>
      <c r="C302" s="53">
        <f>_xlfn.LOGNORM.DIST(1,0,1,TRUE)</f>
        <v>0.5</v>
      </c>
      <c r="D302" s="54" t="b">
        <f t="shared" si="9"/>
        <v>1</v>
      </c>
      <c r="E302" s="55" t="str">
        <f t="shared" si="8"/>
        <v/>
      </c>
      <c r="F302" s="56"/>
      <c r="H302"/>
      <c r="I302"/>
    </row>
    <row r="303" spans="1:9">
      <c r="A303" s="53" t="s">
        <v>442</v>
      </c>
      <c r="B303" s="45" t="s">
        <v>442</v>
      </c>
      <c r="C303" s="53">
        <f>_xlfn.LOGNORM.INV(0.5,0,1)</f>
        <v>1</v>
      </c>
      <c r="D303" s="54" t="b">
        <f t="shared" si="9"/>
        <v>1</v>
      </c>
      <c r="E303" s="55" t="str">
        <f t="shared" si="8"/>
        <v/>
      </c>
      <c r="F303" s="56"/>
      <c r="H303"/>
      <c r="I303"/>
    </row>
    <row r="304" spans="1:9">
      <c r="A304" s="53" t="s">
        <v>443</v>
      </c>
      <c r="B304" s="45" t="s">
        <v>443</v>
      </c>
      <c r="C304" s="53">
        <f>LOGNORMDIST(1,0,1)</f>
        <v>0.5</v>
      </c>
      <c r="D304" s="54" t="b">
        <f t="shared" si="9"/>
        <v>1</v>
      </c>
      <c r="E304" s="55" t="str">
        <f t="shared" si="8"/>
        <v/>
      </c>
      <c r="F304" s="56"/>
      <c r="H304"/>
      <c r="I304"/>
    </row>
    <row r="305" spans="1:9">
      <c r="A305" s="53" t="s">
        <v>444</v>
      </c>
      <c r="B305" s="45" t="s">
        <v>444</v>
      </c>
      <c r="C305" s="53">
        <f>LOOKUP(1,{1},{1})</f>
        <v>1</v>
      </c>
      <c r="D305" s="54" t="b">
        <f t="shared" si="9"/>
        <v>1</v>
      </c>
      <c r="E305" s="55" t="str">
        <f t="shared" si="8"/>
        <v/>
      </c>
      <c r="F305" s="56"/>
      <c r="H305"/>
      <c r="I305"/>
    </row>
    <row r="306" spans="1:9">
      <c r="A306" s="53" t="s">
        <v>445</v>
      </c>
      <c r="B306" s="45" t="s">
        <v>445</v>
      </c>
      <c r="C306" s="53" t="str">
        <f>LOWER(1)</f>
        <v>1</v>
      </c>
      <c r="D306" s="54" t="b">
        <f t="shared" si="9"/>
        <v>1</v>
      </c>
      <c r="E306" s="55" t="str">
        <f t="shared" si="8"/>
        <v/>
      </c>
      <c r="F306" s="56"/>
      <c r="H306"/>
      <c r="I306"/>
    </row>
    <row r="307" spans="1:9">
      <c r="A307" s="53" t="s">
        <v>446</v>
      </c>
      <c r="B307" s="45" t="s">
        <v>446</v>
      </c>
      <c r="C307" s="53" cm="1">
        <f t="array" ref="C307">_xlfn.MAKEARRAY(1,1,_xlfn.LAMBDA(_xlpm.r,_xlpm.c,1))</f>
        <v>1</v>
      </c>
      <c r="D307" s="54" t="b">
        <f t="shared" si="9"/>
        <v>1</v>
      </c>
      <c r="E307" s="55" t="str">
        <f t="shared" si="8"/>
        <v/>
      </c>
      <c r="F307" s="56"/>
      <c r="H307"/>
      <c r="I307"/>
    </row>
    <row r="308" spans="1:9">
      <c r="A308" s="53" t="s">
        <v>447</v>
      </c>
      <c r="B308" s="45" t="s">
        <v>447</v>
      </c>
      <c r="C308" s="53" cm="1">
        <f t="array" ref="C308">_xlfn.MAP(1,_xlfn.LAMBDA(_xlpm.x,_xlpm.x))</f>
        <v>1</v>
      </c>
      <c r="D308" s="54" t="b">
        <f t="shared" si="9"/>
        <v>1</v>
      </c>
      <c r="E308" s="55" t="str">
        <f t="shared" si="8"/>
        <v/>
      </c>
      <c r="F308" s="56"/>
      <c r="H308"/>
      <c r="I308"/>
    </row>
    <row r="309" spans="1:9">
      <c r="A309" s="53" t="s">
        <v>448</v>
      </c>
      <c r="B309" s="45" t="s">
        <v>448</v>
      </c>
      <c r="C309" s="53">
        <f>MATCH(1,{1},0)</f>
        <v>1</v>
      </c>
      <c r="D309" s="54" t="b">
        <f t="shared" si="9"/>
        <v>1</v>
      </c>
      <c r="E309" s="55" t="str">
        <f t="shared" si="8"/>
        <v/>
      </c>
      <c r="F309" s="56"/>
      <c r="H309"/>
      <c r="I309"/>
    </row>
    <row r="310" spans="1:9">
      <c r="A310" s="53" t="s">
        <v>449</v>
      </c>
      <c r="B310" s="45" t="s">
        <v>449</v>
      </c>
      <c r="C310" s="53">
        <f>MAX(1)</f>
        <v>1</v>
      </c>
      <c r="D310" s="54" t="b">
        <f t="shared" si="9"/>
        <v>1</v>
      </c>
      <c r="E310" s="55" t="str">
        <f t="shared" si="8"/>
        <v/>
      </c>
      <c r="F310" s="56"/>
      <c r="H310"/>
      <c r="I310"/>
    </row>
    <row r="311" spans="1:9">
      <c r="A311" s="53" t="s">
        <v>450</v>
      </c>
      <c r="B311" s="45" t="s">
        <v>450</v>
      </c>
      <c r="C311" s="53">
        <f>MAXA(1)</f>
        <v>1</v>
      </c>
      <c r="D311" s="54" t="b">
        <f t="shared" si="9"/>
        <v>1</v>
      </c>
      <c r="E311" s="55" t="str">
        <f t="shared" si="8"/>
        <v/>
      </c>
      <c r="F311" s="56"/>
      <c r="H311"/>
      <c r="I311"/>
    </row>
    <row r="312" spans="1:9">
      <c r="A312" s="53" t="s">
        <v>451</v>
      </c>
      <c r="B312" s="45" t="s">
        <v>451</v>
      </c>
      <c r="C312" s="53">
        <f>_xlfn.MAXIFS($C$11:$C$12,$C$11:$C$12,"&gt;0")</f>
        <v>5</v>
      </c>
      <c r="D312" s="54" t="b">
        <f t="shared" si="9"/>
        <v>1</v>
      </c>
      <c r="E312" s="55" t="str">
        <f t="shared" si="8"/>
        <v/>
      </c>
      <c r="F312" s="56"/>
      <c r="H312"/>
      <c r="I312"/>
    </row>
    <row r="313" spans="1:9">
      <c r="A313" s="53" t="s">
        <v>452</v>
      </c>
      <c r="B313" s="45" t="s">
        <v>452</v>
      </c>
      <c r="C313" s="53">
        <f>MDETERM(1)</f>
        <v>1</v>
      </c>
      <c r="D313" s="54" t="b">
        <f t="shared" si="9"/>
        <v>1</v>
      </c>
      <c r="E313" s="55" t="str">
        <f t="shared" si="8"/>
        <v/>
      </c>
      <c r="F313" s="56"/>
      <c r="H313"/>
      <c r="I313"/>
    </row>
    <row r="314" spans="1:9">
      <c r="A314" s="53" t="s">
        <v>453</v>
      </c>
      <c r="B314" s="45" t="s">
        <v>453</v>
      </c>
      <c r="C314" s="53">
        <f>MDURATION(DATE(2020,1,1),DATE(2021,1,1),0.05,0.05,1)</f>
        <v>0.95238095238095233</v>
      </c>
      <c r="D314" s="54" t="b">
        <f t="shared" si="9"/>
        <v>1</v>
      </c>
      <c r="E314" s="55" t="str">
        <f t="shared" si="8"/>
        <v/>
      </c>
      <c r="F314" s="56"/>
      <c r="H314"/>
      <c r="I314"/>
    </row>
    <row r="315" spans="1:9">
      <c r="A315" s="53" t="s">
        <v>454</v>
      </c>
      <c r="B315" s="45" t="s">
        <v>454</v>
      </c>
      <c r="C315" s="53">
        <f>MEDIAN(1)</f>
        <v>1</v>
      </c>
      <c r="D315" s="54" t="b">
        <f t="shared" si="9"/>
        <v>1</v>
      </c>
      <c r="E315" s="55" t="str">
        <f t="shared" si="8"/>
        <v/>
      </c>
      <c r="F315" s="56"/>
      <c r="H315"/>
      <c r="I315"/>
    </row>
    <row r="316" spans="1:9">
      <c r="A316" s="53" t="s">
        <v>455</v>
      </c>
      <c r="B316" s="45" t="s">
        <v>455</v>
      </c>
      <c r="C316" s="53" t="str">
        <f>MID("a",1,1)</f>
        <v>a</v>
      </c>
      <c r="D316" s="54" t="b">
        <f t="shared" si="9"/>
        <v>1</v>
      </c>
      <c r="E316" s="55" t="str">
        <f t="shared" si="8"/>
        <v/>
      </c>
      <c r="F316" s="56"/>
      <c r="H316"/>
      <c r="I316"/>
    </row>
    <row r="317" spans="1:9">
      <c r="A317" s="53" t="s">
        <v>456</v>
      </c>
      <c r="B317" s="45" t="s">
        <v>456</v>
      </c>
      <c r="C317" s="53" t="str">
        <f>MIDB("a",1,1)</f>
        <v>a</v>
      </c>
      <c r="D317" s="54" t="b">
        <f t="shared" si="9"/>
        <v>1</v>
      </c>
      <c r="E317" s="55" t="str">
        <f t="shared" si="8"/>
        <v/>
      </c>
      <c r="F317" s="56"/>
      <c r="H317"/>
      <c r="I317"/>
    </row>
    <row r="318" spans="1:9">
      <c r="A318" s="53" t="s">
        <v>457</v>
      </c>
      <c r="B318" s="45" t="s">
        <v>457</v>
      </c>
      <c r="C318" s="53">
        <f>MIN(1)</f>
        <v>1</v>
      </c>
      <c r="D318" s="54" t="b">
        <f t="shared" si="9"/>
        <v>1</v>
      </c>
      <c r="E318" s="55" t="str">
        <f t="shared" si="8"/>
        <v/>
      </c>
      <c r="F318" s="56"/>
      <c r="H318"/>
      <c r="I318"/>
    </row>
    <row r="319" spans="1:9">
      <c r="A319" s="53" t="s">
        <v>458</v>
      </c>
      <c r="B319" s="45" t="s">
        <v>458</v>
      </c>
      <c r="C319" s="53">
        <f>MINA(1)</f>
        <v>1</v>
      </c>
      <c r="D319" s="54" t="b">
        <f t="shared" si="9"/>
        <v>1</v>
      </c>
      <c r="E319" s="55" t="str">
        <f t="shared" si="8"/>
        <v/>
      </c>
      <c r="F319" s="56"/>
      <c r="H319"/>
      <c r="I319"/>
    </row>
    <row r="320" spans="1:9">
      <c r="A320" s="53" t="s">
        <v>459</v>
      </c>
      <c r="B320" s="45" t="s">
        <v>459</v>
      </c>
      <c r="C320" s="53">
        <f>_xlfn.MINIFS($C$11:$C$12,$C$11:$C$12,"&gt;0")</f>
        <v>1</v>
      </c>
      <c r="D320" s="54" t="b">
        <f t="shared" si="9"/>
        <v>1</v>
      </c>
      <c r="E320" s="55" t="str">
        <f t="shared" si="8"/>
        <v/>
      </c>
      <c r="F320" s="56"/>
      <c r="H320"/>
      <c r="I320"/>
    </row>
    <row r="321" spans="1:9">
      <c r="A321" s="53" t="s">
        <v>460</v>
      </c>
      <c r="B321" s="45" t="s">
        <v>460</v>
      </c>
      <c r="C321" s="53">
        <f>MINUTE(1)</f>
        <v>0</v>
      </c>
      <c r="D321" s="54" t="b">
        <f t="shared" si="9"/>
        <v>1</v>
      </c>
      <c r="E321" s="55" t="str">
        <f t="shared" si="8"/>
        <v/>
      </c>
      <c r="F321" s="56"/>
      <c r="H321"/>
      <c r="I321"/>
    </row>
    <row r="322" spans="1:9">
      <c r="A322" s="53" t="s">
        <v>461</v>
      </c>
      <c r="B322" s="45" t="s">
        <v>461</v>
      </c>
      <c r="C322" s="53" cm="1">
        <f t="array" ref="C322">MINVERSE(1)</f>
        <v>1</v>
      </c>
      <c r="D322" s="54" t="b">
        <f t="shared" si="9"/>
        <v>1</v>
      </c>
      <c r="E322" s="55" t="str">
        <f t="shared" si="8"/>
        <v/>
      </c>
      <c r="F322" s="56"/>
      <c r="H322"/>
      <c r="I322"/>
    </row>
    <row r="323" spans="1:9">
      <c r="A323" s="53" t="s">
        <v>462</v>
      </c>
      <c r="B323" s="45" t="s">
        <v>462</v>
      </c>
      <c r="C323" s="53">
        <f>MIRR({-1,2},0.1,0.1)</f>
        <v>1</v>
      </c>
      <c r="D323" s="54" t="b">
        <f t="shared" si="9"/>
        <v>1</v>
      </c>
      <c r="E323" s="55" t="str">
        <f t="shared" si="8"/>
        <v/>
      </c>
      <c r="F323" s="56"/>
      <c r="H323"/>
      <c r="I323"/>
    </row>
    <row r="324" spans="1:9">
      <c r="A324" s="53" t="s">
        <v>463</v>
      </c>
      <c r="B324" s="45" t="s">
        <v>463</v>
      </c>
      <c r="C324" s="53" cm="1">
        <f t="array" ref="C324">MMULT({1},{1})</f>
        <v>1</v>
      </c>
      <c r="D324" s="54" t="b">
        <f t="shared" si="9"/>
        <v>1</v>
      </c>
      <c r="E324" s="55" t="str">
        <f t="shared" si="8"/>
        <v/>
      </c>
      <c r="F324" s="56"/>
      <c r="H324"/>
      <c r="I324"/>
    </row>
    <row r="325" spans="1:9">
      <c r="A325" s="53" t="s">
        <v>464</v>
      </c>
      <c r="B325" s="45" t="s">
        <v>464</v>
      </c>
      <c r="C325" s="53">
        <f>MOD(1,1)</f>
        <v>0</v>
      </c>
      <c r="D325" s="54" t="b">
        <f t="shared" si="9"/>
        <v>1</v>
      </c>
      <c r="E325" s="55" t="str">
        <f t="shared" si="8"/>
        <v/>
      </c>
      <c r="F325" s="56"/>
      <c r="H325"/>
      <c r="I325"/>
    </row>
    <row r="326" spans="1:9">
      <c r="A326" s="53" t="s">
        <v>465</v>
      </c>
      <c r="B326" s="45" t="s">
        <v>465</v>
      </c>
      <c r="C326" s="53">
        <f>MODE({1,1})</f>
        <v>1</v>
      </c>
      <c r="D326" s="54" t="b">
        <f t="shared" si="9"/>
        <v>1</v>
      </c>
      <c r="E326" s="55" t="str">
        <f t="shared" si="8"/>
        <v/>
      </c>
      <c r="F326" s="56"/>
      <c r="H326"/>
      <c r="I326"/>
    </row>
    <row r="327" spans="1:9">
      <c r="A327" s="53" t="s">
        <v>466</v>
      </c>
      <c r="B327" s="45" t="s">
        <v>466</v>
      </c>
      <c r="C327" s="53" cm="1">
        <f t="array" ref="C327">INDEX(_xlfn.MODE.MULT({1,1}),1)</f>
        <v>1</v>
      </c>
      <c r="D327" s="54" t="b">
        <f t="shared" si="9"/>
        <v>1</v>
      </c>
      <c r="E327" s="55" t="str">
        <f t="shared" si="8"/>
        <v/>
      </c>
      <c r="F327" s="56"/>
      <c r="H327"/>
      <c r="I327"/>
    </row>
    <row r="328" spans="1:9">
      <c r="A328" s="53" t="s">
        <v>467</v>
      </c>
      <c r="B328" s="45" t="s">
        <v>467</v>
      </c>
      <c r="C328" s="53">
        <f>_xlfn.MODE.SNGL({1,1})</f>
        <v>1</v>
      </c>
      <c r="D328" s="54" t="b">
        <f t="shared" si="9"/>
        <v>1</v>
      </c>
      <c r="E328" s="55" t="str">
        <f t="shared" si="8"/>
        <v/>
      </c>
      <c r="F328" s="56"/>
      <c r="H328"/>
      <c r="I328"/>
    </row>
    <row r="329" spans="1:9">
      <c r="A329" s="53" t="s">
        <v>468</v>
      </c>
      <c r="B329" s="45" t="s">
        <v>468</v>
      </c>
      <c r="C329" s="53">
        <f>MONTH(1)</f>
        <v>1</v>
      </c>
      <c r="D329" s="54" t="b">
        <f t="shared" si="9"/>
        <v>1</v>
      </c>
      <c r="E329" s="55" t="str">
        <f t="shared" si="8"/>
        <v/>
      </c>
      <c r="F329" s="56"/>
      <c r="H329"/>
      <c r="I329"/>
    </row>
    <row r="330" spans="1:9">
      <c r="A330" s="53" t="s">
        <v>469</v>
      </c>
      <c r="B330" s="45" t="s">
        <v>469</v>
      </c>
      <c r="C330" s="53">
        <f>MROUND(1,1)</f>
        <v>1</v>
      </c>
      <c r="D330" s="54" t="b">
        <f t="shared" si="9"/>
        <v>1</v>
      </c>
      <c r="E330" s="55" t="str">
        <f t="shared" si="8"/>
        <v/>
      </c>
      <c r="F330" s="56"/>
      <c r="H330"/>
      <c r="I330"/>
    </row>
    <row r="331" spans="1:9">
      <c r="A331" s="53" t="s">
        <v>470</v>
      </c>
      <c r="B331" s="45" t="s">
        <v>470</v>
      </c>
      <c r="C331" s="53">
        <f>MULTINOMIAL(1)</f>
        <v>1</v>
      </c>
      <c r="D331" s="54" t="b">
        <f t="shared" si="9"/>
        <v>1</v>
      </c>
      <c r="E331" s="55" t="str">
        <f t="shared" si="8"/>
        <v/>
      </c>
      <c r="F331" s="56"/>
      <c r="H331"/>
      <c r="I331"/>
    </row>
    <row r="332" spans="1:9">
      <c r="A332" s="53" t="s">
        <v>471</v>
      </c>
      <c r="B332" s="45" t="s">
        <v>471</v>
      </c>
      <c r="C332" s="53" cm="1">
        <f t="array" ref="C332">_xlfn.MUNIT(1)</f>
        <v>1</v>
      </c>
      <c r="D332" s="54" t="b">
        <f t="shared" si="9"/>
        <v>1</v>
      </c>
      <c r="E332" s="55" t="str">
        <f t="shared" ref="E332:E395" si="10">IF(D332="NOT TESTED","?"&amp;A332&amp;" (untested)",IF(D332=FALSE,A332,""))</f>
        <v/>
      </c>
      <c r="F332" s="56"/>
      <c r="H332"/>
      <c r="I332"/>
    </row>
    <row r="333" spans="1:9">
      <c r="A333" s="53" t="s">
        <v>472</v>
      </c>
      <c r="B333" s="45" t="s">
        <v>472</v>
      </c>
      <c r="C333" s="53">
        <f>N(1)</f>
        <v>1</v>
      </c>
      <c r="D333" s="54" t="b">
        <f t="shared" si="9"/>
        <v>1</v>
      </c>
      <c r="E333" s="55" t="str">
        <f t="shared" si="10"/>
        <v/>
      </c>
      <c r="F333" s="56"/>
      <c r="H333"/>
      <c r="I333"/>
    </row>
    <row r="334" spans="1:9">
      <c r="A334" s="53" t="s">
        <v>473</v>
      </c>
      <c r="B334" s="45" t="s">
        <v>473</v>
      </c>
      <c r="C334" s="53" t="e">
        <f>NA()</f>
        <v>#N/A</v>
      </c>
      <c r="D334" s="54" t="b">
        <f t="shared" si="9"/>
        <v>1</v>
      </c>
      <c r="E334" s="55" t="str">
        <f t="shared" si="10"/>
        <v/>
      </c>
      <c r="F334" s="56"/>
      <c r="H334"/>
      <c r="I334"/>
    </row>
    <row r="335" spans="1:9">
      <c r="A335" s="53" t="s">
        <v>474</v>
      </c>
      <c r="B335" s="45" t="s">
        <v>474</v>
      </c>
      <c r="C335" s="53">
        <f>_xlfn.NEGBINOM.DIST(1,1,0.5,TRUE)</f>
        <v>0.75</v>
      </c>
      <c r="D335" s="54" t="b">
        <f t="shared" ref="D335:D399" si="11">IF(NOT(_xlfn.ISFORMULA(C335)),"NOT TESTED",IFERROR(ERROR.TYPE(C335)&lt;&gt;5,TRUE))</f>
        <v>1</v>
      </c>
      <c r="E335" s="55" t="str">
        <f t="shared" si="10"/>
        <v/>
      </c>
      <c r="F335" s="56"/>
      <c r="H335"/>
      <c r="I335"/>
    </row>
    <row r="336" spans="1:9">
      <c r="A336" s="53" t="s">
        <v>475</v>
      </c>
      <c r="B336" s="45" t="s">
        <v>475</v>
      </c>
      <c r="C336" s="53">
        <f>NEGBINOMDIST(1,1,0.5)</f>
        <v>0.25</v>
      </c>
      <c r="D336" s="54" t="b">
        <f t="shared" si="11"/>
        <v>1</v>
      </c>
      <c r="E336" s="55" t="str">
        <f t="shared" si="10"/>
        <v/>
      </c>
      <c r="F336" s="56"/>
      <c r="H336"/>
      <c r="I336"/>
    </row>
    <row r="337" spans="1:9">
      <c r="A337" s="53" t="s">
        <v>476</v>
      </c>
      <c r="B337" s="45" t="s">
        <v>476</v>
      </c>
      <c r="C337" s="53">
        <f>NETWORKDAYS(DATE(2020,1,1),DATE(2020,1,2))</f>
        <v>2</v>
      </c>
      <c r="D337" s="54" t="b">
        <f t="shared" si="11"/>
        <v>1</v>
      </c>
      <c r="E337" s="55" t="str">
        <f t="shared" si="10"/>
        <v/>
      </c>
      <c r="F337" s="56"/>
      <c r="H337"/>
      <c r="I337"/>
    </row>
    <row r="338" spans="1:9">
      <c r="A338" s="53" t="s">
        <v>477</v>
      </c>
      <c r="B338" s="45" t="s">
        <v>477</v>
      </c>
      <c r="C338" s="53">
        <f>NETWORKDAYS.INTL(DATE(2020,1,1),DATE(2020,1,2))</f>
        <v>2</v>
      </c>
      <c r="D338" s="54" t="b">
        <f t="shared" si="11"/>
        <v>1</v>
      </c>
      <c r="E338" s="55" t="str">
        <f t="shared" si="10"/>
        <v/>
      </c>
      <c r="F338" s="56"/>
      <c r="H338"/>
      <c r="I338"/>
    </row>
    <row r="339" spans="1:9">
      <c r="A339" s="53" t="s">
        <v>478</v>
      </c>
      <c r="B339" s="45" t="s">
        <v>478</v>
      </c>
      <c r="C339" s="53">
        <f>NOMINAL(0.1,12)</f>
        <v>9.5689685146845171E-2</v>
      </c>
      <c r="D339" s="54" t="b">
        <f t="shared" si="11"/>
        <v>1</v>
      </c>
      <c r="E339" s="55" t="str">
        <f t="shared" si="10"/>
        <v/>
      </c>
      <c r="F339" s="56"/>
      <c r="H339"/>
      <c r="I339"/>
    </row>
    <row r="340" spans="1:9">
      <c r="A340" s="53" t="s">
        <v>479</v>
      </c>
      <c r="B340" s="45" t="s">
        <v>479</v>
      </c>
      <c r="C340" s="53">
        <f>_xlfn.NORM.DIST(0,0,1,TRUE)</f>
        <v>0.5</v>
      </c>
      <c r="D340" s="54" t="b">
        <f t="shared" si="11"/>
        <v>1</v>
      </c>
      <c r="E340" s="55" t="str">
        <f t="shared" si="10"/>
        <v/>
      </c>
      <c r="F340" s="56"/>
      <c r="H340"/>
      <c r="I340"/>
    </row>
    <row r="341" spans="1:9">
      <c r="A341" s="53" t="s">
        <v>480</v>
      </c>
      <c r="B341" s="45" t="s">
        <v>480</v>
      </c>
      <c r="C341" s="53">
        <f>_xlfn.NORM.INV(0.5,0,1)</f>
        <v>0</v>
      </c>
      <c r="D341" s="54" t="b">
        <f t="shared" si="11"/>
        <v>1</v>
      </c>
      <c r="E341" s="55" t="str">
        <f t="shared" si="10"/>
        <v/>
      </c>
      <c r="F341" s="56"/>
      <c r="H341"/>
      <c r="I341"/>
    </row>
    <row r="342" spans="1:9">
      <c r="A342" s="53" t="s">
        <v>481</v>
      </c>
      <c r="B342" s="45" t="s">
        <v>481</v>
      </c>
      <c r="C342" s="53">
        <f>_xlfn.NORM.S.DIST(0,TRUE)</f>
        <v>0.5</v>
      </c>
      <c r="D342" s="54" t="b">
        <f t="shared" si="11"/>
        <v>1</v>
      </c>
      <c r="E342" s="55" t="str">
        <f t="shared" si="10"/>
        <v/>
      </c>
      <c r="F342" s="56"/>
      <c r="H342"/>
      <c r="I342"/>
    </row>
    <row r="343" spans="1:9">
      <c r="A343" s="53" t="s">
        <v>482</v>
      </c>
      <c r="B343" s="45" t="s">
        <v>482</v>
      </c>
      <c r="C343" s="53">
        <f>_xlfn.NORM.S.INV(0.5)</f>
        <v>0</v>
      </c>
      <c r="D343" s="54" t="b">
        <f t="shared" si="11"/>
        <v>1</v>
      </c>
      <c r="E343" s="55" t="str">
        <f t="shared" si="10"/>
        <v/>
      </c>
      <c r="F343" s="56"/>
      <c r="H343"/>
      <c r="I343"/>
    </row>
    <row r="344" spans="1:9">
      <c r="A344" s="53" t="s">
        <v>483</v>
      </c>
      <c r="B344" s="45" t="s">
        <v>483</v>
      </c>
      <c r="C344" s="53">
        <f>NORMDIST(0,0,1,TRUE)</f>
        <v>0.5</v>
      </c>
      <c r="D344" s="54" t="b">
        <f t="shared" si="11"/>
        <v>1</v>
      </c>
      <c r="E344" s="55" t="str">
        <f t="shared" si="10"/>
        <v/>
      </c>
      <c r="F344" s="56"/>
      <c r="H344"/>
      <c r="I344"/>
    </row>
    <row r="345" spans="1:9">
      <c r="A345" s="53" t="s">
        <v>484</v>
      </c>
      <c r="B345" s="45" t="s">
        <v>484</v>
      </c>
      <c r="C345" s="53">
        <f>NORMINV(0.5,0,1)</f>
        <v>0</v>
      </c>
      <c r="D345" s="54" t="b">
        <f t="shared" si="11"/>
        <v>1</v>
      </c>
      <c r="E345" s="55" t="str">
        <f t="shared" si="10"/>
        <v/>
      </c>
      <c r="F345" s="56"/>
      <c r="H345"/>
      <c r="I345"/>
    </row>
    <row r="346" spans="1:9">
      <c r="A346" s="53" t="s">
        <v>485</v>
      </c>
      <c r="B346" s="45" t="s">
        <v>485</v>
      </c>
      <c r="C346" s="53">
        <f>NORMSDIST(1)</f>
        <v>0.84134474606854304</v>
      </c>
      <c r="D346" s="54" t="b">
        <f t="shared" si="11"/>
        <v>1</v>
      </c>
      <c r="E346" s="55" t="str">
        <f t="shared" si="10"/>
        <v/>
      </c>
      <c r="F346" s="56"/>
      <c r="H346"/>
      <c r="I346"/>
    </row>
    <row r="347" spans="1:9">
      <c r="A347" s="53" t="s">
        <v>486</v>
      </c>
      <c r="B347" s="45" t="s">
        <v>486</v>
      </c>
      <c r="C347" s="53">
        <f>NORMSINV(0.5)</f>
        <v>0</v>
      </c>
      <c r="D347" s="54" t="b">
        <f t="shared" si="11"/>
        <v>1</v>
      </c>
      <c r="E347" s="55" t="str">
        <f t="shared" si="10"/>
        <v/>
      </c>
      <c r="F347" s="56"/>
      <c r="H347"/>
      <c r="I347"/>
    </row>
    <row r="348" spans="1:9">
      <c r="A348" s="53" t="s">
        <v>487</v>
      </c>
      <c r="B348" s="45" t="s">
        <v>487</v>
      </c>
      <c r="C348" s="53" t="b">
        <f>NOT(1)</f>
        <v>0</v>
      </c>
      <c r="D348" s="54" t="b">
        <f t="shared" si="11"/>
        <v>1</v>
      </c>
      <c r="E348" s="55" t="str">
        <f t="shared" si="10"/>
        <v/>
      </c>
      <c r="F348" s="56"/>
      <c r="H348"/>
      <c r="I348"/>
    </row>
    <row r="349" spans="1:9">
      <c r="A349" s="53" t="s">
        <v>488</v>
      </c>
      <c r="B349" s="45" t="s">
        <v>488</v>
      </c>
      <c r="C349" s="53">
        <f ca="1">NOW()</f>
        <v>46309.668146875003</v>
      </c>
      <c r="D349" s="54" t="b">
        <f t="shared" ca="1" si="11"/>
        <v>1</v>
      </c>
      <c r="E349" s="55" t="str">
        <f t="shared" ca="1" si="10"/>
        <v/>
      </c>
      <c r="F349" s="56"/>
      <c r="H349"/>
      <c r="I349"/>
    </row>
    <row r="350" spans="1:9">
      <c r="A350" s="53" t="s">
        <v>489</v>
      </c>
      <c r="B350" s="45" t="s">
        <v>489</v>
      </c>
      <c r="C350" s="53">
        <f>NPER(0.01,-100,1000)</f>
        <v>10.588644459423231</v>
      </c>
      <c r="D350" s="54" t="b">
        <f t="shared" si="11"/>
        <v>1</v>
      </c>
      <c r="E350" s="55" t="str">
        <f t="shared" si="10"/>
        <v/>
      </c>
      <c r="F350" s="56"/>
      <c r="H350"/>
      <c r="I350"/>
    </row>
    <row r="351" spans="1:9">
      <c r="A351" s="53" t="s">
        <v>490</v>
      </c>
      <c r="B351" s="45" t="s">
        <v>490</v>
      </c>
      <c r="C351" s="53">
        <f>NPV(0.1,100)</f>
        <v>90.909090909090907</v>
      </c>
      <c r="D351" s="54" t="b">
        <f t="shared" si="11"/>
        <v>1</v>
      </c>
      <c r="E351" s="55" t="str">
        <f t="shared" si="10"/>
        <v/>
      </c>
      <c r="F351" s="56"/>
      <c r="H351"/>
      <c r="I351"/>
    </row>
    <row r="352" spans="1:9">
      <c r="A352" s="53" t="s">
        <v>491</v>
      </c>
      <c r="B352" s="45" t="s">
        <v>491</v>
      </c>
      <c r="C352" s="53">
        <f>_xlfn.NUMBERVALUE(1)</f>
        <v>1</v>
      </c>
      <c r="D352" s="54" t="b">
        <f t="shared" si="11"/>
        <v>1</v>
      </c>
      <c r="E352" s="55" t="str">
        <f t="shared" si="10"/>
        <v/>
      </c>
      <c r="F352" s="56"/>
      <c r="H352"/>
      <c r="I352"/>
    </row>
    <row r="353" spans="1:9">
      <c r="A353" s="53" t="s">
        <v>492</v>
      </c>
      <c r="B353" s="45" t="s">
        <v>492</v>
      </c>
      <c r="C353" s="53" t="str">
        <f>OCT2BIN(1)</f>
        <v>1</v>
      </c>
      <c r="D353" s="54" t="b">
        <f t="shared" si="11"/>
        <v>1</v>
      </c>
      <c r="E353" s="55" t="str">
        <f t="shared" si="10"/>
        <v/>
      </c>
      <c r="F353" s="56"/>
      <c r="H353"/>
      <c r="I353"/>
    </row>
    <row r="354" spans="1:9">
      <c r="A354" s="53" t="s">
        <v>493</v>
      </c>
      <c r="B354" s="45" t="s">
        <v>493</v>
      </c>
      <c r="C354" s="53">
        <f>OCT2DEC(1)</f>
        <v>1</v>
      </c>
      <c r="D354" s="54" t="b">
        <f t="shared" si="11"/>
        <v>1</v>
      </c>
      <c r="E354" s="55" t="str">
        <f t="shared" si="10"/>
        <v/>
      </c>
      <c r="F354" s="56"/>
      <c r="H354"/>
      <c r="I354"/>
    </row>
    <row r="355" spans="1:9">
      <c r="A355" s="53" t="s">
        <v>494</v>
      </c>
      <c r="B355" s="45" t="s">
        <v>494</v>
      </c>
      <c r="C355" s="53" t="str">
        <f>OCT2HEX(1)</f>
        <v>1</v>
      </c>
      <c r="D355" s="54" t="b">
        <f t="shared" si="11"/>
        <v>1</v>
      </c>
      <c r="E355" s="55" t="str">
        <f t="shared" si="10"/>
        <v/>
      </c>
      <c r="F355" s="56"/>
      <c r="H355"/>
      <c r="I355"/>
    </row>
    <row r="356" spans="1:9">
      <c r="A356" s="53" t="s">
        <v>495</v>
      </c>
      <c r="B356" s="45" t="s">
        <v>495</v>
      </c>
      <c r="C356" s="53">
        <f>ODD(1)</f>
        <v>1</v>
      </c>
      <c r="D356" s="54" t="b">
        <f t="shared" si="11"/>
        <v>1</v>
      </c>
      <c r="E356" s="55" t="str">
        <f t="shared" si="10"/>
        <v/>
      </c>
      <c r="F356" s="56"/>
      <c r="H356"/>
      <c r="I356"/>
    </row>
    <row r="357" spans="1:9">
      <c r="A357" s="53" t="s">
        <v>496</v>
      </c>
      <c r="B357" s="45" t="s">
        <v>496</v>
      </c>
      <c r="C357" s="53">
        <f>ODDFPRICE(DATE(2020,1,1),DATE(2022,1,1),DATE(2019,7,1),DATE(2020,7,1),0.05,0.05,100,2)</f>
        <v>99.939024390243929</v>
      </c>
      <c r="D357" s="54" t="b">
        <f t="shared" si="11"/>
        <v>1</v>
      </c>
      <c r="E357" s="55" t="str">
        <f t="shared" si="10"/>
        <v/>
      </c>
      <c r="F357" s="56"/>
      <c r="H357"/>
      <c r="I357"/>
    </row>
    <row r="358" spans="1:9">
      <c r="A358" s="53" t="s">
        <v>497</v>
      </c>
      <c r="B358" s="45" t="s">
        <v>497</v>
      </c>
      <c r="C358" s="53">
        <f>ODDFYIELD(DATE(2020,1,1),DATE(2022,1,1),DATE(2019,7,1),DATE(2020,7,1),0.05,95,100,2)</f>
        <v>7.6941335262328298E-2</v>
      </c>
      <c r="D358" s="54" t="b">
        <f t="shared" si="11"/>
        <v>1</v>
      </c>
      <c r="E358" s="55" t="str">
        <f t="shared" si="10"/>
        <v/>
      </c>
      <c r="F358" s="56"/>
      <c r="H358"/>
      <c r="I358"/>
    </row>
    <row r="359" spans="1:9">
      <c r="A359" s="53" t="s">
        <v>498</v>
      </c>
      <c r="B359" s="45" t="s">
        <v>498</v>
      </c>
      <c r="C359" s="53">
        <f>ODDLPRICE(DATE(2020,1,1),DATE(2021,1,1),DATE(2019,7,1),0.05,0.05,100,2)</f>
        <v>99.88095238095238</v>
      </c>
      <c r="D359" s="54" t="b">
        <f t="shared" si="11"/>
        <v>1</v>
      </c>
      <c r="E359" s="55" t="str">
        <f t="shared" si="10"/>
        <v/>
      </c>
      <c r="F359" s="56"/>
      <c r="H359"/>
      <c r="I359"/>
    </row>
    <row r="360" spans="1:9">
      <c r="A360" s="53" t="s">
        <v>499</v>
      </c>
      <c r="B360" s="45" t="s">
        <v>499</v>
      </c>
      <c r="C360" s="53">
        <f>ODDLYIELD(DATE(2020,1,1),DATE(2021,1,1),DATE(2019,7,1),0.05,95,100,2)</f>
        <v>0.10256410256410256</v>
      </c>
      <c r="D360" s="54" t="b">
        <f t="shared" si="11"/>
        <v>1</v>
      </c>
      <c r="E360" s="55" t="str">
        <f t="shared" si="10"/>
        <v/>
      </c>
      <c r="F360" s="56"/>
      <c r="H360"/>
      <c r="I360"/>
    </row>
    <row r="361" spans="1:9">
      <c r="A361" s="53" t="s">
        <v>500</v>
      </c>
      <c r="B361" s="45" t="s">
        <v>500</v>
      </c>
      <c r="C361" s="53" t="str">
        <f ca="1">OFFSET(A10,0,0)</f>
        <v>Function</v>
      </c>
      <c r="D361" s="54" t="b">
        <f t="shared" ca="1" si="11"/>
        <v>1</v>
      </c>
      <c r="E361" s="55" t="str">
        <f t="shared" ca="1" si="10"/>
        <v/>
      </c>
      <c r="F361" s="56"/>
      <c r="H361"/>
      <c r="I361"/>
    </row>
    <row r="362" spans="1:9">
      <c r="A362" s="53" t="s">
        <v>501</v>
      </c>
      <c r="B362" s="45" t="s">
        <v>501</v>
      </c>
      <c r="C362" s="53" t="b">
        <f>OR(1)</f>
        <v>1</v>
      </c>
      <c r="D362" s="54" t="b">
        <f t="shared" si="11"/>
        <v>1</v>
      </c>
      <c r="E362" s="55" t="str">
        <f t="shared" si="10"/>
        <v/>
      </c>
      <c r="F362" s="56"/>
      <c r="H362"/>
      <c r="I362"/>
    </row>
    <row r="363" spans="1:9">
      <c r="A363" s="53" t="s">
        <v>502</v>
      </c>
      <c r="B363" s="45" t="s">
        <v>502</v>
      </c>
      <c r="C363" s="53">
        <f>_xlfn.PDURATION(0.1,100,200)</f>
        <v>7.2725408973417052</v>
      </c>
      <c r="D363" s="54" t="b">
        <f t="shared" si="11"/>
        <v>1</v>
      </c>
      <c r="E363" s="55" t="str">
        <f t="shared" si="10"/>
        <v/>
      </c>
      <c r="F363" s="56"/>
      <c r="H363"/>
      <c r="I363"/>
    </row>
    <row r="364" spans="1:9">
      <c r="A364" s="53" t="s">
        <v>503</v>
      </c>
      <c r="B364" s="45" t="s">
        <v>503</v>
      </c>
      <c r="C364" s="53">
        <f>PEARSON({1,2},{1,2})</f>
        <v>1</v>
      </c>
      <c r="D364" s="54" t="b">
        <f t="shared" si="11"/>
        <v>1</v>
      </c>
      <c r="E364" s="55" t="str">
        <f t="shared" si="10"/>
        <v/>
      </c>
      <c r="F364" s="56"/>
      <c r="H364"/>
      <c r="I364"/>
    </row>
    <row r="365" spans="1:9">
      <c r="A365" s="53" t="s">
        <v>504</v>
      </c>
      <c r="B365" s="45" t="s">
        <v>504</v>
      </c>
      <c r="C365" s="53">
        <f>PERCENTILE({1,2},0.5)</f>
        <v>1.5</v>
      </c>
      <c r="D365" s="54" t="b">
        <f t="shared" si="11"/>
        <v>1</v>
      </c>
      <c r="E365" s="55" t="str">
        <f t="shared" si="10"/>
        <v/>
      </c>
      <c r="F365" s="56"/>
      <c r="H365"/>
      <c r="I365"/>
    </row>
    <row r="366" spans="1:9">
      <c r="A366" s="53" t="s">
        <v>505</v>
      </c>
      <c r="B366" s="45" t="s">
        <v>505</v>
      </c>
      <c r="C366" s="53">
        <f>_xlfn.PERCENTILE.EXC({1,2,3},0.5)</f>
        <v>2</v>
      </c>
      <c r="D366" s="54" t="b">
        <f t="shared" si="11"/>
        <v>1</v>
      </c>
      <c r="E366" s="55" t="str">
        <f t="shared" si="10"/>
        <v/>
      </c>
      <c r="F366" s="56"/>
      <c r="H366"/>
      <c r="I366"/>
    </row>
    <row r="367" spans="1:9">
      <c r="A367" s="53" t="s">
        <v>506</v>
      </c>
      <c r="B367" s="45" t="s">
        <v>506</v>
      </c>
      <c r="C367" s="53">
        <f>_xlfn.PERCENTILE.INC({1,2},0.5)</f>
        <v>1.5</v>
      </c>
      <c r="D367" s="54" t="b">
        <f t="shared" si="11"/>
        <v>1</v>
      </c>
      <c r="E367" s="55" t="str">
        <f t="shared" si="10"/>
        <v/>
      </c>
      <c r="F367" s="56"/>
      <c r="H367"/>
      <c r="I367"/>
    </row>
    <row r="368" spans="1:9">
      <c r="A368" s="53" t="s">
        <v>507</v>
      </c>
      <c r="B368" s="45" t="s">
        <v>507</v>
      </c>
      <c r="C368" s="53">
        <f>_xlfn.PERCENTOF(1,1)</f>
        <v>1</v>
      </c>
      <c r="D368" s="54" t="b">
        <f t="shared" si="11"/>
        <v>1</v>
      </c>
      <c r="E368" s="55" t="str">
        <f t="shared" si="10"/>
        <v/>
      </c>
      <c r="F368" s="56"/>
      <c r="H368"/>
      <c r="I368"/>
    </row>
    <row r="369" spans="1:9">
      <c r="A369" s="53" t="s">
        <v>508</v>
      </c>
      <c r="B369" s="45" t="s">
        <v>508</v>
      </c>
      <c r="C369" s="53">
        <f>PERCENTRANK({1,2},1)</f>
        <v>0</v>
      </c>
      <c r="D369" s="54" t="b">
        <f t="shared" si="11"/>
        <v>1</v>
      </c>
      <c r="E369" s="55" t="str">
        <f t="shared" si="10"/>
        <v/>
      </c>
      <c r="F369" s="56"/>
      <c r="H369"/>
      <c r="I369"/>
    </row>
    <row r="370" spans="1:9">
      <c r="A370" s="53" t="s">
        <v>509</v>
      </c>
      <c r="B370" s="45" t="s">
        <v>509</v>
      </c>
      <c r="C370" s="53">
        <f>_xlfn.PERCENTRANK.EXC({1,2,3},2)</f>
        <v>0.5</v>
      </c>
      <c r="D370" s="54" t="b">
        <f t="shared" si="11"/>
        <v>1</v>
      </c>
      <c r="E370" s="55" t="str">
        <f t="shared" si="10"/>
        <v/>
      </c>
      <c r="F370" s="56"/>
      <c r="H370"/>
      <c r="I370"/>
    </row>
    <row r="371" spans="1:9">
      <c r="A371" s="53" t="s">
        <v>510</v>
      </c>
      <c r="B371" s="45" t="s">
        <v>510</v>
      </c>
      <c r="C371" s="53">
        <f>_xlfn.PERCENTRANK.INC({1,2},1)</f>
        <v>0</v>
      </c>
      <c r="D371" s="54" t="b">
        <f t="shared" si="11"/>
        <v>1</v>
      </c>
      <c r="E371" s="55" t="str">
        <f t="shared" si="10"/>
        <v/>
      </c>
      <c r="F371" s="56"/>
      <c r="H371"/>
      <c r="I371"/>
    </row>
    <row r="372" spans="1:9">
      <c r="A372" s="53" t="s">
        <v>511</v>
      </c>
      <c r="B372" s="45" t="s">
        <v>511</v>
      </c>
      <c r="C372" s="53">
        <f>PERMUT(2,1)</f>
        <v>2</v>
      </c>
      <c r="D372" s="54" t="b">
        <f t="shared" si="11"/>
        <v>1</v>
      </c>
      <c r="E372" s="55" t="str">
        <f t="shared" si="10"/>
        <v/>
      </c>
      <c r="F372" s="56"/>
      <c r="H372"/>
      <c r="I372"/>
    </row>
    <row r="373" spans="1:9">
      <c r="A373" s="53" t="s">
        <v>512</v>
      </c>
      <c r="B373" s="45" t="s">
        <v>512</v>
      </c>
      <c r="C373" s="53">
        <f>_xlfn.PERMUTATIONA(2,1)</f>
        <v>2</v>
      </c>
      <c r="D373" s="54" t="b">
        <f t="shared" si="11"/>
        <v>1</v>
      </c>
      <c r="E373" s="55" t="str">
        <f t="shared" si="10"/>
        <v/>
      </c>
      <c r="F373" s="56"/>
      <c r="H373"/>
      <c r="I373"/>
    </row>
    <row r="374" spans="1:9">
      <c r="A374" s="53" t="s">
        <v>513</v>
      </c>
      <c r="B374" s="45" t="s">
        <v>513</v>
      </c>
      <c r="C374" s="53">
        <f>_xlfn.PHI(1)</f>
        <v>0.24197072451914337</v>
      </c>
      <c r="D374" s="54" t="b">
        <f t="shared" si="11"/>
        <v>1</v>
      </c>
      <c r="E374" s="55" t="str">
        <f t="shared" si="10"/>
        <v/>
      </c>
      <c r="F374" s="56"/>
      <c r="H374"/>
      <c r="I374"/>
    </row>
    <row r="375" spans="1:9">
      <c r="A375" s="53" t="s">
        <v>514</v>
      </c>
      <c r="B375" s="45" t="s">
        <v>514</v>
      </c>
      <c r="C375" s="53" t="e">
        <f>PHONETIC(A10)</f>
        <v>#N/A</v>
      </c>
      <c r="D375" s="54" t="b">
        <f t="shared" si="11"/>
        <v>1</v>
      </c>
      <c r="E375" s="55" t="str">
        <f t="shared" si="10"/>
        <v/>
      </c>
      <c r="F375" s="56"/>
      <c r="H375"/>
      <c r="I375"/>
    </row>
    <row r="376" spans="1:9">
      <c r="A376" s="53" t="s">
        <v>515</v>
      </c>
      <c r="B376" s="45" t="s">
        <v>515</v>
      </c>
      <c r="C376" s="53">
        <f>PI()</f>
        <v>3.1415926535897931</v>
      </c>
      <c r="D376" s="54" t="b">
        <f t="shared" si="11"/>
        <v>1</v>
      </c>
      <c r="E376" s="55" t="str">
        <f t="shared" si="10"/>
        <v/>
      </c>
      <c r="F376" s="56"/>
      <c r="H376"/>
      <c r="I376"/>
    </row>
    <row r="377" spans="1:9">
      <c r="A377" s="53" t="s">
        <v>516</v>
      </c>
      <c r="B377" s="45" t="s">
        <v>516</v>
      </c>
      <c r="C377" s="53" t="str">
        <f>INDEX(_xlfn.PIVOTBY({1},{1},{1},_xleta.SUM),1,1)</f>
        <v/>
      </c>
      <c r="D377" s="54" t="b">
        <f t="shared" si="11"/>
        <v>1</v>
      </c>
      <c r="E377" s="55" t="str">
        <f t="shared" si="10"/>
        <v/>
      </c>
      <c r="F377" s="56"/>
      <c r="H377"/>
      <c r="I377"/>
    </row>
    <row r="378" spans="1:9">
      <c r="A378" s="53" t="s">
        <v>517</v>
      </c>
      <c r="B378" s="45" t="s">
        <v>517</v>
      </c>
      <c r="C378" s="53">
        <f>PMT(0.01,12,1000)</f>
        <v>-88.848788678341677</v>
      </c>
      <c r="D378" s="54" t="b">
        <f t="shared" si="11"/>
        <v>1</v>
      </c>
      <c r="E378" s="55" t="str">
        <f t="shared" si="10"/>
        <v/>
      </c>
      <c r="F378" s="56"/>
      <c r="H378"/>
      <c r="I378"/>
    </row>
    <row r="379" spans="1:9">
      <c r="A379" s="53" t="s">
        <v>518</v>
      </c>
      <c r="B379" s="45" t="s">
        <v>518</v>
      </c>
      <c r="C379" s="53">
        <f>POISSON(1,1,TRUE)</f>
        <v>0.73575888234288478</v>
      </c>
      <c r="D379" s="54" t="b">
        <f t="shared" si="11"/>
        <v>1</v>
      </c>
      <c r="E379" s="55" t="str">
        <f t="shared" si="10"/>
        <v/>
      </c>
      <c r="F379" s="56"/>
      <c r="H379"/>
      <c r="I379"/>
    </row>
    <row r="380" spans="1:9">
      <c r="A380" s="53" t="s">
        <v>519</v>
      </c>
      <c r="B380" s="45" t="s">
        <v>519</v>
      </c>
      <c r="C380" s="53">
        <f>_xlfn.POISSON.DIST(1,1,TRUE)</f>
        <v>0.73575888234288478</v>
      </c>
      <c r="D380" s="54" t="b">
        <f t="shared" si="11"/>
        <v>1</v>
      </c>
      <c r="E380" s="55" t="str">
        <f t="shared" si="10"/>
        <v/>
      </c>
      <c r="F380" s="56"/>
      <c r="H380"/>
      <c r="I380"/>
    </row>
    <row r="381" spans="1:9">
      <c r="A381" s="53" t="s">
        <v>520</v>
      </c>
      <c r="B381" s="45" t="s">
        <v>520</v>
      </c>
      <c r="C381" s="53">
        <f>POWER(2,2)</f>
        <v>4</v>
      </c>
      <c r="D381" s="54" t="b">
        <f t="shared" si="11"/>
        <v>1</v>
      </c>
      <c r="E381" s="55" t="str">
        <f t="shared" si="10"/>
        <v/>
      </c>
      <c r="F381" s="56"/>
      <c r="H381"/>
      <c r="I381"/>
    </row>
    <row r="382" spans="1:9">
      <c r="A382" s="53" t="s">
        <v>521</v>
      </c>
      <c r="B382" s="45" t="s">
        <v>521</v>
      </c>
      <c r="C382" s="53">
        <f>PPMT(0.01,1,12,1000)</f>
        <v>-78.848788678341677</v>
      </c>
      <c r="D382" s="54" t="b">
        <f t="shared" si="11"/>
        <v>1</v>
      </c>
      <c r="E382" s="55" t="str">
        <f t="shared" si="10"/>
        <v/>
      </c>
      <c r="F382" s="56"/>
      <c r="H382"/>
      <c r="I382"/>
    </row>
    <row r="383" spans="1:9">
      <c r="A383" s="53" t="s">
        <v>522</v>
      </c>
      <c r="B383" s="45" t="s">
        <v>522</v>
      </c>
      <c r="C383" s="53">
        <f>PRICE(DATE(2020,1,1),DATE(2021,1,1),0.05,0.05,100,1)</f>
        <v>100</v>
      </c>
      <c r="D383" s="54" t="b">
        <f t="shared" si="11"/>
        <v>1</v>
      </c>
      <c r="E383" s="55" t="str">
        <f t="shared" si="10"/>
        <v/>
      </c>
      <c r="F383" s="56"/>
      <c r="H383"/>
      <c r="I383"/>
    </row>
    <row r="384" spans="1:9">
      <c r="A384" s="53" t="s">
        <v>523</v>
      </c>
      <c r="B384" s="45" t="s">
        <v>523</v>
      </c>
      <c r="C384" s="53">
        <f>PRICEDISC(DATE(2020,1,1),DATE(2021,1,1),0.05,100)</f>
        <v>95</v>
      </c>
      <c r="D384" s="54" t="b">
        <f t="shared" si="11"/>
        <v>1</v>
      </c>
      <c r="E384" s="55" t="str">
        <f t="shared" si="10"/>
        <v/>
      </c>
      <c r="F384" s="56"/>
      <c r="H384"/>
      <c r="I384"/>
    </row>
    <row r="385" spans="1:9">
      <c r="A385" s="53" t="s">
        <v>524</v>
      </c>
      <c r="B385" s="45" t="s">
        <v>524</v>
      </c>
      <c r="C385" s="53">
        <f>PRICEMAT(DATE(2020,1,1),DATE(2021,1,1),DATE(2019,1,1),0.05,0.05)</f>
        <v>99.761904761904759</v>
      </c>
      <c r="D385" s="54" t="b">
        <f t="shared" si="11"/>
        <v>1</v>
      </c>
      <c r="E385" s="55" t="str">
        <f t="shared" si="10"/>
        <v/>
      </c>
      <c r="F385" s="56"/>
      <c r="H385"/>
      <c r="I385"/>
    </row>
    <row r="386" spans="1:9">
      <c r="A386" s="53" t="s">
        <v>525</v>
      </c>
      <c r="B386" s="45" t="s">
        <v>525</v>
      </c>
      <c r="C386" s="53">
        <f>PROB({1,2},{0.5,0.5},1,2)</f>
        <v>1</v>
      </c>
      <c r="D386" s="54" t="b">
        <f t="shared" si="11"/>
        <v>1</v>
      </c>
      <c r="E386" s="55" t="str">
        <f t="shared" si="10"/>
        <v/>
      </c>
      <c r="F386" s="56"/>
      <c r="H386"/>
      <c r="I386"/>
    </row>
    <row r="387" spans="1:9">
      <c r="A387" s="53" t="s">
        <v>526</v>
      </c>
      <c r="B387" s="45" t="s">
        <v>526</v>
      </c>
      <c r="C387" s="53">
        <f>PRODUCT(1)</f>
        <v>1</v>
      </c>
      <c r="D387" s="54" t="b">
        <f t="shared" si="11"/>
        <v>1</v>
      </c>
      <c r="E387" s="55" t="str">
        <f t="shared" si="10"/>
        <v/>
      </c>
      <c r="F387" s="56"/>
      <c r="H387"/>
      <c r="I387"/>
    </row>
    <row r="388" spans="1:9">
      <c r="A388" s="53" t="s">
        <v>527</v>
      </c>
      <c r="B388" s="45" t="s">
        <v>527</v>
      </c>
      <c r="C388" s="53" t="str">
        <f>PROPER(1)</f>
        <v>1</v>
      </c>
      <c r="D388" s="54" t="b">
        <f t="shared" si="11"/>
        <v>1</v>
      </c>
      <c r="E388" s="55" t="str">
        <f t="shared" si="10"/>
        <v/>
      </c>
      <c r="F388" s="56"/>
      <c r="H388"/>
      <c r="I388"/>
    </row>
    <row r="389" spans="1:9">
      <c r="A389" s="53" t="s">
        <v>528</v>
      </c>
      <c r="B389" s="45" t="s">
        <v>528</v>
      </c>
      <c r="C389" s="53">
        <f>PV(0.01,12,-100)</f>
        <v>1125.5077473484635</v>
      </c>
      <c r="D389" s="54" t="b">
        <f t="shared" si="11"/>
        <v>1</v>
      </c>
      <c r="E389" s="55" t="str">
        <f t="shared" si="10"/>
        <v/>
      </c>
      <c r="F389" s="56"/>
      <c r="H389"/>
      <c r="I389"/>
    </row>
    <row r="390" spans="1:9">
      <c r="A390" s="53" t="s">
        <v>529</v>
      </c>
      <c r="B390" s="45" t="s">
        <v>529</v>
      </c>
      <c r="C390" s="53" t="e" cm="1" vm="3">
        <f t="array" aca="1" ref="C390" ca="1">_xlfn._xlws.PY(0,1)</f>
        <v>#VALUE!</v>
      </c>
      <c r="D390" s="54" t="b">
        <f t="shared" ca="1" si="11"/>
        <v>1</v>
      </c>
      <c r="E390" s="55" t="str">
        <f t="shared" ca="1" si="10"/>
        <v/>
      </c>
      <c r="F390" s="56"/>
      <c r="H390"/>
      <c r="I390"/>
    </row>
    <row r="391" spans="1:9">
      <c r="A391" s="53" t="s">
        <v>530</v>
      </c>
      <c r="B391" s="45" t="s">
        <v>530</v>
      </c>
      <c r="C391" s="53">
        <f>QUARTILE({1,2,3,4},1)</f>
        <v>1.75</v>
      </c>
      <c r="D391" s="54" t="b">
        <f t="shared" si="11"/>
        <v>1</v>
      </c>
      <c r="E391" s="55" t="str">
        <f t="shared" si="10"/>
        <v/>
      </c>
      <c r="F391" s="56"/>
      <c r="H391"/>
      <c r="I391"/>
    </row>
    <row r="392" spans="1:9">
      <c r="A392" s="53" t="s">
        <v>531</v>
      </c>
      <c r="B392" s="45" t="s">
        <v>531</v>
      </c>
      <c r="C392" s="53">
        <f>_xlfn.QUARTILE.EXC({1,2,3,4,5},1)</f>
        <v>1.5</v>
      </c>
      <c r="D392" s="54" t="b">
        <f t="shared" si="11"/>
        <v>1</v>
      </c>
      <c r="E392" s="55" t="str">
        <f t="shared" si="10"/>
        <v/>
      </c>
      <c r="F392" s="56"/>
      <c r="H392"/>
      <c r="I392"/>
    </row>
    <row r="393" spans="1:9">
      <c r="A393" s="53" t="s">
        <v>532</v>
      </c>
      <c r="B393" s="45" t="s">
        <v>532</v>
      </c>
      <c r="C393" s="53">
        <f>_xlfn.QUARTILE.INC({1,2,3,4},1)</f>
        <v>1.75</v>
      </c>
      <c r="D393" s="54" t="b">
        <f t="shared" si="11"/>
        <v>1</v>
      </c>
      <c r="E393" s="55" t="str">
        <f t="shared" si="10"/>
        <v/>
      </c>
      <c r="F393" s="56"/>
      <c r="H393"/>
      <c r="I393"/>
    </row>
    <row r="394" spans="1:9">
      <c r="A394" s="53" t="s">
        <v>533</v>
      </c>
      <c r="B394" s="45" t="s">
        <v>533</v>
      </c>
      <c r="C394" s="53">
        <f>QUOTIENT(1,1)</f>
        <v>1</v>
      </c>
      <c r="D394" s="54" t="b">
        <f t="shared" si="11"/>
        <v>1</v>
      </c>
      <c r="E394" s="55" t="str">
        <f t="shared" si="10"/>
        <v/>
      </c>
      <c r="F394" s="56"/>
      <c r="H394"/>
      <c r="I394"/>
    </row>
    <row r="395" spans="1:9">
      <c r="A395" s="53" t="s">
        <v>534</v>
      </c>
      <c r="B395" s="45" t="s">
        <v>534</v>
      </c>
      <c r="C395" s="53">
        <f>RADIANS(1)</f>
        <v>1.7453292519943295E-2</v>
      </c>
      <c r="D395" s="54" t="b">
        <f t="shared" si="11"/>
        <v>1</v>
      </c>
      <c r="E395" s="55" t="str">
        <f t="shared" si="10"/>
        <v/>
      </c>
      <c r="F395" s="56"/>
      <c r="H395"/>
      <c r="I395"/>
    </row>
    <row r="396" spans="1:9">
      <c r="A396" s="53" t="s">
        <v>535</v>
      </c>
      <c r="B396" s="45" t="s">
        <v>535</v>
      </c>
      <c r="C396" s="53">
        <f ca="1">RAND()</f>
        <v>0.59898911667812227</v>
      </c>
      <c r="D396" s="54" t="b">
        <f t="shared" ca="1" si="11"/>
        <v>1</v>
      </c>
      <c r="E396" s="55" t="str">
        <f t="shared" ref="E396:E459" ca="1" si="12">IF(D396="NOT TESTED","?"&amp;A396&amp;" (untested)",IF(D396=FALSE,A396,""))</f>
        <v/>
      </c>
      <c r="F396" s="56"/>
      <c r="H396"/>
      <c r="I396"/>
    </row>
    <row r="397" spans="1:9">
      <c r="A397" s="53" t="s">
        <v>536</v>
      </c>
      <c r="B397" s="45" t="s">
        <v>536</v>
      </c>
      <c r="C397" s="53" cm="1">
        <f t="array" aca="1" ref="C397" ca="1">_xlfn.RANDARRAY(1)</f>
        <v>0.30817825569901203</v>
      </c>
      <c r="D397" s="54" t="b">
        <f t="shared" ca="1" si="11"/>
        <v>1</v>
      </c>
      <c r="E397" s="55" t="str">
        <f t="shared" ca="1" si="12"/>
        <v/>
      </c>
      <c r="F397" s="56"/>
      <c r="H397"/>
      <c r="I397"/>
    </row>
    <row r="398" spans="1:9">
      <c r="A398" s="53" t="s">
        <v>537</v>
      </c>
      <c r="B398" s="45" t="s">
        <v>537</v>
      </c>
      <c r="C398" s="53">
        <f ca="1">RANDBETWEEN(1,1)</f>
        <v>1</v>
      </c>
      <c r="D398" s="54" t="b">
        <f t="shared" ca="1" si="11"/>
        <v>1</v>
      </c>
      <c r="E398" s="55" t="str">
        <f t="shared" ca="1" si="12"/>
        <v/>
      </c>
      <c r="F398" s="56"/>
      <c r="H398"/>
      <c r="I398"/>
    </row>
    <row r="399" spans="1:9">
      <c r="A399" s="53" t="s">
        <v>538</v>
      </c>
      <c r="B399" s="45" t="s">
        <v>538</v>
      </c>
      <c r="C399" s="53">
        <f>RANK(1,$C$11:$C$12)</f>
        <v>2</v>
      </c>
      <c r="D399" s="54" t="b">
        <f t="shared" si="11"/>
        <v>1</v>
      </c>
      <c r="E399" s="55" t="str">
        <f t="shared" si="12"/>
        <v/>
      </c>
      <c r="F399" s="56"/>
      <c r="H399"/>
      <c r="I399"/>
    </row>
    <row r="400" spans="1:9">
      <c r="A400" s="53" t="s">
        <v>539</v>
      </c>
      <c r="B400" s="45" t="s">
        <v>539</v>
      </c>
      <c r="C400" s="53">
        <f>_xlfn.RANK.AVG(1,$C$11:$C$12)</f>
        <v>2</v>
      </c>
      <c r="D400" s="54" t="b">
        <f t="shared" ref="D400:D466" si="13">IF(NOT(_xlfn.ISFORMULA(C400)),"NOT TESTED",IFERROR(ERROR.TYPE(C400)&lt;&gt;5,TRUE))</f>
        <v>1</v>
      </c>
      <c r="E400" s="55" t="str">
        <f t="shared" si="12"/>
        <v/>
      </c>
      <c r="F400" s="56"/>
      <c r="H400"/>
      <c r="I400"/>
    </row>
    <row r="401" spans="1:9">
      <c r="A401" s="53" t="s">
        <v>540</v>
      </c>
      <c r="B401" s="45" t="s">
        <v>540</v>
      </c>
      <c r="C401" s="53">
        <f>_xlfn.RANK.EQ(1,$C$11:$C$12)</f>
        <v>2</v>
      </c>
      <c r="D401" s="54" t="b">
        <f t="shared" si="13"/>
        <v>1</v>
      </c>
      <c r="E401" s="55" t="str">
        <f t="shared" si="12"/>
        <v/>
      </c>
      <c r="F401" s="56"/>
      <c r="H401"/>
      <c r="I401"/>
    </row>
    <row r="402" spans="1:9">
      <c r="A402" s="53" t="s">
        <v>541</v>
      </c>
      <c r="B402" s="45" t="s">
        <v>541</v>
      </c>
      <c r="C402" s="53">
        <f>RATE(12,-100,1000)</f>
        <v>2.922854076913774E-2</v>
      </c>
      <c r="D402" s="54" t="b">
        <f t="shared" si="13"/>
        <v>1</v>
      </c>
      <c r="E402" s="55" t="str">
        <f t="shared" si="12"/>
        <v/>
      </c>
      <c r="F402" s="56"/>
      <c r="H402"/>
      <c r="I402"/>
    </row>
    <row r="403" spans="1:9">
      <c r="A403" s="53" t="s">
        <v>542</v>
      </c>
      <c r="B403" s="45" t="s">
        <v>542</v>
      </c>
      <c r="C403" s="53">
        <f>RECEIVED(DATE(2020,1,1),DATE(2021,1,1),95,0.05)</f>
        <v>100</v>
      </c>
      <c r="D403" s="54" t="b">
        <f t="shared" si="13"/>
        <v>1</v>
      </c>
      <c r="E403" s="55" t="str">
        <f t="shared" si="12"/>
        <v/>
      </c>
      <c r="F403" s="56"/>
      <c r="H403"/>
      <c r="I403"/>
    </row>
    <row r="404" spans="1:9">
      <c r="A404" s="53" t="s">
        <v>543</v>
      </c>
      <c r="B404" s="45" t="s">
        <v>543</v>
      </c>
      <c r="C404" s="53" cm="1">
        <f t="array" ref="C404">_xlfn.REDUCE(0,1,_xlfn.LAMBDA(_xlpm.a,_xlpm.b,_xlpm.a+_xlpm.b))</f>
        <v>1</v>
      </c>
      <c r="D404" s="54" t="b">
        <f t="shared" si="13"/>
        <v>1</v>
      </c>
      <c r="E404" s="55" t="str">
        <f t="shared" si="12"/>
        <v/>
      </c>
      <c r="F404" s="56"/>
      <c r="H404"/>
      <c r="I404"/>
    </row>
    <row r="405" spans="1:9">
      <c r="A405" s="53" t="s">
        <v>544</v>
      </c>
      <c r="B405" s="45" t="s">
        <v>544</v>
      </c>
      <c r="C405" s="53" t="str" cm="1">
        <f t="array" ref="C405">_xlfn.REGEXEXTRACT("a","a")</f>
        <v>a</v>
      </c>
      <c r="D405" s="54" t="b">
        <f t="shared" si="13"/>
        <v>1</v>
      </c>
      <c r="E405" s="55" t="str">
        <f t="shared" si="12"/>
        <v/>
      </c>
      <c r="F405" s="56"/>
      <c r="H405"/>
      <c r="I405"/>
    </row>
    <row r="406" spans="1:9">
      <c r="A406" s="53" t="s">
        <v>545</v>
      </c>
      <c r="B406" s="45" t="s">
        <v>545</v>
      </c>
      <c r="C406" s="53" t="str">
        <f>_xlfn.REGEXREPLACE("a","a","b")</f>
        <v>b</v>
      </c>
      <c r="D406" s="54" t="b">
        <f t="shared" si="13"/>
        <v>1</v>
      </c>
      <c r="E406" s="55" t="str">
        <f t="shared" si="12"/>
        <v/>
      </c>
      <c r="F406" s="56"/>
      <c r="H406"/>
      <c r="I406"/>
    </row>
    <row r="407" spans="1:9">
      <c r="A407" s="53" t="s">
        <v>546</v>
      </c>
      <c r="B407" s="45" t="s">
        <v>546</v>
      </c>
      <c r="C407" s="53" t="b">
        <f>_xlfn.REGEXTEST("a","a")</f>
        <v>1</v>
      </c>
      <c r="D407" s="54" t="b">
        <f t="shared" si="13"/>
        <v>1</v>
      </c>
      <c r="E407" s="55" t="str">
        <f t="shared" si="12"/>
        <v/>
      </c>
      <c r="F407" s="56"/>
      <c r="H407"/>
      <c r="I407"/>
    </row>
    <row r="408" spans="1:9" ht="57.6">
      <c r="A408" s="53" t="s">
        <v>735</v>
      </c>
      <c r="B408" s="45" t="s">
        <v>735</v>
      </c>
      <c r="C408" s="76" t="s">
        <v>740</v>
      </c>
      <c r="D408" s="54" t="str">
        <f t="shared" si="13"/>
        <v>NOT TESTED</v>
      </c>
      <c r="E408" s="55" t="str">
        <f t="shared" si="12"/>
        <v>?REGISTER.ID (untested)</v>
      </c>
      <c r="F408" s="56" t="s">
        <v>190</v>
      </c>
      <c r="H408"/>
      <c r="I408"/>
    </row>
    <row r="409" spans="1:9">
      <c r="A409" s="53" t="s">
        <v>547</v>
      </c>
      <c r="B409" s="45" t="s">
        <v>547</v>
      </c>
      <c r="C409" s="53" t="str">
        <f>REPLACE("a",1,1,"b")</f>
        <v>b</v>
      </c>
      <c r="D409" s="54" t="b">
        <f t="shared" si="13"/>
        <v>1</v>
      </c>
      <c r="E409" s="55" t="str">
        <f t="shared" si="12"/>
        <v/>
      </c>
      <c r="F409" s="56"/>
      <c r="H409"/>
      <c r="I409"/>
    </row>
    <row r="410" spans="1:9">
      <c r="A410" s="53" t="s">
        <v>548</v>
      </c>
      <c r="B410" s="45" t="s">
        <v>548</v>
      </c>
      <c r="C410" s="53" t="str">
        <f>REPLACEB("a",1,1,"b")</f>
        <v>b</v>
      </c>
      <c r="D410" s="54" t="b">
        <f t="shared" si="13"/>
        <v>1</v>
      </c>
      <c r="E410" s="55" t="str">
        <f t="shared" si="12"/>
        <v/>
      </c>
      <c r="F410" s="56"/>
      <c r="H410"/>
      <c r="I410"/>
    </row>
    <row r="411" spans="1:9">
      <c r="A411" s="53" t="s">
        <v>549</v>
      </c>
      <c r="B411" s="45" t="s">
        <v>549</v>
      </c>
      <c r="C411" s="53" t="str">
        <f>REPT("a",1)</f>
        <v>a</v>
      </c>
      <c r="D411" s="54" t="b">
        <f t="shared" si="13"/>
        <v>1</v>
      </c>
      <c r="E411" s="55" t="str">
        <f t="shared" si="12"/>
        <v/>
      </c>
      <c r="F411" s="56"/>
      <c r="H411"/>
      <c r="I411"/>
    </row>
    <row r="412" spans="1:9">
      <c r="A412" s="53" t="s">
        <v>550</v>
      </c>
      <c r="B412" s="45" t="s">
        <v>550</v>
      </c>
      <c r="C412" s="53" t="str">
        <f>RIGHT(1)</f>
        <v>1</v>
      </c>
      <c r="D412" s="54" t="b">
        <f t="shared" si="13"/>
        <v>1</v>
      </c>
      <c r="E412" s="55" t="str">
        <f t="shared" si="12"/>
        <v/>
      </c>
      <c r="F412" s="56"/>
      <c r="H412"/>
      <c r="I412"/>
    </row>
    <row r="413" spans="1:9">
      <c r="A413" s="53" t="s">
        <v>551</v>
      </c>
      <c r="B413" s="45" t="s">
        <v>551</v>
      </c>
      <c r="C413" s="53" t="str">
        <f>RIGHTB(1)</f>
        <v>1</v>
      </c>
      <c r="D413" s="54" t="b">
        <f t="shared" si="13"/>
        <v>1</v>
      </c>
      <c r="E413" s="55" t="str">
        <f t="shared" si="12"/>
        <v/>
      </c>
      <c r="F413" s="56"/>
      <c r="H413"/>
      <c r="I413"/>
    </row>
    <row r="414" spans="1:9">
      <c r="A414" s="53" t="s">
        <v>552</v>
      </c>
      <c r="B414" s="45" t="s">
        <v>552</v>
      </c>
      <c r="C414" s="53" t="str">
        <f>ROMAN(1)</f>
        <v>I</v>
      </c>
      <c r="D414" s="54" t="b">
        <f t="shared" si="13"/>
        <v>1</v>
      </c>
      <c r="E414" s="55" t="str">
        <f t="shared" si="12"/>
        <v/>
      </c>
      <c r="F414" s="56"/>
      <c r="H414"/>
      <c r="I414"/>
    </row>
    <row r="415" spans="1:9">
      <c r="A415" s="53" t="s">
        <v>553</v>
      </c>
      <c r="B415" s="45" t="s">
        <v>553</v>
      </c>
      <c r="C415" s="53">
        <f>ROUND(1,0)</f>
        <v>1</v>
      </c>
      <c r="D415" s="54" t="b">
        <f t="shared" si="13"/>
        <v>1</v>
      </c>
      <c r="E415" s="55" t="str">
        <f t="shared" si="12"/>
        <v/>
      </c>
      <c r="F415" s="56"/>
      <c r="H415"/>
      <c r="I415"/>
    </row>
    <row r="416" spans="1:9">
      <c r="A416" s="53" t="s">
        <v>554</v>
      </c>
      <c r="B416" s="45" t="s">
        <v>554</v>
      </c>
      <c r="C416" s="53">
        <f>ROUNDDOWN(1,0)</f>
        <v>1</v>
      </c>
      <c r="D416" s="54" t="b">
        <f t="shared" si="13"/>
        <v>1</v>
      </c>
      <c r="E416" s="55" t="str">
        <f t="shared" si="12"/>
        <v/>
      </c>
      <c r="F416" s="56"/>
      <c r="H416"/>
      <c r="I416"/>
    </row>
    <row r="417" spans="1:9">
      <c r="A417" s="53" t="s">
        <v>555</v>
      </c>
      <c r="B417" s="45" t="s">
        <v>555</v>
      </c>
      <c r="C417" s="53">
        <f>ROUNDUP(1,0)</f>
        <v>1</v>
      </c>
      <c r="D417" s="54" t="b">
        <f t="shared" si="13"/>
        <v>1</v>
      </c>
      <c r="E417" s="55" t="str">
        <f t="shared" si="12"/>
        <v/>
      </c>
      <c r="F417" s="56"/>
      <c r="H417"/>
      <c r="I417"/>
    </row>
    <row r="418" spans="1:9">
      <c r="A418" s="53" t="s">
        <v>556</v>
      </c>
      <c r="B418" s="45" t="s">
        <v>556</v>
      </c>
      <c r="C418" s="53">
        <f>ROW(A10)</f>
        <v>10</v>
      </c>
      <c r="D418" s="54" t="b">
        <f t="shared" si="13"/>
        <v>1</v>
      </c>
      <c r="E418" s="55" t="str">
        <f t="shared" si="12"/>
        <v/>
      </c>
      <c r="F418" s="56"/>
      <c r="H418"/>
      <c r="I418"/>
    </row>
    <row r="419" spans="1:9">
      <c r="A419" s="53" t="s">
        <v>557</v>
      </c>
      <c r="B419" s="45" t="s">
        <v>557</v>
      </c>
      <c r="C419" s="53">
        <f>ROWS(1)</f>
        <v>1</v>
      </c>
      <c r="D419" s="54" t="b">
        <f t="shared" si="13"/>
        <v>1</v>
      </c>
      <c r="E419" s="55" t="str">
        <f t="shared" si="12"/>
        <v/>
      </c>
      <c r="F419" s="56"/>
      <c r="H419"/>
      <c r="I419"/>
    </row>
    <row r="420" spans="1:9">
      <c r="A420" s="53" t="s">
        <v>558</v>
      </c>
      <c r="B420" s="45" t="s">
        <v>558</v>
      </c>
      <c r="C420" s="53">
        <f>_xlfn.RRI(1,1,2)</f>
        <v>1</v>
      </c>
      <c r="D420" s="54" t="b">
        <f t="shared" si="13"/>
        <v>1</v>
      </c>
      <c r="E420" s="55" t="str">
        <f t="shared" si="12"/>
        <v/>
      </c>
      <c r="F420" s="56"/>
      <c r="H420"/>
      <c r="I420"/>
    </row>
    <row r="421" spans="1:9">
      <c r="A421" s="53" t="s">
        <v>559</v>
      </c>
      <c r="B421" s="45" t="s">
        <v>559</v>
      </c>
      <c r="C421" s="53">
        <f>RSQ({1,2},{1,2})</f>
        <v>0.99999999999999956</v>
      </c>
      <c r="D421" s="54" t="b">
        <f t="shared" si="13"/>
        <v>1</v>
      </c>
      <c r="E421" s="55" t="str">
        <f t="shared" si="12"/>
        <v/>
      </c>
      <c r="F421" s="56"/>
      <c r="H421"/>
      <c r="I421"/>
    </row>
    <row r="422" spans="1:9">
      <c r="A422" s="53" t="s">
        <v>560</v>
      </c>
      <c r="B422" s="45" t="s">
        <v>560</v>
      </c>
      <c r="C422" s="53">
        <f>IF(FALSE,RTD("x",,"x"),0)</f>
        <v>0</v>
      </c>
      <c r="D422" s="54" t="b">
        <f t="shared" si="13"/>
        <v>1</v>
      </c>
      <c r="E422" s="55" t="str">
        <f t="shared" si="12"/>
        <v/>
      </c>
      <c r="F422" s="56"/>
      <c r="H422"/>
      <c r="I422"/>
    </row>
    <row r="423" spans="1:9">
      <c r="A423" s="53" t="s">
        <v>561</v>
      </c>
      <c r="B423" s="45" t="s">
        <v>561</v>
      </c>
      <c r="C423" s="53" cm="1">
        <f t="array" ref="C423">_xlfn.SCAN(0,1,_xlfn.LAMBDA(_xlpm.a,_xlpm.b,_xlpm.a+_xlpm.b))</f>
        <v>1</v>
      </c>
      <c r="D423" s="54" t="b">
        <f t="shared" si="13"/>
        <v>1</v>
      </c>
      <c r="E423" s="55" t="str">
        <f t="shared" si="12"/>
        <v/>
      </c>
      <c r="F423" s="56"/>
      <c r="H423"/>
      <c r="I423"/>
    </row>
    <row r="424" spans="1:9">
      <c r="A424" s="53" t="s">
        <v>562</v>
      </c>
      <c r="B424" s="45" t="s">
        <v>562</v>
      </c>
      <c r="C424" s="53">
        <f>SEARCH("a","a")</f>
        <v>1</v>
      </c>
      <c r="D424" s="54" t="b">
        <f t="shared" si="13"/>
        <v>1</v>
      </c>
      <c r="E424" s="55" t="str">
        <f t="shared" si="12"/>
        <v/>
      </c>
      <c r="F424" s="56"/>
      <c r="H424"/>
      <c r="I424"/>
    </row>
    <row r="425" spans="1:9">
      <c r="A425" s="53" t="s">
        <v>563</v>
      </c>
      <c r="B425" s="45" t="s">
        <v>563</v>
      </c>
      <c r="C425" s="53">
        <f>SEARCHB("a","a")</f>
        <v>1</v>
      </c>
      <c r="D425" s="54" t="b">
        <f t="shared" si="13"/>
        <v>1</v>
      </c>
      <c r="E425" s="55" t="str">
        <f t="shared" si="12"/>
        <v/>
      </c>
      <c r="F425" s="56"/>
      <c r="H425"/>
      <c r="I425"/>
    </row>
    <row r="426" spans="1:9">
      <c r="A426" s="53" t="s">
        <v>564</v>
      </c>
      <c r="B426" s="45" t="s">
        <v>564</v>
      </c>
      <c r="C426" s="53">
        <f>_xlfn.SEC(1)</f>
        <v>1.8508157176809255</v>
      </c>
      <c r="D426" s="54" t="b">
        <f t="shared" si="13"/>
        <v>1</v>
      </c>
      <c r="E426" s="55" t="str">
        <f t="shared" si="12"/>
        <v/>
      </c>
      <c r="F426" s="56"/>
      <c r="H426"/>
      <c r="I426"/>
    </row>
    <row r="427" spans="1:9">
      <c r="A427" s="53" t="s">
        <v>565</v>
      </c>
      <c r="B427" s="45" t="s">
        <v>565</v>
      </c>
      <c r="C427" s="53">
        <f>_xlfn.SECH(1)</f>
        <v>0.64805427366388546</v>
      </c>
      <c r="D427" s="54" t="b">
        <f t="shared" si="13"/>
        <v>1</v>
      </c>
      <c r="E427" s="55" t="str">
        <f t="shared" si="12"/>
        <v/>
      </c>
      <c r="F427" s="56"/>
      <c r="H427"/>
      <c r="I427"/>
    </row>
    <row r="428" spans="1:9">
      <c r="A428" s="53" t="s">
        <v>566</v>
      </c>
      <c r="B428" s="45" t="s">
        <v>566</v>
      </c>
      <c r="C428" s="53">
        <f>SECOND(1)</f>
        <v>0</v>
      </c>
      <c r="D428" s="54" t="b">
        <f t="shared" si="13"/>
        <v>1</v>
      </c>
      <c r="E428" s="55" t="str">
        <f t="shared" si="12"/>
        <v/>
      </c>
      <c r="F428" s="56"/>
      <c r="H428"/>
      <c r="I428"/>
    </row>
    <row r="429" spans="1:9">
      <c r="A429" s="53" t="s">
        <v>567</v>
      </c>
      <c r="B429" s="45" t="s">
        <v>567</v>
      </c>
      <c r="C429" s="53" cm="1">
        <f t="array" ref="C429">_xlfn.SEQUENCE(1)</f>
        <v>1</v>
      </c>
      <c r="D429" s="54" t="b">
        <f t="shared" si="13"/>
        <v>1</v>
      </c>
      <c r="E429" s="55" t="str">
        <f t="shared" si="12"/>
        <v/>
      </c>
      <c r="F429" s="56"/>
      <c r="H429"/>
      <c r="I429"/>
    </row>
    <row r="430" spans="1:9">
      <c r="A430" s="53" t="s">
        <v>568</v>
      </c>
      <c r="B430" s="45" t="s">
        <v>568</v>
      </c>
      <c r="C430" s="53">
        <f>SERIESSUM(1,1,1,{1})</f>
        <v>1</v>
      </c>
      <c r="D430" s="54" t="b">
        <f t="shared" si="13"/>
        <v>1</v>
      </c>
      <c r="E430" s="55" t="str">
        <f t="shared" si="12"/>
        <v/>
      </c>
      <c r="F430" s="56"/>
      <c r="H430"/>
      <c r="I430"/>
    </row>
    <row r="431" spans="1:9">
      <c r="A431" s="53" t="s">
        <v>736</v>
      </c>
      <c r="B431" s="45" t="s">
        <v>736</v>
      </c>
      <c r="C431" s="53">
        <f ca="1">_xlfn.SHEET(A1)</f>
        <v>2</v>
      </c>
      <c r="D431" s="54" t="b">
        <f t="shared" ca="1" si="13"/>
        <v>1</v>
      </c>
      <c r="E431" s="55" t="str">
        <f t="shared" ca="1" si="12"/>
        <v/>
      </c>
      <c r="F431" s="56"/>
      <c r="H431"/>
      <c r="I431"/>
    </row>
    <row r="432" spans="1:9">
      <c r="A432" s="53" t="s">
        <v>737</v>
      </c>
      <c r="B432" s="45" t="s">
        <v>737</v>
      </c>
      <c r="C432" s="53">
        <f ca="1">_xlfn.SHEETS(A1)</f>
        <v>1</v>
      </c>
      <c r="D432" s="54" t="b">
        <f t="shared" ca="1" si="13"/>
        <v>1</v>
      </c>
      <c r="E432" s="55" t="str">
        <f t="shared" ca="1" si="12"/>
        <v/>
      </c>
      <c r="F432" s="56"/>
      <c r="H432"/>
      <c r="I432"/>
    </row>
    <row r="433" spans="1:9">
      <c r="A433" s="53" t="s">
        <v>569</v>
      </c>
      <c r="B433" s="45" t="s">
        <v>569</v>
      </c>
      <c r="C433" s="53">
        <f>SIGN(1)</f>
        <v>1</v>
      </c>
      <c r="D433" s="54" t="b">
        <f t="shared" si="13"/>
        <v>1</v>
      </c>
      <c r="E433" s="55" t="str">
        <f t="shared" si="12"/>
        <v/>
      </c>
      <c r="F433" s="56"/>
      <c r="H433"/>
      <c r="I433"/>
    </row>
    <row r="434" spans="1:9">
      <c r="A434" s="53" t="s">
        <v>570</v>
      </c>
      <c r="B434" s="45" t="s">
        <v>570</v>
      </c>
      <c r="C434" s="53">
        <f>SIN(1)</f>
        <v>0.8414709848078965</v>
      </c>
      <c r="D434" s="54" t="b">
        <f t="shared" si="13"/>
        <v>1</v>
      </c>
      <c r="E434" s="55" t="str">
        <f t="shared" si="12"/>
        <v/>
      </c>
      <c r="F434" s="56"/>
      <c r="H434"/>
      <c r="I434"/>
    </row>
    <row r="435" spans="1:9">
      <c r="A435" s="53" t="s">
        <v>571</v>
      </c>
      <c r="B435" s="45" t="s">
        <v>571</v>
      </c>
      <c r="C435" s="53">
        <f>SINH(1)</f>
        <v>1.1752011936438014</v>
      </c>
      <c r="D435" s="54" t="b">
        <f t="shared" si="13"/>
        <v>1</v>
      </c>
      <c r="E435" s="55" t="str">
        <f t="shared" si="12"/>
        <v/>
      </c>
      <c r="F435" s="56"/>
      <c r="H435"/>
      <c r="I435"/>
    </row>
    <row r="436" spans="1:9">
      <c r="A436" s="53" t="s">
        <v>572</v>
      </c>
      <c r="B436" s="45" t="s">
        <v>572</v>
      </c>
      <c r="C436" s="53">
        <f>SKEW({1,2,3})</f>
        <v>0</v>
      </c>
      <c r="D436" s="54" t="b">
        <f t="shared" si="13"/>
        <v>1</v>
      </c>
      <c r="E436" s="55" t="str">
        <f t="shared" si="12"/>
        <v/>
      </c>
      <c r="F436" s="56"/>
      <c r="H436"/>
      <c r="I436"/>
    </row>
    <row r="437" spans="1:9">
      <c r="A437" s="53" t="s">
        <v>573</v>
      </c>
      <c r="B437" s="45" t="s">
        <v>573</v>
      </c>
      <c r="C437" s="53">
        <f>_xlfn.SKEW.P({1,2,3})</f>
        <v>0</v>
      </c>
      <c r="D437" s="54" t="b">
        <f t="shared" si="13"/>
        <v>1</v>
      </c>
      <c r="E437" s="55" t="str">
        <f t="shared" si="12"/>
        <v/>
      </c>
      <c r="F437" s="56"/>
      <c r="H437"/>
      <c r="I437"/>
    </row>
    <row r="438" spans="1:9">
      <c r="A438" s="53" t="s">
        <v>574</v>
      </c>
      <c r="B438" s="45" t="s">
        <v>574</v>
      </c>
      <c r="C438" s="53">
        <f>SLN(1000,100,10)</f>
        <v>90</v>
      </c>
      <c r="D438" s="54" t="b">
        <f t="shared" si="13"/>
        <v>1</v>
      </c>
      <c r="E438" s="55" t="str">
        <f t="shared" si="12"/>
        <v/>
      </c>
      <c r="F438" s="56"/>
      <c r="H438"/>
      <c r="I438"/>
    </row>
    <row r="439" spans="1:9">
      <c r="A439" s="53" t="s">
        <v>575</v>
      </c>
      <c r="B439" s="45" t="s">
        <v>575</v>
      </c>
      <c r="C439" s="53">
        <f>SLOPE({1,2},{1,2})</f>
        <v>1</v>
      </c>
      <c r="D439" s="54" t="b">
        <f t="shared" si="13"/>
        <v>1</v>
      </c>
      <c r="E439" s="55" t="str">
        <f t="shared" si="12"/>
        <v/>
      </c>
      <c r="F439" s="56"/>
      <c r="H439"/>
      <c r="I439"/>
    </row>
    <row r="440" spans="1:9">
      <c r="A440" s="53" t="s">
        <v>576</v>
      </c>
      <c r="B440" s="45" t="s">
        <v>576</v>
      </c>
      <c r="C440" s="53">
        <f>SMALL({1,2},1)</f>
        <v>1</v>
      </c>
      <c r="D440" s="54" t="b">
        <f t="shared" si="13"/>
        <v>1</v>
      </c>
      <c r="E440" s="55" t="str">
        <f t="shared" si="12"/>
        <v/>
      </c>
      <c r="F440" s="56"/>
      <c r="H440"/>
      <c r="I440"/>
    </row>
    <row r="441" spans="1:9">
      <c r="A441" s="53" t="s">
        <v>577</v>
      </c>
      <c r="B441" s="45" t="s">
        <v>577</v>
      </c>
      <c r="C441" s="53" cm="1">
        <f t="array" ref="C441">_xlfn._xlws.SORT(1)</f>
        <v>1</v>
      </c>
      <c r="D441" s="54" t="b">
        <f t="shared" si="13"/>
        <v>1</v>
      </c>
      <c r="E441" s="55" t="str">
        <f t="shared" si="12"/>
        <v/>
      </c>
      <c r="F441" s="56"/>
      <c r="H441"/>
      <c r="I441"/>
    </row>
    <row r="442" spans="1:9">
      <c r="A442" s="53" t="s">
        <v>578</v>
      </c>
      <c r="B442" s="45" t="s">
        <v>578</v>
      </c>
      <c r="C442" s="53" cm="1">
        <f t="array" ref="C442">_xlfn.SORTBY(1,1)</f>
        <v>1</v>
      </c>
      <c r="D442" s="54" t="b">
        <f t="shared" si="13"/>
        <v>1</v>
      </c>
      <c r="E442" s="55" t="str">
        <f t="shared" si="12"/>
        <v/>
      </c>
      <c r="F442" s="56"/>
      <c r="H442"/>
      <c r="I442"/>
    </row>
    <row r="443" spans="1:9">
      <c r="A443" s="53" t="s">
        <v>579</v>
      </c>
      <c r="B443" s="45" t="s">
        <v>579</v>
      </c>
      <c r="C443" s="53">
        <f>SQRT(1)</f>
        <v>1</v>
      </c>
      <c r="D443" s="54" t="b">
        <f t="shared" si="13"/>
        <v>1</v>
      </c>
      <c r="E443" s="55" t="str">
        <f t="shared" si="12"/>
        <v/>
      </c>
      <c r="F443" s="56"/>
      <c r="H443"/>
      <c r="I443"/>
    </row>
    <row r="444" spans="1:9">
      <c r="A444" s="53" t="s">
        <v>580</v>
      </c>
      <c r="B444" s="45" t="s">
        <v>580</v>
      </c>
      <c r="C444" s="53">
        <f>SQRTPI(1)</f>
        <v>1.7724538509055159</v>
      </c>
      <c r="D444" s="54" t="b">
        <f t="shared" si="13"/>
        <v>1</v>
      </c>
      <c r="E444" s="55" t="str">
        <f t="shared" si="12"/>
        <v/>
      </c>
      <c r="F444" s="56"/>
      <c r="H444"/>
      <c r="I444"/>
    </row>
    <row r="445" spans="1:9">
      <c r="A445" s="53" t="s">
        <v>581</v>
      </c>
      <c r="B445" s="45" t="s">
        <v>581</v>
      </c>
      <c r="C445" s="53">
        <f>STANDARDIZE(1,0,1)</f>
        <v>1</v>
      </c>
      <c r="D445" s="54" t="b">
        <f t="shared" si="13"/>
        <v>1</v>
      </c>
      <c r="E445" s="55" t="str">
        <f t="shared" si="12"/>
        <v/>
      </c>
      <c r="F445" s="56"/>
      <c r="H445"/>
      <c r="I445"/>
    </row>
    <row r="446" spans="1:9">
      <c r="A446" s="53" t="s">
        <v>582</v>
      </c>
      <c r="B446" s="45" t="s">
        <v>582</v>
      </c>
      <c r="C446" s="53">
        <f>STDEV({1,2})</f>
        <v>0.70710678118654757</v>
      </c>
      <c r="D446" s="54" t="b">
        <f t="shared" si="13"/>
        <v>1</v>
      </c>
      <c r="E446" s="55" t="str">
        <f t="shared" si="12"/>
        <v/>
      </c>
      <c r="F446" s="56"/>
      <c r="H446"/>
      <c r="I446"/>
    </row>
    <row r="447" spans="1:9">
      <c r="A447" s="53" t="s">
        <v>583</v>
      </c>
      <c r="B447" s="45" t="s">
        <v>583</v>
      </c>
      <c r="C447" s="53">
        <f>_xlfn.STDEV.P(1)</f>
        <v>0</v>
      </c>
      <c r="D447" s="54" t="b">
        <f t="shared" si="13"/>
        <v>1</v>
      </c>
      <c r="E447" s="55" t="str">
        <f t="shared" si="12"/>
        <v/>
      </c>
      <c r="F447" s="56"/>
      <c r="H447"/>
      <c r="I447"/>
    </row>
    <row r="448" spans="1:9">
      <c r="A448" s="53" t="s">
        <v>584</v>
      </c>
      <c r="B448" s="45" t="s">
        <v>584</v>
      </c>
      <c r="C448" s="53">
        <f>_xlfn.STDEV.S({1,2})</f>
        <v>0.70710678118654757</v>
      </c>
      <c r="D448" s="54" t="b">
        <f t="shared" si="13"/>
        <v>1</v>
      </c>
      <c r="E448" s="55" t="str">
        <f t="shared" si="12"/>
        <v/>
      </c>
      <c r="F448" s="56"/>
      <c r="H448"/>
      <c r="I448"/>
    </row>
    <row r="449" spans="1:9">
      <c r="A449" s="53" t="s">
        <v>585</v>
      </c>
      <c r="B449" s="45" t="s">
        <v>585</v>
      </c>
      <c r="C449" s="53">
        <f>STDEVA({1,2})</f>
        <v>0.70710678118654757</v>
      </c>
      <c r="D449" s="54" t="b">
        <f t="shared" si="13"/>
        <v>1</v>
      </c>
      <c r="E449" s="55" t="str">
        <f t="shared" si="12"/>
        <v/>
      </c>
      <c r="F449" s="56"/>
      <c r="H449"/>
      <c r="I449"/>
    </row>
    <row r="450" spans="1:9">
      <c r="A450" s="53" t="s">
        <v>586</v>
      </c>
      <c r="B450" s="45" t="s">
        <v>586</v>
      </c>
      <c r="C450" s="53">
        <f>STDEVP(1)</f>
        <v>0</v>
      </c>
      <c r="D450" s="54" t="b">
        <f t="shared" si="13"/>
        <v>1</v>
      </c>
      <c r="E450" s="55" t="str">
        <f t="shared" si="12"/>
        <v/>
      </c>
      <c r="F450" s="56"/>
      <c r="H450"/>
      <c r="I450"/>
    </row>
    <row r="451" spans="1:9">
      <c r="A451" s="53" t="s">
        <v>587</v>
      </c>
      <c r="B451" s="45" t="s">
        <v>587</v>
      </c>
      <c r="C451" s="53">
        <f>STDEVPA(1)</f>
        <v>0</v>
      </c>
      <c r="D451" s="54" t="b">
        <f t="shared" si="13"/>
        <v>1</v>
      </c>
      <c r="E451" s="55" t="str">
        <f t="shared" si="12"/>
        <v/>
      </c>
      <c r="F451" s="56"/>
      <c r="H451"/>
      <c r="I451"/>
    </row>
    <row r="452" spans="1:9">
      <c r="A452" s="53" t="s">
        <v>588</v>
      </c>
      <c r="B452" s="45" t="s">
        <v>588</v>
      </c>
      <c r="C452" s="53">
        <f>STEYX({1,2,3},{1,2,3})</f>
        <v>0</v>
      </c>
      <c r="D452" s="54" t="b">
        <f t="shared" si="13"/>
        <v>1</v>
      </c>
      <c r="E452" s="55" t="str">
        <f t="shared" si="12"/>
        <v/>
      </c>
      <c r="F452" s="56"/>
      <c r="H452"/>
      <c r="I452"/>
    </row>
    <row r="453" spans="1:9">
      <c r="A453" s="53" t="s">
        <v>589</v>
      </c>
      <c r="B453" s="45" t="s">
        <v>589</v>
      </c>
      <c r="C453" s="53" cm="1">
        <f t="array" ref="C453">IF(FALSE,_xlfn.STOCKHISTORY("MSFT",DATE(2020,1,1),DATE(2020,1,2)),0)</f>
        <v>0</v>
      </c>
      <c r="D453" s="54" t="b">
        <f t="shared" si="13"/>
        <v>1</v>
      </c>
      <c r="E453" s="55" t="str">
        <f t="shared" si="12"/>
        <v/>
      </c>
      <c r="F453" s="56"/>
      <c r="H453"/>
      <c r="I453"/>
    </row>
    <row r="454" spans="1:9">
      <c r="A454" s="53" t="s">
        <v>590</v>
      </c>
      <c r="B454" s="45" t="s">
        <v>590</v>
      </c>
      <c r="C454" s="53" t="str">
        <f>SUBSTITUTE("a","a","b")</f>
        <v>b</v>
      </c>
      <c r="D454" s="54" t="b">
        <f t="shared" si="13"/>
        <v>1</v>
      </c>
      <c r="E454" s="55" t="str">
        <f t="shared" si="12"/>
        <v/>
      </c>
      <c r="F454" s="56"/>
      <c r="H454"/>
      <c r="I454"/>
    </row>
    <row r="455" spans="1:9">
      <c r="A455" s="53" t="s">
        <v>591</v>
      </c>
      <c r="B455" s="45" t="s">
        <v>591</v>
      </c>
      <c r="C455" s="53">
        <f>SUBTOTAL(9,A10)</f>
        <v>0</v>
      </c>
      <c r="D455" s="54" t="b">
        <f t="shared" si="13"/>
        <v>1</v>
      </c>
      <c r="E455" s="55" t="str">
        <f t="shared" si="12"/>
        <v/>
      </c>
      <c r="F455" s="56"/>
      <c r="H455"/>
      <c r="I455"/>
    </row>
    <row r="456" spans="1:9">
      <c r="A456" s="53" t="s">
        <v>592</v>
      </c>
      <c r="B456" s="45" t="s">
        <v>592</v>
      </c>
      <c r="C456" s="53">
        <f>SUM(1)</f>
        <v>1</v>
      </c>
      <c r="D456" s="54" t="b">
        <f t="shared" si="13"/>
        <v>1</v>
      </c>
      <c r="E456" s="55" t="str">
        <f t="shared" si="12"/>
        <v/>
      </c>
      <c r="F456" s="56"/>
      <c r="H456"/>
      <c r="I456"/>
    </row>
    <row r="457" spans="1:9">
      <c r="A457" s="53" t="s">
        <v>593</v>
      </c>
      <c r="B457" s="45" t="s">
        <v>593</v>
      </c>
      <c r="C457" s="53">
        <f>SUMIF($C$11:$C$12,"&gt;0",$C$11:$C$12)</f>
        <v>6</v>
      </c>
      <c r="D457" s="54" t="b">
        <f t="shared" si="13"/>
        <v>1</v>
      </c>
      <c r="E457" s="55" t="str">
        <f t="shared" si="12"/>
        <v/>
      </c>
      <c r="F457" s="56"/>
      <c r="H457"/>
      <c r="I457"/>
    </row>
    <row r="458" spans="1:9">
      <c r="A458" s="53" t="s">
        <v>594</v>
      </c>
      <c r="B458" s="45" t="s">
        <v>594</v>
      </c>
      <c r="C458" s="53">
        <f>SUMIFS($C$11:$C$12,$C$11:$C$12,"&gt;0")</f>
        <v>6</v>
      </c>
      <c r="D458" s="54" t="b">
        <f t="shared" si="13"/>
        <v>1</v>
      </c>
      <c r="E458" s="55" t="str">
        <f t="shared" si="12"/>
        <v/>
      </c>
      <c r="F458" s="56"/>
      <c r="H458"/>
      <c r="I458"/>
    </row>
    <row r="459" spans="1:9">
      <c r="A459" s="53" t="s">
        <v>595</v>
      </c>
      <c r="B459" s="45" t="s">
        <v>595</v>
      </c>
      <c r="C459" s="53">
        <f>SUMPRODUCT(1)</f>
        <v>1</v>
      </c>
      <c r="D459" s="54" t="b">
        <f t="shared" si="13"/>
        <v>1</v>
      </c>
      <c r="E459" s="55" t="str">
        <f t="shared" si="12"/>
        <v/>
      </c>
      <c r="F459" s="56"/>
      <c r="H459"/>
      <c r="I459"/>
    </row>
    <row r="460" spans="1:9">
      <c r="A460" s="53" t="s">
        <v>596</v>
      </c>
      <c r="B460" s="45" t="s">
        <v>596</v>
      </c>
      <c r="C460" s="53">
        <f>SUMSQ(1)</f>
        <v>1</v>
      </c>
      <c r="D460" s="54" t="b">
        <f t="shared" si="13"/>
        <v>1</v>
      </c>
      <c r="E460" s="55" t="str">
        <f t="shared" ref="E460:E523" si="14">IF(D460="NOT TESTED","?"&amp;A460&amp;" (untested)",IF(D460=FALSE,A460,""))</f>
        <v/>
      </c>
      <c r="F460" s="56"/>
      <c r="H460"/>
      <c r="I460"/>
    </row>
    <row r="461" spans="1:9">
      <c r="A461" s="53" t="s">
        <v>597</v>
      </c>
      <c r="B461" s="45" t="s">
        <v>597</v>
      </c>
      <c r="C461" s="53">
        <f>SUMX2MY2({2},{1})</f>
        <v>3</v>
      </c>
      <c r="D461" s="54" t="b">
        <f t="shared" si="13"/>
        <v>1</v>
      </c>
      <c r="E461" s="55" t="str">
        <f t="shared" si="14"/>
        <v/>
      </c>
      <c r="F461" s="56"/>
      <c r="H461"/>
      <c r="I461"/>
    </row>
    <row r="462" spans="1:9">
      <c r="A462" s="53" t="s">
        <v>598</v>
      </c>
      <c r="B462" s="45" t="s">
        <v>598</v>
      </c>
      <c r="C462" s="53">
        <f>SUMX2PY2({2},{1})</f>
        <v>5</v>
      </c>
      <c r="D462" s="54" t="b">
        <f t="shared" si="13"/>
        <v>1</v>
      </c>
      <c r="E462" s="55" t="str">
        <f t="shared" si="14"/>
        <v/>
      </c>
      <c r="F462" s="56"/>
      <c r="H462"/>
      <c r="I462"/>
    </row>
    <row r="463" spans="1:9">
      <c r="A463" s="53" t="s">
        <v>599</v>
      </c>
      <c r="B463" s="45" t="s">
        <v>599</v>
      </c>
      <c r="C463" s="53">
        <f>SUMXMY2({2},{1})</f>
        <v>1</v>
      </c>
      <c r="D463" s="54" t="b">
        <f t="shared" si="13"/>
        <v>1</v>
      </c>
      <c r="E463" s="55" t="str">
        <f t="shared" si="14"/>
        <v/>
      </c>
      <c r="F463" s="56"/>
      <c r="H463"/>
      <c r="I463"/>
    </row>
    <row r="464" spans="1:9">
      <c r="A464" s="53" t="s">
        <v>600</v>
      </c>
      <c r="B464" s="45" t="s">
        <v>600</v>
      </c>
      <c r="C464" s="53" cm="1">
        <f t="array" ref="C464">_xlfn.SWITCH(1,1,1,0)</f>
        <v>1</v>
      </c>
      <c r="D464" s="54" t="b">
        <f t="shared" si="13"/>
        <v>1</v>
      </c>
      <c r="E464" s="55" t="str">
        <f t="shared" si="14"/>
        <v/>
      </c>
      <c r="F464" s="56"/>
      <c r="H464"/>
      <c r="I464"/>
    </row>
    <row r="465" spans="1:9">
      <c r="A465" s="53" t="s">
        <v>601</v>
      </c>
      <c r="B465" s="45" t="s">
        <v>601</v>
      </c>
      <c r="C465" s="53">
        <f>SYD(1000,100,10,1)</f>
        <v>163.63636363636363</v>
      </c>
      <c r="D465" s="54" t="b">
        <f t="shared" si="13"/>
        <v>1</v>
      </c>
      <c r="E465" s="55" t="str">
        <f t="shared" si="14"/>
        <v/>
      </c>
      <c r="F465" s="56"/>
      <c r="H465"/>
      <c r="I465"/>
    </row>
    <row r="466" spans="1:9">
      <c r="A466" s="53" t="s">
        <v>602</v>
      </c>
      <c r="B466" s="45" t="s">
        <v>602</v>
      </c>
      <c r="C466" s="53" t="str">
        <f>T(1)</f>
        <v/>
      </c>
      <c r="D466" s="54" t="b">
        <f t="shared" si="13"/>
        <v>1</v>
      </c>
      <c r="E466" s="55" t="str">
        <f t="shared" si="14"/>
        <v/>
      </c>
      <c r="F466" s="56"/>
      <c r="H466"/>
      <c r="I466"/>
    </row>
    <row r="467" spans="1:9">
      <c r="A467" s="53" t="s">
        <v>603</v>
      </c>
      <c r="B467" s="45" t="s">
        <v>603</v>
      </c>
      <c r="C467" s="53">
        <f>_xlfn.T.DIST(1,1,TRUE)</f>
        <v>0.75</v>
      </c>
      <c r="D467" s="54" t="b">
        <f t="shared" ref="D467:D530" si="15">IF(NOT(_xlfn.ISFORMULA(C467)),"NOT TESTED",IFERROR(ERROR.TYPE(C467)&lt;&gt;5,TRUE))</f>
        <v>1</v>
      </c>
      <c r="E467" s="55" t="str">
        <f t="shared" si="14"/>
        <v/>
      </c>
      <c r="F467" s="56"/>
      <c r="H467"/>
      <c r="I467"/>
    </row>
    <row r="468" spans="1:9">
      <c r="A468" s="53" t="s">
        <v>604</v>
      </c>
      <c r="B468" s="45" t="s">
        <v>604</v>
      </c>
      <c r="C468" s="53">
        <f>_xlfn.T.DIST.2T(1,1)</f>
        <v>0.50000000000000011</v>
      </c>
      <c r="D468" s="54" t="b">
        <f t="shared" si="15"/>
        <v>1</v>
      </c>
      <c r="E468" s="55" t="str">
        <f t="shared" si="14"/>
        <v/>
      </c>
      <c r="F468" s="56"/>
      <c r="H468"/>
      <c r="I468"/>
    </row>
    <row r="469" spans="1:9">
      <c r="A469" s="53" t="s">
        <v>605</v>
      </c>
      <c r="B469" s="45" t="s">
        <v>605</v>
      </c>
      <c r="C469" s="53">
        <f>_xlfn.T.DIST.RT(1,1)</f>
        <v>0.25000000000000006</v>
      </c>
      <c r="D469" s="54" t="b">
        <f t="shared" si="15"/>
        <v>1</v>
      </c>
      <c r="E469" s="55" t="str">
        <f t="shared" si="14"/>
        <v/>
      </c>
      <c r="F469" s="56"/>
      <c r="H469"/>
      <c r="I469"/>
    </row>
    <row r="470" spans="1:9">
      <c r="A470" s="53" t="s">
        <v>606</v>
      </c>
      <c r="B470" s="45" t="s">
        <v>606</v>
      </c>
      <c r="C470" s="53">
        <f>_xlfn.T.INV(0.5,1)</f>
        <v>0</v>
      </c>
      <c r="D470" s="54" t="b">
        <f t="shared" si="15"/>
        <v>1</v>
      </c>
      <c r="E470" s="55" t="str">
        <f t="shared" si="14"/>
        <v/>
      </c>
      <c r="F470" s="56"/>
      <c r="H470"/>
      <c r="I470"/>
    </row>
    <row r="471" spans="1:9">
      <c r="A471" s="53" t="s">
        <v>607</v>
      </c>
      <c r="B471" s="45" t="s">
        <v>607</v>
      </c>
      <c r="C471" s="53">
        <f>_xlfn.T.INV.2T(0.5,1)</f>
        <v>1</v>
      </c>
      <c r="D471" s="54" t="b">
        <f t="shared" si="15"/>
        <v>1</v>
      </c>
      <c r="E471" s="55" t="str">
        <f t="shared" si="14"/>
        <v/>
      </c>
      <c r="F471" s="56"/>
      <c r="H471"/>
      <c r="I471"/>
    </row>
    <row r="472" spans="1:9">
      <c r="A472" s="53" t="s">
        <v>608</v>
      </c>
      <c r="B472" s="45" t="s">
        <v>608</v>
      </c>
      <c r="C472" s="53" t="e">
        <f>_xlfn.T.TEST({1,2},{1,2},2,1)</f>
        <v>#DIV/0!</v>
      </c>
      <c r="D472" s="54" t="b">
        <f t="shared" si="15"/>
        <v>1</v>
      </c>
      <c r="E472" s="55" t="str">
        <f t="shared" si="14"/>
        <v/>
      </c>
      <c r="F472" s="56"/>
      <c r="H472"/>
      <c r="I472"/>
    </row>
    <row r="473" spans="1:9" ht="72">
      <c r="A473" s="53" t="s">
        <v>609</v>
      </c>
      <c r="C473" s="53" t="s">
        <v>610</v>
      </c>
      <c r="D473" s="54" t="str">
        <f t="shared" si="15"/>
        <v>NOT TESTED</v>
      </c>
      <c r="E473" s="55" t="str">
        <f t="shared" si="14"/>
        <v>?TABLE (untested)</v>
      </c>
      <c r="F473" s="56" t="s">
        <v>611</v>
      </c>
      <c r="H473"/>
      <c r="I473"/>
    </row>
    <row r="474" spans="1:9">
      <c r="A474" s="53" t="s">
        <v>612</v>
      </c>
      <c r="B474" s="45" t="s">
        <v>612</v>
      </c>
      <c r="C474" s="53" cm="1">
        <f t="array" ref="C474">_xlfn.TAKE({1;2},1)</f>
        <v>1</v>
      </c>
      <c r="D474" s="54" t="b">
        <f t="shared" si="15"/>
        <v>1</v>
      </c>
      <c r="E474" s="55" t="str">
        <f t="shared" si="14"/>
        <v/>
      </c>
      <c r="F474" s="56"/>
      <c r="H474"/>
      <c r="I474"/>
    </row>
    <row r="475" spans="1:9">
      <c r="A475" s="53" t="s">
        <v>613</v>
      </c>
      <c r="B475" s="45" t="s">
        <v>613</v>
      </c>
      <c r="C475" s="53">
        <f>TAN(1)</f>
        <v>1.5574077246549023</v>
      </c>
      <c r="D475" s="54" t="b">
        <f t="shared" si="15"/>
        <v>1</v>
      </c>
      <c r="E475" s="55" t="str">
        <f t="shared" si="14"/>
        <v/>
      </c>
      <c r="F475" s="56"/>
      <c r="H475"/>
      <c r="I475"/>
    </row>
    <row r="476" spans="1:9">
      <c r="A476" s="53" t="s">
        <v>614</v>
      </c>
      <c r="B476" s="45" t="s">
        <v>614</v>
      </c>
      <c r="C476" s="53">
        <f>TANH(1)</f>
        <v>0.76159415595576485</v>
      </c>
      <c r="D476" s="54" t="b">
        <f t="shared" si="15"/>
        <v>1</v>
      </c>
      <c r="E476" s="55" t="str">
        <f t="shared" si="14"/>
        <v/>
      </c>
      <c r="F476" s="56"/>
      <c r="H476"/>
      <c r="I476"/>
    </row>
    <row r="477" spans="1:9">
      <c r="A477" s="53" t="s">
        <v>615</v>
      </c>
      <c r="B477" s="45" t="s">
        <v>615</v>
      </c>
      <c r="C477" s="53">
        <f>TBILLEQ(DATE(2020,1,1),DATE(2020,6,1),0.05)</f>
        <v>5.1787741203178209E-2</v>
      </c>
      <c r="D477" s="54" t="b">
        <f t="shared" si="15"/>
        <v>1</v>
      </c>
      <c r="E477" s="55" t="str">
        <f t="shared" si="14"/>
        <v/>
      </c>
      <c r="F477" s="56"/>
      <c r="H477"/>
      <c r="I477"/>
    </row>
    <row r="478" spans="1:9">
      <c r="A478" s="53" t="s">
        <v>616</v>
      </c>
      <c r="B478" s="45" t="s">
        <v>616</v>
      </c>
      <c r="C478" s="53">
        <f>TBILLPRICE(DATE(2020,1,1),DATE(2020,6,1),0.05)</f>
        <v>97.888888888888886</v>
      </c>
      <c r="D478" s="54" t="b">
        <f t="shared" si="15"/>
        <v>1</v>
      </c>
      <c r="E478" s="55" t="str">
        <f t="shared" si="14"/>
        <v/>
      </c>
      <c r="F478" s="56"/>
      <c r="H478"/>
      <c r="I478"/>
    </row>
    <row r="479" spans="1:9">
      <c r="A479" s="53" t="s">
        <v>617</v>
      </c>
      <c r="B479" s="45" t="s">
        <v>617</v>
      </c>
      <c r="C479" s="53">
        <f>TBILLYIELD(DATE(2020,1,1),DATE(2020,6,1),95)</f>
        <v>0.12465373961218836</v>
      </c>
      <c r="D479" s="54" t="b">
        <f t="shared" si="15"/>
        <v>1</v>
      </c>
      <c r="E479" s="55" t="str">
        <f t="shared" si="14"/>
        <v/>
      </c>
      <c r="F479" s="56"/>
      <c r="H479"/>
      <c r="I479"/>
    </row>
    <row r="480" spans="1:9">
      <c r="A480" s="53" t="s">
        <v>618</v>
      </c>
      <c r="B480" s="45" t="s">
        <v>618</v>
      </c>
      <c r="C480" s="53">
        <f>TDIST(1,1,1)</f>
        <v>0.25000000000000006</v>
      </c>
      <c r="D480" s="54" t="b">
        <f t="shared" si="15"/>
        <v>1</v>
      </c>
      <c r="E480" s="55" t="str">
        <f t="shared" si="14"/>
        <v/>
      </c>
      <c r="F480" s="56"/>
      <c r="H480"/>
      <c r="I480"/>
    </row>
    <row r="481" spans="1:9">
      <c r="A481" s="53" t="s">
        <v>619</v>
      </c>
      <c r="B481" s="45" t="s">
        <v>619</v>
      </c>
      <c r="C481" s="53" t="str">
        <f>TEXT(1,"0")</f>
        <v>1</v>
      </c>
      <c r="D481" s="54" t="b">
        <f t="shared" si="15"/>
        <v>1</v>
      </c>
      <c r="E481" s="55" t="str">
        <f t="shared" si="14"/>
        <v/>
      </c>
      <c r="F481" s="56"/>
      <c r="H481"/>
      <c r="I481"/>
    </row>
    <row r="482" spans="1:9">
      <c r="A482" s="53" t="s">
        <v>620</v>
      </c>
      <c r="B482" s="45" t="s">
        <v>620</v>
      </c>
      <c r="C482" s="53" t="str">
        <f>_xlfn.TEXTAFTER("a-b","-")</f>
        <v>b</v>
      </c>
      <c r="D482" s="54" t="b">
        <f t="shared" si="15"/>
        <v>1</v>
      </c>
      <c r="E482" s="55" t="str">
        <f t="shared" si="14"/>
        <v/>
      </c>
      <c r="F482" s="56"/>
      <c r="H482"/>
      <c r="I482"/>
    </row>
    <row r="483" spans="1:9">
      <c r="A483" s="53" t="s">
        <v>621</v>
      </c>
      <c r="B483" s="45" t="s">
        <v>621</v>
      </c>
      <c r="C483" s="53" t="str">
        <f>_xlfn.TEXTBEFORE("a-b","-")</f>
        <v>a</v>
      </c>
      <c r="D483" s="54" t="b">
        <f t="shared" si="15"/>
        <v>1</v>
      </c>
      <c r="E483" s="55" t="str">
        <f t="shared" si="14"/>
        <v/>
      </c>
      <c r="F483" s="56"/>
      <c r="H483"/>
      <c r="I483"/>
    </row>
    <row r="484" spans="1:9">
      <c r="A484" s="53" t="s">
        <v>622</v>
      </c>
      <c r="B484" s="45" t="s">
        <v>622</v>
      </c>
      <c r="C484" s="53" t="str">
        <f>_xlfn.TEXTJOIN(",",TRUE,"a")</f>
        <v>a</v>
      </c>
      <c r="D484" s="54" t="b">
        <f t="shared" si="15"/>
        <v>1</v>
      </c>
      <c r="E484" s="55" t="str">
        <f t="shared" si="14"/>
        <v/>
      </c>
      <c r="F484" s="56"/>
      <c r="H484"/>
      <c r="I484"/>
    </row>
    <row r="485" spans="1:9">
      <c r="A485" s="53" t="s">
        <v>623</v>
      </c>
      <c r="B485" s="45" t="s">
        <v>623</v>
      </c>
      <c r="C485" s="53" t="str">
        <f>INDEX(_xlfn.TEXTSPLIT("a,b",","),1,1)</f>
        <v>a</v>
      </c>
      <c r="D485" s="54" t="b">
        <f t="shared" si="15"/>
        <v>1</v>
      </c>
      <c r="E485" s="55" t="str">
        <f t="shared" si="14"/>
        <v/>
      </c>
      <c r="F485" s="56"/>
      <c r="H485"/>
      <c r="I485"/>
    </row>
    <row r="486" spans="1:9">
      <c r="A486" s="53" t="s">
        <v>624</v>
      </c>
      <c r="B486" s="45" t="s">
        <v>624</v>
      </c>
      <c r="C486" s="53">
        <f>TIME(1,1,1)</f>
        <v>4.2372685185185187E-2</v>
      </c>
      <c r="D486" s="54" t="b">
        <f t="shared" si="15"/>
        <v>1</v>
      </c>
      <c r="E486" s="55" t="str">
        <f t="shared" si="14"/>
        <v/>
      </c>
      <c r="F486" s="56"/>
      <c r="H486"/>
      <c r="I486"/>
    </row>
    <row r="487" spans="1:9">
      <c r="A487" s="53" t="s">
        <v>625</v>
      </c>
      <c r="B487" s="45" t="s">
        <v>625</v>
      </c>
      <c r="C487" s="53">
        <f>TIMEVALUE("1:00")</f>
        <v>4.1666666666666664E-2</v>
      </c>
      <c r="D487" s="54" t="b">
        <f t="shared" si="15"/>
        <v>1</v>
      </c>
      <c r="E487" s="55" t="str">
        <f t="shared" si="14"/>
        <v/>
      </c>
      <c r="F487" s="56"/>
      <c r="H487"/>
      <c r="I487"/>
    </row>
    <row r="488" spans="1:9">
      <c r="A488" s="53" t="s">
        <v>626</v>
      </c>
      <c r="B488" s="45" t="s">
        <v>626</v>
      </c>
      <c r="C488" s="53">
        <f>TINV(0.5,1)</f>
        <v>1</v>
      </c>
      <c r="D488" s="54" t="b">
        <f t="shared" si="15"/>
        <v>1</v>
      </c>
      <c r="E488" s="55" t="str">
        <f t="shared" si="14"/>
        <v/>
      </c>
      <c r="F488" s="56"/>
      <c r="H488"/>
      <c r="I488"/>
    </row>
    <row r="489" spans="1:9">
      <c r="A489" s="53" t="s">
        <v>627</v>
      </c>
      <c r="B489" s="45" t="s">
        <v>627</v>
      </c>
      <c r="C489" s="53" cm="1">
        <f t="array" ref="C489">_xlfn.TOCOL(1)</f>
        <v>1</v>
      </c>
      <c r="D489" s="54" t="b">
        <f t="shared" si="15"/>
        <v>1</v>
      </c>
      <c r="E489" s="55" t="str">
        <f t="shared" si="14"/>
        <v/>
      </c>
      <c r="F489" s="56"/>
      <c r="H489"/>
      <c r="I489"/>
    </row>
    <row r="490" spans="1:9">
      <c r="A490" s="53" t="s">
        <v>628</v>
      </c>
      <c r="B490" s="45" t="s">
        <v>628</v>
      </c>
      <c r="C490" s="53">
        <f ca="1">TODAY()</f>
        <v>46309</v>
      </c>
      <c r="D490" s="54" t="b">
        <f t="shared" ca="1" si="15"/>
        <v>1</v>
      </c>
      <c r="E490" s="55" t="str">
        <f t="shared" ca="1" si="14"/>
        <v/>
      </c>
      <c r="F490" s="56"/>
      <c r="H490"/>
      <c r="I490"/>
    </row>
    <row r="491" spans="1:9">
      <c r="A491" s="53" t="s">
        <v>629</v>
      </c>
      <c r="B491" s="45" t="s">
        <v>629</v>
      </c>
      <c r="C491" s="53" cm="1">
        <f t="array" ref="C491">_xlfn.TOROW(1)</f>
        <v>1</v>
      </c>
      <c r="D491" s="54" t="b">
        <f t="shared" si="15"/>
        <v>1</v>
      </c>
      <c r="E491" s="55" t="str">
        <f t="shared" si="14"/>
        <v/>
      </c>
      <c r="F491" s="56"/>
      <c r="H491"/>
      <c r="I491"/>
    </row>
    <row r="492" spans="1:9">
      <c r="A492" s="53" t="s">
        <v>630</v>
      </c>
      <c r="B492" s="45" t="s">
        <v>630</v>
      </c>
      <c r="C492" s="53" t="str">
        <f>_xlfn.TRANSLATE(1)</f>
        <v>1</v>
      </c>
      <c r="D492" s="54" t="b">
        <f t="shared" si="15"/>
        <v>1</v>
      </c>
      <c r="E492" s="55" t="str">
        <f t="shared" si="14"/>
        <v/>
      </c>
      <c r="F492" s="56"/>
      <c r="H492"/>
      <c r="I492"/>
    </row>
    <row r="493" spans="1:9">
      <c r="A493" s="53" t="s">
        <v>631</v>
      </c>
      <c r="B493" s="45" t="s">
        <v>631</v>
      </c>
      <c r="C493" s="53" cm="1">
        <f t="array" ref="C493">TRANSPOSE(1)</f>
        <v>1</v>
      </c>
      <c r="D493" s="54" t="b">
        <f t="shared" si="15"/>
        <v>1</v>
      </c>
      <c r="E493" s="55" t="str">
        <f t="shared" si="14"/>
        <v/>
      </c>
      <c r="F493" s="56"/>
      <c r="H493"/>
      <c r="I493"/>
    </row>
    <row r="494" spans="1:9">
      <c r="A494" s="53" t="s">
        <v>632</v>
      </c>
      <c r="B494" s="45" t="s">
        <v>632</v>
      </c>
      <c r="C494" s="53" cm="1">
        <f t="array" ref="C494">TREND(1)</f>
        <v>1</v>
      </c>
      <c r="D494" s="54" t="b">
        <f t="shared" si="15"/>
        <v>1</v>
      </c>
      <c r="E494" s="55" t="str">
        <f t="shared" si="14"/>
        <v/>
      </c>
      <c r="F494" s="56"/>
      <c r="H494"/>
      <c r="I494"/>
    </row>
    <row r="495" spans="1:9">
      <c r="A495" s="53" t="s">
        <v>633</v>
      </c>
      <c r="B495" s="45" t="s">
        <v>633</v>
      </c>
      <c r="C495" s="53" t="str">
        <f>TRIM(1)</f>
        <v>1</v>
      </c>
      <c r="D495" s="54" t="b">
        <f t="shared" si="15"/>
        <v>1</v>
      </c>
      <c r="E495" s="55" t="str">
        <f t="shared" si="14"/>
        <v/>
      </c>
      <c r="F495" s="56"/>
      <c r="H495"/>
      <c r="I495"/>
    </row>
    <row r="496" spans="1:9">
      <c r="A496" s="53" t="s">
        <v>634</v>
      </c>
      <c r="B496" s="45" t="s">
        <v>634</v>
      </c>
      <c r="C496" s="53">
        <f>TRIMMEAN({1,2,3},0)</f>
        <v>2</v>
      </c>
      <c r="D496" s="54" t="b">
        <f t="shared" si="15"/>
        <v>1</v>
      </c>
      <c r="E496" s="55" t="str">
        <f t="shared" si="14"/>
        <v/>
      </c>
      <c r="F496" s="56"/>
      <c r="H496"/>
      <c r="I496"/>
    </row>
    <row r="497" spans="1:9">
      <c r="A497" s="53" t="s">
        <v>635</v>
      </c>
      <c r="B497" s="45" t="s">
        <v>635</v>
      </c>
      <c r="C497" s="53" cm="1">
        <f t="array" ref="C497">_xlfn.TRIMRANGE(1)</f>
        <v>1</v>
      </c>
      <c r="D497" s="54" t="b">
        <f t="shared" si="15"/>
        <v>1</v>
      </c>
      <c r="E497" s="55" t="str">
        <f t="shared" si="14"/>
        <v/>
      </c>
      <c r="F497" s="56"/>
      <c r="H497"/>
      <c r="I497"/>
    </row>
    <row r="498" spans="1:9">
      <c r="A498" s="53" t="s">
        <v>636</v>
      </c>
      <c r="B498" s="75" t="s">
        <v>636</v>
      </c>
      <c r="C498" s="53" t="b">
        <f>TRUE()</f>
        <v>1</v>
      </c>
      <c r="D498" s="54" t="b">
        <f t="shared" si="15"/>
        <v>1</v>
      </c>
      <c r="E498" s="55" t="str">
        <f t="shared" si="14"/>
        <v/>
      </c>
      <c r="F498" s="56"/>
      <c r="H498"/>
      <c r="I498"/>
    </row>
    <row r="499" spans="1:9">
      <c r="A499" s="53" t="s">
        <v>637</v>
      </c>
      <c r="B499" s="45" t="s">
        <v>637</v>
      </c>
      <c r="C499" s="53">
        <f>TRUNC(1)</f>
        <v>1</v>
      </c>
      <c r="D499" s="54" t="b">
        <f t="shared" si="15"/>
        <v>1</v>
      </c>
      <c r="E499" s="55" t="str">
        <f t="shared" si="14"/>
        <v/>
      </c>
      <c r="F499" s="56"/>
      <c r="H499"/>
      <c r="I499"/>
    </row>
    <row r="500" spans="1:9">
      <c r="A500" s="53" t="s">
        <v>638</v>
      </c>
      <c r="B500" s="45" t="s">
        <v>638</v>
      </c>
      <c r="C500" s="53" t="e">
        <f>TTEST({1,2},{1,2},2,1)</f>
        <v>#DIV/0!</v>
      </c>
      <c r="D500" s="54" t="b">
        <f t="shared" si="15"/>
        <v>1</v>
      </c>
      <c r="E500" s="55" t="str">
        <f t="shared" si="14"/>
        <v/>
      </c>
      <c r="F500" s="56"/>
      <c r="H500"/>
      <c r="I500"/>
    </row>
    <row r="501" spans="1:9">
      <c r="A501" s="53" t="s">
        <v>639</v>
      </c>
      <c r="B501" s="45" t="s">
        <v>639</v>
      </c>
      <c r="C501" s="53">
        <f>TYPE(1)</f>
        <v>1</v>
      </c>
      <c r="D501" s="54" t="b">
        <f t="shared" si="15"/>
        <v>1</v>
      </c>
      <c r="E501" s="55" t="str">
        <f t="shared" si="14"/>
        <v/>
      </c>
      <c r="F501" s="56"/>
      <c r="H501"/>
      <c r="I501"/>
    </row>
    <row r="502" spans="1:9">
      <c r="A502" s="53" t="s">
        <v>640</v>
      </c>
      <c r="B502" s="45" t="s">
        <v>640</v>
      </c>
      <c r="C502" s="53" t="str">
        <f>_xlfn.UNICHAR(65)</f>
        <v>A</v>
      </c>
      <c r="D502" s="54" t="b">
        <f t="shared" si="15"/>
        <v>1</v>
      </c>
      <c r="E502" s="55" t="str">
        <f t="shared" si="14"/>
        <v/>
      </c>
      <c r="F502" s="56"/>
      <c r="H502"/>
      <c r="I502"/>
    </row>
    <row r="503" spans="1:9">
      <c r="A503" s="53" t="s">
        <v>641</v>
      </c>
      <c r="B503" s="45" t="s">
        <v>641</v>
      </c>
      <c r="C503" s="53">
        <f>_xlfn.UNICODE(1)</f>
        <v>49</v>
      </c>
      <c r="D503" s="54" t="b">
        <f t="shared" si="15"/>
        <v>1</v>
      </c>
      <c r="E503" s="55" t="str">
        <f t="shared" si="14"/>
        <v/>
      </c>
      <c r="F503" s="56"/>
      <c r="H503"/>
      <c r="I503"/>
    </row>
    <row r="504" spans="1:9">
      <c r="A504" s="53" t="s">
        <v>642</v>
      </c>
      <c r="B504" s="45" t="s">
        <v>642</v>
      </c>
      <c r="C504" s="53" cm="1">
        <f t="array" ref="C504">_xlfn.UNIQUE(1)</f>
        <v>1</v>
      </c>
      <c r="D504" s="54" t="b">
        <f t="shared" si="15"/>
        <v>1</v>
      </c>
      <c r="E504" s="55" t="str">
        <f t="shared" si="14"/>
        <v/>
      </c>
      <c r="F504" s="56"/>
      <c r="H504"/>
      <c r="I504"/>
    </row>
    <row r="505" spans="1:9">
      <c r="A505" s="53" t="s">
        <v>643</v>
      </c>
      <c r="B505" s="45" t="s">
        <v>643</v>
      </c>
      <c r="C505" s="53" t="str">
        <f>UPPER(1)</f>
        <v>1</v>
      </c>
      <c r="D505" s="54" t="b">
        <f t="shared" si="15"/>
        <v>1</v>
      </c>
      <c r="E505" s="55" t="str">
        <f t="shared" si="14"/>
        <v/>
      </c>
      <c r="F505" s="56"/>
      <c r="H505"/>
      <c r="I505"/>
    </row>
    <row r="506" spans="1:9">
      <c r="A506" s="53" t="s">
        <v>644</v>
      </c>
      <c r="B506" s="45" t="s">
        <v>644</v>
      </c>
      <c r="C506" s="53">
        <f>VALUE(1)</f>
        <v>1</v>
      </c>
      <c r="D506" s="54" t="b">
        <f t="shared" si="15"/>
        <v>1</v>
      </c>
      <c r="E506" s="55" t="str">
        <f t="shared" si="14"/>
        <v/>
      </c>
      <c r="F506" s="56"/>
      <c r="H506"/>
      <c r="I506"/>
    </row>
    <row r="507" spans="1:9">
      <c r="A507" s="53" t="s">
        <v>645</v>
      </c>
      <c r="B507" s="45" t="s">
        <v>645</v>
      </c>
      <c r="C507" s="53" t="str">
        <f>_xlfn.VALUETOTEXT(1)</f>
        <v>1</v>
      </c>
      <c r="D507" s="54" t="b">
        <f t="shared" si="15"/>
        <v>1</v>
      </c>
      <c r="E507" s="55" t="str">
        <f t="shared" si="14"/>
        <v/>
      </c>
      <c r="F507" s="56"/>
      <c r="H507"/>
      <c r="I507"/>
    </row>
    <row r="508" spans="1:9">
      <c r="A508" s="53" t="s">
        <v>646</v>
      </c>
      <c r="B508" s="45" t="s">
        <v>646</v>
      </c>
      <c r="C508" s="53">
        <f>VAR({1,2})</f>
        <v>0.5</v>
      </c>
      <c r="D508" s="54" t="b">
        <f t="shared" si="15"/>
        <v>1</v>
      </c>
      <c r="E508" s="55" t="str">
        <f t="shared" si="14"/>
        <v/>
      </c>
      <c r="F508" s="56"/>
      <c r="H508"/>
      <c r="I508"/>
    </row>
    <row r="509" spans="1:9">
      <c r="A509" s="53" t="s">
        <v>647</v>
      </c>
      <c r="B509" s="45" t="s">
        <v>647</v>
      </c>
      <c r="C509" s="53">
        <f>_xlfn.VAR.P(1)</f>
        <v>0</v>
      </c>
      <c r="D509" s="54" t="b">
        <f t="shared" si="15"/>
        <v>1</v>
      </c>
      <c r="E509" s="55" t="str">
        <f t="shared" si="14"/>
        <v/>
      </c>
      <c r="F509" s="56"/>
      <c r="H509"/>
      <c r="I509"/>
    </row>
    <row r="510" spans="1:9">
      <c r="A510" s="53" t="s">
        <v>648</v>
      </c>
      <c r="B510" s="45" t="s">
        <v>648</v>
      </c>
      <c r="C510" s="53">
        <f>_xlfn.VAR.S({1,2})</f>
        <v>0.5</v>
      </c>
      <c r="D510" s="54" t="b">
        <f t="shared" si="15"/>
        <v>1</v>
      </c>
      <c r="E510" s="55" t="str">
        <f t="shared" si="14"/>
        <v/>
      </c>
      <c r="F510" s="56"/>
      <c r="H510"/>
      <c r="I510"/>
    </row>
    <row r="511" spans="1:9">
      <c r="A511" s="53" t="s">
        <v>649</v>
      </c>
      <c r="B511" s="45" t="s">
        <v>649</v>
      </c>
      <c r="C511" s="53">
        <f>VARA({1,2})</f>
        <v>0.5</v>
      </c>
      <c r="D511" s="54" t="b">
        <f t="shared" si="15"/>
        <v>1</v>
      </c>
      <c r="E511" s="55" t="str">
        <f t="shared" si="14"/>
        <v/>
      </c>
      <c r="F511" s="56"/>
      <c r="H511"/>
      <c r="I511"/>
    </row>
    <row r="512" spans="1:9">
      <c r="A512" s="53" t="s">
        <v>650</v>
      </c>
      <c r="B512" s="45" t="s">
        <v>650</v>
      </c>
      <c r="C512" s="53">
        <f>VARP(1)</f>
        <v>0</v>
      </c>
      <c r="D512" s="54" t="b">
        <f t="shared" si="15"/>
        <v>1</v>
      </c>
      <c r="E512" s="55" t="str">
        <f t="shared" si="14"/>
        <v/>
      </c>
      <c r="F512" s="56"/>
      <c r="H512"/>
      <c r="I512"/>
    </row>
    <row r="513" spans="1:9">
      <c r="A513" s="53" t="s">
        <v>651</v>
      </c>
      <c r="B513" s="45" t="s">
        <v>651</v>
      </c>
      <c r="C513" s="53">
        <f>VARPA(1)</f>
        <v>0</v>
      </c>
      <c r="D513" s="54" t="b">
        <f t="shared" si="15"/>
        <v>1</v>
      </c>
      <c r="E513" s="55" t="str">
        <f t="shared" si="14"/>
        <v/>
      </c>
      <c r="F513" s="56"/>
      <c r="H513"/>
      <c r="I513"/>
    </row>
    <row r="514" spans="1:9">
      <c r="A514" s="53" t="s">
        <v>652</v>
      </c>
      <c r="B514" s="45" t="s">
        <v>652</v>
      </c>
      <c r="C514" s="53">
        <f>VDB(1000,100,10,0,1)</f>
        <v>200</v>
      </c>
      <c r="D514" s="54" t="b">
        <f t="shared" si="15"/>
        <v>1</v>
      </c>
      <c r="E514" s="55" t="str">
        <f t="shared" si="14"/>
        <v/>
      </c>
      <c r="F514" s="56"/>
      <c r="H514"/>
      <c r="I514"/>
    </row>
    <row r="515" spans="1:9">
      <c r="A515" s="53" t="s">
        <v>653</v>
      </c>
      <c r="B515" s="45" t="s">
        <v>653</v>
      </c>
      <c r="C515" s="53">
        <f>VLOOKUP(1,{1,1},2,FALSE)</f>
        <v>1</v>
      </c>
      <c r="D515" s="54" t="b">
        <f t="shared" si="15"/>
        <v>1</v>
      </c>
      <c r="E515" s="55" t="str">
        <f t="shared" si="14"/>
        <v/>
      </c>
      <c r="F515" s="56"/>
      <c r="H515"/>
      <c r="I515"/>
    </row>
    <row r="516" spans="1:9">
      <c r="A516" s="53" t="s">
        <v>654</v>
      </c>
      <c r="B516" s="45" t="s">
        <v>654</v>
      </c>
      <c r="C516" s="53" cm="1">
        <f t="array" ref="C516">_xlfn.VSTACK(1)</f>
        <v>1</v>
      </c>
      <c r="D516" s="54" t="b">
        <f t="shared" si="15"/>
        <v>1</v>
      </c>
      <c r="E516" s="55" t="str">
        <f t="shared" si="14"/>
        <v/>
      </c>
      <c r="F516" s="56"/>
      <c r="H516"/>
      <c r="I516"/>
    </row>
    <row r="517" spans="1:9">
      <c r="A517" s="53" t="s">
        <v>655</v>
      </c>
      <c r="B517" s="45" t="s">
        <v>655</v>
      </c>
      <c r="C517" s="53" t="e">
        <f>LEFT(_xlfn.WEBSERVICE("http://example.com"),20)</f>
        <v>#VALUE!</v>
      </c>
      <c r="D517" s="54" t="b">
        <f t="shared" si="15"/>
        <v>1</v>
      </c>
      <c r="E517" s="55" t="str">
        <f t="shared" si="14"/>
        <v/>
      </c>
      <c r="F517" s="56"/>
      <c r="H517"/>
      <c r="I517"/>
    </row>
    <row r="518" spans="1:9">
      <c r="A518" s="53" t="s">
        <v>656</v>
      </c>
      <c r="B518" s="45" t="s">
        <v>656</v>
      </c>
      <c r="C518" s="53">
        <f>WEEKDAY(1)</f>
        <v>1</v>
      </c>
      <c r="D518" s="54" t="b">
        <f t="shared" si="15"/>
        <v>1</v>
      </c>
      <c r="E518" s="55" t="str">
        <f t="shared" si="14"/>
        <v/>
      </c>
      <c r="F518" s="56"/>
      <c r="H518"/>
      <c r="I518"/>
    </row>
    <row r="519" spans="1:9">
      <c r="A519" s="53" t="s">
        <v>657</v>
      </c>
      <c r="B519" s="45" t="s">
        <v>657</v>
      </c>
      <c r="C519" s="53">
        <f>WEEKNUM(1)</f>
        <v>1</v>
      </c>
      <c r="D519" s="54" t="b">
        <f t="shared" si="15"/>
        <v>1</v>
      </c>
      <c r="E519" s="55" t="str">
        <f t="shared" si="14"/>
        <v/>
      </c>
      <c r="F519" s="56"/>
      <c r="H519"/>
      <c r="I519"/>
    </row>
    <row r="520" spans="1:9">
      <c r="A520" s="53" t="s">
        <v>658</v>
      </c>
      <c r="B520" s="45" t="s">
        <v>658</v>
      </c>
      <c r="C520" s="53">
        <f>WEIBULL(1,1,1,TRUE)</f>
        <v>0.63212055882855767</v>
      </c>
      <c r="D520" s="54" t="b">
        <f t="shared" si="15"/>
        <v>1</v>
      </c>
      <c r="E520" s="55" t="str">
        <f t="shared" si="14"/>
        <v/>
      </c>
      <c r="F520" s="56"/>
      <c r="H520"/>
      <c r="I520"/>
    </row>
    <row r="521" spans="1:9">
      <c r="A521" s="53" t="s">
        <v>659</v>
      </c>
      <c r="B521" s="45" t="s">
        <v>659</v>
      </c>
      <c r="C521" s="53">
        <f>_xlfn.WEIBULL.DIST(1,1,1,TRUE)</f>
        <v>0.63212055882855767</v>
      </c>
      <c r="D521" s="54" t="b">
        <f t="shared" si="15"/>
        <v>1</v>
      </c>
      <c r="E521" s="55" t="str">
        <f t="shared" si="14"/>
        <v/>
      </c>
      <c r="F521" s="56"/>
      <c r="H521"/>
      <c r="I521"/>
    </row>
    <row r="522" spans="1:9">
      <c r="A522" s="53" t="s">
        <v>660</v>
      </c>
      <c r="B522" s="45" t="s">
        <v>660</v>
      </c>
      <c r="C522" s="53">
        <f>WORKDAY(DATE(2020,1,1),1)</f>
        <v>43832</v>
      </c>
      <c r="D522" s="54" t="b">
        <f t="shared" si="15"/>
        <v>1</v>
      </c>
      <c r="E522" s="55" t="str">
        <f t="shared" si="14"/>
        <v/>
      </c>
      <c r="F522" s="56"/>
      <c r="H522"/>
      <c r="I522"/>
    </row>
    <row r="523" spans="1:9">
      <c r="A523" s="53" t="s">
        <v>661</v>
      </c>
      <c r="B523" s="45" t="s">
        <v>661</v>
      </c>
      <c r="C523" s="53">
        <f>WORKDAY.INTL(DATE(2020,1,1),1)</f>
        <v>43832</v>
      </c>
      <c r="D523" s="54" t="b">
        <f t="shared" si="15"/>
        <v>1</v>
      </c>
      <c r="E523" s="55" t="str">
        <f t="shared" si="14"/>
        <v/>
      </c>
      <c r="F523" s="56"/>
      <c r="H523"/>
      <c r="I523"/>
    </row>
    <row r="524" spans="1:9">
      <c r="A524" s="53" t="s">
        <v>662</v>
      </c>
      <c r="B524" s="45" t="s">
        <v>662</v>
      </c>
      <c r="C524" s="53">
        <f>INDEX(_xlfn.WRAPCOLS({1;2},1),1,1)</f>
        <v>1</v>
      </c>
      <c r="D524" s="54" t="b">
        <f t="shared" si="15"/>
        <v>1</v>
      </c>
      <c r="E524" s="55" t="str">
        <f t="shared" ref="E524:E537" si="16">IF(D524="NOT TESTED","?"&amp;A524&amp;" (untested)",IF(D524=FALSE,A524,""))</f>
        <v/>
      </c>
      <c r="F524" s="56"/>
      <c r="H524"/>
      <c r="I524"/>
    </row>
    <row r="525" spans="1:9">
      <c r="A525" s="53" t="s">
        <v>663</v>
      </c>
      <c r="B525" s="45" t="s">
        <v>663</v>
      </c>
      <c r="C525" s="53">
        <f>INDEX(_xlfn.WRAPROWS({1,2},1),1,1)</f>
        <v>1</v>
      </c>
      <c r="D525" s="54" t="b">
        <f t="shared" si="15"/>
        <v>1</v>
      </c>
      <c r="E525" s="55" t="str">
        <f t="shared" si="16"/>
        <v/>
      </c>
      <c r="F525" s="56"/>
      <c r="H525"/>
      <c r="I525"/>
    </row>
    <row r="526" spans="1:9">
      <c r="A526" s="53" t="s">
        <v>664</v>
      </c>
      <c r="B526" s="45" t="s">
        <v>664</v>
      </c>
      <c r="C526" s="53">
        <f>XIRR(CHOOSE({1,2},-100,110),CHOOSE({1,2},DATE(2020,1,1),DATE(2021,1,1)))</f>
        <v>9.9713581800460804E-2</v>
      </c>
      <c r="D526" s="54" t="b">
        <f t="shared" si="15"/>
        <v>1</v>
      </c>
      <c r="E526" s="55" t="str">
        <f t="shared" si="16"/>
        <v/>
      </c>
      <c r="F526" s="56"/>
      <c r="H526"/>
      <c r="I526"/>
    </row>
    <row r="527" spans="1:9">
      <c r="A527" s="53" t="s">
        <v>665</v>
      </c>
      <c r="B527" s="45" t="s">
        <v>665</v>
      </c>
      <c r="C527" s="53" cm="1">
        <f t="array" ref="C527">_xlfn.XLOOKUP(1,{1},{1})</f>
        <v>1</v>
      </c>
      <c r="D527" s="54" t="b">
        <f t="shared" si="15"/>
        <v>1</v>
      </c>
      <c r="E527" s="55" t="str">
        <f t="shared" si="16"/>
        <v/>
      </c>
      <c r="F527" s="56"/>
      <c r="H527"/>
      <c r="I527"/>
    </row>
    <row r="528" spans="1:9">
      <c r="A528" s="53" t="s">
        <v>666</v>
      </c>
      <c r="B528" s="45" t="s">
        <v>666</v>
      </c>
      <c r="C528" s="53">
        <f>_xlfn.XMATCH(1,{1})</f>
        <v>1</v>
      </c>
      <c r="D528" s="54" t="b">
        <f t="shared" si="15"/>
        <v>1</v>
      </c>
      <c r="E528" s="55" t="str">
        <f t="shared" si="16"/>
        <v/>
      </c>
      <c r="F528" s="56"/>
      <c r="H528"/>
      <c r="I528"/>
    </row>
    <row r="529" spans="1:9">
      <c r="A529" s="53" t="s">
        <v>667</v>
      </c>
      <c r="B529" s="45" t="s">
        <v>667</v>
      </c>
      <c r="C529" s="53">
        <f>XNPV(0.1,CHOOSE({1,2},-100,110),CHOOSE({1,2},DATE(2020,1,1),DATE(2021,1,1)))</f>
        <v>-2.6108969043889374E-2</v>
      </c>
      <c r="D529" s="54" t="b">
        <f t="shared" si="15"/>
        <v>1</v>
      </c>
      <c r="E529" s="55" t="str">
        <f t="shared" si="16"/>
        <v/>
      </c>
      <c r="F529" s="56"/>
      <c r="H529"/>
      <c r="I529"/>
    </row>
    <row r="530" spans="1:9">
      <c r="A530" s="53" t="s">
        <v>668</v>
      </c>
      <c r="B530" s="45" t="s">
        <v>668</v>
      </c>
      <c r="C530" s="53" t="b">
        <f>_xlfn.XOR(1)</f>
        <v>1</v>
      </c>
      <c r="D530" s="54" t="b">
        <f t="shared" si="15"/>
        <v>1</v>
      </c>
      <c r="E530" s="55" t="str">
        <f t="shared" si="16"/>
        <v/>
      </c>
      <c r="F530" s="56"/>
      <c r="H530"/>
      <c r="I530"/>
    </row>
    <row r="531" spans="1:9">
      <c r="A531" s="53" t="s">
        <v>669</v>
      </c>
      <c r="B531" s="45" t="s">
        <v>669</v>
      </c>
      <c r="C531" s="53">
        <f>YEAR(1)</f>
        <v>1900</v>
      </c>
      <c r="D531" s="54" t="b">
        <f t="shared" ref="D531:D537" si="17">IF(NOT(_xlfn.ISFORMULA(C531)),"NOT TESTED",IFERROR(ERROR.TYPE(C531)&lt;&gt;5,TRUE))</f>
        <v>1</v>
      </c>
      <c r="E531" s="55" t="str">
        <f t="shared" si="16"/>
        <v/>
      </c>
      <c r="F531" s="56"/>
      <c r="H531"/>
      <c r="I531"/>
    </row>
    <row r="532" spans="1:9">
      <c r="A532" s="53" t="s">
        <v>670</v>
      </c>
      <c r="B532" s="45" t="s">
        <v>670</v>
      </c>
      <c r="C532" s="53">
        <f>YEARFRAC(DATE(2020,1,1),DATE(2021,1,1))</f>
        <v>1</v>
      </c>
      <c r="D532" s="54" t="b">
        <f t="shared" si="17"/>
        <v>1</v>
      </c>
      <c r="E532" s="55" t="str">
        <f t="shared" si="16"/>
        <v/>
      </c>
      <c r="F532" s="56"/>
      <c r="H532"/>
      <c r="I532"/>
    </row>
    <row r="533" spans="1:9">
      <c r="A533" s="53" t="s">
        <v>671</v>
      </c>
      <c r="B533" s="45" t="s">
        <v>671</v>
      </c>
      <c r="C533" s="53">
        <f>YIELD(DATE(2020,1,1),DATE(2021,1,1),0.05,95,100,1)</f>
        <v>0.10526315789473695</v>
      </c>
      <c r="D533" s="54" t="b">
        <f t="shared" si="17"/>
        <v>1</v>
      </c>
      <c r="E533" s="55" t="str">
        <f t="shared" si="16"/>
        <v/>
      </c>
      <c r="F533" s="56"/>
      <c r="H533"/>
      <c r="I533"/>
    </row>
    <row r="534" spans="1:9">
      <c r="A534" s="53" t="s">
        <v>672</v>
      </c>
      <c r="B534" s="45" t="s">
        <v>672</v>
      </c>
      <c r="C534" s="53">
        <f>YIELDDISC(DATE(2020,1,1),DATE(2021,1,1),95,100)</f>
        <v>5.2631578947368418E-2</v>
      </c>
      <c r="D534" s="54" t="b">
        <f t="shared" si="17"/>
        <v>1</v>
      </c>
      <c r="E534" s="55" t="str">
        <f t="shared" si="16"/>
        <v/>
      </c>
      <c r="F534" s="56"/>
      <c r="H534"/>
      <c r="I534"/>
    </row>
    <row r="535" spans="1:9">
      <c r="A535" s="53" t="s">
        <v>673</v>
      </c>
      <c r="B535" s="45" t="s">
        <v>673</v>
      </c>
      <c r="C535" s="53">
        <f>YIELDMAT(DATE(2020,1,1),DATE(2021,1,1),DATE(2019,1,1),0.05,95)</f>
        <v>0.10000000000000009</v>
      </c>
      <c r="D535" s="54" t="b">
        <f t="shared" si="17"/>
        <v>1</v>
      </c>
      <c r="E535" s="55" t="str">
        <f t="shared" si="16"/>
        <v/>
      </c>
      <c r="F535" s="56"/>
      <c r="H535"/>
      <c r="I535"/>
    </row>
    <row r="536" spans="1:9">
      <c r="A536" s="53" t="s">
        <v>674</v>
      </c>
      <c r="B536" s="45" t="s">
        <v>674</v>
      </c>
      <c r="C536" s="53">
        <f>_xlfn.Z.TEST({1,2},1)</f>
        <v>0.15865525393145699</v>
      </c>
      <c r="D536" s="54" t="b">
        <f t="shared" si="17"/>
        <v>1</v>
      </c>
      <c r="E536" s="55" t="str">
        <f t="shared" si="16"/>
        <v/>
      </c>
      <c r="F536" s="56"/>
      <c r="H536"/>
      <c r="I536"/>
    </row>
    <row r="537" spans="1:9">
      <c r="A537" s="53" t="s">
        <v>675</v>
      </c>
      <c r="B537" s="45" t="s">
        <v>675</v>
      </c>
      <c r="C537" s="53">
        <f>ZTEST({1,2},1)</f>
        <v>0.15865525393145699</v>
      </c>
      <c r="D537" s="54" t="b">
        <f t="shared" si="17"/>
        <v>1</v>
      </c>
      <c r="E537" s="55" t="str">
        <f t="shared" si="16"/>
        <v/>
      </c>
      <c r="F537" s="56"/>
      <c r="H537"/>
      <c r="I537"/>
    </row>
    <row r="538" spans="1:9">
      <c r="G538"/>
      <c r="H538"/>
      <c r="I538"/>
    </row>
    <row r="539" spans="1:9">
      <c r="G539"/>
      <c r="H539"/>
      <c r="I539"/>
    </row>
    <row r="540" spans="1:9">
      <c r="G540"/>
      <c r="H540"/>
      <c r="I540"/>
    </row>
    <row r="541" spans="1:9">
      <c r="G541"/>
      <c r="H541"/>
      <c r="I541"/>
    </row>
    <row r="542" spans="1:9">
      <c r="G542"/>
      <c r="H542"/>
      <c r="I542"/>
    </row>
    <row r="543" spans="1:9">
      <c r="G543"/>
      <c r="H543"/>
      <c r="I543"/>
    </row>
    <row r="544" spans="1:9">
      <c r="G544"/>
      <c r="H544"/>
      <c r="I544"/>
    </row>
    <row r="545" spans="7:9">
      <c r="G545"/>
      <c r="H545"/>
      <c r="I545"/>
    </row>
    <row r="546" spans="7:9">
      <c r="G546"/>
      <c r="H546"/>
      <c r="I546"/>
    </row>
    <row r="547" spans="7:9">
      <c r="G547"/>
      <c r="H547"/>
      <c r="I547"/>
    </row>
    <row r="548" spans="7:9" ht="23.4">
      <c r="G548" s="65"/>
      <c r="H548"/>
      <c r="I548"/>
    </row>
    <row r="549" spans="7:9">
      <c r="G549"/>
      <c r="H549"/>
      <c r="I549"/>
    </row>
    <row r="550" spans="7:9">
      <c r="G550"/>
      <c r="H550" s="66"/>
      <c r="I550"/>
    </row>
    <row r="551" spans="7:9" ht="71.400000000000006" customHeight="1">
      <c r="G551"/>
      <c r="H551" s="85"/>
      <c r="I551"/>
    </row>
    <row r="552" spans="7:9">
      <c r="G552"/>
      <c r="H552" s="85"/>
      <c r="I552"/>
    </row>
    <row r="553" spans="7:9">
      <c r="G553"/>
      <c r="H553" s="67"/>
      <c r="I553"/>
    </row>
    <row r="554" spans="7:9">
      <c r="G554" s="1"/>
      <c r="H554" s="67"/>
      <c r="I554"/>
    </row>
    <row r="555" spans="7:9">
      <c r="G555"/>
      <c r="H555" s="67"/>
      <c r="I555"/>
    </row>
    <row r="556" spans="7:9">
      <c r="G556" s="68"/>
      <c r="H556"/>
      <c r="I556"/>
    </row>
    <row r="557" spans="7:9">
      <c r="G557" s="68"/>
      <c r="H557"/>
      <c r="I557"/>
    </row>
    <row r="558" spans="7:9">
      <c r="G558"/>
      <c r="H558"/>
      <c r="I558"/>
    </row>
    <row r="559" spans="7:9">
      <c r="G559"/>
      <c r="H559"/>
      <c r="I559"/>
    </row>
    <row r="560" spans="7:9">
      <c r="G560" s="69"/>
      <c r="H560"/>
      <c r="I560"/>
    </row>
    <row r="561" spans="7:9">
      <c r="G561" s="69"/>
      <c r="H561"/>
      <c r="I561"/>
    </row>
    <row r="562" spans="7:9">
      <c r="G562" s="70"/>
      <c r="H562"/>
      <c r="I562"/>
    </row>
    <row r="563" spans="7:9">
      <c r="G563"/>
      <c r="H563"/>
      <c r="I563"/>
    </row>
    <row r="564" spans="7:9" ht="18">
      <c r="G564" s="71"/>
      <c r="H564"/>
      <c r="I564"/>
    </row>
    <row r="565" spans="7:9">
      <c r="G565"/>
      <c r="H565"/>
      <c r="I565"/>
    </row>
    <row r="566" spans="7:9">
      <c r="G566"/>
      <c r="H566"/>
      <c r="I566"/>
    </row>
    <row r="567" spans="7:9">
      <c r="G567"/>
      <c r="H567"/>
      <c r="I567"/>
    </row>
    <row r="568" spans="7:9">
      <c r="G568"/>
      <c r="H568"/>
      <c r="I568"/>
    </row>
    <row r="569" spans="7:9">
      <c r="G569"/>
      <c r="H569"/>
      <c r="I569"/>
    </row>
    <row r="570" spans="7:9">
      <c r="G570"/>
      <c r="H570"/>
      <c r="I570"/>
    </row>
    <row r="571" spans="7:9">
      <c r="G571" s="69"/>
      <c r="H571"/>
      <c r="I571"/>
    </row>
    <row r="572" spans="7:9">
      <c r="G572" s="72"/>
      <c r="H572"/>
      <c r="I572"/>
    </row>
    <row r="573" spans="7:9">
      <c r="G573" s="72"/>
      <c r="H573"/>
      <c r="I573"/>
    </row>
    <row r="574" spans="7:9">
      <c r="G574" s="72"/>
      <c r="H574"/>
      <c r="I574"/>
    </row>
    <row r="575" spans="7:9">
      <c r="G575" s="72"/>
      <c r="H575"/>
      <c r="I575"/>
    </row>
    <row r="576" spans="7:9">
      <c r="G576" s="72"/>
      <c r="H576"/>
      <c r="I576"/>
    </row>
    <row r="577" spans="7:9">
      <c r="G577"/>
      <c r="H577"/>
      <c r="I577"/>
    </row>
    <row r="578" spans="7:9">
      <c r="G578"/>
      <c r="H578"/>
      <c r="I578"/>
    </row>
    <row r="579" spans="7:9">
      <c r="G579"/>
      <c r="H579"/>
      <c r="I579"/>
    </row>
    <row r="580" spans="7:9">
      <c r="G580"/>
      <c r="H580"/>
      <c r="I580"/>
    </row>
    <row r="581" spans="7:9">
      <c r="G581"/>
      <c r="H581"/>
      <c r="I581"/>
    </row>
    <row r="582" spans="7:9" ht="23.4">
      <c r="G582" s="65"/>
      <c r="H582"/>
      <c r="I582"/>
    </row>
    <row r="583" spans="7:9">
      <c r="G583"/>
      <c r="H583"/>
      <c r="I583"/>
    </row>
    <row r="584" spans="7:9">
      <c r="G584"/>
      <c r="H584"/>
      <c r="I584"/>
    </row>
    <row r="585" spans="7:9">
      <c r="G585"/>
      <c r="H585"/>
      <c r="I585"/>
    </row>
    <row r="586" spans="7:9" ht="18">
      <c r="G586" s="71"/>
      <c r="H586"/>
      <c r="I586"/>
    </row>
    <row r="587" spans="7:9">
      <c r="G587"/>
      <c r="H587"/>
      <c r="I587"/>
    </row>
    <row r="588" spans="7:9">
      <c r="G588" s="1"/>
      <c r="H588"/>
      <c r="I588"/>
    </row>
    <row r="589" spans="7:9">
      <c r="G589"/>
      <c r="H589"/>
      <c r="I589"/>
    </row>
    <row r="590" spans="7:9">
      <c r="G590" s="74"/>
      <c r="H590" s="74"/>
      <c r="I590" s="74"/>
    </row>
    <row r="591" spans="7:9">
      <c r="G591" s="73"/>
      <c r="H591" s="73"/>
      <c r="I591" s="73"/>
    </row>
    <row r="592" spans="7:9">
      <c r="G592" s="73"/>
      <c r="H592" s="73"/>
      <c r="I592" s="73"/>
    </row>
    <row r="593" spans="7:9">
      <c r="G593" s="73"/>
      <c r="H593" s="73"/>
      <c r="I593" s="73"/>
    </row>
    <row r="594" spans="7:9">
      <c r="G594" s="74"/>
      <c r="H594"/>
      <c r="I594"/>
    </row>
    <row r="595" spans="7:9">
      <c r="G595" s="73"/>
      <c r="H595"/>
      <c r="I595"/>
    </row>
    <row r="596" spans="7:9">
      <c r="G596"/>
      <c r="H596"/>
      <c r="I596"/>
    </row>
    <row r="597" spans="7:9">
      <c r="G597"/>
      <c r="H597"/>
      <c r="I597"/>
    </row>
    <row r="598" spans="7:9">
      <c r="G598"/>
      <c r="H598"/>
      <c r="I598"/>
    </row>
    <row r="599" spans="7:9">
      <c r="G599"/>
      <c r="H599"/>
      <c r="I599"/>
    </row>
    <row r="600" spans="7:9">
      <c r="G600"/>
      <c r="H600"/>
      <c r="I600"/>
    </row>
    <row r="601" spans="7:9" ht="18">
      <c r="G601" s="71"/>
      <c r="H601"/>
      <c r="I601"/>
    </row>
    <row r="602" spans="7:9">
      <c r="G602"/>
      <c r="H602"/>
      <c r="I602"/>
    </row>
    <row r="603" spans="7:9">
      <c r="G603"/>
      <c r="H603"/>
      <c r="I603"/>
    </row>
    <row r="604" spans="7:9">
      <c r="G604"/>
      <c r="H604"/>
      <c r="I604"/>
    </row>
    <row r="605" spans="7:9">
      <c r="G605" s="1"/>
      <c r="H605"/>
      <c r="I605"/>
    </row>
    <row r="606" spans="7:9">
      <c r="G606"/>
      <c r="H606"/>
      <c r="I606"/>
    </row>
    <row r="607" spans="7:9">
      <c r="G607" s="74"/>
      <c r="H607" s="74"/>
      <c r="I607" s="74"/>
    </row>
    <row r="608" spans="7:9">
      <c r="G608" s="73"/>
      <c r="H608" s="73"/>
      <c r="I608" s="73"/>
    </row>
    <row r="609" spans="7:9">
      <c r="G609" s="73"/>
      <c r="H609" s="73"/>
      <c r="I609" s="73"/>
    </row>
    <row r="610" spans="7:9">
      <c r="G610" s="73"/>
      <c r="H610" s="73"/>
      <c r="I610" s="73"/>
    </row>
    <row r="611" spans="7:9">
      <c r="G611" s="74"/>
      <c r="H611"/>
      <c r="I611"/>
    </row>
    <row r="612" spans="7:9">
      <c r="G612" s="73"/>
      <c r="H612"/>
      <c r="I612"/>
    </row>
    <row r="613" spans="7:9">
      <c r="G613"/>
      <c r="H613"/>
      <c r="I613"/>
    </row>
    <row r="614" spans="7:9">
      <c r="G614"/>
      <c r="H614"/>
      <c r="I614"/>
    </row>
  </sheetData>
  <mergeCells count="1">
    <mergeCell ref="H551:H552"/>
  </mergeCells>
  <conditionalFormatting sqref="D11:D537">
    <cfRule type="cellIs" dxfId="5" priority="1" operator="equal">
      <formula>"NOT TESTED"</formula>
    </cfRule>
    <cfRule type="cellIs" dxfId="4" priority="2" operator="equal">
      <formula>FALSE</formula>
    </cfRule>
  </conditionalFormatting>
  <hyperlinks>
    <hyperlink ref="A5" r:id="rId1" xr:uid="{811875DA-AC40-4B0D-B30B-FC8323470AF2}"/>
    <hyperlink ref="A6" r:id="rId2" xr:uid="{86BABEB9-9D60-4124-95B3-7123D740669C}"/>
    <hyperlink ref="B11" r:id="rId3" display="https://support.microsoft.com/en-us/excel/functions/abs-function" xr:uid="{160EB0A9-2172-426B-BEE9-473545A0D2C8}"/>
    <hyperlink ref="B12" r:id="rId4" display="https://support.microsoft.com/en-us/excel/functions/accrint-function" xr:uid="{F6825C2F-4FA3-4D36-94EC-27C98B3FC9A7}"/>
    <hyperlink ref="B13" r:id="rId5" display="https://support.microsoft.com/en-us/excel/functions/accrintm-function" xr:uid="{BBC6D93D-9327-4029-ABD5-B9FDAA938C83}"/>
    <hyperlink ref="B14" r:id="rId6" display="https://support.microsoft.com/en-us/excel/functions/acos-function" xr:uid="{E277E72E-C833-4909-8656-9E32D481C4CC}"/>
    <hyperlink ref="B15" r:id="rId7" display="https://support.microsoft.com/en-us/excel/functions/acosh-function" xr:uid="{C0BE2F06-5E05-408B-A1FF-677E5B01A129}"/>
    <hyperlink ref="B16" r:id="rId8" display="https://support.microsoft.com/en-us/excel/functions/acot-function" xr:uid="{25B57FF9-3EF8-4C2E-87E9-86CE60148853}"/>
    <hyperlink ref="B17" r:id="rId9" display="https://support.microsoft.com/en-us/excel/functions/acoth-function" xr:uid="{284284EB-FA9F-4282-A356-A2DBC24B5696}"/>
    <hyperlink ref="B18" r:id="rId10" display="https://support.microsoft.com/en-us/excel/functions/address-function" xr:uid="{49660A60-DE1E-499E-82C9-5DFA7DE6476E}"/>
    <hyperlink ref="B19" r:id="rId11" display="https://support.microsoft.com/en-us/excel/functions/aggregate-function" xr:uid="{855B48FE-6EC9-4EF8-B651-9C84CDC00538}"/>
    <hyperlink ref="B20" r:id="rId12" display="https://support.microsoft.com/en-us/excel/functions/amordegrc-function" xr:uid="{AF1B1E9A-80DA-4847-BA92-4BFC41B894DC}"/>
    <hyperlink ref="B21" r:id="rId13" display="https://support.microsoft.com/en-us/excel/functions/amorlinc-function" xr:uid="{81B31E42-24D5-44FC-A96C-39BAE0267682}"/>
    <hyperlink ref="B22" r:id="rId14" display="https://support.microsoft.com/en-us/excel/functions/and-function" xr:uid="{A699B421-D187-4435-89CC-5E3B984A0708}"/>
    <hyperlink ref="B23" r:id="rId15" display="https://support.microsoft.com/en-us/excel/functions/arabic-function" xr:uid="{75C3365E-2111-406F-9057-4B93354C6B89}"/>
    <hyperlink ref="B24" r:id="rId16" display="https://support.microsoft.com/en-us/excel/functions/areas-function" xr:uid="{C1C6B3F7-A5A7-4809-9165-3D86C55B724B}"/>
    <hyperlink ref="B25" r:id="rId17" display="https://support.microsoft.com/en-us/excel/functions/arraytotext-function" xr:uid="{C78ADAF7-C8C7-4979-9508-DA36C1FA2F7C}"/>
    <hyperlink ref="B26" r:id="rId18" display="https://support.microsoft.com/en-us/excel/functions/asc-function" xr:uid="{8691AAA4-5582-4B5D-BD23-D167E0ADDE31}"/>
    <hyperlink ref="B27" r:id="rId19" display="https://support.microsoft.com/en-us/excel/functions/asin-function" xr:uid="{DE55FAFB-56F2-489E-84EC-3CBBBDC8381B}"/>
    <hyperlink ref="B28" r:id="rId20" display="https://support.microsoft.com/en-us/excel/functions/asinh-function" xr:uid="{FB7C12DE-AB4E-4045-9D6F-3E1FC80559BF}"/>
    <hyperlink ref="B29" r:id="rId21" display="https://support.microsoft.com/en-us/excel/functions/atan-function" xr:uid="{AFEE25D5-25C1-45A0-924A-C6E69C2CE6B5}"/>
    <hyperlink ref="B30" r:id="rId22" display="https://support.microsoft.com/en-us/excel/functions/atan2-function" xr:uid="{E3FB7F65-C515-433F-8F40-64A0C997B6A0}"/>
    <hyperlink ref="B31" r:id="rId23" display="https://support.microsoft.com/en-us/excel/functions/atanh-function" xr:uid="{71D6743D-02DF-4CD0-8C58-52291AACE5B3}"/>
    <hyperlink ref="B32" r:id="rId24" display="https://support.microsoft.com/en-us/excel/functions/avedev-function" xr:uid="{BBD21B81-3674-48EC-9A9B-2CAAA079AA4D}"/>
    <hyperlink ref="B33" r:id="rId25" display="https://support.microsoft.com/en-us/excel/functions/average-function" xr:uid="{960B92CB-D239-412C-9F40-4AF883D2C31B}"/>
    <hyperlink ref="B34" r:id="rId26" display="https://support.microsoft.com/en-us/excel/functions/averagea-function" xr:uid="{AD998CA8-FEC4-4CA0-B5B6-EEC0A5D7F480}"/>
    <hyperlink ref="B35" r:id="rId27" display="https://support.microsoft.com/en-us/excel/functions/averageif-function" xr:uid="{5A998403-816F-49CA-83C8-DBB55F04D740}"/>
    <hyperlink ref="B36" r:id="rId28" display="https://support.microsoft.com/en-us/excel/functions/averageifs-function" xr:uid="{D51C364C-CD4B-40C4-A972-D5EFE8974A14}"/>
    <hyperlink ref="B37" r:id="rId29" display="https://support.microsoft.com/en-us/excel/functions/bahttext-function" xr:uid="{F9554A44-4205-42C7-91F2-2322D75B35F7}"/>
    <hyperlink ref="B38" r:id="rId30" display="https://support.microsoft.com/en-us/excel/functions/base-function" xr:uid="{2C27261A-C52E-405C-BC80-64B431371852}"/>
    <hyperlink ref="B39" r:id="rId31" display="https://support.microsoft.com/en-us/excel/functions/besseli-function" xr:uid="{20F036FE-5077-48DF-AB9C-E8880C1A07C1}"/>
    <hyperlink ref="B40" r:id="rId32" display="https://support.microsoft.com/en-us/excel/functions/besselj-function" xr:uid="{A1EDE8AC-FC6F-4CE0-8C31-CA6692384D8A}"/>
    <hyperlink ref="B41" r:id="rId33" display="https://support.microsoft.com/en-us/excel/functions/besselk-function" xr:uid="{EF2D66E8-3595-462D-AD0B-4D9A63B6CA66}"/>
    <hyperlink ref="B42" r:id="rId34" display="https://support.microsoft.com/en-us/excel/functions/bessely-function" xr:uid="{224399F6-55D0-4608-A36A-A359B8C3EDFE}"/>
    <hyperlink ref="B43" r:id="rId35" display="https://support.microsoft.com/en-us/excel/functions/beta-dist-function" xr:uid="{44BE54C0-A921-4390-A502-F2F59E5145C2}"/>
    <hyperlink ref="B44" r:id="rId36" display="https://support.microsoft.com/en-us/excel/functions/beta-inv-function" xr:uid="{C9363A9F-E93C-4CC1-8380-BC52F763DC63}"/>
    <hyperlink ref="B45" r:id="rId37" display="https://support.microsoft.com/en-us/excel/functions/betadist-function" xr:uid="{6FBCE0FD-EA05-4DD5-813E-D537902B8B75}"/>
    <hyperlink ref="B46" r:id="rId38" display="https://support.microsoft.com/en-us/excel/functions/betainv-function" xr:uid="{7538E3B4-0946-4E82-A855-F415F63ABF0D}"/>
    <hyperlink ref="B47" r:id="rId39" display="https://support.microsoft.com/en-us/excel/functions/bin2dec-function" xr:uid="{8791B67E-A43B-467A-93C7-CE702423F0D4}"/>
    <hyperlink ref="B48" r:id="rId40" display="https://support.microsoft.com/en-us/excel/functions/bin2hex-function" xr:uid="{839A7BBB-CF28-408F-90F5-2B93ADF393DC}"/>
    <hyperlink ref="B49" r:id="rId41" display="https://support.microsoft.com/en-us/excel/functions/bin2oct-function" xr:uid="{59F35C77-8B3D-48D5-9A7B-0814E6A1367E}"/>
    <hyperlink ref="B50" r:id="rId42" display="https://support.microsoft.com/en-us/excel/functions/binom-dist-function" xr:uid="{6E750B67-1B03-4A5E-BC74-199428ECE7A9}"/>
    <hyperlink ref="B51" r:id="rId43" display="https://support.microsoft.com/en-us/excel/functions/binom-dist-range-function" xr:uid="{89EBF7BB-B4BE-4BCB-AC63-26CD3C7F5663}"/>
    <hyperlink ref="B52" r:id="rId44" display="https://support.microsoft.com/en-us/excel/functions/binom-inv-function" xr:uid="{D217C485-7479-44C1-8C69-8674F5FB8F6A}"/>
    <hyperlink ref="B53" r:id="rId45" display="https://support.microsoft.com/en-us/excel/functions/binomdist-function" xr:uid="{96FC0C3F-856E-4ACF-BDF8-E1FEA947A2B7}"/>
    <hyperlink ref="B54" r:id="rId46" display="https://support.microsoft.com/en-us/excel/functions/bitand-function" xr:uid="{BCE3A6E2-22E6-470F-B9BE-0D86F3550F3D}"/>
    <hyperlink ref="B55" r:id="rId47" display="https://support.microsoft.com/en-us/excel/functions/bitlshift-function" xr:uid="{6EC89859-5B80-4E1E-B654-E01D93AB74B0}"/>
    <hyperlink ref="B56" r:id="rId48" display="https://support.microsoft.com/en-us/excel/functions/bitor-function" xr:uid="{44E513D9-6411-4F94-AD80-F70D17864661}"/>
    <hyperlink ref="B57" r:id="rId49" display="https://support.microsoft.com/en-us/excel/functions/bitrshift-function" xr:uid="{BAA7A72A-30EE-4CE7-AC0C-63CA09684B01}"/>
    <hyperlink ref="B58" r:id="rId50" display="https://support.microsoft.com/en-us/excel/functions/bitxor-function" xr:uid="{366FC72A-A7F7-45F2-AEF1-9F6B44CD7F95}"/>
    <hyperlink ref="B59" r:id="rId51" display="https://support.microsoft.com/en-us/excel/functions/bycol-function" xr:uid="{B78C65D0-1DCA-4133-B4F6-5A1F582CE713}"/>
    <hyperlink ref="B60" r:id="rId52" display="https://support.microsoft.com/en-us/excel/functions/byrow-function" xr:uid="{F717EFF4-824D-4784-81D3-5999DA899BED}"/>
    <hyperlink ref="B61" r:id="rId53" display="https://support.microsoft.com/en-us/excel/functions/call-function" xr:uid="{85CD8686-B714-494E-880B-88F98027B0D5}"/>
    <hyperlink ref="B62" r:id="rId54" display="https://support.microsoft.com/en-us/excel/functions/ceiling-function" xr:uid="{31186909-1A87-4EDD-9CF7-58EBCB5FEDCC}"/>
    <hyperlink ref="B63" r:id="rId55" display="https://support.microsoft.com/en-us/excel/functions/ceiling-math-function" xr:uid="{77A45E2F-0997-4BF2-B749-D3C8885EAE25}"/>
    <hyperlink ref="B64" r:id="rId56" display="https://support.microsoft.com/en-us/excel/functions/ceiling-precise-function" xr:uid="{1F3B23D9-37AC-4E3B-BF47-2303D73A44CB}"/>
    <hyperlink ref="B65" r:id="rId57" display="https://support.microsoft.com/en-us/excel/functions/cell-function" xr:uid="{929E1D3B-80A4-4BF8-A833-78AEB66F585A}"/>
    <hyperlink ref="B66" r:id="rId58" display="https://support.microsoft.com/en-us/excel/functions/char-function" xr:uid="{62D1ABF3-C41D-4C86-92EE-A14A2DE33F42}"/>
    <hyperlink ref="B67" r:id="rId59" display="https://support.microsoft.com/en-us/excel/functions/chidist-function" xr:uid="{C0DF8D79-FD21-4859-BCCE-DB5933EF4D6C}"/>
    <hyperlink ref="B68" r:id="rId60" display="https://support.microsoft.com/en-us/excel/functions/chiinv-function" xr:uid="{63C79F4E-0F92-4FDB-8F00-6B9A37358995}"/>
    <hyperlink ref="B69" r:id="rId61" display="https://support.microsoft.com/en-us/excel/functions/chisq-dist-function" xr:uid="{3E3FB77A-B155-4685-BD64-83EEBF47141E}"/>
    <hyperlink ref="B70" r:id="rId62" display="https://support.microsoft.com/en-us/excel/functions/chisq-dist-rt-function" xr:uid="{C937971A-F248-44BB-9BCF-2E8250901995}"/>
    <hyperlink ref="B71" r:id="rId63" display="https://support.microsoft.com/en-us/excel/functions/chisq-inv-function" xr:uid="{C460F183-D2AE-426E-A1FB-B9BCF8EDB378}"/>
    <hyperlink ref="B72" r:id="rId64" display="https://support.microsoft.com/en-us/excel/functions/chisq-inv-rt-function" xr:uid="{8DB6F30E-38A6-4FFA-A639-3E745A613A24}"/>
    <hyperlink ref="B73" r:id="rId65" display="https://support.microsoft.com/en-us/excel/functions/chisq-test-function" xr:uid="{48DD8F82-5342-4BD2-AB80-9C4EEE2C8E60}"/>
    <hyperlink ref="B74" r:id="rId66" display="https://support.microsoft.com/en-us/excel/functions/chitest-function" xr:uid="{0D7B9ABE-FD15-44E4-996D-B7F399235AEE}"/>
    <hyperlink ref="B75" r:id="rId67" display="https://support.microsoft.com/en-us/excel/functions/choose-function" xr:uid="{5566DD5A-5F06-4C3C-A151-65C0AB1B329A}"/>
    <hyperlink ref="B76" r:id="rId68" display="https://support.microsoft.com/en-us/excel/functions/choosecols-function" xr:uid="{70297601-CB34-40E1-AB24-A904A2378E22}"/>
    <hyperlink ref="B77" r:id="rId69" display="https://support.microsoft.com/en-us/excel/functions/chooserows-function" xr:uid="{DC860F28-1387-42FE-90D9-58AB9BE913D5}"/>
    <hyperlink ref="B78" r:id="rId70" display="https://support.microsoft.com/en-us/excel/functions/clean-function" xr:uid="{5AB1F7EE-0BE1-479D-8DB5-A94820B91C74}"/>
    <hyperlink ref="B79" r:id="rId71" display="https://support.microsoft.com/en-us/excel/functions/code-function" xr:uid="{74978890-9F18-4D0D-B87F-C0CD3E33138E}"/>
    <hyperlink ref="B80" r:id="rId72" display="https://support.microsoft.com/en-us/excel/functions/column-function" xr:uid="{68C57E27-D325-4537-B283-5BFD6A266F86}"/>
    <hyperlink ref="B81" r:id="rId73" display="https://support.microsoft.com/en-us/excel/functions/columns-function" xr:uid="{2A63D6F6-0F2C-4580-B7F9-035842B5B58F}"/>
    <hyperlink ref="B82" r:id="rId74" display="https://support.microsoft.com/en-us/excel/functions/combin-function" xr:uid="{35CD9F48-620C-4A7A-997A-97092E7EAC84}"/>
    <hyperlink ref="B83" r:id="rId75" display="https://support.microsoft.com/en-us/excel/functions/combina-function" xr:uid="{449206E6-1739-4E56-AC5B-F1CA13CFC8A7}"/>
    <hyperlink ref="B84" r:id="rId76" display="https://support.microsoft.com/en-us/excel/functions/complex-function" xr:uid="{B0651BEB-2EF3-47A6-9ED0-8D27F8B49A61}"/>
    <hyperlink ref="B85" r:id="rId77" display="https://support.microsoft.com/en-us/excel/functions/concat-function" xr:uid="{12D1D875-6279-4C88-B1E0-05C8913697F1}"/>
    <hyperlink ref="B86" r:id="rId78" display="https://support.microsoft.com/en-us/excel/functions/concatenate-function" xr:uid="{8594EED3-50E5-4F41-944E-CE1FCF04661F}"/>
    <hyperlink ref="B87" r:id="rId79" display="https://support.microsoft.com/en-us/excel/functions/confidence-function" xr:uid="{83EA358D-4166-413A-9063-A9339FD06908}"/>
    <hyperlink ref="B88" r:id="rId80" display="https://support.microsoft.com/en-us/excel/functions/confidence-norm-function" xr:uid="{F6612C80-86CC-4EA6-8EE0-FD7EB14023F8}"/>
    <hyperlink ref="B89" r:id="rId81" display="https://support.microsoft.com/en-us/excel/functions/confidence-t-function" xr:uid="{AB872F98-E32A-4E3C-8911-6EA343A988D6}"/>
    <hyperlink ref="B90" r:id="rId82" display="https://support.microsoft.com/en-us/excel/functions/convert-function" xr:uid="{B89F08CE-BAB1-4D90-A197-D7F18D3A4D19}"/>
    <hyperlink ref="B91" r:id="rId83" display="https://support.microsoft.com/en-us/excel/functions/copilot-function" xr:uid="{D933E1FB-A75F-4E24-8497-E0A3AF482BDF}"/>
    <hyperlink ref="B92" r:id="rId84" display="https://support.microsoft.com/en-us/excel/functions/correl-function" xr:uid="{922A3E61-C8B0-4C1A-8F37-0DBA4F221ED9}"/>
    <hyperlink ref="B93" r:id="rId85" display="https://support.microsoft.com/en-us/excel/functions/cos-function" xr:uid="{472E4E02-56C2-410D-98C3-F54F489C50A4}"/>
    <hyperlink ref="B94" r:id="rId86" display="https://support.microsoft.com/en-us/excel/functions/cosh-function" xr:uid="{E13F6284-2156-45E3-AF14-04495387A1E9}"/>
    <hyperlink ref="B95" r:id="rId87" display="https://support.microsoft.com/en-us/excel/functions/cot-function" xr:uid="{F7B1BBEE-33C3-4B82-BE80-148E0955306E}"/>
    <hyperlink ref="B96" r:id="rId88" display="https://support.microsoft.com/en-us/excel/functions/coth-function" xr:uid="{461F242A-01EB-44BC-850D-333681167EBB}"/>
    <hyperlink ref="B97" r:id="rId89" display="https://support.microsoft.com/en-us/excel/functions/count-function" xr:uid="{ABE9D13D-9D81-4177-9C17-DF35E8292E2D}"/>
    <hyperlink ref="B98" r:id="rId90" display="https://support.microsoft.com/en-us/excel/functions/counta-function" xr:uid="{332907FB-269F-41DF-8BB2-49B57F9CA394}"/>
    <hyperlink ref="B99" r:id="rId91" display="https://support.microsoft.com/en-us/excel/functions/countblank-function" xr:uid="{42E2693F-4DC9-434D-8C66-DA14B2795ED4}"/>
    <hyperlink ref="B100" r:id="rId92" display="https://support.microsoft.com/en-us/excel/functions/countifs-function" xr:uid="{A2AEF388-07B6-4CC2-8E1D-59B89E91B17B}"/>
    <hyperlink ref="B101" r:id="rId93" display="https://support.microsoft.com/en-us/excel/functions/coupdaybs-function" xr:uid="{1585AC3E-6962-4B4E-AB65-60AF12496135}"/>
    <hyperlink ref="B102" r:id="rId94" display="https://support.microsoft.com/en-us/excel/functions/coupdays-function" xr:uid="{853CF132-47EB-43BC-AB56-91BDC80D7358}"/>
    <hyperlink ref="B103" r:id="rId95" display="https://support.microsoft.com/en-us/excel/functions/coupdaysnc-function" xr:uid="{890317A6-421E-4917-9FA0-ABE7F1FE9E6F}"/>
    <hyperlink ref="B104" r:id="rId96" display="https://support.microsoft.com/en-us/excel/functions/coupncd-function" xr:uid="{7E462837-0F90-4CA6-8F6F-10351B2A85C1}"/>
    <hyperlink ref="B105" r:id="rId97" display="https://support.microsoft.com/en-us/excel/functions/coupnum-function" xr:uid="{23789085-1255-4031-AF3E-5EE2260D4220}"/>
    <hyperlink ref="B106" r:id="rId98" display="https://support.microsoft.com/en-us/excel/functions/couppcd-function" xr:uid="{12283C64-EEE0-459C-A950-122168573895}"/>
    <hyperlink ref="B107" r:id="rId99" display="https://support.microsoft.com/en-us/excel/functions/covar-function" xr:uid="{AE5CB667-B179-4C5D-BB18-F938E21349ED}"/>
    <hyperlink ref="B108" r:id="rId100" display="https://support.microsoft.com/en-us/excel/functions/covariance-p-function" xr:uid="{EE3BD00B-3D99-43EF-AFB8-121BD95511AC}"/>
    <hyperlink ref="B109" r:id="rId101" display="https://support.microsoft.com/en-us/excel/functions/covariance-s-function" xr:uid="{20559B21-C99B-4AAB-BA8D-A12CCAB4034E}"/>
    <hyperlink ref="B110" r:id="rId102" display="https://support.microsoft.com/en-us/excel/functions/critbinom-function" xr:uid="{98395D1F-362E-481C-B3BF-F8253D2D8134}"/>
    <hyperlink ref="B111" r:id="rId103" display="https://support.microsoft.com/en-us/excel/functions/csc-function" xr:uid="{5A50B3AB-E921-4266-B729-282C68D01E19}"/>
    <hyperlink ref="B112" r:id="rId104" display="https://support.microsoft.com/en-us/excel/functions/csch-function" xr:uid="{8E336484-E91A-4EDA-BC7F-C0F46EF5FB26}"/>
    <hyperlink ref="B113" r:id="rId105" display="https://support.microsoft.com/en-us/excel/functions/cubekpimember-function" xr:uid="{D2A1F1DA-E5B4-4528-AE33-37151B77C774}"/>
    <hyperlink ref="B114" r:id="rId106" display="https://support.microsoft.com/en-us/excel/functions/cubemember-function" xr:uid="{962B712F-ABC5-4DA8-9028-E4B562BCC9D0}"/>
    <hyperlink ref="B115" r:id="rId107" display="https://support.microsoft.com/en-us/excel/functions/cubememberproperty-function" xr:uid="{062F9B18-36FE-47A8-9F11-C614E16D9145}"/>
    <hyperlink ref="B116" r:id="rId108" display="https://support.microsoft.com/en-us/excel/functions/cuberankedmember-function" xr:uid="{305014FC-6800-4252-86FF-9D3C03075BAD}"/>
    <hyperlink ref="B117" r:id="rId109" display="https://support.microsoft.com/en-us/excel/functions/cubeset-function" xr:uid="{F7372462-B1DC-4C77-8502-112743A4D5F4}"/>
    <hyperlink ref="B118" r:id="rId110" display="https://support.microsoft.com/en-us/excel/functions/cubesetcount-function" xr:uid="{BFBDAF83-6D4E-4D1E-8E0E-C7AB866629B8}"/>
    <hyperlink ref="B119" r:id="rId111" display="https://support.microsoft.com/en-us/excel/functions/cubevalue-function" xr:uid="{9B1E2A02-CFDC-43BC-B10E-0E05291C0CE5}"/>
    <hyperlink ref="B120" r:id="rId112" display="https://support.microsoft.com/en-us/excel/functions/cumipmt-function" xr:uid="{13C74495-1EAA-484E-B4DE-02E97F4D39CE}"/>
    <hyperlink ref="B121" r:id="rId113" display="https://support.microsoft.com/en-us/excel/functions/cumprinc-function" xr:uid="{65A70C4B-684B-4668-A80C-4F75BBA94BB5}"/>
    <hyperlink ref="B122" r:id="rId114" display="https://support.microsoft.com/en-us/excel/functions/date-function" xr:uid="{15B971AF-970D-4DF4-97C5-3256E4ACCF32}"/>
    <hyperlink ref="B123" r:id="rId115" display="https://support.microsoft.com/en-us/excel/functions/datedif-function" xr:uid="{0B262050-619D-4614-B69E-87AB54BE259C}"/>
    <hyperlink ref="B124" r:id="rId116" display="https://support.microsoft.com/en-us/excel/functions/datevalue-function" xr:uid="{0A973875-2BCE-4D9A-95FD-78729D35F7B6}"/>
    <hyperlink ref="B125" r:id="rId117" display="https://support.microsoft.com/en-us/excel/functions/daverage-function" xr:uid="{3F9A9799-C36E-4AF3-A9D4-B508923C7EA7}"/>
    <hyperlink ref="B126" r:id="rId118" display="https://support.microsoft.com/en-us/excel/functions/day-function" xr:uid="{D5A93E9A-511E-45BB-A524-AD3198718324}"/>
    <hyperlink ref="B127" r:id="rId119" display="https://support.microsoft.com/en-us/excel/functions/days-function" xr:uid="{270A2445-8DB1-4FEE-8550-C3A40060721D}"/>
    <hyperlink ref="B128" r:id="rId120" display="https://support.microsoft.com/en-us/excel/functions/days360-function" xr:uid="{08BAF9D7-72FB-4F7F-9E9D-059988308747}"/>
    <hyperlink ref="B129" r:id="rId121" display="https://support.microsoft.com/en-us/excel/functions/db-function" xr:uid="{E1CFCFE9-6ED6-4B97-917A-1BFADFCB66AE}"/>
    <hyperlink ref="B130" r:id="rId122" display="https://support.microsoft.com/en-us/excel/functions/dbcs-function" xr:uid="{496119ED-C8C3-49A5-92BB-92B8D3295CBF}"/>
    <hyperlink ref="B131" r:id="rId123" display="https://support.microsoft.com/en-us/excel/functions/dcount-function" xr:uid="{CF66224F-3186-4AE7-B53A-83AB96E701F0}"/>
    <hyperlink ref="B132" r:id="rId124" display="https://support.microsoft.com/en-us/excel/functions/dcounta-function" xr:uid="{78934B71-9BD5-4D78-9C88-F8EAAF19AAC8}"/>
    <hyperlink ref="B133" r:id="rId125" display="https://support.microsoft.com/en-us/excel/functions/ddb-function" xr:uid="{0E51A679-F444-432B-9443-DC52C8799EBC}"/>
    <hyperlink ref="B134" r:id="rId126" display="https://support.microsoft.com/en-us/excel/functions/dec2bin-function" xr:uid="{E8C9B80B-4468-48B6-B64A-1AD1C60A24A9}"/>
    <hyperlink ref="B135" r:id="rId127" display="https://support.microsoft.com/en-us/excel/functions/dec2hex-function" xr:uid="{3FFA9AF9-A440-4052-B74A-CA65D2BE5325}"/>
    <hyperlink ref="B136" r:id="rId128" display="https://support.microsoft.com/en-us/excel/functions/dec2oct-function" xr:uid="{5C91ACF9-66A6-4ABE-A80F-9B76C73F26FD}"/>
    <hyperlink ref="B137" r:id="rId129" display="https://support.microsoft.com/en-us/excel/functions/decimal-function" xr:uid="{AB513EBB-4674-4D81-9C1C-166CED0466C9}"/>
    <hyperlink ref="B138" r:id="rId130" display="https://support.microsoft.com/en-us/excel/functions/degrees-function" xr:uid="{5838D505-678B-4BF6-9DAE-DA62E51CE46B}"/>
    <hyperlink ref="B139" r:id="rId131" display="https://support.microsoft.com/en-us/excel/functions/delta-function" xr:uid="{704427C1-D8D0-425F-959E-2C82DFE8410E}"/>
    <hyperlink ref="B140" r:id="rId132" display="https://support.microsoft.com/en-us/excel/functions/detectlanguage-function" xr:uid="{598DA89B-4947-4453-8FAE-B3662592C890}"/>
    <hyperlink ref="B141" r:id="rId133" display="https://support.microsoft.com/en-us/excel/functions/devsq-function" xr:uid="{E06E5252-2255-41B7-A895-F84FF64EA406}"/>
    <hyperlink ref="B142" r:id="rId134" display="https://support.microsoft.com/en-us/excel/functions/dget-function" xr:uid="{11A068D0-07B5-4A1D-BD15-A0DFD9EF77AD}"/>
    <hyperlink ref="B143" r:id="rId135" display="https://support.microsoft.com/en-us/excel/functions/disc-function" xr:uid="{58BDBB8E-C0C9-4F6E-B631-66C937BD7FC0}"/>
    <hyperlink ref="B144" r:id="rId136" display="https://support.microsoft.com/en-us/excel/functions/dmax-function" xr:uid="{D8DACB7B-A3D6-4FD8-A1F0-6FE5D1DDFB83}"/>
    <hyperlink ref="B145" r:id="rId137" display="https://support.microsoft.com/en-us/excel/functions/dmin-function" xr:uid="{25C36E61-0349-41D3-AD42-E8A11946CAC1}"/>
    <hyperlink ref="B146" r:id="rId138" display="https://support.microsoft.com/en-us/excel/functions/dollar-function" xr:uid="{7B3DD19F-9289-4A10-8073-43568F98433F}"/>
    <hyperlink ref="B147" r:id="rId139" display="https://support.microsoft.com/en-us/excel/functions/dollarde-function" xr:uid="{40EE9C96-A691-4A7D-B1B8-0D31B0E734FF}"/>
    <hyperlink ref="B148" r:id="rId140" display="https://support.microsoft.com/en-us/excel/functions/dollarfr-function" xr:uid="{15BBEAF6-6C99-4A3A-B4D6-8F4CF0A742D0}"/>
    <hyperlink ref="B149" r:id="rId141" display="https://support.microsoft.com/en-us/excel/functions/dproduct-function" xr:uid="{571EFE6D-1582-4ED2-8022-09EE63BAB5B8}"/>
    <hyperlink ref="B150" r:id="rId142" display="https://support.microsoft.com/en-us/excel/functions/drop-function" xr:uid="{47341FA1-57E9-40BD-BAE2-84CB379FCFDC}"/>
    <hyperlink ref="B151" r:id="rId143" display="https://support.microsoft.com/en-us/excel/functions/dstdev-function" xr:uid="{8BA3A1FE-B0FE-49D0-878A-B98D461A29E9}"/>
    <hyperlink ref="B152" r:id="rId144" display="https://support.microsoft.com/en-us/excel/functions/dstdevp-function" xr:uid="{81D8ED78-98F3-4F16-A3EA-AB33E1A01374}"/>
    <hyperlink ref="B153" r:id="rId145" display="https://support.microsoft.com/en-us/excel/functions/dsum-function" xr:uid="{CAEE1402-FC89-47E4-9C75-54BC2DB0EEF8}"/>
    <hyperlink ref="B154" r:id="rId146" display="https://support.microsoft.com/en-us/excel/functions/duration-function" xr:uid="{B14B64CA-DBFE-4C74-BDB1-D61605A8FB6D}"/>
    <hyperlink ref="B155" r:id="rId147" display="https://support.microsoft.com/en-us/excel/functions/dvar-function" xr:uid="{254D502F-4368-4071-82A8-7B9D1EBF3739}"/>
    <hyperlink ref="B156" r:id="rId148" display="https://support.microsoft.com/en-us/excel/functions/dvarp-function" xr:uid="{2EA935C4-6EA1-48C5-BDC0-99587DA6F636}"/>
    <hyperlink ref="B158" r:id="rId149" display="https://support.microsoft.com/en-us/excel/functions/edate-function" xr:uid="{9A9BD99B-5944-41ED-997C-7379FD2A0957}"/>
    <hyperlink ref="B159" r:id="rId150" display="https://support.microsoft.com/en-us/excel/functions/effect-function" xr:uid="{BD6418E4-FDD0-4C34-846B-02BB83792B4F}"/>
    <hyperlink ref="B160" r:id="rId151" display="https://support.microsoft.com/en-us/excel/functions/encodeurl-function" xr:uid="{A5F5E892-6FBE-48AD-89CA-D5FADBD794B0}"/>
    <hyperlink ref="B161" r:id="rId152" display="https://support.microsoft.com/en-us/excel/functions/eomonth-function" xr:uid="{E5E21AEF-3242-4068-AF9B-C4912910FED9}"/>
    <hyperlink ref="B162" r:id="rId153" display="https://support.microsoft.com/en-us/excel/functions/erf-function" xr:uid="{D2C02642-4B33-4C57-943C-5CB5D36806EC}"/>
    <hyperlink ref="B163" r:id="rId154" display="https://support.microsoft.com/en-us/excel/functions/erf-precise-function" xr:uid="{DF781EA8-96BD-4108-9A8C-65DA53B42A68}"/>
    <hyperlink ref="B164" r:id="rId155" display="https://support.microsoft.com/en-us/excel/functions/erfc-function" xr:uid="{B006D7D9-9B35-4D96-ACE6-C7FF64572696}"/>
    <hyperlink ref="B165" r:id="rId156" display="https://support.microsoft.com/en-us/excel/functions/erfc-precise-function" xr:uid="{5EA2EBDF-1031-4942-9813-2B59CA52F90A}"/>
    <hyperlink ref="B166" r:id="rId157" display="https://support.microsoft.com/en-us/excel/functions/error-type-function" xr:uid="{4D0D60B7-A459-4B49-84EF-56C21F61E148}"/>
    <hyperlink ref="B167" r:id="rId158" display="https://support.microsoft.com/en-us/excel/functions/euroconvert-function" xr:uid="{795A425A-E04D-4F2D-957B-E2D2E9558AAC}"/>
    <hyperlink ref="B168" r:id="rId159" display="https://support.microsoft.com/en-us/excel/functions/even-function" xr:uid="{2480498D-7AEE-4CD7-BC5A-EE41A2720F6C}"/>
    <hyperlink ref="B169" r:id="rId160" display="https://support.microsoft.com/en-us/excel/functions/exact-function" xr:uid="{7B55EE9E-35B5-44FF-8074-EB8E038687A4}"/>
    <hyperlink ref="B170" r:id="rId161" display="https://support.microsoft.com/en-us/excel/functions/exp-function" xr:uid="{317AC729-65AB-49AA-8278-99FD552DED5D}"/>
    <hyperlink ref="B171" r:id="rId162" display="https://support.microsoft.com/en-us/excel/functions/expand-function" xr:uid="{26A8ADF9-28AE-41F5-8900-7D88C1AA5DA2}"/>
    <hyperlink ref="B172" r:id="rId163" display="https://support.microsoft.com/en-us/excel/functions/expon-dist-function" xr:uid="{85D73380-A050-4468-994C-B9A7860B060C}"/>
    <hyperlink ref="B173" r:id="rId164" display="https://support.microsoft.com/en-us/excel/functions/expondist-function" xr:uid="{8DFD78EE-D11B-49A7-BDC6-E0548EF44B63}"/>
    <hyperlink ref="B174" r:id="rId165" display="https://support.microsoft.com/en-us/excel/functions/f-dist-function" xr:uid="{7EFF1DC0-13EB-4A5B-82FF-4C0F7278C5A9}"/>
    <hyperlink ref="B175" r:id="rId166" display="https://support.microsoft.com/en-us/excel/functions/f-dist-rt-function" xr:uid="{99EBFDCC-76E5-4F0D-B326-5C0E140BCFA6}"/>
    <hyperlink ref="B176" r:id="rId167" display="https://support.microsoft.com/en-us/excel/functions/f-inv-function" xr:uid="{9A878742-36A2-476D-93D4-6467F51FA0BC}"/>
    <hyperlink ref="B177" r:id="rId168" display="https://support.microsoft.com/en-us/excel/functions/f-inv-rt-function" xr:uid="{6E359639-D5E9-495D-AEC9-6C14BA968D39}"/>
    <hyperlink ref="B178" r:id="rId169" display="https://support.microsoft.com/en-us/excel/functions/f-test-function" xr:uid="{CCF569D4-5180-42C4-A638-DD3BC2486361}"/>
    <hyperlink ref="B179" r:id="rId170" display="https://support.microsoft.com/en-us/excel/functions/fact-function" xr:uid="{94A61DD6-0EBD-42A2-8596-40A0D0690D33}"/>
    <hyperlink ref="B180" r:id="rId171" display="https://support.microsoft.com/en-us/excel/functions/factdouble-function" xr:uid="{EAFE5308-FE42-40A7-A775-149B023C10AF}"/>
    <hyperlink ref="B181" r:id="rId172" display="https://support.microsoft.com/en-us/excel/functions/false-function" xr:uid="{3F1E2FEE-7F31-42FB-AB3B-FEE9B97A1BA6}"/>
    <hyperlink ref="B182" r:id="rId173" display="https://support.microsoft.com/en-us/excel/functions/fdist-function" xr:uid="{195032EE-CE14-4CEE-83B5-3531F510EEF4}"/>
    <hyperlink ref="B183" r:id="rId174" display="https://support.microsoft.com/en-us/excel/functions/fieldvalue-function" xr:uid="{4979397D-2F5B-4B41-9488-5934A08188F6}"/>
    <hyperlink ref="B184" r:id="rId175" display="https://support.microsoft.com/en-us/excel/functions/filter-function" xr:uid="{7C8794BA-88EB-4AF2-9D83-00A155979B49}"/>
    <hyperlink ref="B185" r:id="rId176" display="https://support.microsoft.com/en-us/excel/functions/filterxml-function" xr:uid="{8AACA9BA-CBBB-402D-8E47-305234A43554}"/>
    <hyperlink ref="B188" r:id="rId177" display="https://support.microsoft.com/en-us/excel/functions/finv-function" xr:uid="{794F40CD-4B93-4B06-899A-118200ECB7D8}"/>
    <hyperlink ref="B189" r:id="rId178" display="https://support.microsoft.com/en-us/excel/functions/fisher-function" xr:uid="{91855DB2-44AD-49FF-ADBC-5AE3E24D5555}"/>
    <hyperlink ref="B190" r:id="rId179" display="https://support.microsoft.com/en-us/excel/functions/fisherinv-function" xr:uid="{012FB9A8-F65A-4BD1-B568-348E75B0592E}"/>
    <hyperlink ref="B191" r:id="rId180" display="https://support.microsoft.com/en-us/excel/functions/fixed-function" xr:uid="{09AED500-F920-437E-8C9E-A5B1F2BBEFE7}"/>
    <hyperlink ref="B192" r:id="rId181" display="https://support.microsoft.com/en-us/excel/functions/floor-function" xr:uid="{B55BED2E-107B-4A5D-BAE8-2A1CC6DA281B}"/>
    <hyperlink ref="B193" r:id="rId182" display="https://support.microsoft.com/en-us/excel/functions/floor-math-function" xr:uid="{26E72E8F-DC9B-4787-B831-803B2DE9209F}"/>
    <hyperlink ref="B194" r:id="rId183" display="https://support.microsoft.com/en-us/excel/functions/floor-precise-function" xr:uid="{EE393E12-0B9C-48D5-968F-DA21A67A71E7}"/>
    <hyperlink ref="B195" r:id="rId184" display="https://support.microsoft.com/en-us/excel/functions/forecast-and-forecast-linear-functions" xr:uid="{3391E8AA-DA2E-4CA5-90DD-082D41E31515}"/>
    <hyperlink ref="B196" r:id="rId185" display="https://support.microsoft.com/en-us/excel/functions/forecast-ets-function" xr:uid="{768CA33C-1AA3-4133-9837-8C238A8AD987}"/>
    <hyperlink ref="B197" r:id="rId186" display="https://support.microsoft.com/en-us/excel/functions/forecast-ets-confint-function" xr:uid="{9B106435-8B70-4E80-98EF-CEBE955864BB}"/>
    <hyperlink ref="B198" r:id="rId187" display="https://support.microsoft.com/en-us/excel/functions/forecast-ets-seasonality-function" xr:uid="{5B88E60F-8067-4CB9-9D0B-966BCBDB8B60}"/>
    <hyperlink ref="B199" r:id="rId188" display="https://support.microsoft.com/en-us/excel/functions/forecast-ets-stat-function" xr:uid="{8C6EE290-5BAA-4F20-B68A-06C2C9421A79}"/>
    <hyperlink ref="B201" r:id="rId189" display="https://support.microsoft.com/en-us/excel/functions/formulatext-function" xr:uid="{75F6EE4F-83DA-4D44-BE24-57FBE98608B8}"/>
    <hyperlink ref="B202" r:id="rId190" display="https://support.microsoft.com/en-us/excel/functions/frequency-function" xr:uid="{DDF85F49-B0E0-4C2E-ACED-17235AF946F8}"/>
    <hyperlink ref="B203" r:id="rId191" display="https://support.microsoft.com/en-us/excel/functions/ftest-function" xr:uid="{A6016A12-E1AC-493A-ADFD-A31BE9FA8D53}"/>
    <hyperlink ref="B204" r:id="rId192" display="https://support.microsoft.com/en-us/excel/functions/fv-function" xr:uid="{DED87589-1D06-4012-A3D5-82F0368E0FA2}"/>
    <hyperlink ref="B205" r:id="rId193" display="https://support.microsoft.com/en-us/excel/functions/fvschedule-function" xr:uid="{91DEA5EC-2B17-47D0-962C-7D5E1B1A9449}"/>
    <hyperlink ref="B206" r:id="rId194" display="https://support.microsoft.com/en-us/excel/functions/gamma-function" xr:uid="{59C88056-D2D1-44EA-8284-6F7BA3F34514}"/>
    <hyperlink ref="B207" r:id="rId195" display="https://support.microsoft.com/en-us/excel/functions/gamma-dist-function" xr:uid="{9E590530-5C77-4923-A439-C73025CAC0BC}"/>
    <hyperlink ref="B208" r:id="rId196" display="https://support.microsoft.com/en-us/excel/functions/gamma-inv-function" xr:uid="{2AB9326C-94CF-4E8E-8DD2-75CBA1DE4F58}"/>
    <hyperlink ref="B209" r:id="rId197" display="https://support.microsoft.com/en-us/excel/functions/gammadist-function" xr:uid="{A47F0D48-324A-40FA-9915-07230A7077F2}"/>
    <hyperlink ref="B210" r:id="rId198" display="https://support.microsoft.com/en-us/excel/functions/gammainv-function" xr:uid="{9DC68BF5-C60B-442B-BFAD-FB3499C0FE45}"/>
    <hyperlink ref="B211" r:id="rId199" display="https://support.microsoft.com/en-us/excel/functions/gammaln-function" xr:uid="{DE27AECD-EAC4-4D2A-8281-590126B3C0AB}"/>
    <hyperlink ref="B212" r:id="rId200" display="https://support.microsoft.com/en-us/excel/functions/gammaln-precise-function" xr:uid="{097BCD80-0EF0-4EE5-BABC-EF4DDC6D60A3}"/>
    <hyperlink ref="B213" r:id="rId201" display="https://support.microsoft.com/en-us/excel/functions/gauss-function" xr:uid="{BF467A95-6470-4B5E-9A30-7D08D2B0F89A}"/>
    <hyperlink ref="B214" r:id="rId202" display="https://support.microsoft.com/en-us/excel/functions/gcd-function" xr:uid="{A07101F8-65A0-4B54-B8C4-90D72AD46530}"/>
    <hyperlink ref="B215" r:id="rId203" display="https://support.microsoft.com/en-us/excel/functions/geomean-function" xr:uid="{16F6D835-EFA9-4352-ADAF-17C69BB32645}"/>
    <hyperlink ref="B216" r:id="rId204" display="https://support.microsoft.com/en-us/excel/functions/gestep-function" xr:uid="{74DBFA06-5265-4311-8F30-BE1C6031C907}"/>
    <hyperlink ref="B217" r:id="rId205" display="https://support.microsoft.com/en-us/excel/functions/getpivotdata-function" xr:uid="{C99B5BB6-FF47-46B1-9AC2-0B35B9AE3CC1}"/>
    <hyperlink ref="B218" r:id="rId206" display="https://support.microsoft.com/en-us/excel/functions/groupby-function" xr:uid="{18D26FD0-5D73-4FF7-A60C-9630E8C74DBE}"/>
    <hyperlink ref="B219" r:id="rId207" display="https://support.microsoft.com/en-us/excel/functions/growth-function" xr:uid="{A5946B1E-93BF-4FB6-912E-8DE92F86A7DB}"/>
    <hyperlink ref="B220" r:id="rId208" display="https://support.microsoft.com/en-us/excel/functions/harmean-function" xr:uid="{766AE7E9-A8B1-46CB-9D2A-A50D15FD31D3}"/>
    <hyperlink ref="B221" r:id="rId209" display="https://support.microsoft.com/en-us/excel/functions/hex2bin-function" xr:uid="{960FD47E-01DD-4562-9CFC-076CE239A01F}"/>
    <hyperlink ref="B222" r:id="rId210" display="https://support.microsoft.com/en-us/excel/functions/hex2dec-function" xr:uid="{F8B13776-49A9-4DDA-8272-1C2B0E009D24}"/>
    <hyperlink ref="B223" r:id="rId211" display="https://support.microsoft.com/en-us/excel/functions/hex2oct-function" xr:uid="{E1CAF3C7-E7D2-447B-A332-3C14192316B0}"/>
    <hyperlink ref="B224" r:id="rId212" display="https://support.microsoft.com/en-us/excel/functions/hlookup-function" xr:uid="{75E81384-9E86-4512-B580-F4E6ADB2B586}"/>
    <hyperlink ref="B225" r:id="rId213" display="https://support.microsoft.com/en-us/excel/functions/hour-function" xr:uid="{8901348F-02C6-4335-8DEF-38CF81F7D8D9}"/>
    <hyperlink ref="B226" r:id="rId214" display="https://support.microsoft.com/en-us/excel/functions/hstack-function" xr:uid="{1BC203FC-8179-4DD5-8A0B-B7703337B763}"/>
    <hyperlink ref="B227" r:id="rId215" display="https://support.microsoft.com/en-us/excel/functions/hyperlink-function" xr:uid="{8C0E8084-1AB9-4D68-A4B0-17C82D1EA5B9}"/>
    <hyperlink ref="B228" r:id="rId216" display="https://support.microsoft.com/en-us/excel/functions/hypgeom-dist-function" xr:uid="{24142A6F-A8F9-4159-92DF-86A11BE95056}"/>
    <hyperlink ref="B229" r:id="rId217" display="https://support.microsoft.com/en-us/excel/functions/hypgeomdist-function" xr:uid="{A7927E8D-FBDA-4BDA-BFF0-DF17824A7207}"/>
    <hyperlink ref="B230" r:id="rId218" display="https://support.microsoft.com/en-us/excel/functions/if-function" xr:uid="{CDB71D89-F2AE-4E29-976B-0DE2EB953712}"/>
    <hyperlink ref="B231" r:id="rId219" display="https://support.microsoft.com/en-us/excel/functions/iferror-function" xr:uid="{9C88D1BC-0C8A-41F3-A53F-4E1F543D0089}"/>
    <hyperlink ref="B232" r:id="rId220" display="https://support.microsoft.com/en-us/excel/functions/ifna-function" xr:uid="{9D1A8AA4-6FC0-484A-BB8C-DC3F8D402895}"/>
    <hyperlink ref="B233" r:id="rId221" display="https://support.microsoft.com/en-us/excel/functions/ifs-function" xr:uid="{7A0AAA90-6D2B-4E92-8649-E0A5E62E2FDF}"/>
    <hyperlink ref="B234" r:id="rId222" display="https://support.microsoft.com/en-us/excel/functions/imabs-function" xr:uid="{CA4ECCE6-71B4-40ED-863C-9809882C14FE}"/>
    <hyperlink ref="B235" r:id="rId223" display="https://support.microsoft.com/en-us/excel/functions/image-function" xr:uid="{A2C4AE96-595E-4CFD-9F24-7ED0475AAD2D}"/>
    <hyperlink ref="B236" r:id="rId224" display="https://support.microsoft.com/en-us/excel/functions/imaginary-function" xr:uid="{E7E2151F-5B28-42FB-86B2-9C02E282A2CA}"/>
    <hyperlink ref="B237" r:id="rId225" display="https://support.microsoft.com/en-us/excel/functions/imargument-function" xr:uid="{0910201A-4F6A-4FDA-8630-23606E1B3696}"/>
    <hyperlink ref="B238" r:id="rId226" display="https://support.microsoft.com/en-us/excel/functions/imconjugate-function" xr:uid="{3D26F391-369B-44DE-905A-349139FE1E49}"/>
    <hyperlink ref="B239" r:id="rId227" display="https://support.microsoft.com/en-us/excel/functions/imcos-function" xr:uid="{AAF2C300-AF1A-4187-A9FB-0E9001853878}"/>
    <hyperlink ref="B240" r:id="rId228" display="https://support.microsoft.com/en-us/excel/functions/imcosh-function" xr:uid="{3078BCD7-5A75-4D9B-A86E-87BF9880C86F}"/>
    <hyperlink ref="B241" r:id="rId229" display="https://support.microsoft.com/en-us/excel/functions/imcot-function" xr:uid="{E5335E48-5625-4C66-BCDA-2CCD5AC6C4AE}"/>
    <hyperlink ref="B242" r:id="rId230" display="https://support.microsoft.com/en-us/excel/functions/imcsc-function" xr:uid="{01D1DDE5-2043-408B-8738-00A44E285C17}"/>
    <hyperlink ref="B243" r:id="rId231" display="https://support.microsoft.com/en-us/excel/functions/imcsch-function" xr:uid="{AD128FBE-F66B-4851-BC1D-51FCAFEEA36B}"/>
    <hyperlink ref="B244" r:id="rId232" display="https://support.microsoft.com/en-us/excel/functions/imdiv-function" xr:uid="{3AF427D8-C31A-43D7-9083-094611D81B02}"/>
    <hyperlink ref="B245" r:id="rId233" display="https://support.microsoft.com/en-us/excel/functions/imexp-function" xr:uid="{591C98EF-2AAC-4388-B0CD-9EC960A18B25}"/>
    <hyperlink ref="B246" r:id="rId234" display="https://support.microsoft.com/en-us/excel/functions/imln-function" xr:uid="{6FFC3480-12A3-406F-9DA3-99D8ADFC9E6C}"/>
    <hyperlink ref="B247" r:id="rId235" display="https://support.microsoft.com/en-us/excel/functions/imlog10-function" xr:uid="{1780FA60-3121-455C-B23B-539BF38833FB}"/>
    <hyperlink ref="B248" r:id="rId236" display="https://support.microsoft.com/en-us/excel/functions/imlog2-function" xr:uid="{5C6E1D5E-A246-4EB4-A12C-A351F699637A}"/>
    <hyperlink ref="B249" r:id="rId237" display="https://support.microsoft.com/en-us/excel/functions/importcsv-function" xr:uid="{BA22FD37-4D83-4C0A-B743-45C67EC59D81}"/>
    <hyperlink ref="B250" r:id="rId238" display="https://support.microsoft.com/en-us/excel/functions/importtext-function" xr:uid="{FB4B2276-CAA5-4231-BABA-F1BB584DF1F7}"/>
    <hyperlink ref="B251" r:id="rId239" display="https://support.microsoft.com/en-us/excel/functions/impower-function" xr:uid="{FA0A26D7-DC20-4EA4-ABA1-4AF87478E2B0}"/>
    <hyperlink ref="B252" r:id="rId240" display="https://support.microsoft.com/en-us/excel/functions/improduct-function" xr:uid="{7079625A-39DA-42C0-BBEA-897337BE2C37}"/>
    <hyperlink ref="B253" r:id="rId241" display="https://support.microsoft.com/en-us/excel/functions/imreal-function" xr:uid="{15BC973A-9AAC-41FA-9448-076D2C1CB10F}"/>
    <hyperlink ref="B254" r:id="rId242" display="https://support.microsoft.com/en-us/excel/functions/imsec-function" xr:uid="{840F7BAD-506F-45AC-8818-012FE1A9F802}"/>
    <hyperlink ref="B255" r:id="rId243" display="https://support.microsoft.com/en-us/excel/functions/imsech-function" xr:uid="{7E9FF9BE-E5AC-4AD1-AD6F-EC3225A52AEA}"/>
    <hyperlink ref="B256" r:id="rId244" display="https://support.microsoft.com/en-us/excel/functions/imsin-function" xr:uid="{A049B350-04DA-4155-9BEE-7A476F6A662A}"/>
    <hyperlink ref="B257" r:id="rId245" display="https://support.microsoft.com/en-us/excel/functions/imsinh-function" xr:uid="{78D4DD03-A59F-45D6-BD3A-30C093722D06}"/>
    <hyperlink ref="B258" r:id="rId246" display="https://support.microsoft.com/en-us/excel/functions/imsqrt-function" xr:uid="{37C6E2C6-4BCD-43DD-BF9A-AEDCA272C301}"/>
    <hyperlink ref="B259" r:id="rId247" display="https://support.microsoft.com/en-us/excel/functions/imsub-function" xr:uid="{27353CE6-5DCA-4B30-8AFB-0AEC868F4322}"/>
    <hyperlink ref="B260" r:id="rId248" display="https://support.microsoft.com/en-us/excel/functions/imsum-function" xr:uid="{89D1CD43-2F60-4787-8985-B85A7C597C57}"/>
    <hyperlink ref="B261" r:id="rId249" display="https://support.microsoft.com/en-us/excel/functions/imtan-function" xr:uid="{D75F9F73-0209-4F6D-8CB5-7BD4C1AA956D}"/>
    <hyperlink ref="B262" r:id="rId250" display="https://support.microsoft.com/en-us/excel/functions/index-function" xr:uid="{B42CAD49-AEF9-49C4-9FEF-DD7AC083479D}"/>
    <hyperlink ref="B263" r:id="rId251" display="https://support.microsoft.com/en-us/excel/functions/indirect-function" xr:uid="{A520A48F-11E6-4065-B9C5-03F4AA42D45A}"/>
    <hyperlink ref="B264" r:id="rId252" display="https://support.microsoft.com/en-us/excel/functions/info-function" xr:uid="{1D26DD89-AF81-474B-A1FE-DDE897E784FD}"/>
    <hyperlink ref="B265" r:id="rId253" display="https://support.microsoft.com/en-us/excel/functions/int-function" xr:uid="{45FE0802-7E2B-4B28-8A90-1086A9411F38}"/>
    <hyperlink ref="B266" r:id="rId254" display="https://support.microsoft.com/en-us/excel/functions/intercept-function" xr:uid="{ECDF3728-9267-4476-9414-A15415082F24}"/>
    <hyperlink ref="B267" r:id="rId255" display="https://support.microsoft.com/en-us/excel/functions/intrate-function" xr:uid="{EF669D5D-0296-4707-A200-BA726A299BDF}"/>
    <hyperlink ref="B268" r:id="rId256" display="https://support.microsoft.com/en-us/excel/functions/ipmt-function" xr:uid="{130DBC0D-D052-464C-8354-903AD95989B6}"/>
    <hyperlink ref="B269" r:id="rId257" display="https://support.microsoft.com/en-us/excel/functions/irr-function" xr:uid="{8AE838FE-4756-4EA5-8E2B-932F60B68F9C}"/>
    <hyperlink ref="B270" r:id="rId258" display="https://support.microsoft.com/en-us/excel/functions/is-functions" xr:uid="{CC562EF7-5D28-4ADB-8F2D-DD64E646A8EA}"/>
    <hyperlink ref="B273" r:id="rId259" display="https://support.microsoft.com/en-us/excel/functions/iseven-function" xr:uid="{217DB2DD-FF81-40D7-B6C7-1A032A3FD514}"/>
    <hyperlink ref="B274" r:id="rId260" display="https://support.microsoft.com/en-us/excel/functions/isformula-function" xr:uid="{3D8DBEB1-A4B3-4A4E-A476-E49F82C38181}"/>
    <hyperlink ref="B279" r:id="rId261" display="https://support.microsoft.com/en-us/excel/functions/iso-ceiling-function" xr:uid="{CC1376E1-5296-4C75-806D-5C8CC4EDCD7E}"/>
    <hyperlink ref="B280" r:id="rId262" display="https://support.microsoft.com/en-us/excel/functions/isodd-function" xr:uid="{5D13852F-5333-4C3A-A50B-4F4A205CF7B6}"/>
    <hyperlink ref="B281" r:id="rId263" display="https://support.microsoft.com/en-us/excel/functions/isomitted-function" xr:uid="{5EA75872-02CF-4C26-892C-33B348F143D1}"/>
    <hyperlink ref="B282" r:id="rId264" display="https://support.microsoft.com/en-us/excel/functions/isoweeknum-function" xr:uid="{CB5B4F11-5AE5-48DA-9459-87DCB9E4EF7A}"/>
    <hyperlink ref="B283" r:id="rId265" display="https://support.microsoft.com/en-us/excel/functions/ispmt-function" xr:uid="{19A4C823-899B-4CE9-9E25-C5E64D7677D5}"/>
    <hyperlink ref="B286" r:id="rId266" display="https://support.microsoft.com/en-us/excel/functions/jis-function" xr:uid="{7A30C71D-F897-4257-A9AA-41BAD750FF1E}"/>
    <hyperlink ref="B287" r:id="rId267" display="https://support.microsoft.com/en-us/excel/functions/kurt-function" xr:uid="{F1C226DB-C587-4F71-8F4C-00F2A758541F}"/>
    <hyperlink ref="B288" r:id="rId268" display="https://support.microsoft.com/en-us/excel/functions/lambda-function" xr:uid="{C4B03031-CE2C-4327-8407-54B0B0478EE1}"/>
    <hyperlink ref="B289" r:id="rId269" display="https://support.microsoft.com/en-us/excel/functions/large-function" xr:uid="{03EE345B-2C64-49A1-8012-5568E4124C43}"/>
    <hyperlink ref="B290" r:id="rId270" display="https://support.microsoft.com/en-us/excel/functions/lcm-function" xr:uid="{4CF73566-2199-45AF-B19C-E880312332B1}"/>
    <hyperlink ref="B291" r:id="rId271" display="https://support.microsoft.com/en-us/excel/functions/left-function" xr:uid="{3FB4B65C-506C-46F9-BC61-670AA6DC0AA3}"/>
    <hyperlink ref="B293" r:id="rId272" display="https://support.microsoft.com/en-us/excel/functions/len-function" xr:uid="{CA623E75-6FB3-4B2A-B5E4-E5F5EE051574}"/>
    <hyperlink ref="B295" r:id="rId273" display="https://support.microsoft.com/en-us/excel/functions/let-function" xr:uid="{E9FBDD0F-5C04-4803-8CCF-D4A956B8B486}"/>
    <hyperlink ref="B296" r:id="rId274" display="https://support.microsoft.com/en-us/excel/functions/linest-function" xr:uid="{B51A9434-F7FD-46CE-AD9F-2D20669C69E8}"/>
    <hyperlink ref="B297" r:id="rId275" display="https://support.microsoft.com/en-us/excel/functions/ln-function" xr:uid="{21430CF6-6375-416D-959A-2C970B6D2FAD}"/>
    <hyperlink ref="B298" r:id="rId276" display="https://support.microsoft.com/en-us/excel/functions/log-function" xr:uid="{5DE4876E-DDA4-46B2-9CF7-1139F1BA40CF}"/>
    <hyperlink ref="B299" r:id="rId277" display="https://support.microsoft.com/en-us/excel/functions/log10-function" xr:uid="{58C3F4FA-AEDD-4A9C-B1D9-5B261FDD099E}"/>
    <hyperlink ref="B300" r:id="rId278" display="https://support.microsoft.com/en-us/excel/functions/logest-function" xr:uid="{16D1A281-2C97-4612-BDD5-BEEF7DEEE4DD}"/>
    <hyperlink ref="B301" r:id="rId279" display="https://support.microsoft.com/en-us/excel/functions/loginv-function" xr:uid="{3C1E1E76-1D19-4282-BF41-C5547E1A2096}"/>
    <hyperlink ref="B302" r:id="rId280" display="https://support.microsoft.com/en-us/excel/functions/lognorm-dist-function" xr:uid="{A04D78E1-B963-41B1-9088-4E36EE07A658}"/>
    <hyperlink ref="B303" r:id="rId281" display="https://support.microsoft.com/en-us/excel/functions/lognorm-inv-function" xr:uid="{8BF68D69-BD8B-4F8A-977F-8A79641704BA}"/>
    <hyperlink ref="B304" r:id="rId282" display="https://support.microsoft.com/en-us/excel/functions/lognormdist-function" xr:uid="{AC06A044-3BF1-4454-943E-D1D16796691D}"/>
    <hyperlink ref="B305" r:id="rId283" display="https://support.microsoft.com/en-us/excel/functions/lookup-function" xr:uid="{D6A1BB24-4F18-4213-B9F3-E85968F505D8}"/>
    <hyperlink ref="B306" r:id="rId284" display="https://support.microsoft.com/en-us/excel/functions/lower-function" xr:uid="{40F40356-D6A3-47AE-8F0F-A47EC1CD3C0A}"/>
    <hyperlink ref="B307" r:id="rId285" display="https://support.microsoft.com/en-us/excel/functions/makearray-function" xr:uid="{57539DF2-1C56-4E04-9FD2-27A5E580C45C}"/>
    <hyperlink ref="B308" r:id="rId286" display="https://support.microsoft.com/en-us/excel/functions/map-function" xr:uid="{497DB782-46E8-4B99-AA69-62AF5499A37E}"/>
    <hyperlink ref="B309" r:id="rId287" display="https://support.microsoft.com/en-us/excel/functions/match-function" xr:uid="{828361B7-C792-42A1-A32C-DF55E9966D7A}"/>
    <hyperlink ref="B310" r:id="rId288" display="https://support.microsoft.com/en-us/excel/functions/max-function" xr:uid="{DE1C9786-ABB2-4266-9074-EB25140CAE3B}"/>
    <hyperlink ref="B311" r:id="rId289" display="https://support.microsoft.com/en-us/excel/functions/maxa-function" xr:uid="{3539C1E1-751D-49F2-8B84-BE95E5BAE0F4}"/>
    <hyperlink ref="B312" r:id="rId290" display="https://support.microsoft.com/en-us/excel/functions/maxifs-function" xr:uid="{7432E30D-68B1-42D6-ACD6-5B3D2A638914}"/>
    <hyperlink ref="B313" r:id="rId291" display="https://support.microsoft.com/en-us/excel/functions/mdeterm-function" xr:uid="{9AAA459F-AB3B-4E75-91B9-1707AB1A1E53}"/>
    <hyperlink ref="B314" r:id="rId292" display="https://support.microsoft.com/en-us/excel/functions/mduration-function" xr:uid="{886B191C-9DF4-44EF-AE88-E1C8BB680FBC}"/>
    <hyperlink ref="B315" r:id="rId293" display="https://support.microsoft.com/en-us/excel/functions/median-function" xr:uid="{342318B1-CA45-4288-95C9-3C26CAFCE13F}"/>
    <hyperlink ref="B316" r:id="rId294" display="https://support.microsoft.com/en-us/excel/functions/mid-function" xr:uid="{CFC77B8C-4805-4AC9-B6E2-B11756617C02}"/>
    <hyperlink ref="B318" r:id="rId295" display="https://support.microsoft.com/en-us/excel/functions/min-function" xr:uid="{540ABD0C-5783-4FAF-9AB7-89B253551B74}"/>
    <hyperlink ref="B319" r:id="rId296" display="https://support.microsoft.com/en-us/excel/functions/mina-function" xr:uid="{BF6D69DB-B152-4E9E-98C5-221156C76186}"/>
    <hyperlink ref="B320" r:id="rId297" display="https://support.microsoft.com/en-us/excel/functions/minifs-function" xr:uid="{C62E17EA-F52D-49B1-87B6-50DF423B4ACD}"/>
    <hyperlink ref="B321" r:id="rId298" display="https://support.microsoft.com/en-us/excel/functions/minute-function" xr:uid="{689DE3F4-8318-463B-BC94-FD025EAF24C3}"/>
    <hyperlink ref="B322" r:id="rId299" display="https://support.microsoft.com/en-us/excel/functions/minverse-function" xr:uid="{FEF52FD8-CCEC-45F6-9A7E-E612AD451803}"/>
    <hyperlink ref="B323" r:id="rId300" display="https://support.microsoft.com/en-us/excel/functions/mirr-function" xr:uid="{EF6D7823-1AE8-4CE2-A3F6-3B1595086243}"/>
    <hyperlink ref="B324" r:id="rId301" display="https://support.microsoft.com/en-us/excel/functions/mmult-function" xr:uid="{D8BF0050-7D3A-4AE8-87D8-40353B8AD7A7}"/>
    <hyperlink ref="B325" r:id="rId302" display="https://support.microsoft.com/en-us/excel/functions/mod-function" xr:uid="{BEDD7894-C419-4458-A5DB-56B48411B85F}"/>
    <hyperlink ref="B326" r:id="rId303" display="https://support.microsoft.com/en-us/excel/functions/mode-function" xr:uid="{27913D62-9E71-4032-9062-04FBFC0CD79D}"/>
    <hyperlink ref="B327" r:id="rId304" display="https://support.microsoft.com/en-us/excel/functions/mode-mult-function" xr:uid="{D626CE4E-413E-4C87-B05A-059965373928}"/>
    <hyperlink ref="B328" r:id="rId305" display="https://support.microsoft.com/en-us/excel/functions/mode-sngl-function" xr:uid="{0A6010D6-A234-44AD-A573-35EDBAFE6D6C}"/>
    <hyperlink ref="B329" r:id="rId306" display="https://support.microsoft.com/en-us/excel/functions/month-function" xr:uid="{1CBE3478-7088-4610-B0F9-92FE7F77A4FB}"/>
    <hyperlink ref="B330" r:id="rId307" display="https://support.microsoft.com/en-us/excel/functions/mround-function" xr:uid="{80C1B01E-5D48-414D-BD8E-046689A8E550}"/>
    <hyperlink ref="B331" r:id="rId308" display="https://support.microsoft.com/en-us/excel/functions/multinomial-function" xr:uid="{360DBABB-1238-4E77-8EC7-45401A263728}"/>
    <hyperlink ref="B332" r:id="rId309" display="https://support.microsoft.com/en-us/excel/functions/munit-function" xr:uid="{D597BB78-A106-4599-8444-C5973FA2DAE3}"/>
    <hyperlink ref="B333" r:id="rId310" display="https://support.microsoft.com/en-us/excel/functions/n-function" xr:uid="{34B5F89C-9B06-4A5D-85AC-933E097538C8}"/>
    <hyperlink ref="B334" r:id="rId311" display="https://support.microsoft.com/en-us/excel/functions/na-function" xr:uid="{43360590-525D-4206-8F9F-15D9B27F229A}"/>
    <hyperlink ref="B335" r:id="rId312" display="https://support.microsoft.com/en-us/excel/functions/negbinom-dist-function" xr:uid="{DA49386A-0846-4C1C-A012-204298DD961E}"/>
    <hyperlink ref="B336" r:id="rId313" display="https://support.microsoft.com/en-us/excel/functions/negbinomdist-function" xr:uid="{90F0C791-9134-41E1-BA71-8CC8B5E32339}"/>
    <hyperlink ref="B337" r:id="rId314" display="https://support.microsoft.com/en-us/excel/functions/networkdays-function" xr:uid="{9DF45B23-672D-49DC-AE58-DF036B6AED0B}"/>
    <hyperlink ref="B338" r:id="rId315" display="https://support.microsoft.com/en-us/excel/functions/networkdays-intl-function" xr:uid="{10077BC6-0BC1-4F92-A26E-6CD0FB6A2BFF}"/>
    <hyperlink ref="B339" r:id="rId316" display="https://support.microsoft.com/en-us/excel/functions/nominal-function" xr:uid="{8D898074-D157-4CB0-BA57-9AAFFEDDC4CA}"/>
    <hyperlink ref="B340" r:id="rId317" display="https://support.microsoft.com/en-us/excel/functions/norm-dist-function" xr:uid="{AD051B34-12A2-42B4-8156-D2966C1B7C27}"/>
    <hyperlink ref="B341" r:id="rId318" display="https://support.microsoft.com/en-us/excel/functions/norm-inv-function" xr:uid="{2E8790CE-6F77-44CE-BF06-8057D572EB73}"/>
    <hyperlink ref="B342" r:id="rId319" display="https://support.microsoft.com/en-us/excel/functions/norm-s-dist-function" xr:uid="{B0268CFE-301A-41C7-930B-3EB4EBF62FEC}"/>
    <hyperlink ref="B343" r:id="rId320" display="https://support.microsoft.com/en-us/excel/functions/norm-s-inv-function" xr:uid="{4ED567F9-6DDF-4669-B389-4632868F8AFA}"/>
    <hyperlink ref="B344" r:id="rId321" display="https://support.microsoft.com/en-us/excel/functions/normdist-function" xr:uid="{6E472A30-6700-4D1D-BD35-54A49B496E30}"/>
    <hyperlink ref="B345" r:id="rId322" display="https://support.microsoft.com/en-us/excel/functions/norminv-function" xr:uid="{990CC9BF-69D9-4C40-A9E4-CAF24CD9A56F}"/>
    <hyperlink ref="B346" r:id="rId323" display="https://support.microsoft.com/en-us/excel/functions/normsdist-function" xr:uid="{1D4C37A0-DBD4-48AF-8C69-D71440C3DBA6}"/>
    <hyperlink ref="B347" r:id="rId324" display="https://support.microsoft.com/en-us/excel/functions/normsinv-function" xr:uid="{9542F507-41F5-45CA-BD7D-B2EC05F88296}"/>
    <hyperlink ref="B348" r:id="rId325" display="https://support.microsoft.com/en-us/excel/functions/not-function" xr:uid="{9BB7E31A-B9FD-42BE-B359-CA12CFAB6258}"/>
    <hyperlink ref="B349" r:id="rId326" display="https://support.microsoft.com/en-us/excel/functions/now-function" xr:uid="{17B5227D-1EA8-48FB-9238-FCC3AE9A10F7}"/>
    <hyperlink ref="B350" r:id="rId327" display="https://support.microsoft.com/en-us/excel/functions/nper-function" xr:uid="{2C748B1D-663C-4898-9711-56F602480C92}"/>
    <hyperlink ref="B351" r:id="rId328" display="https://support.microsoft.com/en-us/excel/functions/npv-function" xr:uid="{798D5B0E-C651-4615-8B9F-4C71BD75B2E3}"/>
    <hyperlink ref="B352" r:id="rId329" display="https://support.microsoft.com/en-us/excel/functions/numbervalue-function" xr:uid="{B5C67F96-B3CF-4036-B8C0-BC57343E0AC8}"/>
    <hyperlink ref="B353" r:id="rId330" display="https://support.microsoft.com/en-us/excel/functions/oct2bin-function" xr:uid="{4AE15D84-8141-4E9C-A379-47C91C93A544}"/>
    <hyperlink ref="B354" r:id="rId331" display="https://support.microsoft.com/en-us/excel/functions/oct2dec-function" xr:uid="{86F18B6A-FD77-4E77-BA4F-05FA0DD64FCF}"/>
    <hyperlink ref="B355" r:id="rId332" display="https://support.microsoft.com/en-us/excel/functions/oct2hex-function" xr:uid="{C48B8109-83B5-4F97-B48E-E95F49D2966D}"/>
    <hyperlink ref="B356" r:id="rId333" display="https://support.microsoft.com/en-us/excel/functions/odd-function" xr:uid="{B63AA72B-2275-40E3-9A72-984750AA27FC}"/>
    <hyperlink ref="B357" r:id="rId334" display="https://support.microsoft.com/en-us/excel/functions/oddfprice-function" xr:uid="{318D4FFC-06E5-46B4-B0CC-3B9FC6BE812E}"/>
    <hyperlink ref="B358" r:id="rId335" display="https://support.microsoft.com/en-us/excel/functions/oddfyield-function" xr:uid="{457AE2A6-B62C-4AC9-AD91-2127EACD98CA}"/>
    <hyperlink ref="B359" r:id="rId336" display="https://support.microsoft.com/en-us/excel/functions/oddlprice-function" xr:uid="{B319F8C1-66D4-47F1-A6A5-6BF5E889D7A6}"/>
    <hyperlink ref="B360" r:id="rId337" display="https://support.microsoft.com/en-us/excel/functions/oddlyield-function" xr:uid="{959C7AF4-C422-4703-A9B2-CA6227CF4CD0}"/>
    <hyperlink ref="B361" r:id="rId338" display="https://support.microsoft.com/en-us/excel/functions/offset-function" xr:uid="{28F0D454-5732-4B20-A5EF-55D62BFB2E96}"/>
    <hyperlink ref="B362" r:id="rId339" display="https://support.microsoft.com/en-us/excel/functions/or-function" xr:uid="{D1F57EE3-F6F7-4C09-9DA5-BA4CE2607073}"/>
    <hyperlink ref="B363" r:id="rId340" display="https://support.microsoft.com/en-us/excel/functions/pduration-function" xr:uid="{24F2AF0D-A448-4A18-8666-6BF945ADFEC2}"/>
    <hyperlink ref="B364" r:id="rId341" display="https://support.microsoft.com/en-us/excel/functions/pearson-function" xr:uid="{1E44C39F-6F66-4FF9-B0F2-28D7F7E54BB2}"/>
    <hyperlink ref="B365" r:id="rId342" display="https://support.microsoft.com/en-us/excel/functions/percentile-function" xr:uid="{D7F08985-E7EE-4223-8AF7-21F825F00459}"/>
    <hyperlink ref="B366" r:id="rId343" display="https://support.microsoft.com/en-us/excel/functions/percentile-exc-function" xr:uid="{BC877822-CA45-4829-8F81-D290AD6FD236}"/>
    <hyperlink ref="B367" r:id="rId344" display="https://support.microsoft.com/en-us/excel/functions/percentile-inc-function" xr:uid="{94990E63-63EA-4033-84EB-2C295EB425C0}"/>
    <hyperlink ref="B368" r:id="rId345" display="https://support.microsoft.com/en-us/excel/functions/percentof-function" xr:uid="{C77CDE00-D2AC-4020-AD85-C3CA4E69BE92}"/>
    <hyperlink ref="B369" r:id="rId346" display="https://support.microsoft.com/en-us/excel/functions/percentrank-function" xr:uid="{3B2B8D15-3C93-49CB-87D4-5AA96882E7F8}"/>
    <hyperlink ref="B370" r:id="rId347" display="https://support.microsoft.com/en-us/excel/functions/percentrank-exc-function" xr:uid="{7D480BD8-7DDE-4569-A269-A741E65CB019}"/>
    <hyperlink ref="B371" r:id="rId348" display="https://support.microsoft.com/en-us/excel/functions/percentrank-inc-function" xr:uid="{F7BDFCF6-0863-434C-9A77-999A4DCF4661}"/>
    <hyperlink ref="B372" r:id="rId349" display="https://support.microsoft.com/en-us/excel/functions/permut-function" xr:uid="{AA5399AC-28A3-4DCB-B462-8E5C4DEC1475}"/>
    <hyperlink ref="B373" r:id="rId350" display="https://support.microsoft.com/en-us/excel/functions/permutationa-function" xr:uid="{394DF351-40D6-4FB6-A4B8-8E223F720362}"/>
    <hyperlink ref="B374" r:id="rId351" display="https://support.microsoft.com/en-us/excel/functions/phi-function" xr:uid="{D08741E2-22A3-413D-B53F-F7949A57B69C}"/>
    <hyperlink ref="B375" r:id="rId352" display="https://support.microsoft.com/en-us/excel/functions/phonetic-function" xr:uid="{1DEBD563-D9FB-425C-84AE-625B21EC1760}"/>
    <hyperlink ref="B376" r:id="rId353" display="https://support.microsoft.com/en-us/excel/functions/pi-function" xr:uid="{13F0FB2E-033F-475A-867A-EC7333A3A83A}"/>
    <hyperlink ref="B377" r:id="rId354" display="https://support.microsoft.com/en-us/excel/functions/pivotby-function" xr:uid="{DADC444C-3F39-4E49-BB55-94025C266462}"/>
    <hyperlink ref="B378" r:id="rId355" display="https://support.microsoft.com/en-us/excel/functions/pmt-function" xr:uid="{374A92D2-0E29-4ABB-A8AA-999467CD4C55}"/>
    <hyperlink ref="B379" r:id="rId356" display="https://support.microsoft.com/en-us/excel/functions/poisson-function" xr:uid="{3A49A7F6-7255-494C-92F0-400F7D996AD9}"/>
    <hyperlink ref="B380" r:id="rId357" display="https://support.microsoft.com/en-us/excel/functions/poisson-dist-function" xr:uid="{18190499-D02F-40C9-A2E7-73778D845D98}"/>
    <hyperlink ref="B381" r:id="rId358" display="https://support.microsoft.com/en-us/excel/functions/power-function" xr:uid="{B0114093-7854-48CB-9482-75982136B663}"/>
    <hyperlink ref="B382" r:id="rId359" display="https://support.microsoft.com/en-us/excel/functions/ppmt-function" xr:uid="{F8D74075-FB52-44FC-8D0E-228B64D797A3}"/>
    <hyperlink ref="B383" r:id="rId360" display="https://support.microsoft.com/en-us/excel/functions/price-function" xr:uid="{2B116876-9160-4BD5-8EA2-BB21B0386923}"/>
    <hyperlink ref="B384" r:id="rId361" display="https://support.microsoft.com/en-us/excel/functions/pricedisc-function" xr:uid="{C89B1BD2-9A25-4144-A644-982A0ACEF4BA}"/>
    <hyperlink ref="B385" r:id="rId362" display="https://support.microsoft.com/en-us/excel/functions/pricemat-function" xr:uid="{729C739A-50AD-42A6-8A7E-F2394514C0BB}"/>
    <hyperlink ref="B386" r:id="rId363" display="https://support.microsoft.com/en-us/excel/functions/prob-function" xr:uid="{AD18FC5C-9754-4391-AE04-D4DEE93C9F16}"/>
    <hyperlink ref="B387" r:id="rId364" display="https://support.microsoft.com/en-us/excel/functions/product-function" xr:uid="{383FCE19-8EAB-4711-8BBF-7AD750F8269C}"/>
    <hyperlink ref="B388" r:id="rId365" display="https://support.microsoft.com/en-us/excel/functions/proper-function" xr:uid="{BA6F6C02-0DB4-4AF9-9272-8C4109E9034A}"/>
    <hyperlink ref="B389" r:id="rId366" display="https://support.microsoft.com/en-us/excel/functions/pv-function" xr:uid="{2FFD2835-2A9E-43B3-AC6B-53F65E985CC5}"/>
    <hyperlink ref="B390" r:id="rId367" display="https://support.microsoft.com/en-us/excel/functions/py-function" xr:uid="{31943F71-D4C2-46B6-807D-F821E15EA0C9}"/>
    <hyperlink ref="B391" r:id="rId368" display="https://support.microsoft.com/en-us/excel/functions/quartile-function" xr:uid="{B7C7EDD2-2AA6-4C42-9B6A-9E1AA7FEACD9}"/>
    <hyperlink ref="B392" r:id="rId369" display="https://support.microsoft.com/en-us/excel/functions/quartile-exc-function" xr:uid="{87752E22-ED52-45F7-8CC2-1AB3519C3C30}"/>
    <hyperlink ref="B393" r:id="rId370" display="https://support.microsoft.com/en-us/excel/functions/quartile-inc-function" xr:uid="{B84211F7-53E1-4AEE-BCB2-B21E28A311CB}"/>
    <hyperlink ref="B394" r:id="rId371" display="https://support.microsoft.com/en-us/excel/functions/quotient-function" xr:uid="{F47AC803-49BA-4A1D-A406-CD2BD4A05AE4}"/>
    <hyperlink ref="B395" r:id="rId372" display="https://support.microsoft.com/en-us/excel/functions/radians-function" xr:uid="{E182B649-D175-48FC-AC16-A06C7D58C5A3}"/>
    <hyperlink ref="B396" r:id="rId373" display="https://support.microsoft.com/en-us/excel/functions/rand-function" xr:uid="{299F8247-FD8C-4604-BC4F-D9777F2A7EFE}"/>
    <hyperlink ref="B397" r:id="rId374" display="https://support.microsoft.com/en-us/excel/functions/randarray-function" xr:uid="{8F668C82-09BE-4BBA-8C8A-4A8ADA8009FC}"/>
    <hyperlink ref="B398" r:id="rId375" display="https://support.microsoft.com/en-us/excel/functions/randbetween-function" xr:uid="{43203202-BE10-47BB-AA2B-5609EA52F191}"/>
    <hyperlink ref="B399" r:id="rId376" display="https://support.microsoft.com/en-us/excel/functions/rank-function" xr:uid="{E8CEE8EB-4C10-4E1E-9A89-79E264D84651}"/>
    <hyperlink ref="B400" r:id="rId377" display="https://support.microsoft.com/en-us/excel/functions/rank-avg-function" xr:uid="{4B00E895-0DF6-43D7-BE02-7D0061905A17}"/>
    <hyperlink ref="B401" r:id="rId378" display="https://support.microsoft.com/en-us/excel/functions/rank-eq-function" xr:uid="{E75F11FE-00B5-4AFD-B2AC-1A6AEA518179}"/>
    <hyperlink ref="B402" r:id="rId379" display="https://support.microsoft.com/en-us/excel/functions/rate-function" xr:uid="{1DA47681-1352-4260-8BA5-114B1F9CF3A0}"/>
    <hyperlink ref="B403" r:id="rId380" display="https://support.microsoft.com/en-us/excel/functions/received-function" xr:uid="{31928A52-99D3-4C83-99AA-DC9377F02FC6}"/>
    <hyperlink ref="B404" r:id="rId381" display="https://support.microsoft.com/en-us/excel/functions/reduce-function" xr:uid="{F5FED531-0252-4CA1-9C26-F47FA812ECEA}"/>
    <hyperlink ref="B405" r:id="rId382" display="https://support.microsoft.com/en-us/excel/functions/regexextract-function" xr:uid="{AC7AE3ED-97DC-4DE2-84A5-793A3379CD41}"/>
    <hyperlink ref="B406" r:id="rId383" display="https://support.microsoft.com/en-us/excel/functions/regexreplace-function" xr:uid="{846B6D1B-ADE9-473C-9C8B-B3BCB6B78CA8}"/>
    <hyperlink ref="B407" r:id="rId384" display="https://support.microsoft.com/en-us/excel/functions/regextest-function" xr:uid="{7E14336D-A01E-45E6-8EBF-1F69FB93D903}"/>
    <hyperlink ref="B408" r:id="rId385" display="https://support.microsoft.com/en-us/excel/functions/register-id-function" xr:uid="{393072B2-3B94-4CE8-9F98-DB8B663077D4}"/>
    <hyperlink ref="B409" r:id="rId386" display="https://support.microsoft.com/en-us/excel/functions/replace-function" xr:uid="{89D85782-E684-4216-983E-61B195F83576}"/>
    <hyperlink ref="B411" r:id="rId387" display="https://support.microsoft.com/en-us/excel/functions/rept-function" xr:uid="{25B448C6-F332-4EF8-B86F-A565C3CFC2B4}"/>
    <hyperlink ref="B412" r:id="rId388" display="https://support.microsoft.com/en-us/excel/functions/right-function" xr:uid="{C2440956-A7C1-408E-9993-CFD2896A5849}"/>
    <hyperlink ref="B414" r:id="rId389" display="https://support.microsoft.com/en-us/excel/functions/roman-function" xr:uid="{AFEDB767-31E2-4CB2-8FFD-0B900FD5111E}"/>
    <hyperlink ref="B415" r:id="rId390" display="https://support.microsoft.com/en-us/excel/functions/round-function" xr:uid="{6202683B-31FB-4F66-A508-C51E2949A5A7}"/>
    <hyperlink ref="B416" r:id="rId391" display="https://support.microsoft.com/en-us/excel/functions/rounddown-function" xr:uid="{B2A1D48B-8193-4270-A145-1348666C4670}"/>
    <hyperlink ref="B417" r:id="rId392" display="https://support.microsoft.com/en-us/excel/functions/roundup-function" xr:uid="{FBC77898-F618-44B0-9B1D-A111A1090F26}"/>
    <hyperlink ref="B418" r:id="rId393" display="https://support.microsoft.com/en-us/excel/functions/row-function" xr:uid="{99A1C0A0-24D0-4FFB-9EFF-2527259688EC}"/>
    <hyperlink ref="B419" r:id="rId394" display="https://support.microsoft.com/en-us/excel/functions/rows-function" xr:uid="{520BBBD9-C624-4C1D-B375-D8D8AD7A920E}"/>
    <hyperlink ref="B420" r:id="rId395" display="https://support.microsoft.com/en-us/excel/functions/rri-function" xr:uid="{E87A96B1-9D01-4877-A3BD-7F53CE9F0483}"/>
    <hyperlink ref="B421" r:id="rId396" display="https://support.microsoft.com/en-us/excel/functions/rsq-function" xr:uid="{9F287D42-6720-498F-8DD5-A2D1F8D20D39}"/>
    <hyperlink ref="B422" r:id="rId397" display="https://support.microsoft.com/en-us/excel/functions/rtd-function" xr:uid="{3F38B5AC-38C0-46EF-BD32-632B52A6CA49}"/>
    <hyperlink ref="B423" r:id="rId398" display="https://support.microsoft.com/en-us/excel/functions/scan-function" xr:uid="{0CC068D3-3CD1-4010-AEF3-E13F803A0B33}"/>
    <hyperlink ref="B424" r:id="rId399" display="https://support.microsoft.com/en-us/excel/functions/search-function" xr:uid="{7AB83CCF-60FB-4DA3-A454-85671BB2F35C}"/>
    <hyperlink ref="B426" r:id="rId400" display="https://support.microsoft.com/en-us/excel/functions/sec-function" xr:uid="{9D075C77-78CA-446E-AF28-2EE4EC75F365}"/>
    <hyperlink ref="B427" r:id="rId401" display="https://support.microsoft.com/en-us/excel/functions/sech-function" xr:uid="{6C473522-0F5D-4A91-A6EC-624840D7E5C0}"/>
    <hyperlink ref="B428" r:id="rId402" display="https://support.microsoft.com/en-us/excel/functions/second-function" xr:uid="{DD089DD3-B568-4B7F-B82B-FBC473245FE2}"/>
    <hyperlink ref="B429" r:id="rId403" display="https://support.microsoft.com/en-us/excel/functions/sequence-function" xr:uid="{654CDF50-E5E5-49D7-A22F-FCB6E2A8E671}"/>
    <hyperlink ref="B430" r:id="rId404" display="https://support.microsoft.com/en-us/excel/functions/seriessum-function" xr:uid="{B5FAE496-A406-4939-B39B-0C8AF66C166C}"/>
    <hyperlink ref="B431" r:id="rId405" display="https://support.microsoft.com/en-us/excel/functions/sheet-function" xr:uid="{D041904C-8646-41CC-8248-5C9CA9685B48}"/>
    <hyperlink ref="B432" r:id="rId406" display="https://support.microsoft.com/en-us/excel/functions/sheets-function" xr:uid="{FDB7C345-0110-40F4-992E-2120055FA7C0}"/>
    <hyperlink ref="B433" r:id="rId407" display="https://support.microsoft.com/en-us/excel/functions/sign-function" xr:uid="{F57850D1-ED14-43BC-B56C-FEF8BC7ED04E}"/>
    <hyperlink ref="B434" r:id="rId408" display="https://support.microsoft.com/en-us/excel/functions/sin-function" xr:uid="{D84C06B5-9412-45C9-B39F-39D2C79AE5B7}"/>
    <hyperlink ref="B435" r:id="rId409" display="https://support.microsoft.com/en-us/excel/functions/sinh-function" xr:uid="{24145F5E-B709-4243-83C1-B0A5835879AC}"/>
    <hyperlink ref="B436" r:id="rId410" display="https://support.microsoft.com/en-us/excel/functions/skew-function" xr:uid="{E47F79AF-EF88-4C24-93C2-526447C3E1F4}"/>
    <hyperlink ref="B437" r:id="rId411" display="https://support.microsoft.com/en-us/excel/functions/skew-p-function" xr:uid="{DA1FEC23-7AFE-49A3-BEA4-30AA2F552310}"/>
    <hyperlink ref="B438" r:id="rId412" display="https://support.microsoft.com/en-us/excel/functions/sln-function" xr:uid="{7DE545A0-F6A8-4423-BFF6-2EDCB47EEDE2}"/>
    <hyperlink ref="B439" r:id="rId413" display="https://support.microsoft.com/en-us/excel/functions/slope-function" xr:uid="{59E755DB-A9E0-4A98-B840-C3AD8F5804D5}"/>
    <hyperlink ref="B440" r:id="rId414" display="https://support.microsoft.com/en-us/excel/functions/small-function" xr:uid="{51B577A7-F74A-464C-9BA2-A444C7437E8F}"/>
    <hyperlink ref="B441" r:id="rId415" display="https://support.microsoft.com/en-us/excel/functions/sort-function" xr:uid="{984CAA19-B999-4E39-871F-A377BC655726}"/>
    <hyperlink ref="B442" r:id="rId416" display="https://support.microsoft.com/en-us/excel/functions/sortby-function" xr:uid="{A1CB8391-2C09-4DB2-BC53-15132B68BAD4}"/>
    <hyperlink ref="B445" r:id="rId417" display="https://support.microsoft.com/en-us/excel/functions/standardize-function" xr:uid="{B4CE196C-D820-4C28-94B7-F3505F19E6F2}"/>
    <hyperlink ref="B446" r:id="rId418" display="https://support.microsoft.com/en-us/excel/functions/stdev-function" xr:uid="{54655B62-B4EB-4287-966B-15EEDE291821}"/>
    <hyperlink ref="B447" r:id="rId419" display="https://support.microsoft.com/en-us/excel/functions/stdev-p-function" xr:uid="{46C83DB5-DDB5-43EE-A0F5-071E9E42854B}"/>
    <hyperlink ref="B448" r:id="rId420" display="https://support.microsoft.com/en-us/excel/functions/stdev-s-function" xr:uid="{933026E7-2DD6-472A-B1E8-6791DEFAEC23}"/>
    <hyperlink ref="B449" r:id="rId421" display="https://support.microsoft.com/en-us/excel/functions/stdeva-function" xr:uid="{AECB87CB-03A0-44E5-8CBA-0B543A130202}"/>
    <hyperlink ref="B450" r:id="rId422" display="https://support.microsoft.com/en-us/excel/functions/stdevp-function" xr:uid="{4396E557-DC34-41B2-B166-E266F6680F1E}"/>
    <hyperlink ref="B451" r:id="rId423" display="https://support.microsoft.com/en-us/excel/functions/stdevpa-function" xr:uid="{B2215BEA-8422-40F0-BA36-1CA8BB35D2F2}"/>
    <hyperlink ref="B452" r:id="rId424" display="https://support.microsoft.com/en-us/excel/functions/steyx-function" xr:uid="{6F85A5BE-E41C-4DF8-B368-A40915C9BA5E}"/>
    <hyperlink ref="B453" r:id="rId425" display="https://support.microsoft.com/en-us/excel/functions/stockhistory-function" xr:uid="{94E72342-A719-47DF-BF43-409B2AE74B76}"/>
    <hyperlink ref="B454" r:id="rId426" display="https://support.microsoft.com/en-us/excel/functions/substitute-function" xr:uid="{219FA84D-ECA1-4842-9F08-2E0DC806E500}"/>
    <hyperlink ref="B455" r:id="rId427" display="https://support.microsoft.com/en-us/excel/functions/subtotal-function" xr:uid="{811B63D1-E93E-4BF9-AB76-870CBDE3365B}"/>
    <hyperlink ref="B456" r:id="rId428" display="https://support.microsoft.com/en-us/excel/functions/sum-function" xr:uid="{15F1D54E-A0A5-4EA9-8A28-EA82A123EC7C}"/>
    <hyperlink ref="B457" r:id="rId429" display="https://support.microsoft.com/en-us/excel/functions/sumif-function" xr:uid="{22641B48-ED43-42C2-815A-8A11F7AF6CFF}"/>
    <hyperlink ref="B458" r:id="rId430" display="https://support.microsoft.com/en-us/excel/functions/sumifs-function" xr:uid="{A240FBCF-65B9-4CF6-8182-90C127F5A100}"/>
    <hyperlink ref="B459" r:id="rId431" display="https://support.microsoft.com/en-us/excel/functions/sumproduct-function" xr:uid="{9FB11029-B821-44B7-B6AF-3CC742D2E6FC}"/>
    <hyperlink ref="B460" r:id="rId432" display="https://support.microsoft.com/en-us/excel/functions/sumsq-function" xr:uid="{E7349A70-61A0-46FF-9E62-06F90E0CC0E4}"/>
    <hyperlink ref="B461" r:id="rId433" display="https://support.microsoft.com/en-us/excel/functions/sumx2my2-function" xr:uid="{4C7BA5EC-EBCC-413F-A56F-E44636D6810D}"/>
    <hyperlink ref="B462" r:id="rId434" display="https://support.microsoft.com/en-us/excel/functions/sumx2py2-function" xr:uid="{EF9DEBD3-53B8-457C-AC7A-E604B46E2037}"/>
    <hyperlink ref="B463" r:id="rId435" display="https://support.microsoft.com/en-us/excel/functions/sumxmy2-function" xr:uid="{804F1AF3-AE24-4DFC-84BD-3595EE3B4051}"/>
    <hyperlink ref="B464" r:id="rId436" display="https://support.microsoft.com/en-us/excel/functions/switch-function" xr:uid="{292E6FFC-6ECF-4246-9C31-6A9C621D1E41}"/>
    <hyperlink ref="B465" r:id="rId437" display="https://support.microsoft.com/en-us/excel/functions/syd-function" xr:uid="{5636F1BC-F5CF-427F-B597-DCEFF0AA08B8}"/>
    <hyperlink ref="B466" r:id="rId438" display="https://support.microsoft.com/en-us/excel/functions/t-function" xr:uid="{C35B42F9-A09C-42B5-9422-1FC568BE5883}"/>
    <hyperlink ref="B467" r:id="rId439" display="https://support.microsoft.com/en-us/excel/functions/t-dist-function" xr:uid="{B3CFE53F-9896-4CE4-B667-0A07698BC9B9}"/>
    <hyperlink ref="B468" r:id="rId440" display="https://support.microsoft.com/en-us/excel/functions/t-dist-2t-function" xr:uid="{ABE49D93-F1FD-4147-AEB2-5BE0B3A416EF}"/>
    <hyperlink ref="B469" r:id="rId441" display="https://support.microsoft.com/en-us/excel/functions/t-dist-rt-function" xr:uid="{A50F4C53-63EF-49EB-94E7-07CD4CDD9CBB}"/>
    <hyperlink ref="B470" r:id="rId442" display="https://support.microsoft.com/en-us/excel/functions/t-inv-function" xr:uid="{1F80B393-D282-40F6-BC8D-4D71B3441B3F}"/>
    <hyperlink ref="B471" r:id="rId443" display="https://support.microsoft.com/en-us/excel/functions/t-inv-2t-function" xr:uid="{DF609B5F-4C81-4D9A-B010-267F743AEAF6}"/>
    <hyperlink ref="B472" r:id="rId444" display="https://support.microsoft.com/en-us/excel/functions/t-test-function" xr:uid="{AC6380E0-041F-416E-AE50-B5F227097E99}"/>
    <hyperlink ref="B474" r:id="rId445" display="https://support.microsoft.com/en-us/excel/functions/take-function" xr:uid="{2C2495D4-DB2F-4C9E-818B-92718E28FD22}"/>
    <hyperlink ref="B475" r:id="rId446" display="https://support.microsoft.com/en-us/excel/functions/tan-function" xr:uid="{2D68B726-4B57-4FDE-BB4A-256F34F39264}"/>
    <hyperlink ref="B476" r:id="rId447" display="https://support.microsoft.com/en-us/excel/functions/tanh-function" xr:uid="{A74258AD-DEBC-455E-ABDC-16513016F4F3}"/>
    <hyperlink ref="B477" r:id="rId448" display="https://support.microsoft.com/en-us/excel/functions/tbilleq-function" xr:uid="{2E208E0B-02D2-4676-A773-1449DEA2ABA4}"/>
    <hyperlink ref="B478" r:id="rId449" display="https://support.microsoft.com/en-us/excel/functions/tbillprice-function" xr:uid="{4750B11A-D521-4183-B78B-6F23550D3118}"/>
    <hyperlink ref="B479" r:id="rId450" display="https://support.microsoft.com/en-us/excel/functions/tbillyield-function" xr:uid="{F7CCFCA2-8976-42AE-84BB-6D753397E1F9}"/>
    <hyperlink ref="B480" r:id="rId451" display="https://support.microsoft.com/en-us/excel/functions/tdist-function" xr:uid="{287F3AB8-F6D3-4AFA-9EB1-C2CC11ACB2DD}"/>
    <hyperlink ref="B481" r:id="rId452" display="https://support.microsoft.com/en-us/excel/functions/text-function" xr:uid="{87F93E3C-4440-4ABA-A000-BCB2FECAA78E}"/>
    <hyperlink ref="B482" r:id="rId453" display="https://support.microsoft.com/en-us/excel/functions/textafter-function" xr:uid="{1AA6120F-7F0F-494B-A3B9-CBA31858B1EF}"/>
    <hyperlink ref="B483" r:id="rId454" display="https://support.microsoft.com/en-us/excel/functions/textbefore-function" xr:uid="{2AFE0C4D-8667-45E7-BB0B-1AA59D840E5A}"/>
    <hyperlink ref="B484" r:id="rId455" display="https://support.microsoft.com/en-us/excel/functions/textjoin-function" xr:uid="{41526270-E64C-4AE2-AED2-BD17AFAD1A2B}"/>
    <hyperlink ref="B485" r:id="rId456" display="https://support.microsoft.com/en-us/excel/functions/textsplit-function" xr:uid="{76085627-AFA8-4C2B-BE19-A469B0A55FB4}"/>
    <hyperlink ref="B486" r:id="rId457" display="https://support.microsoft.com/en-us/excel/functions/time-function" xr:uid="{AFF9609E-8B35-4C71-8102-B3E07DF3548F}"/>
    <hyperlink ref="B487" r:id="rId458" display="https://support.microsoft.com/en-us/excel/functions/timevalue-function" xr:uid="{8CAE5FF8-F9DA-4704-9B1B-E2ED84467D80}"/>
    <hyperlink ref="B488" r:id="rId459" display="https://support.microsoft.com/en-us/excel/functions/tinv-function" xr:uid="{0356C3C4-273E-4D73-9CF2-AA716800721F}"/>
    <hyperlink ref="B489" r:id="rId460" display="https://support.microsoft.com/en-us/excel/functions/tocol-function" xr:uid="{F4ED248F-75A1-4A7C-B512-25E0A8949FE3}"/>
    <hyperlink ref="B490" r:id="rId461" display="https://support.microsoft.com/en-us/excel/functions/today-function" xr:uid="{109F21A6-C43D-4426-AFF6-DC0641CCE748}"/>
    <hyperlink ref="B491" r:id="rId462" display="https://support.microsoft.com/en-us/excel/functions/torow-function" xr:uid="{53665AD5-B46C-4AC5-B02C-52FBF231BC65}"/>
    <hyperlink ref="B492" r:id="rId463" display="https://support.microsoft.com/en-us/excel/functions/translate-function" xr:uid="{FCBC1963-8322-4997-935F-A04376CDB35E}"/>
    <hyperlink ref="B493" r:id="rId464" display="https://support.microsoft.com/en-us/excel/functions/transpose-function" xr:uid="{79212467-B78B-41A6-B660-56B90667131F}"/>
    <hyperlink ref="B494" r:id="rId465" display="https://support.microsoft.com/en-us/excel/functions/trend-function" xr:uid="{3EC55D6C-FC7B-47E6-87E5-543B49D85890}"/>
    <hyperlink ref="B495" r:id="rId466" display="https://support.microsoft.com/en-us/excel/functions/trim-function" xr:uid="{85560706-84EC-4510-9EA8-ACCFA64B8BC3}"/>
    <hyperlink ref="B496" r:id="rId467" display="https://support.microsoft.com/en-us/excel/functions/trimmean-function" xr:uid="{A926A836-6193-4224-96E6-9F05942C58B9}"/>
    <hyperlink ref="B497" r:id="rId468" display="https://support.microsoft.com/en-us/excel/functions/trimrange-function" xr:uid="{C7B1A78A-7C0C-410C-B374-F9F0E49CC8E0}"/>
    <hyperlink ref="B498" r:id="rId469" display="https://support.microsoft.com/en-us/excel/functions/true-function" xr:uid="{9F71DFC9-E7EB-4F8F-B774-A6190970E908}"/>
    <hyperlink ref="B499" r:id="rId470" display="https://support.microsoft.com/en-us/excel/functions/trunc-function" xr:uid="{304B2F42-D8B5-4C25-96B0-F903444D0F84}"/>
    <hyperlink ref="B500" r:id="rId471" display="https://support.microsoft.com/en-us/excel/functions/ttest-function" xr:uid="{2B4DEAFE-BBCE-48C2-B00E-6579DF598757}"/>
    <hyperlink ref="B501" r:id="rId472" display="https://support.microsoft.com/en-us/excel/functions/type-function" xr:uid="{7D73FA60-F3B2-410C-AECB-20C35C1EF20F}"/>
    <hyperlink ref="B502" r:id="rId473" display="https://support.microsoft.com/en-us/excel/functions/unichar-function" xr:uid="{D9558140-CC39-4058-A553-23B0CB5B00FA}"/>
    <hyperlink ref="B503" r:id="rId474" display="https://support.microsoft.com/en-us/excel/functions/unicode-function" xr:uid="{3CEA37EF-062D-4047-844C-AA00C6055C05}"/>
    <hyperlink ref="B504" r:id="rId475" display="https://support.microsoft.com/en-us/excel/functions/unique-function" xr:uid="{BB4228D1-DF7A-4BDB-8A1A-10AB01EC4827}"/>
    <hyperlink ref="B505" r:id="rId476" display="https://support.microsoft.com/en-us/excel/functions/upper-function" xr:uid="{B3FBF509-D1E4-4767-9C6B-E6DCFC69CCCB}"/>
    <hyperlink ref="B506" r:id="rId477" display="https://support.microsoft.com/en-us/excel/functions/value-function" xr:uid="{755470DC-886F-40BB-ABB4-BDC84F59F25D}"/>
    <hyperlink ref="B507" r:id="rId478" display="https://support.microsoft.com/en-us/excel/functions/valuetotext-function" xr:uid="{0EE4DE21-3BF4-4CB3-8D45-E70E05AB9FD5}"/>
    <hyperlink ref="B508" r:id="rId479" display="https://support.microsoft.com/en-us/excel/functions/var-function" xr:uid="{EA28DEB8-65B4-4B59-B8CA-9A26626B6C71}"/>
    <hyperlink ref="B509" r:id="rId480" display="https://support.microsoft.com/en-us/excel/functions/var-p-function" xr:uid="{0533EEE3-83DE-44C0-B503-B1949553A339}"/>
    <hyperlink ref="B510" r:id="rId481" display="https://support.microsoft.com/en-us/excel/functions/var-s-function" xr:uid="{0A1DC5DE-9979-49F8-8A42-E6967B8A7674}"/>
    <hyperlink ref="B511" r:id="rId482" display="https://support.microsoft.com/en-us/excel/functions/vara-function" xr:uid="{384B7E98-42FF-49E4-80E8-D2338644330E}"/>
    <hyperlink ref="B512" r:id="rId483" display="https://support.microsoft.com/en-us/excel/functions/varp-function" xr:uid="{1DAC9457-3578-495A-8B8B-89AA45DCE87B}"/>
    <hyperlink ref="B513" r:id="rId484" display="https://support.microsoft.com/en-us/excel/functions/varpa-function" xr:uid="{2F403B79-B939-418E-BF15-5C572EDDF8B8}"/>
    <hyperlink ref="B514" r:id="rId485" display="https://support.microsoft.com/en-us/excel/functions/vdb-function" xr:uid="{2D001531-9569-415B-9666-54C62D6E069D}"/>
    <hyperlink ref="B515" r:id="rId486" display="https://support.microsoft.com/en-us/excel/functions/vlookup-function" xr:uid="{8029A5A4-CB83-45D8-9C17-CA75671FF7A6}"/>
    <hyperlink ref="B516" r:id="rId487" display="https://support.microsoft.com/en-us/excel/functions/vstack-function" xr:uid="{A357494E-53E9-45F1-84B5-AD1008117104}"/>
    <hyperlink ref="B517" r:id="rId488" display="https://support.microsoft.com/en-us/excel/functions/webservice-function" xr:uid="{57A6F7F5-8F3E-43A4-B21A-705747C8486A}"/>
    <hyperlink ref="B518" r:id="rId489" display="https://support.microsoft.com/en-us/excel/functions/weekday-function" xr:uid="{E159587E-87AD-4935-8D6E-A703D0CEE7B6}"/>
    <hyperlink ref="B519" r:id="rId490" display="https://support.microsoft.com/en-us/excel/functions/weeknum-function" xr:uid="{A9F2F2B8-373A-464F-9F1E-0EE5ECD8FA5C}"/>
    <hyperlink ref="B520" r:id="rId491" display="https://support.microsoft.com/en-us/excel/functions/weibull-function" xr:uid="{24ABAA6B-5A00-4956-BE6D-C86804FE916E}"/>
    <hyperlink ref="B521" r:id="rId492" display="https://support.microsoft.com/en-us/excel/functions/weibull-dist-function" xr:uid="{C58FAB1C-DFF6-4FE0-B939-05F6CFE8E9AF}"/>
    <hyperlink ref="B522" r:id="rId493" display="https://support.microsoft.com/en-us/excel/functions/workday-function" xr:uid="{68B6FD0F-1F92-4881-9A91-751B167AF776}"/>
    <hyperlink ref="B523" r:id="rId494" display="https://support.microsoft.com/en-us/excel/functions/workday-intl-function" xr:uid="{AC761855-CB66-406A-826E-CA4EB718E186}"/>
    <hyperlink ref="B524" r:id="rId495" display="https://support.microsoft.com/en-us/excel/functions/wrapcols-function" xr:uid="{DDA11A5B-FE35-400D-8A1E-2368DBBFF82A}"/>
    <hyperlink ref="B525" r:id="rId496" display="https://support.microsoft.com/en-us/excel/functions/wraprows-function" xr:uid="{4AA94B17-230F-4BF1-B033-D9237C44F013}"/>
    <hyperlink ref="B526" r:id="rId497" display="https://support.microsoft.com/en-us/excel/functions/xirr-function" xr:uid="{5D005214-DFBA-4EF4-93F1-218559E0FAC1}"/>
    <hyperlink ref="B527" r:id="rId498" display="https://support.microsoft.com/en-us/excel/functions/xlookup-function" xr:uid="{2F8BA21C-C5A2-49DA-88F2-26ECEF85AD8D}"/>
    <hyperlink ref="B528" r:id="rId499" display="https://support.microsoft.com/en-us/excel/functions/xmatch-function" xr:uid="{AAA241A5-10B5-4F67-A3FC-D543E77C447B}"/>
    <hyperlink ref="B529" r:id="rId500" display="https://support.microsoft.com/en-us/excel/functions/xnpv-function" xr:uid="{93266804-2F0E-4AD0-B4B1-56CD9EBB4385}"/>
    <hyperlink ref="B530" r:id="rId501" display="https://support.microsoft.com/en-us/excel/functions/xor-function" xr:uid="{FCB82A82-5FFD-48B0-9700-87746066B509}"/>
    <hyperlink ref="B531" r:id="rId502" display="https://support.microsoft.com/en-us/excel/functions/year-function" xr:uid="{54E03954-3939-4528-9140-3621BF223E96}"/>
    <hyperlink ref="B532" r:id="rId503" display="https://support.microsoft.com/en-us/excel/functions/yearfrac-function" xr:uid="{65B59414-EB45-469B-9938-831A4A0C0AF8}"/>
    <hyperlink ref="B533" r:id="rId504" display="https://support.microsoft.com/en-us/excel/functions/yield-function" xr:uid="{2951299C-4741-4E90-A9F5-CACA5D26F159}"/>
    <hyperlink ref="B534" r:id="rId505" display="https://support.microsoft.com/en-us/excel/functions/yielddisc-function" xr:uid="{D2C04102-5C5E-4D30-8139-467F2C34B9DC}"/>
    <hyperlink ref="B535" r:id="rId506" display="https://support.microsoft.com/en-us/excel/functions/yieldmat-function" xr:uid="{B33A0CAA-759E-4321-BBBA-014CA71CF875}"/>
    <hyperlink ref="B536" r:id="rId507" display="https://support.microsoft.com/en-us/excel/functions/z-test-function" xr:uid="{769FD3F4-34E8-485B-8AB7-86BB342A20C4}"/>
    <hyperlink ref="B537" r:id="rId508" display="https://support.microsoft.com/en-us/excel/functions/ztest-function" xr:uid="{9A60F1B3-8F38-45A9-9FA4-00883597B1A0}"/>
    <hyperlink ref="B200" r:id="rId509" display="https://support.microsoft.com/en-us/excel/functions/forecast-and-forecast-linear-functions" xr:uid="{76FC5669-AF2B-4CEE-A13C-EC5247816ADB}"/>
    <hyperlink ref="A7" r:id="rId510" xr:uid="{2BE01217-0193-4A1C-BE9D-94293936EF40}"/>
    <hyperlink ref="B271" r:id="rId511" display="https://support.microsoft.com/en-us/excel/functions/is-functions" xr:uid="{9CE8CB1F-2B63-4C92-A626-3BE2306E6616}"/>
    <hyperlink ref="B272" r:id="rId512" display="https://support.microsoft.com/en-us/excel/functions/is-functions" xr:uid="{06BC954B-60D2-4BDF-AB6F-D6FD3C51DAD8}"/>
    <hyperlink ref="B275:B278" r:id="rId513" display="https://support.microsoft.com/en-us/excel/functions/is-functions" xr:uid="{30F859A8-D8EF-4A5A-B3E5-C995460AE950}"/>
    <hyperlink ref="B284" r:id="rId514" display="https://support.microsoft.com/en-us/excel/functions/is-functions" xr:uid="{60D16E24-B37E-4D49-BAC7-8E2B920C23BE}"/>
    <hyperlink ref="B285" r:id="rId515" display="https://support.microsoft.com/en-us/excel/functions/is-functions" xr:uid="{52475E90-98D0-4671-AF5C-D33318779A15}"/>
    <hyperlink ref="B292" r:id="rId516" display="https://support.microsoft.com/en-us/excel/functions/left-function" xr:uid="{A695F022-E63F-422A-941B-5D8FDCC94176}"/>
    <hyperlink ref="B294" r:id="rId517" display="https://support.microsoft.com/en-us/excel/functions/len-function" xr:uid="{4FFBA5EB-AF72-4209-ACD7-F6E37FFCC4A9}"/>
    <hyperlink ref="B317" r:id="rId518" display="https://support.microsoft.com/en-us/excel/functions/mid-function" xr:uid="{87D7EB43-E1D2-456F-8A62-9D6D9FA354D3}"/>
    <hyperlink ref="B410" r:id="rId519" display="https://support.microsoft.com/en-us/excel/functions/replace-function" xr:uid="{D08C907D-BB58-4E1C-8D90-947B3B6E78E5}"/>
    <hyperlink ref="B413" r:id="rId520" display="https://support.microsoft.com/en-us/excel/functions/right-function" xr:uid="{F4DA104B-F03B-4F74-B966-6518CBF4F128}"/>
    <hyperlink ref="B425" r:id="rId521" display="https://support.microsoft.com/en-us/excel/functions/search-function" xr:uid="{9D3B3D44-01B6-498B-A915-AF88C0D2DA4C}"/>
    <hyperlink ref="B443" r:id="rId522" xr:uid="{1B6B77B1-AAE2-48A1-803B-E2E704A8F851}"/>
    <hyperlink ref="B444" r:id="rId523" xr:uid="{2F7F4F69-E70C-47B4-AA6B-F3B8ABD2034A}"/>
  </hyperlinks>
  <pageMargins left="0.7" right="0.7" top="0.75" bottom="0.75" header="0.3" footer="0.3"/>
  <drawing r:id="rId52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49EAA-40AF-4507-A905-3BEBE01BE6D9}">
  <dimension ref="B2:R198"/>
  <sheetViews>
    <sheetView zoomScaleNormal="100" zoomScaleSheetLayoutView="115" workbookViewId="0">
      <pane xSplit="1" ySplit="1" topLeftCell="B2" activePane="bottomRight" state="frozen"/>
      <selection pane="topRight" activeCell="B1" sqref="B1"/>
      <selection pane="bottomLeft" activeCell="A2" sqref="A2"/>
      <selection pane="bottomRight" activeCell="B2" sqref="B2"/>
    </sheetView>
  </sheetViews>
  <sheetFormatPr defaultRowHeight="14.4" outlineLevelRow="1"/>
  <cols>
    <col min="2" max="2" width="10.6640625" customWidth="1"/>
    <col min="3" max="4" width="9" bestFit="1" customWidth="1"/>
    <col min="5" max="5" width="11.21875" bestFit="1" customWidth="1"/>
    <col min="6" max="14" width="9" bestFit="1" customWidth="1"/>
  </cols>
  <sheetData>
    <row r="2" spans="2:7">
      <c r="B2" s="61" t="s">
        <v>681</v>
      </c>
    </row>
    <row r="3" spans="2:7">
      <c r="B3" s="43" t="s">
        <v>682</v>
      </c>
      <c r="G3" s="34"/>
    </row>
    <row r="4" spans="2:7">
      <c r="B4" s="43"/>
      <c r="G4" s="34"/>
    </row>
    <row r="5" spans="2:7">
      <c r="B5" t="s">
        <v>23</v>
      </c>
      <c r="C5" t="s">
        <v>24</v>
      </c>
      <c r="D5" t="s">
        <v>25</v>
      </c>
    </row>
    <row r="6" spans="2:7">
      <c r="B6" s="21">
        <v>45292</v>
      </c>
      <c r="C6">
        <v>3.377576441901553E-2</v>
      </c>
      <c r="D6">
        <v>6.1729222247865092</v>
      </c>
    </row>
    <row r="7" spans="2:7">
      <c r="B7" s="21">
        <v>45293</v>
      </c>
      <c r="C7">
        <v>0.88884255759677255</v>
      </c>
      <c r="D7">
        <v>4.8676780204882331</v>
      </c>
    </row>
    <row r="8" spans="2:7">
      <c r="B8" s="21">
        <v>45294</v>
      </c>
      <c r="C8">
        <v>0.26015419502894865</v>
      </c>
      <c r="D8">
        <v>9.7391483375100769</v>
      </c>
    </row>
    <row r="9" spans="2:7">
      <c r="B9" s="21">
        <v>45295</v>
      </c>
      <c r="C9">
        <v>0.68569244053834144</v>
      </c>
      <c r="D9">
        <v>7.2015865700377528</v>
      </c>
    </row>
    <row r="10" spans="2:7">
      <c r="B10" s="21">
        <v>45296</v>
      </c>
      <c r="C10">
        <v>6.8024771619042301E-2</v>
      </c>
      <c r="D10">
        <v>1.6052156250349425</v>
      </c>
    </row>
    <row r="12" spans="2:7">
      <c r="B12" s="61" t="s">
        <v>684</v>
      </c>
    </row>
    <row r="13" spans="2:7">
      <c r="B13" s="43" t="s">
        <v>683</v>
      </c>
    </row>
    <row r="15" spans="2:7">
      <c r="B15" t="s">
        <v>23</v>
      </c>
      <c r="C15" t="s">
        <v>24</v>
      </c>
      <c r="D15" t="s">
        <v>25</v>
      </c>
    </row>
    <row r="16" spans="2:7">
      <c r="B16" s="21">
        <v>45292</v>
      </c>
      <c r="C16">
        <v>3.377576441901553E-2</v>
      </c>
      <c r="D16">
        <v>6.1729222247865092</v>
      </c>
    </row>
    <row r="17" spans="2:4">
      <c r="B17" s="21">
        <v>45293</v>
      </c>
      <c r="C17">
        <v>0.88884255759677255</v>
      </c>
      <c r="D17">
        <v>4.8676780204882331</v>
      </c>
    </row>
    <row r="18" spans="2:4">
      <c r="B18" s="21">
        <v>45294</v>
      </c>
      <c r="C18">
        <v>0.26015419502894865</v>
      </c>
      <c r="D18">
        <v>9.7391483375100769</v>
      </c>
    </row>
    <row r="19" spans="2:4">
      <c r="B19" s="21">
        <v>45295</v>
      </c>
      <c r="C19">
        <v>0.68569244053834144</v>
      </c>
      <c r="D19">
        <v>7.2015865700377528</v>
      </c>
    </row>
    <row r="20" spans="2:4">
      <c r="B20" s="21">
        <v>45296</v>
      </c>
      <c r="C20">
        <v>6.8024771619042301E-2</v>
      </c>
      <c r="D20">
        <v>1.6052156250349425</v>
      </c>
    </row>
    <row r="21" spans="2:4">
      <c r="B21" s="21">
        <v>45297</v>
      </c>
      <c r="C21">
        <v>0.22883187262928595</v>
      </c>
      <c r="D21">
        <v>3.4167631726301053</v>
      </c>
    </row>
    <row r="22" spans="2:4">
      <c r="B22" s="21">
        <v>45298</v>
      </c>
      <c r="C22">
        <v>0.75744718382060017</v>
      </c>
      <c r="D22">
        <v>1.4802600091677109</v>
      </c>
    </row>
    <row r="23" spans="2:4">
      <c r="B23" s="21">
        <v>45299</v>
      </c>
      <c r="C23">
        <v>0.53380980058606531</v>
      </c>
      <c r="D23">
        <v>9.1436568214468963</v>
      </c>
    </row>
    <row r="24" spans="2:4">
      <c r="B24" s="21">
        <v>45300</v>
      </c>
      <c r="C24">
        <v>0.64650973901830933</v>
      </c>
      <c r="D24">
        <v>3.2987711327138278</v>
      </c>
    </row>
    <row r="25" spans="2:4">
      <c r="B25" s="21">
        <v>45301</v>
      </c>
      <c r="C25">
        <v>0.10854746515907998</v>
      </c>
      <c r="D25">
        <v>2.8120340213084791</v>
      </c>
    </row>
    <row r="26" spans="2:4">
      <c r="B26" s="21">
        <v>45302</v>
      </c>
      <c r="C26">
        <v>0.87496440715500323</v>
      </c>
      <c r="D26">
        <v>3.6521123801558861</v>
      </c>
    </row>
    <row r="27" spans="2:4">
      <c r="B27" s="21">
        <v>45303</v>
      </c>
      <c r="C27">
        <v>0.24561656203923354</v>
      </c>
      <c r="D27">
        <v>1.8733671243266481</v>
      </c>
    </row>
    <row r="28" spans="2:4">
      <c r="B28" s="21">
        <v>45304</v>
      </c>
      <c r="C28">
        <v>0.16426657780788534</v>
      </c>
      <c r="D28">
        <v>8.3257325842221892</v>
      </c>
    </row>
    <row r="29" spans="2:4">
      <c r="B29" s="21">
        <v>45305</v>
      </c>
      <c r="C29">
        <v>0.21950373372515064</v>
      </c>
      <c r="D29">
        <v>5.0143960248903205</v>
      </c>
    </row>
    <row r="30" spans="2:4">
      <c r="B30" s="21">
        <v>45306</v>
      </c>
      <c r="C30">
        <v>0.28202333186365036</v>
      </c>
      <c r="D30">
        <v>1.6120247328380644</v>
      </c>
    </row>
    <row r="33" spans="2:14">
      <c r="B33" s="61" t="s">
        <v>685</v>
      </c>
    </row>
    <row r="35" spans="2:14">
      <c r="B35" s="47" t="s">
        <v>128</v>
      </c>
      <c r="C35" s="47" t="s">
        <v>129</v>
      </c>
    </row>
    <row r="36" spans="2:14">
      <c r="B36" s="47" t="s">
        <v>131</v>
      </c>
      <c r="C36" s="23">
        <v>-5</v>
      </c>
      <c r="D36" s="23">
        <v>-4</v>
      </c>
      <c r="E36" s="23">
        <v>-3</v>
      </c>
      <c r="F36" s="23">
        <v>-2</v>
      </c>
      <c r="G36" s="23">
        <v>-1</v>
      </c>
      <c r="H36" s="23">
        <v>0</v>
      </c>
      <c r="I36" s="23">
        <v>1</v>
      </c>
      <c r="J36" s="23">
        <v>2</v>
      </c>
      <c r="K36" s="23">
        <v>3</v>
      </c>
      <c r="L36" s="23">
        <v>4</v>
      </c>
      <c r="M36" s="23">
        <v>5</v>
      </c>
      <c r="N36" s="23" t="s">
        <v>130</v>
      </c>
    </row>
    <row r="37" spans="2:14">
      <c r="B37" s="48">
        <v>4.2043461718417219E-2</v>
      </c>
      <c r="D37">
        <v>19</v>
      </c>
      <c r="N37">
        <v>19</v>
      </c>
    </row>
    <row r="38" spans="2:14">
      <c r="B38" s="48">
        <v>9.3779590993076201E-2</v>
      </c>
      <c r="L38">
        <v>16</v>
      </c>
      <c r="N38">
        <v>16</v>
      </c>
    </row>
    <row r="39" spans="2:14">
      <c r="B39" s="48">
        <v>0.11478237085731069</v>
      </c>
      <c r="J39">
        <v>25</v>
      </c>
      <c r="N39">
        <v>25</v>
      </c>
    </row>
    <row r="40" spans="2:14">
      <c r="B40" s="48">
        <v>0.18444621686123341</v>
      </c>
      <c r="L40">
        <v>43</v>
      </c>
      <c r="N40">
        <v>43</v>
      </c>
    </row>
    <row r="41" spans="2:14">
      <c r="B41" s="48">
        <v>0.27848121516603996</v>
      </c>
      <c r="M41">
        <v>32</v>
      </c>
      <c r="N41">
        <v>32</v>
      </c>
    </row>
    <row r="42" spans="2:14">
      <c r="B42" s="48">
        <v>0.32276640359913511</v>
      </c>
      <c r="F42">
        <v>34</v>
      </c>
      <c r="N42">
        <v>34</v>
      </c>
    </row>
    <row r="43" spans="2:14">
      <c r="B43" s="48">
        <v>0.3676493154073206</v>
      </c>
      <c r="D43">
        <v>40</v>
      </c>
      <c r="N43">
        <v>40</v>
      </c>
    </row>
    <row r="44" spans="2:14">
      <c r="B44" s="48">
        <v>0.39021720267095206</v>
      </c>
      <c r="I44">
        <v>26</v>
      </c>
      <c r="N44">
        <v>26</v>
      </c>
    </row>
    <row r="45" spans="2:14">
      <c r="B45" s="48">
        <v>0.43911508427168433</v>
      </c>
      <c r="I45">
        <v>44</v>
      </c>
      <c r="N45">
        <v>44</v>
      </c>
    </row>
    <row r="46" spans="2:14">
      <c r="B46" s="48">
        <v>0.44552623141760328</v>
      </c>
      <c r="G46">
        <v>10</v>
      </c>
      <c r="N46">
        <v>10</v>
      </c>
    </row>
    <row r="47" spans="2:14">
      <c r="B47" s="48">
        <v>0.50173815733843996</v>
      </c>
      <c r="C47">
        <v>30</v>
      </c>
      <c r="N47">
        <v>30</v>
      </c>
    </row>
    <row r="48" spans="2:14">
      <c r="B48" s="48">
        <v>0.63618417138910355</v>
      </c>
      <c r="K48">
        <v>28</v>
      </c>
      <c r="N48">
        <v>28</v>
      </c>
    </row>
    <row r="49" spans="2:14">
      <c r="B49" s="48">
        <v>0.72673451456429117</v>
      </c>
      <c r="K49">
        <v>38</v>
      </c>
      <c r="N49">
        <v>38</v>
      </c>
    </row>
    <row r="50" spans="2:14">
      <c r="B50" s="48">
        <v>0.73324271528591056</v>
      </c>
      <c r="L50">
        <v>37</v>
      </c>
      <c r="N50">
        <v>37</v>
      </c>
    </row>
    <row r="51" spans="2:14">
      <c r="B51" s="48">
        <v>0.84491926684303353</v>
      </c>
      <c r="F51">
        <v>22</v>
      </c>
      <c r="N51">
        <v>22</v>
      </c>
    </row>
    <row r="52" spans="2:14">
      <c r="B52" s="48">
        <v>1.0415518072153302</v>
      </c>
      <c r="K52">
        <v>36</v>
      </c>
      <c r="N52">
        <v>36</v>
      </c>
    </row>
    <row r="53" spans="2:14">
      <c r="B53" s="48">
        <v>1.0553036448004516</v>
      </c>
      <c r="C53">
        <v>35</v>
      </c>
      <c r="N53">
        <v>35</v>
      </c>
    </row>
    <row r="54" spans="2:14">
      <c r="B54" s="48">
        <v>1.1818591336976039</v>
      </c>
      <c r="D54">
        <v>42</v>
      </c>
      <c r="N54">
        <v>42</v>
      </c>
    </row>
    <row r="55" spans="2:14">
      <c r="B55" s="48">
        <v>1.3885648278661464</v>
      </c>
      <c r="M55">
        <v>41</v>
      </c>
      <c r="N55">
        <v>41</v>
      </c>
    </row>
    <row r="56" spans="2:14">
      <c r="B56" s="48">
        <v>1.4053785810924828</v>
      </c>
      <c r="I56">
        <v>12</v>
      </c>
      <c r="N56">
        <v>12</v>
      </c>
    </row>
    <row r="57" spans="2:14">
      <c r="B57" s="48">
        <v>1.7917186200425816</v>
      </c>
      <c r="F57">
        <v>9</v>
      </c>
      <c r="N57">
        <v>9</v>
      </c>
    </row>
    <row r="58" spans="2:14">
      <c r="B58" s="48">
        <v>1.8109214372981315</v>
      </c>
      <c r="J58">
        <v>1</v>
      </c>
      <c r="N58">
        <v>1</v>
      </c>
    </row>
    <row r="59" spans="2:14">
      <c r="B59" s="48">
        <v>1.8142262935476663</v>
      </c>
      <c r="L59">
        <v>3</v>
      </c>
      <c r="N59">
        <v>3</v>
      </c>
    </row>
    <row r="60" spans="2:14">
      <c r="B60" s="48">
        <v>1.875014876681754</v>
      </c>
      <c r="J60">
        <v>8</v>
      </c>
      <c r="N60">
        <v>8</v>
      </c>
    </row>
    <row r="61" spans="2:14">
      <c r="B61" s="48">
        <v>1.9550141650678929</v>
      </c>
      <c r="G61">
        <v>4</v>
      </c>
      <c r="N61">
        <v>4</v>
      </c>
    </row>
    <row r="62" spans="2:14">
      <c r="B62" s="48">
        <v>1.9599325373471794</v>
      </c>
      <c r="M62">
        <v>7</v>
      </c>
      <c r="N62">
        <v>7</v>
      </c>
    </row>
    <row r="63" spans="2:14">
      <c r="B63" s="48">
        <v>1.9618935058689135</v>
      </c>
      <c r="H63">
        <v>31</v>
      </c>
      <c r="N63">
        <v>31</v>
      </c>
    </row>
    <row r="64" spans="2:14">
      <c r="B64" s="48">
        <v>1.9883541494724741</v>
      </c>
      <c r="M64">
        <v>23</v>
      </c>
      <c r="N64">
        <v>23</v>
      </c>
    </row>
    <row r="65" spans="2:14">
      <c r="B65" s="48">
        <v>1.9999379201029699</v>
      </c>
      <c r="F65">
        <v>21</v>
      </c>
      <c r="N65">
        <v>21</v>
      </c>
    </row>
    <row r="66" spans="2:14">
      <c r="B66" s="48">
        <v>2.0345714347173249</v>
      </c>
      <c r="C66">
        <v>33</v>
      </c>
      <c r="N66">
        <v>33</v>
      </c>
    </row>
    <row r="67" spans="2:14">
      <c r="B67" s="48">
        <v>2.0982753709135715</v>
      </c>
      <c r="J67">
        <v>24</v>
      </c>
      <c r="N67">
        <v>24</v>
      </c>
    </row>
    <row r="68" spans="2:14">
      <c r="B68" s="48">
        <v>2.1596363152368427</v>
      </c>
      <c r="M68">
        <v>6</v>
      </c>
      <c r="N68">
        <v>6</v>
      </c>
    </row>
    <row r="69" spans="2:14">
      <c r="B69" s="48">
        <v>2.2069290019763321</v>
      </c>
      <c r="J69">
        <v>29</v>
      </c>
      <c r="N69">
        <v>29</v>
      </c>
    </row>
    <row r="70" spans="2:14">
      <c r="B70" s="48">
        <v>2.5622602011899778</v>
      </c>
      <c r="E70">
        <v>14</v>
      </c>
      <c r="N70">
        <v>14</v>
      </c>
    </row>
    <row r="71" spans="2:14">
      <c r="B71" s="48">
        <v>2.5741667309607252</v>
      </c>
      <c r="H71">
        <v>13</v>
      </c>
      <c r="N71">
        <v>13</v>
      </c>
    </row>
    <row r="72" spans="2:14">
      <c r="B72" s="48">
        <v>2.5846117410114227</v>
      </c>
      <c r="H72">
        <v>39</v>
      </c>
      <c r="N72">
        <v>39</v>
      </c>
    </row>
    <row r="73" spans="2:14">
      <c r="B73" s="48">
        <v>2.5905737989007691</v>
      </c>
      <c r="G73">
        <v>2</v>
      </c>
      <c r="N73">
        <v>2</v>
      </c>
    </row>
    <row r="74" spans="2:14">
      <c r="B74" s="48">
        <v>2.7287134654179281</v>
      </c>
      <c r="F74">
        <v>27</v>
      </c>
      <c r="N74">
        <v>27</v>
      </c>
    </row>
    <row r="75" spans="2:14">
      <c r="B75" s="48">
        <v>2.7485502859952482</v>
      </c>
      <c r="F75">
        <v>15</v>
      </c>
      <c r="N75">
        <v>15</v>
      </c>
    </row>
    <row r="76" spans="2:14">
      <c r="B76" s="48">
        <v>2.8153261591835714</v>
      </c>
      <c r="F76">
        <v>11</v>
      </c>
      <c r="N76">
        <v>11</v>
      </c>
    </row>
    <row r="77" spans="2:14">
      <c r="B77" s="48">
        <v>2.8363339306848254</v>
      </c>
      <c r="L77">
        <v>5</v>
      </c>
      <c r="N77">
        <v>5</v>
      </c>
    </row>
    <row r="78" spans="2:14">
      <c r="B78" s="48">
        <v>2.8917730838956124</v>
      </c>
      <c r="H78">
        <v>20</v>
      </c>
      <c r="N78">
        <v>20</v>
      </c>
    </row>
    <row r="79" spans="2:14">
      <c r="B79" s="48">
        <v>2.9496437594343314</v>
      </c>
      <c r="G79">
        <v>18</v>
      </c>
      <c r="N79">
        <v>18</v>
      </c>
    </row>
    <row r="80" spans="2:14">
      <c r="B80" s="48">
        <v>2.9788967610697545</v>
      </c>
      <c r="H80">
        <v>17</v>
      </c>
      <c r="N80">
        <v>17</v>
      </c>
    </row>
    <row r="81" spans="2:18">
      <c r="B81" s="48" t="s">
        <v>130</v>
      </c>
      <c r="C81">
        <v>98</v>
      </c>
      <c r="D81">
        <v>101</v>
      </c>
      <c r="E81">
        <v>14</v>
      </c>
      <c r="F81">
        <v>139</v>
      </c>
      <c r="G81">
        <v>34</v>
      </c>
      <c r="H81">
        <v>120</v>
      </c>
      <c r="I81">
        <v>82</v>
      </c>
      <c r="J81">
        <v>87</v>
      </c>
      <c r="K81">
        <v>102</v>
      </c>
      <c r="L81">
        <v>104</v>
      </c>
      <c r="M81">
        <v>109</v>
      </c>
      <c r="N81">
        <v>990</v>
      </c>
    </row>
    <row r="84" spans="2:18">
      <c r="B84" s="61" t="s">
        <v>688</v>
      </c>
    </row>
    <row r="85" spans="2:18">
      <c r="B85" s="43" t="s">
        <v>686</v>
      </c>
    </row>
    <row r="87" spans="2:18">
      <c r="B87" t="s">
        <v>105</v>
      </c>
      <c r="E87" s="32">
        <v>1</v>
      </c>
    </row>
    <row r="88" spans="2:18">
      <c r="B88" t="s">
        <v>106</v>
      </c>
      <c r="E88" s="32">
        <v>1</v>
      </c>
    </row>
    <row r="89" spans="2:18">
      <c r="B89" t="s">
        <v>107</v>
      </c>
      <c r="E89" s="33">
        <v>36524</v>
      </c>
    </row>
    <row r="90" spans="2:18">
      <c r="B90" t="s">
        <v>112</v>
      </c>
      <c r="E90" s="22" t="s">
        <v>109</v>
      </c>
      <c r="G90" t="s">
        <v>108</v>
      </c>
      <c r="H90" t="s">
        <v>109</v>
      </c>
      <c r="I90" t="s">
        <v>110</v>
      </c>
      <c r="J90" t="s">
        <v>111</v>
      </c>
    </row>
    <row r="91" spans="2:18">
      <c r="B91" t="s">
        <v>113</v>
      </c>
      <c r="E91" s="22" t="s">
        <v>114</v>
      </c>
    </row>
    <row r="94" spans="2:18">
      <c r="B94" s="61" t="s">
        <v>687</v>
      </c>
      <c r="R94" s="61" t="s">
        <v>689</v>
      </c>
    </row>
    <row r="95" spans="2:18">
      <c r="B95" s="43" t="s">
        <v>115</v>
      </c>
    </row>
    <row r="97" spans="2:5">
      <c r="B97" s="35" t="s">
        <v>29</v>
      </c>
      <c r="C97" s="36"/>
      <c r="D97" s="36"/>
      <c r="E97" s="37" t="s">
        <v>29</v>
      </c>
    </row>
    <row r="98" spans="2:5">
      <c r="B98" s="38"/>
      <c r="E98" s="39"/>
    </row>
    <row r="99" spans="2:5">
      <c r="B99" s="38"/>
      <c r="E99" s="39"/>
    </row>
    <row r="100" spans="2:5">
      <c r="B100" s="38"/>
      <c r="E100" s="39"/>
    </row>
    <row r="101" spans="2:5">
      <c r="B101" s="38"/>
      <c r="E101" s="39"/>
    </row>
    <row r="102" spans="2:5">
      <c r="B102" s="38"/>
      <c r="E102" s="39"/>
    </row>
    <row r="103" spans="2:5">
      <c r="B103" s="38"/>
      <c r="E103" s="39"/>
    </row>
    <row r="104" spans="2:5">
      <c r="B104" s="38"/>
      <c r="E104" s="39"/>
    </row>
    <row r="105" spans="2:5">
      <c r="B105" s="38"/>
      <c r="E105" s="39"/>
    </row>
    <row r="106" spans="2:5">
      <c r="B106" s="40" t="s">
        <v>29</v>
      </c>
      <c r="C106" s="41"/>
      <c r="D106" s="41"/>
      <c r="E106" s="42" t="s">
        <v>29</v>
      </c>
    </row>
    <row r="112" spans="2:5">
      <c r="B112" s="61" t="s">
        <v>690</v>
      </c>
    </row>
    <row r="114" spans="2:2">
      <c r="B114" s="43" t="s">
        <v>116</v>
      </c>
    </row>
    <row r="115" spans="2:2" hidden="1"/>
    <row r="116" spans="2:2" hidden="1"/>
    <row r="117" spans="2:2" hidden="1"/>
    <row r="118" spans="2:2" hidden="1"/>
    <row r="119" spans="2:2" hidden="1"/>
    <row r="121" spans="2:2">
      <c r="B121" s="43" t="s">
        <v>117</v>
      </c>
    </row>
    <row r="122" spans="2:2" hidden="1" outlineLevel="1"/>
    <row r="123" spans="2:2" hidden="1" outlineLevel="1"/>
    <row r="124" spans="2:2" hidden="1" outlineLevel="1"/>
    <row r="125" spans="2:2" hidden="1" outlineLevel="1"/>
    <row r="126" spans="2:2" collapsed="1"/>
    <row r="129" spans="2:18">
      <c r="B129" s="61" t="s">
        <v>729</v>
      </c>
      <c r="R129" s="61" t="s">
        <v>689</v>
      </c>
    </row>
    <row r="131" spans="2:18">
      <c r="B131" s="43" t="s">
        <v>691</v>
      </c>
    </row>
    <row r="132" spans="2:18">
      <c r="B132" s="43" t="s">
        <v>692</v>
      </c>
    </row>
    <row r="145" spans="2:3">
      <c r="B145" s="61" t="s">
        <v>693</v>
      </c>
    </row>
    <row r="147" spans="2:3">
      <c r="C147" s="43" t="s">
        <v>694</v>
      </c>
    </row>
    <row r="148" spans="2:3">
      <c r="C148" s="43" t="s">
        <v>695</v>
      </c>
    </row>
    <row r="151" spans="2:3">
      <c r="B151" s="62" t="s">
        <v>703</v>
      </c>
    </row>
    <row r="152" spans="2:3">
      <c r="B152" s="43" t="s">
        <v>704</v>
      </c>
    </row>
    <row r="156" spans="2:3">
      <c r="B156" s="61" t="s">
        <v>696</v>
      </c>
    </row>
    <row r="157" spans="2:3">
      <c r="B157" s="43" t="s">
        <v>697</v>
      </c>
    </row>
    <row r="158" spans="2:3">
      <c r="B158" s="43"/>
    </row>
    <row r="159" spans="2:3">
      <c r="B159" s="46"/>
      <c r="C159" t="s">
        <v>127</v>
      </c>
    </row>
    <row r="160" spans="2:3">
      <c r="B160">
        <v>100</v>
      </c>
      <c r="C160" t="b">
        <f>ISNUMBER(B160)</f>
        <v>1</v>
      </c>
    </row>
    <row r="161" spans="2:4">
      <c r="B161" s="2" t="s">
        <v>126</v>
      </c>
      <c r="C161" t="b">
        <f>ISNUMBER(B161)</f>
        <v>0</v>
      </c>
    </row>
    <row r="165" spans="2:4">
      <c r="B165" s="61" t="s">
        <v>699</v>
      </c>
    </row>
    <row r="166" spans="2:4">
      <c r="B166">
        <f>5*5</f>
        <v>25</v>
      </c>
    </row>
    <row r="167" spans="2:4">
      <c r="B167">
        <f>fivetimesfive</f>
        <v>25</v>
      </c>
      <c r="C167" s="43" t="s">
        <v>698</v>
      </c>
    </row>
    <row r="170" spans="2:4">
      <c r="B170" s="61" t="s">
        <v>700</v>
      </c>
    </row>
    <row r="171" spans="2:4">
      <c r="B171" s="45" t="s">
        <v>125</v>
      </c>
      <c r="D171" s="43" t="s">
        <v>705</v>
      </c>
    </row>
    <row r="174" spans="2:4">
      <c r="B174" s="61" t="s">
        <v>701</v>
      </c>
    </row>
    <row r="175" spans="2:4">
      <c r="B175" s="43" t="s">
        <v>702</v>
      </c>
    </row>
    <row r="178" spans="2:17">
      <c r="B178" s="61" t="s">
        <v>706</v>
      </c>
    </row>
    <row r="179" spans="2:17">
      <c r="B179" s="43" t="s">
        <v>707</v>
      </c>
    </row>
    <row r="182" spans="2:17">
      <c r="B182" s="61" t="s">
        <v>708</v>
      </c>
    </row>
    <row r="183" spans="2:17">
      <c r="B183" s="86" t="s">
        <v>709</v>
      </c>
      <c r="C183" s="86"/>
      <c r="D183" s="86"/>
      <c r="E183" s="86"/>
      <c r="F183" s="86"/>
    </row>
    <row r="186" spans="2:17">
      <c r="B186" s="61" t="s">
        <v>710</v>
      </c>
      <c r="Q186" s="61" t="s">
        <v>689</v>
      </c>
    </row>
    <row r="187" spans="2:17">
      <c r="B187" s="43" t="s">
        <v>712</v>
      </c>
    </row>
    <row r="189" spans="2:17">
      <c r="B189" t="s">
        <v>711</v>
      </c>
    </row>
    <row r="194" spans="2:2">
      <c r="B194" s="61" t="s">
        <v>715</v>
      </c>
    </row>
    <row r="195" spans="2:2">
      <c r="B195" s="43" t="s">
        <v>713</v>
      </c>
    </row>
    <row r="196" spans="2:2">
      <c r="B196" s="43" t="s">
        <v>714</v>
      </c>
    </row>
    <row r="198" spans="2:2">
      <c r="B198">
        <f>COUNTA(START:END!A1:B3)</f>
        <v>8</v>
      </c>
    </row>
  </sheetData>
  <autoFilter ref="B5:D10" xr:uid="{89949EAA-40AF-4507-A905-3BEBE01BE6D9}"/>
  <mergeCells count="1">
    <mergeCell ref="B183:F183"/>
  </mergeCells>
  <dataValidations disablePrompts="1" count="5">
    <dataValidation type="list" allowBlank="1" showInputMessage="1" showErrorMessage="1" sqref="E91" xr:uid="{3B47A738-A66A-4521-8238-0BBECE8B7D7C}">
      <formula1>"Sigma,Omega,Ligma"</formula1>
    </dataValidation>
    <dataValidation type="list" allowBlank="1" showInputMessage="1" showErrorMessage="1" sqref="E90" xr:uid="{2C9FA35B-1272-4602-8B59-312EE466C610}">
      <formula1>$I$46:$K$46</formula1>
    </dataValidation>
    <dataValidation type="date" allowBlank="1" showInputMessage="1" showErrorMessage="1" sqref="E89" xr:uid="{0D415230-4FA4-49DD-A8B6-A2C2CDFD7AA0}">
      <formula1>25569</formula1>
      <formula2>36525</formula2>
    </dataValidation>
    <dataValidation type="decimal" operator="greaterThan" allowBlank="1" showInputMessage="1" showErrorMessage="1" sqref="E88" xr:uid="{4431998D-CB74-4768-A3DF-8306B7901EA5}">
      <formula1>0</formula1>
    </dataValidation>
    <dataValidation type="whole" allowBlank="1" showInputMessage="1" showErrorMessage="1" sqref="E87" xr:uid="{CDC11F1C-A014-40D5-B49C-23747578A0A7}">
      <formula1>0</formula1>
      <formula2>100</formula2>
    </dataValidation>
  </dataValidations>
  <hyperlinks>
    <hyperlink ref="B171" r:id="rId2" xr:uid="{F3341782-3392-40F8-A73E-D57AABA78CB1}"/>
  </hyperlinks>
  <pageMargins left="0.7" right="0.7" top="0.75" bottom="0.75" header="0.3" footer="0.3"/>
  <pageSetup paperSize="9" orientation="portrait" verticalDpi="0" r:id="rId3"/>
  <drawing r:id="rId4"/>
  <legacyDrawing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76CA-8608-42C1-A52A-8422FC0FF276}">
  <dimension ref="B2:P38"/>
  <sheetViews>
    <sheetView workbookViewId="0"/>
  </sheetViews>
  <sheetFormatPr defaultRowHeight="14.4"/>
  <cols>
    <col min="3" max="3" width="10.33203125" bestFit="1" customWidth="1"/>
  </cols>
  <sheetData>
    <row r="2" spans="2:16">
      <c r="B2" s="61" t="s">
        <v>716</v>
      </c>
    </row>
    <row r="3" spans="2:16">
      <c r="B3" s="63" t="s">
        <v>717</v>
      </c>
    </row>
    <row r="5" spans="2:16">
      <c r="B5" t="s">
        <v>26</v>
      </c>
      <c r="C5">
        <v>2</v>
      </c>
      <c r="E5" t="s">
        <v>28</v>
      </c>
      <c r="F5">
        <f>C5*C6</f>
        <v>6</v>
      </c>
    </row>
    <row r="6" spans="2:16">
      <c r="B6" t="s">
        <v>27</v>
      </c>
      <c r="C6">
        <v>3</v>
      </c>
      <c r="F6" s="2" t="s">
        <v>104</v>
      </c>
    </row>
    <row r="8" spans="2:16">
      <c r="D8" t="s">
        <v>26</v>
      </c>
    </row>
    <row r="9" spans="2:16">
      <c r="C9">
        <f>F5</f>
        <v>6</v>
      </c>
      <c r="D9" s="22">
        <v>1</v>
      </c>
      <c r="E9" s="22">
        <v>2</v>
      </c>
      <c r="F9" s="22">
        <v>3</v>
      </c>
    </row>
    <row r="10" spans="2:16">
      <c r="B10" t="s">
        <v>27</v>
      </c>
      <c r="C10" s="22">
        <v>1</v>
      </c>
      <c r="D10" s="64">
        <f t="dataTable" ref="D10:F12" dt2D="1" dtr="1" r1="C5" r2="C6"/>
        <v>1</v>
      </c>
      <c r="E10" s="64">
        <v>2</v>
      </c>
      <c r="F10" s="64">
        <v>3</v>
      </c>
    </row>
    <row r="11" spans="2:16">
      <c r="C11" s="22">
        <v>2</v>
      </c>
      <c r="D11" s="64">
        <v>2</v>
      </c>
      <c r="E11" s="64">
        <v>4</v>
      </c>
      <c r="F11" s="64">
        <v>6</v>
      </c>
    </row>
    <row r="12" spans="2:16">
      <c r="C12" s="22">
        <v>3</v>
      </c>
      <c r="D12" s="64">
        <v>3</v>
      </c>
      <c r="E12" s="64">
        <v>6</v>
      </c>
      <c r="F12" s="64">
        <v>9</v>
      </c>
    </row>
    <row r="16" spans="2:16">
      <c r="B16" s="61" t="s">
        <v>718</v>
      </c>
      <c r="P16" s="61" t="s">
        <v>689</v>
      </c>
    </row>
    <row r="18" spans="2:6">
      <c r="B18" t="s">
        <v>719</v>
      </c>
      <c r="D18" t="s">
        <v>720</v>
      </c>
      <c r="F18" t="s">
        <v>721</v>
      </c>
    </row>
    <row r="19" spans="2:6">
      <c r="B19">
        <v>100</v>
      </c>
      <c r="D19">
        <f>B19*(1+F19)^5</f>
        <v>127.62815625000002</v>
      </c>
      <c r="F19" s="25">
        <v>0.05</v>
      </c>
    </row>
    <row r="21" spans="2:6">
      <c r="B21" s="43" t="s">
        <v>722</v>
      </c>
    </row>
    <row r="27" spans="2:6">
      <c r="B27" s="61" t="s">
        <v>120</v>
      </c>
    </row>
    <row r="28" spans="2:6">
      <c r="B28" s="61"/>
    </row>
    <row r="29" spans="2:6">
      <c r="B29" t="s">
        <v>121</v>
      </c>
      <c r="C29" t="s">
        <v>122</v>
      </c>
      <c r="E29" s="43" t="s">
        <v>123</v>
      </c>
    </row>
    <row r="30" spans="2:6">
      <c r="B30" s="22"/>
      <c r="C30" s="44" t="str">
        <f ca="1">IF(B30&lt;&gt;"",IF(C30&lt;&gt;"",C30,TODAY()),"")</f>
        <v/>
      </c>
      <c r="E30" s="43" t="s">
        <v>124</v>
      </c>
    </row>
    <row r="35" spans="2:6">
      <c r="B35" s="61" t="s">
        <v>723</v>
      </c>
    </row>
    <row r="36" spans="2:6">
      <c r="B36" s="29" t="s">
        <v>724</v>
      </c>
      <c r="C36" s="29" t="s">
        <v>118</v>
      </c>
      <c r="D36" s="29" t="s">
        <v>725</v>
      </c>
      <c r="F36" s="43" t="s">
        <v>726</v>
      </c>
    </row>
    <row r="37" spans="2:6">
      <c r="B37">
        <v>1</v>
      </c>
      <c r="C37">
        <v>2</v>
      </c>
      <c r="D37">
        <f>B37+C37</f>
        <v>3</v>
      </c>
      <c r="F37" s="43" t="s">
        <v>727</v>
      </c>
    </row>
    <row r="38" spans="2:6">
      <c r="F38" s="43" t="s">
        <v>728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346D9-E3AC-4052-B9A3-E0BB5CF9ED69}">
  <dimension ref="B2:L54"/>
  <sheetViews>
    <sheetView workbookViewId="0"/>
  </sheetViews>
  <sheetFormatPr defaultRowHeight="14.4"/>
  <cols>
    <col min="3" max="3" width="10.5546875" bestFit="1" customWidth="1"/>
    <col min="4" max="4" width="10.33203125" bestFit="1" customWidth="1"/>
  </cols>
  <sheetData>
    <row r="2" spans="2:12">
      <c r="B2" s="61" t="s">
        <v>744</v>
      </c>
      <c r="L2" s="61" t="s">
        <v>689</v>
      </c>
    </row>
    <row r="4" spans="2:12">
      <c r="B4" t="s">
        <v>745</v>
      </c>
      <c r="D4" s="79"/>
    </row>
    <row r="6" spans="2:12">
      <c r="B6" t="s">
        <v>746</v>
      </c>
      <c r="D6" s="78"/>
    </row>
    <row r="7" spans="2:12" ht="15" thickBot="1"/>
    <row r="8" spans="2:12" ht="15.6" thickTop="1" thickBot="1">
      <c r="B8" t="s">
        <v>747</v>
      </c>
      <c r="D8" s="77"/>
    </row>
    <row r="9" spans="2:12" ht="15" thickTop="1"/>
    <row r="10" spans="2:12">
      <c r="B10" t="s">
        <v>748</v>
      </c>
      <c r="D10" s="41"/>
    </row>
    <row r="13" spans="2:12">
      <c r="B13" s="61" t="s">
        <v>749</v>
      </c>
    </row>
    <row r="15" spans="2:12">
      <c r="B15" s="15"/>
      <c r="C15" s="19"/>
      <c r="D15" s="20"/>
      <c r="F15" t="s">
        <v>751</v>
      </c>
    </row>
    <row r="18" spans="2:6">
      <c r="B18" s="61" t="s">
        <v>750</v>
      </c>
    </row>
    <row r="20" spans="2:6">
      <c r="B20" s="16"/>
      <c r="C20" s="17"/>
      <c r="D20" s="18"/>
    </row>
    <row r="23" spans="2:6">
      <c r="B23" s="61" t="s">
        <v>752</v>
      </c>
    </row>
    <row r="24" spans="2:6">
      <c r="B24" s="61"/>
    </row>
    <row r="25" spans="2:6">
      <c r="B25" t="b">
        <v>1</v>
      </c>
      <c r="C25" t="b">
        <v>0</v>
      </c>
      <c r="F25" t="s">
        <v>3</v>
      </c>
    </row>
    <row r="26" spans="2:6">
      <c r="B26" t="s">
        <v>5</v>
      </c>
      <c r="C26" t="s">
        <v>6</v>
      </c>
      <c r="F26" t="s">
        <v>4</v>
      </c>
    </row>
    <row r="27" spans="2:6">
      <c r="B27">
        <v>100</v>
      </c>
      <c r="C27">
        <v>101</v>
      </c>
      <c r="D27">
        <v>100</v>
      </c>
      <c r="F27" t="s">
        <v>7</v>
      </c>
    </row>
    <row r="28" spans="2:6">
      <c r="B28">
        <v>-1</v>
      </c>
      <c r="C28">
        <v>1</v>
      </c>
      <c r="F28" t="s">
        <v>8</v>
      </c>
    </row>
    <row r="29" spans="2:6">
      <c r="B29">
        <v>1</v>
      </c>
      <c r="C29">
        <v>1.5</v>
      </c>
      <c r="D29">
        <v>3</v>
      </c>
      <c r="F29" t="s">
        <v>9</v>
      </c>
    </row>
    <row r="30" spans="2:6">
      <c r="B30">
        <v>1</v>
      </c>
      <c r="C30">
        <v>1.5</v>
      </c>
      <c r="D30">
        <v>3</v>
      </c>
      <c r="F30" t="s">
        <v>10</v>
      </c>
    </row>
    <row r="33" spans="2:6">
      <c r="B33" s="61" t="s">
        <v>753</v>
      </c>
    </row>
    <row r="34" spans="2:6">
      <c r="B34" s="1"/>
    </row>
    <row r="35" spans="2:6">
      <c r="B35" t="s">
        <v>11</v>
      </c>
      <c r="C35" t="s">
        <v>12</v>
      </c>
      <c r="D35" t="s">
        <v>13</v>
      </c>
      <c r="F35" t="s">
        <v>754</v>
      </c>
    </row>
    <row r="36" spans="2:6" ht="16.8">
      <c r="B36" t="s">
        <v>14</v>
      </c>
      <c r="C36" t="s">
        <v>15</v>
      </c>
      <c r="D36" t="s">
        <v>16</v>
      </c>
      <c r="F36" t="s">
        <v>757</v>
      </c>
    </row>
    <row r="37" spans="2:6">
      <c r="B37" s="13" t="s">
        <v>22</v>
      </c>
      <c r="C37" s="14" t="s">
        <v>22</v>
      </c>
      <c r="F37" t="s">
        <v>756</v>
      </c>
    </row>
    <row r="38" spans="2:6">
      <c r="B38" s="8" t="s">
        <v>17</v>
      </c>
      <c r="C38" s="8"/>
      <c r="D38" s="8"/>
      <c r="F38" t="s">
        <v>755</v>
      </c>
    </row>
    <row r="39" spans="2:6" ht="16.2">
      <c r="B39" s="9" t="s">
        <v>18</v>
      </c>
      <c r="F39" t="s">
        <v>758</v>
      </c>
    </row>
    <row r="40" spans="2:6" ht="28.8">
      <c r="B40" s="10" t="s">
        <v>19</v>
      </c>
      <c r="F40" t="s">
        <v>759</v>
      </c>
    </row>
    <row r="41" spans="2:6" ht="116.4">
      <c r="B41" s="11" t="s">
        <v>20</v>
      </c>
      <c r="C41" s="12" t="s">
        <v>21</v>
      </c>
      <c r="F41" t="s">
        <v>760</v>
      </c>
    </row>
    <row r="44" spans="2:6">
      <c r="B44" s="61" t="s">
        <v>0</v>
      </c>
    </row>
    <row r="45" spans="2:6">
      <c r="B45" s="1"/>
    </row>
    <row r="46" spans="2:6">
      <c r="B46" s="3">
        <v>10000</v>
      </c>
      <c r="C46" s="3">
        <v>-10000</v>
      </c>
      <c r="D46" s="3">
        <v>0</v>
      </c>
      <c r="F46" s="2" t="s">
        <v>1</v>
      </c>
    </row>
    <row r="47" spans="2:6">
      <c r="B47" s="4">
        <v>1</v>
      </c>
      <c r="C47" s="4">
        <v>0</v>
      </c>
      <c r="D47" s="4"/>
      <c r="F47" s="2" t="s">
        <v>2</v>
      </c>
    </row>
    <row r="48" spans="2:6">
      <c r="B48" s="80">
        <v>10000000</v>
      </c>
      <c r="C48" s="80">
        <f>-B48</f>
        <v>-10000000</v>
      </c>
      <c r="D48" s="5"/>
      <c r="F48" s="2" t="s">
        <v>761</v>
      </c>
    </row>
    <row r="49" spans="2:6">
      <c r="B49" s="6">
        <v>0</v>
      </c>
      <c r="F49" s="2" t="s">
        <v>762</v>
      </c>
    </row>
    <row r="50" spans="2:6">
      <c r="B50" s="7">
        <v>45292</v>
      </c>
      <c r="C50" s="81">
        <v>45292</v>
      </c>
      <c r="D50" s="82">
        <v>45292</v>
      </c>
      <c r="F50" t="s">
        <v>763</v>
      </c>
    </row>
    <row r="54" spans="2:6">
      <c r="B54" s="1"/>
    </row>
  </sheetData>
  <conditionalFormatting sqref="B25:C25">
    <cfRule type="cellIs" dxfId="3" priority="6" operator="equal">
      <formula>FALSE</formula>
    </cfRule>
  </conditionalFormatting>
  <conditionalFormatting sqref="B26:C26">
    <cfRule type="containsText" dxfId="2" priority="5" operator="containsText" text="x">
      <formula>NOT(ISERROR(SEARCH("x",B26)))</formula>
    </cfRule>
  </conditionalFormatting>
  <conditionalFormatting sqref="B28:C28">
    <cfRule type="cellIs" dxfId="1" priority="3" operator="lessThan">
      <formula>0</formula>
    </cfRule>
  </conditionalFormatting>
  <conditionalFormatting sqref="B27:D27">
    <cfRule type="duplicateValues" dxfId="0" priority="4"/>
  </conditionalFormatting>
  <conditionalFormatting sqref="B29:D29">
    <cfRule type="colorScale" priority="2">
      <colorScale>
        <cfvo type="min"/>
        <cfvo type="percentile" val="50"/>
        <cfvo type="max"/>
        <color rgb="FFF8696B"/>
        <color rgb="FFFFEB84"/>
        <color rgb="FF63BE7B"/>
      </colorScale>
    </cfRule>
  </conditionalFormatting>
  <conditionalFormatting sqref="B30:D30">
    <cfRule type="dataBar" priority="1">
      <dataBar>
        <cfvo type="min"/>
        <cfvo type="max"/>
        <color rgb="FF638EC6"/>
      </dataBar>
      <extLst>
        <ext xmlns:x14="http://schemas.microsoft.com/office/spreadsheetml/2009/9/main" uri="{B025F937-C7B1-47D3-B67F-A62EFF666E3E}">
          <x14:id>{28AE81F0-5C1C-47CE-95AE-C8A969D110C4}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8AE81F0-5C1C-47CE-95AE-C8A969D110C4}">
            <x14:dataBar minLength="0" maxLength="100" border="1" negativeBarBorderColorSameAsPositive="0">
              <x14:cfvo type="autoMin"/>
              <x14:cfvo type="autoMax"/>
              <x14:borderColor rgb="FF638EC6"/>
              <x14:negativeFillColor rgb="FFFF0000"/>
              <x14:negativeBorderColor rgb="FFFF0000"/>
              <x14:axisColor rgb="FF000000"/>
            </x14:dataBar>
          </x14:cfRule>
          <xm:sqref>B30:D30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865AE-F9F9-4216-BB48-0724CE12E29D}">
  <dimension ref="B2:N134"/>
  <sheetViews>
    <sheetView workbookViewId="0"/>
  </sheetViews>
  <sheetFormatPr defaultRowHeight="14.4"/>
  <cols>
    <col min="2" max="2" width="25.44140625" customWidth="1"/>
  </cols>
  <sheetData>
    <row r="2" spans="2:14">
      <c r="B2" s="61" t="s">
        <v>764</v>
      </c>
      <c r="N2" s="61" t="s">
        <v>689</v>
      </c>
    </row>
    <row r="12" spans="2:14">
      <c r="B12" s="61" t="s">
        <v>765</v>
      </c>
    </row>
    <row r="14" spans="2:14" ht="69" customHeight="1">
      <c r="B14" t="e" vm="4">
        <v>#VALUE!</v>
      </c>
      <c r="C14" s="87" t="s">
        <v>766</v>
      </c>
      <c r="D14" s="87"/>
      <c r="E14" s="87"/>
      <c r="F14" s="87"/>
      <c r="G14" s="87"/>
      <c r="H14" s="87"/>
      <c r="I14" s="87"/>
    </row>
    <row r="19" spans="2:7">
      <c r="B19" s="61" t="s">
        <v>767</v>
      </c>
    </row>
    <row r="22" spans="2:7">
      <c r="G22" s="43" t="s">
        <v>768</v>
      </c>
    </row>
    <row r="23" spans="2:7">
      <c r="G23" s="43" t="s">
        <v>769</v>
      </c>
    </row>
    <row r="25" spans="2:7">
      <c r="G25" t="s">
        <v>770</v>
      </c>
    </row>
    <row r="62" spans="2:2">
      <c r="B62" s="61" t="s">
        <v>771</v>
      </c>
    </row>
    <row r="69" spans="2:3">
      <c r="B69" s="61" t="s">
        <v>772</v>
      </c>
    </row>
    <row r="72" spans="2:3">
      <c r="C72" s="43" t="s">
        <v>773</v>
      </c>
    </row>
    <row r="73" spans="2:3">
      <c r="C73" s="43" t="s">
        <v>774</v>
      </c>
    </row>
    <row r="79" spans="2:3">
      <c r="B79" s="61" t="s">
        <v>775</v>
      </c>
    </row>
    <row r="81" spans="2:2">
      <c r="B81" s="43" t="s">
        <v>776</v>
      </c>
    </row>
    <row r="98" spans="2:11">
      <c r="B98" s="61" t="s">
        <v>777</v>
      </c>
    </row>
    <row r="100" spans="2:11">
      <c r="B100" t="s">
        <v>92</v>
      </c>
      <c r="C100" t="s">
        <v>93</v>
      </c>
      <c r="E100" t="s">
        <v>94</v>
      </c>
      <c r="G100" t="s">
        <v>95</v>
      </c>
      <c r="I100" t="s">
        <v>96</v>
      </c>
      <c r="K100" t="s">
        <v>97</v>
      </c>
    </row>
    <row r="111" spans="2:11">
      <c r="B111" s="61" t="s">
        <v>778</v>
      </c>
    </row>
    <row r="113" spans="2:13">
      <c r="B113" t="s">
        <v>81</v>
      </c>
      <c r="C113" t="s">
        <v>82</v>
      </c>
      <c r="E113" t="s">
        <v>83</v>
      </c>
      <c r="F113" t="s">
        <v>84</v>
      </c>
      <c r="H113" t="s">
        <v>85</v>
      </c>
      <c r="J113" t="s">
        <v>86</v>
      </c>
      <c r="M113" t="s">
        <v>87</v>
      </c>
    </row>
    <row r="120" spans="2:13">
      <c r="B120" s="61" t="s">
        <v>88</v>
      </c>
    </row>
    <row r="122" spans="2:13">
      <c r="B122" t="s">
        <v>89</v>
      </c>
      <c r="C122" t="s">
        <v>82</v>
      </c>
      <c r="E122" t="s">
        <v>90</v>
      </c>
      <c r="G122" t="s">
        <v>91</v>
      </c>
    </row>
    <row r="131" spans="2:12">
      <c r="B131" s="61" t="s">
        <v>98</v>
      </c>
      <c r="E131" s="43" t="s">
        <v>119</v>
      </c>
    </row>
    <row r="134" spans="2:12">
      <c r="C134" t="s">
        <v>99</v>
      </c>
      <c r="E134" t="s">
        <v>100</v>
      </c>
      <c r="G134" t="s">
        <v>101</v>
      </c>
      <c r="I134" t="s">
        <v>102</v>
      </c>
      <c r="L134" t="s">
        <v>103</v>
      </c>
    </row>
  </sheetData>
  <mergeCells count="1">
    <mergeCell ref="C14:I1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B6A4B-A95D-4B2A-BA61-8279B83E3D2B}">
  <sheetPr codeName="Sheet3"/>
  <dimension ref="A1:AN496"/>
  <sheetViews>
    <sheetView zoomScaleNormal="100" workbookViewId="0"/>
  </sheetViews>
  <sheetFormatPr defaultRowHeight="14.4"/>
  <cols>
    <col min="1" max="1" width="10.21875" bestFit="1" customWidth="1"/>
    <col min="2" max="2" width="10.21875" customWidth="1"/>
    <col min="4" max="4" width="10.21875" bestFit="1" customWidth="1"/>
    <col min="17" max="17" width="9.5546875" customWidth="1"/>
  </cols>
  <sheetData>
    <row r="1" spans="1:31" ht="15.6">
      <c r="H1" s="83"/>
    </row>
    <row r="2" spans="1:31" ht="15.6">
      <c r="H2" s="84" t="s">
        <v>779</v>
      </c>
      <c r="AE2" s="61" t="s">
        <v>689</v>
      </c>
    </row>
    <row r="5" spans="1:31">
      <c r="A5" t="s">
        <v>34</v>
      </c>
      <c r="B5" t="s">
        <v>30</v>
      </c>
      <c r="C5" t="s">
        <v>31</v>
      </c>
      <c r="D5" t="s">
        <v>32</v>
      </c>
      <c r="E5" t="s">
        <v>33</v>
      </c>
    </row>
    <row r="6" spans="1:31">
      <c r="A6" s="24">
        <v>1</v>
      </c>
      <c r="B6" s="23">
        <v>2</v>
      </c>
      <c r="C6" s="23">
        <v>1.8109214372981315</v>
      </c>
      <c r="D6" s="23">
        <v>3.8142053619659535</v>
      </c>
      <c r="E6" s="23">
        <v>1.0535863885888921</v>
      </c>
    </row>
    <row r="7" spans="1:31">
      <c r="A7" s="24">
        <v>2</v>
      </c>
      <c r="B7" s="23">
        <v>-1</v>
      </c>
      <c r="C7" s="23">
        <v>2.5905737989007691</v>
      </c>
      <c r="D7" s="23">
        <v>7.8693798891939446</v>
      </c>
      <c r="E7" s="23">
        <v>-1.0937479096589318</v>
      </c>
    </row>
    <row r="8" spans="1:31">
      <c r="A8" s="24">
        <v>3</v>
      </c>
      <c r="B8" s="23">
        <v>4</v>
      </c>
      <c r="C8" s="23">
        <v>1.8142262935476663</v>
      </c>
      <c r="D8" s="23">
        <v>2.092017049945547</v>
      </c>
      <c r="E8" s="23">
        <v>21.436142209616996</v>
      </c>
    </row>
    <row r="9" spans="1:31">
      <c r="A9" s="24">
        <v>4</v>
      </c>
      <c r="B9" s="23">
        <v>-1</v>
      </c>
      <c r="C9" s="23">
        <v>1.9550141650678929</v>
      </c>
      <c r="D9" s="23">
        <v>8.3200751839804798</v>
      </c>
      <c r="E9" s="23">
        <v>-0.81114673752533961</v>
      </c>
    </row>
    <row r="10" spans="1:31">
      <c r="A10" s="24">
        <v>5</v>
      </c>
      <c r="B10" s="23">
        <v>4</v>
      </c>
      <c r="C10" s="23">
        <v>2.8363339306848254</v>
      </c>
      <c r="D10" s="23">
        <v>6.211213271338865</v>
      </c>
      <c r="E10" s="23">
        <v>1.7427168115770999</v>
      </c>
    </row>
    <row r="11" spans="1:31">
      <c r="A11" s="24">
        <v>6</v>
      </c>
      <c r="B11" s="23">
        <v>5</v>
      </c>
      <c r="C11" s="23">
        <v>2.1596363152368427</v>
      </c>
      <c r="D11" s="23">
        <v>0.89690823635206085</v>
      </c>
      <c r="E11" s="23">
        <v>9.7998375208759789</v>
      </c>
    </row>
    <row r="12" spans="1:31">
      <c r="A12" s="24">
        <v>7</v>
      </c>
      <c r="B12" s="23">
        <v>5</v>
      </c>
      <c r="C12" s="23">
        <v>1.9599325373471794</v>
      </c>
      <c r="D12" s="23">
        <v>3.5676022907838592</v>
      </c>
      <c r="E12" s="23">
        <v>2.6383475194258241</v>
      </c>
    </row>
    <row r="13" spans="1:31">
      <c r="A13" s="24">
        <v>8</v>
      </c>
      <c r="B13" s="23">
        <v>2</v>
      </c>
      <c r="C13" s="23">
        <v>1.875014876681754</v>
      </c>
      <c r="D13" s="23">
        <v>0.15475364784804269</v>
      </c>
      <c r="E13" s="23">
        <v>1.9667171440659352</v>
      </c>
    </row>
    <row r="14" spans="1:31">
      <c r="A14" s="24">
        <v>9</v>
      </c>
      <c r="B14" s="23">
        <v>-2</v>
      </c>
      <c r="C14" s="23">
        <v>1.7917186200425816</v>
      </c>
      <c r="D14" s="23">
        <v>0.84632906110049366</v>
      </c>
      <c r="E14" s="23">
        <v>-1.6572157673278893</v>
      </c>
    </row>
    <row r="15" spans="1:31">
      <c r="A15" s="24">
        <v>10</v>
      </c>
      <c r="B15" s="23">
        <v>-1</v>
      </c>
      <c r="C15" s="23">
        <v>0.44552623141760328</v>
      </c>
      <c r="D15" s="23">
        <v>3.8123899189198651</v>
      </c>
      <c r="E15" s="23">
        <v>-1.0721601939677019</v>
      </c>
    </row>
    <row r="16" spans="1:31">
      <c r="A16" s="24">
        <v>11</v>
      </c>
      <c r="B16" s="23">
        <v>-2</v>
      </c>
      <c r="C16" s="23">
        <v>2.8153261591835714</v>
      </c>
      <c r="D16" s="23">
        <v>1.4016699417898049</v>
      </c>
      <c r="E16" s="23">
        <v>-1.3667979593696533</v>
      </c>
    </row>
    <row r="17" spans="1:5">
      <c r="A17" s="24">
        <v>12</v>
      </c>
      <c r="B17" s="23">
        <v>1</v>
      </c>
      <c r="C17" s="23">
        <v>1.4053785810924828</v>
      </c>
      <c r="D17" s="23">
        <v>5.912547565525359</v>
      </c>
      <c r="E17" s="23">
        <v>3.7543815003844063</v>
      </c>
    </row>
    <row r="18" spans="1:5">
      <c r="A18" s="24">
        <v>13</v>
      </c>
      <c r="B18" s="23">
        <v>0</v>
      </c>
      <c r="C18" s="23">
        <v>2.5741667309607252</v>
      </c>
      <c r="D18" s="23">
        <v>4.6358807386385816</v>
      </c>
      <c r="E18" s="23">
        <v>0</v>
      </c>
    </row>
    <row r="19" spans="1:5">
      <c r="A19" s="24">
        <v>14</v>
      </c>
      <c r="B19" s="23">
        <v>-3</v>
      </c>
      <c r="C19" s="23">
        <v>2.5622602011899778</v>
      </c>
      <c r="D19" s="23">
        <v>6.714489127724371</v>
      </c>
      <c r="E19" s="23">
        <v>-7.0581234960348986</v>
      </c>
    </row>
    <row r="20" spans="1:5">
      <c r="A20" s="24">
        <v>15</v>
      </c>
      <c r="B20" s="23">
        <v>-2</v>
      </c>
      <c r="C20" s="23">
        <v>2.7485502859952482</v>
      </c>
      <c r="D20" s="23">
        <v>5.3358632489228484</v>
      </c>
      <c r="E20" s="23">
        <v>-2.382027490382121</v>
      </c>
    </row>
    <row r="21" spans="1:5">
      <c r="A21" s="24">
        <v>16</v>
      </c>
      <c r="B21" s="23">
        <v>4</v>
      </c>
      <c r="C21" s="23">
        <v>9.3779590993076201E-2</v>
      </c>
      <c r="D21" s="23">
        <v>6.7742326635337236</v>
      </c>
      <c r="E21" s="23">
        <v>8.9091714761648007</v>
      </c>
    </row>
    <row r="22" spans="1:5">
      <c r="A22" s="24">
        <v>17</v>
      </c>
      <c r="B22" s="23">
        <v>0</v>
      </c>
      <c r="C22" s="23">
        <v>2.9788967610697545</v>
      </c>
      <c r="D22" s="23">
        <v>7.4212839803512924</v>
      </c>
      <c r="E22" s="23">
        <v>0</v>
      </c>
    </row>
    <row r="23" spans="1:5">
      <c r="A23" s="24">
        <v>18</v>
      </c>
      <c r="B23" s="23">
        <v>-1</v>
      </c>
      <c r="C23" s="23">
        <v>2.9496437594343314</v>
      </c>
      <c r="D23" s="23">
        <v>2.5024349903241392</v>
      </c>
      <c r="E23" s="23">
        <v>-0.56835412136087005</v>
      </c>
    </row>
    <row r="24" spans="1:5">
      <c r="A24" s="24">
        <v>19</v>
      </c>
      <c r="B24" s="23">
        <v>-4</v>
      </c>
      <c r="C24" s="23">
        <v>4.2043461718417219E-2</v>
      </c>
      <c r="D24" s="23">
        <v>4.9238457073952988</v>
      </c>
      <c r="E24" s="23">
        <v>-2.8761874412424495</v>
      </c>
    </row>
    <row r="25" spans="1:5">
      <c r="A25" s="24">
        <v>20</v>
      </c>
      <c r="B25" s="23">
        <v>0</v>
      </c>
      <c r="C25" s="23">
        <v>2.8917730838956124</v>
      </c>
      <c r="D25" s="23">
        <v>2.4795234894810392</v>
      </c>
      <c r="E25" s="23">
        <v>0</v>
      </c>
    </row>
    <row r="26" spans="1:5">
      <c r="A26" s="24">
        <v>21</v>
      </c>
      <c r="B26" s="23">
        <v>-2</v>
      </c>
      <c r="C26" s="23">
        <v>1.9999379201029699</v>
      </c>
      <c r="D26" s="23">
        <v>0.88527709558692602</v>
      </c>
      <c r="E26" s="23">
        <v>-1.0641587757944062</v>
      </c>
    </row>
    <row r="27" spans="1:5">
      <c r="A27" s="24">
        <v>22</v>
      </c>
      <c r="B27" s="23">
        <v>-2</v>
      </c>
      <c r="C27" s="23">
        <v>0.84491926684303353</v>
      </c>
      <c r="D27" s="23">
        <v>3.4355207351112602</v>
      </c>
      <c r="E27" s="23">
        <v>-1.4771883087268423</v>
      </c>
    </row>
    <row r="28" spans="1:5">
      <c r="A28" s="24">
        <v>23</v>
      </c>
      <c r="B28" s="23">
        <v>5</v>
      </c>
      <c r="C28" s="23">
        <v>1.9883541494724741</v>
      </c>
      <c r="D28" s="23">
        <v>5.4516765151590931</v>
      </c>
      <c r="E28" s="23">
        <v>4.8113779209706999</v>
      </c>
    </row>
    <row r="29" spans="1:5">
      <c r="A29" s="24">
        <v>24</v>
      </c>
      <c r="B29" s="23">
        <v>2</v>
      </c>
      <c r="C29" s="23">
        <v>2.0982753709135715</v>
      </c>
      <c r="D29" s="23">
        <v>4.1786254072598457</v>
      </c>
      <c r="E29" s="23">
        <v>2.297296339337628</v>
      </c>
    </row>
    <row r="30" spans="1:5">
      <c r="A30" s="24">
        <v>25</v>
      </c>
      <c r="B30" s="23">
        <v>2</v>
      </c>
      <c r="C30" s="23">
        <v>0.11478237085731069</v>
      </c>
      <c r="D30" s="23">
        <v>3.3850317199417468</v>
      </c>
      <c r="E30" s="23">
        <v>1.2602684623351494</v>
      </c>
    </row>
    <row r="31" spans="1:5">
      <c r="A31" s="24">
        <v>26</v>
      </c>
      <c r="B31" s="23">
        <v>1</v>
      </c>
      <c r="C31" s="23">
        <v>0.39021720267095206</v>
      </c>
      <c r="D31" s="23">
        <v>9.0600681993983994</v>
      </c>
      <c r="E31" s="23">
        <v>1.0110366391300989</v>
      </c>
    </row>
    <row r="32" spans="1:5">
      <c r="A32" s="24">
        <v>27</v>
      </c>
      <c r="B32" s="23">
        <v>-2</v>
      </c>
      <c r="C32" s="23">
        <v>2.7287134654179281</v>
      </c>
      <c r="D32" s="23">
        <v>3.4948126228094898</v>
      </c>
      <c r="E32" s="23">
        <v>-5.8299167359071875</v>
      </c>
    </row>
    <row r="33" spans="1:31">
      <c r="A33" s="24">
        <v>28</v>
      </c>
      <c r="B33" s="23">
        <v>3</v>
      </c>
      <c r="C33" s="23">
        <v>0.63618417138910355</v>
      </c>
      <c r="D33" s="23">
        <v>2.7074059326877356</v>
      </c>
      <c r="E33" s="23">
        <v>8.6896473619859993</v>
      </c>
    </row>
    <row r="34" spans="1:31">
      <c r="A34" s="24">
        <v>29</v>
      </c>
      <c r="B34" s="23">
        <v>2</v>
      </c>
      <c r="C34" s="23">
        <v>2.2069290019763321</v>
      </c>
      <c r="D34" s="23">
        <v>5.1237431334005894</v>
      </c>
      <c r="E34" s="23">
        <v>3.3840281939889536</v>
      </c>
    </row>
    <row r="35" spans="1:31">
      <c r="A35" s="24">
        <v>30</v>
      </c>
      <c r="B35" s="23">
        <v>-5</v>
      </c>
      <c r="C35" s="23">
        <v>0.50173815733843996</v>
      </c>
      <c r="D35" s="23">
        <v>3.7592166746530098</v>
      </c>
      <c r="E35" s="23">
        <v>-3.1115125260320426</v>
      </c>
    </row>
    <row r="36" spans="1:31">
      <c r="A36" s="24">
        <v>31</v>
      </c>
      <c r="B36" s="23">
        <v>0</v>
      </c>
      <c r="C36" s="23">
        <v>1.9618935058689135</v>
      </c>
      <c r="D36" s="23">
        <v>9.4280057220096154</v>
      </c>
      <c r="E36" s="23">
        <v>0</v>
      </c>
    </row>
    <row r="37" spans="1:31" ht="15.6">
      <c r="A37" s="24">
        <v>32</v>
      </c>
      <c r="B37" s="23">
        <v>5</v>
      </c>
      <c r="C37" s="23">
        <v>0.27848121516603996</v>
      </c>
      <c r="D37" s="23">
        <v>2.5282354608785393</v>
      </c>
      <c r="E37" s="23">
        <v>2.5432131685481982</v>
      </c>
      <c r="H37" s="84" t="s">
        <v>780</v>
      </c>
    </row>
    <row r="38" spans="1:31">
      <c r="A38" s="24">
        <v>33</v>
      </c>
      <c r="B38" s="23">
        <v>-5</v>
      </c>
      <c r="C38" s="23">
        <v>2.0345714347173249</v>
      </c>
      <c r="D38" s="23">
        <v>0.4332367863427744</v>
      </c>
      <c r="E38" s="23">
        <v>-2.533567579017987</v>
      </c>
    </row>
    <row r="39" spans="1:31">
      <c r="A39" s="24">
        <v>34</v>
      </c>
      <c r="B39" s="23">
        <v>-2</v>
      </c>
      <c r="C39" s="23">
        <v>0.32276640359913511</v>
      </c>
      <c r="D39" s="23">
        <v>5.3763937328217626</v>
      </c>
      <c r="E39" s="23">
        <v>-2.9546624453981676</v>
      </c>
      <c r="AE39" s="61" t="s">
        <v>689</v>
      </c>
    </row>
    <row r="40" spans="1:31">
      <c r="A40" s="24">
        <v>35</v>
      </c>
      <c r="B40" s="23">
        <v>-5</v>
      </c>
      <c r="C40" s="23">
        <v>1.0553036448004516</v>
      </c>
      <c r="D40" s="23">
        <v>8.4434090802367123</v>
      </c>
      <c r="E40" s="23">
        <v>-0.91017341412450004</v>
      </c>
    </row>
    <row r="41" spans="1:31">
      <c r="A41" s="24">
        <v>36</v>
      </c>
      <c r="B41" s="23">
        <v>3</v>
      </c>
      <c r="C41" s="23">
        <v>1.0415518072153302</v>
      </c>
      <c r="D41" s="23">
        <v>8.3935336833090748</v>
      </c>
      <c r="E41" s="23">
        <v>3.0839267191792028</v>
      </c>
    </row>
    <row r="42" spans="1:31">
      <c r="A42" s="24">
        <v>37</v>
      </c>
      <c r="B42" s="23">
        <v>4</v>
      </c>
      <c r="C42" s="23">
        <v>0.73324271528591056</v>
      </c>
      <c r="D42" s="23">
        <v>1.6434409096585889</v>
      </c>
      <c r="E42" s="23">
        <v>2.143960764507022</v>
      </c>
    </row>
    <row r="43" spans="1:31">
      <c r="A43" s="24">
        <v>38</v>
      </c>
      <c r="B43" s="23">
        <v>3</v>
      </c>
      <c r="C43" s="23">
        <v>0.72673451456429117</v>
      </c>
      <c r="D43" s="23">
        <v>0.47272517020168436</v>
      </c>
      <c r="E43" s="23">
        <v>2.6838478218474151</v>
      </c>
    </row>
    <row r="44" spans="1:31">
      <c r="A44" s="24">
        <v>39</v>
      </c>
      <c r="B44" s="23">
        <v>0</v>
      </c>
      <c r="C44" s="23">
        <v>2.5846117410114227</v>
      </c>
      <c r="D44" s="23">
        <v>1.6735700189346414</v>
      </c>
      <c r="E44" s="23">
        <v>0</v>
      </c>
    </row>
    <row r="45" spans="1:31">
      <c r="A45" s="24">
        <v>40</v>
      </c>
      <c r="B45" s="23">
        <v>-4</v>
      </c>
      <c r="C45" s="23">
        <v>0.3676493154073206</v>
      </c>
      <c r="D45" s="23">
        <v>4.8538296270728907</v>
      </c>
      <c r="E45" s="23">
        <v>-7.9571479379693519</v>
      </c>
    </row>
    <row r="46" spans="1:31">
      <c r="A46" s="24">
        <v>41</v>
      </c>
      <c r="B46" s="23">
        <v>5</v>
      </c>
      <c r="C46" s="23">
        <v>1.3885648278661464</v>
      </c>
      <c r="D46" s="23">
        <v>4.6698327346125108</v>
      </c>
      <c r="E46" s="23">
        <v>4.6465086136534381</v>
      </c>
    </row>
    <row r="47" spans="1:31">
      <c r="A47" s="24">
        <v>42</v>
      </c>
      <c r="B47" s="23">
        <v>-4</v>
      </c>
      <c r="C47" s="23">
        <v>1.1818591336976039</v>
      </c>
      <c r="D47" s="23">
        <v>8.2441451067236198</v>
      </c>
      <c r="E47" s="23">
        <v>-3.0194676687115347</v>
      </c>
    </row>
    <row r="48" spans="1:31">
      <c r="A48" s="24">
        <v>43</v>
      </c>
      <c r="B48" s="23">
        <v>4</v>
      </c>
      <c r="C48" s="23">
        <v>0.18444621686123341</v>
      </c>
      <c r="D48" s="23">
        <v>4.5020291525664913</v>
      </c>
      <c r="E48" s="23">
        <v>2.2154595164630355</v>
      </c>
    </row>
    <row r="49" spans="1:5">
      <c r="A49" s="24">
        <v>44</v>
      </c>
      <c r="B49" s="23">
        <v>1</v>
      </c>
      <c r="C49" s="23">
        <v>0.43911508427168433</v>
      </c>
      <c r="D49" s="23">
        <v>6.6451210924288446</v>
      </c>
      <c r="E49" s="23">
        <v>0.60138159504017319</v>
      </c>
    </row>
    <row r="51" spans="1:5">
      <c r="A51" t="s">
        <v>43</v>
      </c>
      <c r="B51" t="s">
        <v>44</v>
      </c>
      <c r="C51" t="s">
        <v>42</v>
      </c>
      <c r="E51" s="23"/>
    </row>
    <row r="52" spans="1:5">
      <c r="A52" t="s">
        <v>35</v>
      </c>
      <c r="C52">
        <v>0.14049842841018301</v>
      </c>
    </row>
    <row r="53" spans="1:5">
      <c r="A53" t="s">
        <v>36</v>
      </c>
      <c r="B53" t="s">
        <v>37</v>
      </c>
      <c r="C53">
        <v>4.2689393329451431E-3</v>
      </c>
    </row>
    <row r="54" spans="1:5">
      <c r="B54" t="s">
        <v>38</v>
      </c>
      <c r="C54">
        <v>0.15705102818135441</v>
      </c>
    </row>
    <row r="55" spans="1:5">
      <c r="B55" t="s">
        <v>39</v>
      </c>
      <c r="C55">
        <v>0.12914054571187988</v>
      </c>
    </row>
    <row r="56" spans="1:5">
      <c r="B56" t="s">
        <v>40</v>
      </c>
      <c r="C56">
        <v>0.24139316504125236</v>
      </c>
    </row>
    <row r="57" spans="1:5">
      <c r="A57" t="s">
        <v>41</v>
      </c>
      <c r="C57">
        <v>0.6910485842036016</v>
      </c>
    </row>
    <row r="60" spans="1:5">
      <c r="A60" t="s">
        <v>45</v>
      </c>
      <c r="B60" s="25">
        <v>0.1</v>
      </c>
    </row>
    <row r="61" spans="1:5">
      <c r="A61" t="s">
        <v>46</v>
      </c>
      <c r="B61" s="25">
        <v>0.2</v>
      </c>
    </row>
    <row r="62" spans="1:5">
      <c r="A62" t="s">
        <v>47</v>
      </c>
      <c r="B62" s="25">
        <v>0.25</v>
      </c>
    </row>
    <row r="63" spans="1:5">
      <c r="A63" t="s">
        <v>48</v>
      </c>
      <c r="B63" s="25">
        <v>0.125</v>
      </c>
    </row>
    <row r="64" spans="1:5">
      <c r="A64" t="s">
        <v>49</v>
      </c>
      <c r="B64" s="25">
        <v>0.25</v>
      </c>
    </row>
    <row r="65" spans="1:31">
      <c r="A65" t="s">
        <v>50</v>
      </c>
      <c r="B65" s="25">
        <f>1-SUM(B60:B64)</f>
        <v>7.4999999999999956E-2</v>
      </c>
    </row>
    <row r="72" spans="1:31">
      <c r="H72" s="61" t="s">
        <v>781</v>
      </c>
      <c r="AE72" s="61" t="s">
        <v>689</v>
      </c>
    </row>
    <row r="91" spans="8:8">
      <c r="H91" s="61" t="s">
        <v>782</v>
      </c>
    </row>
    <row r="108" spans="8:16">
      <c r="H108" s="61" t="s">
        <v>783</v>
      </c>
    </row>
    <row r="111" spans="8:16">
      <c r="P111" s="43" t="s">
        <v>784</v>
      </c>
    </row>
    <row r="126" spans="8:8">
      <c r="H126" s="61" t="s">
        <v>785</v>
      </c>
    </row>
    <row r="144" spans="8:8">
      <c r="H144" s="61" t="s">
        <v>786</v>
      </c>
    </row>
    <row r="162" spans="8:8">
      <c r="H162" s="61" t="s">
        <v>787</v>
      </c>
    </row>
    <row r="181" spans="8:8">
      <c r="H181" s="61" t="s">
        <v>788</v>
      </c>
    </row>
    <row r="182" spans="8:8">
      <c r="H182" s="61"/>
    </row>
    <row r="183" spans="8:8">
      <c r="H183" s="61"/>
    </row>
    <row r="184" spans="8:8">
      <c r="H184" s="61"/>
    </row>
    <row r="185" spans="8:8">
      <c r="H185" s="61"/>
    </row>
    <row r="186" spans="8:8">
      <c r="H186" s="61"/>
    </row>
    <row r="187" spans="8:8">
      <c r="H187" s="61"/>
    </row>
    <row r="188" spans="8:8">
      <c r="H188" s="61"/>
    </row>
    <row r="189" spans="8:8">
      <c r="H189" s="61"/>
    </row>
    <row r="190" spans="8:8">
      <c r="H190" s="61"/>
    </row>
    <row r="191" spans="8:8">
      <c r="H191" s="61"/>
    </row>
    <row r="192" spans="8:8">
      <c r="H192" s="61"/>
    </row>
    <row r="193" spans="8:8">
      <c r="H193" s="61"/>
    </row>
    <row r="194" spans="8:8">
      <c r="H194" s="61"/>
    </row>
    <row r="195" spans="8:8">
      <c r="H195" s="61"/>
    </row>
    <row r="196" spans="8:8">
      <c r="H196" s="61"/>
    </row>
    <row r="197" spans="8:8">
      <c r="H197" s="61"/>
    </row>
    <row r="198" spans="8:8">
      <c r="H198" s="61"/>
    </row>
    <row r="199" spans="8:8">
      <c r="H199" s="61"/>
    </row>
    <row r="200" spans="8:8">
      <c r="H200" s="61"/>
    </row>
    <row r="201" spans="8:8">
      <c r="H201" s="61"/>
    </row>
    <row r="202" spans="8:8">
      <c r="H202" s="61"/>
    </row>
    <row r="203" spans="8:8">
      <c r="H203" s="61"/>
    </row>
    <row r="204" spans="8:8">
      <c r="H204" s="61"/>
    </row>
    <row r="205" spans="8:8">
      <c r="H205" s="61"/>
    </row>
    <row r="206" spans="8:8">
      <c r="H206" s="61"/>
    </row>
    <row r="207" spans="8:8">
      <c r="H207" s="61"/>
    </row>
    <row r="208" spans="8:8">
      <c r="H208" s="61"/>
    </row>
    <row r="209" spans="1:8">
      <c r="H209" s="61"/>
    </row>
    <row r="210" spans="1:8">
      <c r="H210" s="61"/>
    </row>
    <row r="211" spans="1:8">
      <c r="H211" s="61"/>
    </row>
    <row r="212" spans="1:8">
      <c r="H212" s="61"/>
    </row>
    <row r="213" spans="1:8">
      <c r="H213" s="61"/>
    </row>
    <row r="214" spans="1:8">
      <c r="H214" s="61"/>
    </row>
    <row r="215" spans="1:8">
      <c r="H215" s="61" t="s">
        <v>789</v>
      </c>
    </row>
    <row r="219" spans="1:8">
      <c r="A219" t="s">
        <v>66</v>
      </c>
      <c r="B219" s="25">
        <v>0.1</v>
      </c>
    </row>
    <row r="220" spans="1:8">
      <c r="A220" t="s">
        <v>67</v>
      </c>
      <c r="B220" s="25">
        <v>0.05</v>
      </c>
    </row>
    <row r="221" spans="1:8">
      <c r="A221" t="s">
        <v>68</v>
      </c>
      <c r="B221" s="25">
        <v>0.06</v>
      </c>
    </row>
    <row r="224" spans="1:8">
      <c r="A224" t="s">
        <v>73</v>
      </c>
      <c r="B224" s="25">
        <v>0.15</v>
      </c>
    </row>
    <row r="225" spans="1:2">
      <c r="A225" t="s">
        <v>74</v>
      </c>
      <c r="B225" s="25">
        <v>0.25</v>
      </c>
    </row>
    <row r="226" spans="1:2">
      <c r="A226" t="s">
        <v>75</v>
      </c>
      <c r="B226" s="25">
        <v>0.03</v>
      </c>
    </row>
    <row r="227" spans="1:2">
      <c r="A227" t="s">
        <v>76</v>
      </c>
      <c r="B227" s="25">
        <v>0.05</v>
      </c>
    </row>
    <row r="230" spans="1:2">
      <c r="A230" t="s">
        <v>77</v>
      </c>
      <c r="B230" s="25">
        <v>-0.05</v>
      </c>
    </row>
    <row r="231" spans="1:2">
      <c r="A231" t="s">
        <v>78</v>
      </c>
      <c r="B231" s="25">
        <v>0.01</v>
      </c>
    </row>
    <row r="232" spans="1:2">
      <c r="A232" t="s">
        <v>79</v>
      </c>
      <c r="B232" s="31">
        <v>5.5E-2</v>
      </c>
    </row>
    <row r="233" spans="1:2">
      <c r="A233" t="s">
        <v>80</v>
      </c>
      <c r="B233" s="31">
        <v>-2.75E-2</v>
      </c>
    </row>
    <row r="235" spans="1:2">
      <c r="B235" s="25"/>
    </row>
    <row r="236" spans="1:2">
      <c r="B236" s="25"/>
    </row>
    <row r="237" spans="1:2">
      <c r="B237" s="31"/>
    </row>
    <row r="238" spans="1:2">
      <c r="B238" s="31"/>
    </row>
    <row r="248" spans="8:15">
      <c r="H248" s="61"/>
    </row>
    <row r="249" spans="8:15">
      <c r="H249" s="61" t="s">
        <v>69</v>
      </c>
    </row>
    <row r="250" spans="8:15">
      <c r="H250" s="61"/>
    </row>
    <row r="252" spans="8:15">
      <c r="N252" s="1" t="s">
        <v>69</v>
      </c>
    </row>
    <row r="253" spans="8:15">
      <c r="H253">
        <v>0.45252748240316465</v>
      </c>
      <c r="I253">
        <v>0.54586820320948504</v>
      </c>
      <c r="J253">
        <v>0.50164395042865584</v>
      </c>
      <c r="K253">
        <v>0.87886473165817347</v>
      </c>
      <c r="L253">
        <v>0.32760326213223245</v>
      </c>
      <c r="M253">
        <v>0.75385310468688171</v>
      </c>
      <c r="O253" t="s">
        <v>70</v>
      </c>
    </row>
    <row r="254" spans="8:15">
      <c r="H254">
        <v>0.49940905086443088</v>
      </c>
      <c r="I254">
        <v>0.93473970809507712</v>
      </c>
      <c r="J254">
        <v>0.52724774108913808</v>
      </c>
      <c r="K254">
        <v>3.5794551153561005E-2</v>
      </c>
      <c r="L254">
        <v>0.45441756956039248</v>
      </c>
      <c r="M254">
        <v>0.96952130906634915</v>
      </c>
      <c r="O254" t="s">
        <v>71</v>
      </c>
    </row>
    <row r="255" spans="8:15">
      <c r="H255" s="30">
        <v>0.28860000000000002</v>
      </c>
      <c r="I255" s="30">
        <v>0.3226</v>
      </c>
      <c r="J255" s="30">
        <v>0.26379999999999998</v>
      </c>
      <c r="K255" s="30">
        <v>-0.92069999999999996</v>
      </c>
      <c r="L255" s="30">
        <v>-0.43880000000000002</v>
      </c>
      <c r="M255" s="30">
        <v>0.79159999999999997</v>
      </c>
      <c r="O255" t="s">
        <v>72</v>
      </c>
    </row>
    <row r="258" spans="8:8">
      <c r="H258" s="61" t="s">
        <v>790</v>
      </c>
    </row>
    <row r="265" spans="8:8">
      <c r="H265" s="61"/>
    </row>
    <row r="266" spans="8:8">
      <c r="H266" s="61"/>
    </row>
    <row r="267" spans="8:8">
      <c r="H267" s="61"/>
    </row>
    <row r="268" spans="8:8">
      <c r="H268" s="61"/>
    </row>
    <row r="269" spans="8:8">
      <c r="H269" s="61"/>
    </row>
    <row r="270" spans="8:8">
      <c r="H270" s="61"/>
    </row>
    <row r="271" spans="8:8">
      <c r="H271" s="61"/>
    </row>
    <row r="276" spans="8:8">
      <c r="H276" s="61" t="s">
        <v>791</v>
      </c>
    </row>
    <row r="283" spans="8:8">
      <c r="H283" s="61"/>
    </row>
    <row r="284" spans="8:8">
      <c r="H284" s="61"/>
    </row>
    <row r="285" spans="8:8">
      <c r="H285" s="61"/>
    </row>
    <row r="286" spans="8:8">
      <c r="H286" s="61"/>
    </row>
    <row r="287" spans="8:8">
      <c r="H287" s="61"/>
    </row>
    <row r="288" spans="8:8">
      <c r="H288" s="61"/>
    </row>
    <row r="289" spans="8:8">
      <c r="H289" s="61"/>
    </row>
    <row r="294" spans="8:8">
      <c r="H294" s="61" t="s">
        <v>792</v>
      </c>
    </row>
    <row r="310" spans="8:8">
      <c r="H310" s="61" t="s">
        <v>793</v>
      </c>
    </row>
    <row r="329" spans="8:16">
      <c r="H329" s="61" t="s">
        <v>794</v>
      </c>
    </row>
    <row r="330" spans="8:16">
      <c r="P330" s="43" t="s">
        <v>795</v>
      </c>
    </row>
    <row r="348" spans="8:32">
      <c r="H348" s="61" t="s">
        <v>796</v>
      </c>
      <c r="AF348" s="61" t="s">
        <v>689</v>
      </c>
    </row>
    <row r="366" spans="8:16">
      <c r="H366" s="61" t="s">
        <v>797</v>
      </c>
    </row>
    <row r="368" spans="8:16">
      <c r="P368" s="43" t="s">
        <v>798</v>
      </c>
    </row>
    <row r="385" spans="8:8">
      <c r="H385" s="61" t="s">
        <v>799</v>
      </c>
    </row>
    <row r="402" spans="1:20">
      <c r="B402" s="90" t="s">
        <v>803</v>
      </c>
    </row>
    <row r="403" spans="1:20">
      <c r="A403" t="s">
        <v>23</v>
      </c>
      <c r="B403" s="90" t="s">
        <v>51</v>
      </c>
      <c r="C403" s="90" t="s">
        <v>52</v>
      </c>
      <c r="H403" s="61" t="s">
        <v>800</v>
      </c>
    </row>
    <row r="404" spans="1:20">
      <c r="A404" s="21">
        <v>45292</v>
      </c>
      <c r="B404" s="23">
        <v>4.6358807386385816</v>
      </c>
    </row>
    <row r="405" spans="1:20">
      <c r="A405" s="21">
        <f>A404+1</f>
        <v>45293</v>
      </c>
      <c r="B405" s="23">
        <v>6.714489127724371</v>
      </c>
      <c r="C405" s="26">
        <f>B405/B404-1</f>
        <v>0.44837399973671754</v>
      </c>
      <c r="P405" s="1" t="s">
        <v>54</v>
      </c>
      <c r="Q405" s="1"/>
      <c r="S405" s="29" t="s">
        <v>62</v>
      </c>
    </row>
    <row r="406" spans="1:20">
      <c r="A406" s="21">
        <f t="shared" ref="A406:A409" si="0">A405+1</f>
        <v>45294</v>
      </c>
      <c r="B406" s="23">
        <v>5.3358632489228484</v>
      </c>
      <c r="C406" s="26">
        <f t="shared" ref="C406:C419" si="1">B406/B405-1</f>
        <v>-0.20532103821705894</v>
      </c>
      <c r="P406" s="1" t="s">
        <v>55</v>
      </c>
      <c r="Q406" s="88">
        <v>45295</v>
      </c>
      <c r="S406">
        <f>COUNTIF($A$404:$A$419,"&lt;"&amp;$Q$406)</f>
        <v>3</v>
      </c>
    </row>
    <row r="407" spans="1:20">
      <c r="A407" s="21">
        <f t="shared" si="0"/>
        <v>45295</v>
      </c>
      <c r="B407" s="23">
        <v>6.7742326635337236</v>
      </c>
      <c r="C407" s="26">
        <f t="shared" si="1"/>
        <v>0.26956639394782833</v>
      </c>
      <c r="P407" s="1" t="s">
        <v>56</v>
      </c>
      <c r="Q407" s="88">
        <v>45303</v>
      </c>
      <c r="S407">
        <f>COUNTIF($A$404:$A$419,"&gt;"&amp;$Q$407)</f>
        <v>4</v>
      </c>
    </row>
    <row r="408" spans="1:20">
      <c r="A408" s="21">
        <f t="shared" si="0"/>
        <v>45296</v>
      </c>
      <c r="B408" s="23">
        <v>7.4212839803512924</v>
      </c>
      <c r="C408" s="26">
        <f t="shared" si="1"/>
        <v>9.5516547623275772E-2</v>
      </c>
      <c r="Q408" s="27"/>
      <c r="S408">
        <f>COUNT($A$404:$A$419)-S406-S407</f>
        <v>9</v>
      </c>
      <c r="T408" t="s">
        <v>59</v>
      </c>
    </row>
    <row r="409" spans="1:20">
      <c r="A409" s="21">
        <f t="shared" si="0"/>
        <v>45297</v>
      </c>
      <c r="B409" s="23">
        <v>2.5024349903241392</v>
      </c>
      <c r="C409" s="26">
        <f t="shared" si="1"/>
        <v>-0.66280296011449968</v>
      </c>
      <c r="P409" s="1" t="s">
        <v>63</v>
      </c>
    </row>
    <row r="410" spans="1:20">
      <c r="A410" s="21">
        <f>A409+1</f>
        <v>45298</v>
      </c>
      <c r="B410" s="23">
        <v>4.9238457073952988</v>
      </c>
      <c r="C410" s="26">
        <f t="shared" si="1"/>
        <v>0.96762182691407927</v>
      </c>
      <c r="P410" t="s">
        <v>57</v>
      </c>
      <c r="Q410" s="28" t="s">
        <v>61</v>
      </c>
    </row>
    <row r="411" spans="1:20">
      <c r="A411" s="21">
        <f t="shared" ref="A411:A419" si="2">A410+1</f>
        <v>45299</v>
      </c>
      <c r="B411" s="23">
        <v>2.4795234894810392</v>
      </c>
      <c r="C411" s="26">
        <f t="shared" si="1"/>
        <v>-0.4964254290590473</v>
      </c>
      <c r="P411" t="s">
        <v>58</v>
      </c>
      <c r="Q411" s="28" t="s">
        <v>60</v>
      </c>
    </row>
    <row r="412" spans="1:20">
      <c r="A412" s="21">
        <f t="shared" si="2"/>
        <v>45300</v>
      </c>
      <c r="B412" s="23">
        <v>0.88527709558692602</v>
      </c>
      <c r="C412" s="26">
        <f t="shared" si="1"/>
        <v>-0.64296482798305199</v>
      </c>
    </row>
    <row r="413" spans="1:20">
      <c r="A413" s="21">
        <f t="shared" si="2"/>
        <v>45301</v>
      </c>
      <c r="B413" s="23">
        <v>1.43552073511126</v>
      </c>
      <c r="C413" s="26">
        <f t="shared" si="1"/>
        <v>0.62154961680052323</v>
      </c>
      <c r="P413" s="1" t="s">
        <v>64</v>
      </c>
    </row>
    <row r="414" spans="1:20">
      <c r="A414" s="21">
        <f t="shared" si="2"/>
        <v>45302</v>
      </c>
      <c r="B414" s="23">
        <v>2.45167651515909</v>
      </c>
      <c r="C414" s="26">
        <f t="shared" si="1"/>
        <v>0.70786562338932213</v>
      </c>
      <c r="P414" t="s">
        <v>65</v>
      </c>
    </row>
    <row r="415" spans="1:20">
      <c r="A415" s="21">
        <f t="shared" si="2"/>
        <v>45303</v>
      </c>
      <c r="B415" s="23">
        <v>4.1786254072598457</v>
      </c>
      <c r="C415" s="26">
        <f t="shared" si="1"/>
        <v>0.70439508696305042</v>
      </c>
    </row>
    <row r="416" spans="1:20">
      <c r="A416" s="21">
        <f t="shared" si="2"/>
        <v>45304</v>
      </c>
      <c r="B416" s="23">
        <v>3.3850317199417468</v>
      </c>
      <c r="C416" s="26">
        <f t="shared" si="1"/>
        <v>-0.18991740344547947</v>
      </c>
      <c r="P416" s="43" t="s">
        <v>801</v>
      </c>
    </row>
    <row r="417" spans="1:40">
      <c r="A417" s="21">
        <f t="shared" si="2"/>
        <v>45305</v>
      </c>
      <c r="B417" s="23">
        <v>4.0600681993984002</v>
      </c>
      <c r="C417" s="26">
        <f t="shared" si="1"/>
        <v>0.19941806615279511</v>
      </c>
      <c r="P417" s="43" t="s">
        <v>807</v>
      </c>
    </row>
    <row r="418" spans="1:40">
      <c r="A418" s="21">
        <f t="shared" si="2"/>
        <v>45306</v>
      </c>
      <c r="B418" s="23">
        <v>3.4948126228094898</v>
      </c>
      <c r="C418" s="26">
        <f t="shared" si="1"/>
        <v>-0.1392231728207588</v>
      </c>
    </row>
    <row r="419" spans="1:40">
      <c r="A419" s="21">
        <f t="shared" si="2"/>
        <v>45307</v>
      </c>
      <c r="B419" s="23">
        <v>2.7074059326877356</v>
      </c>
      <c r="C419" s="26">
        <f t="shared" si="1"/>
        <v>-0.22530726968954229</v>
      </c>
    </row>
    <row r="421" spans="1:40">
      <c r="H421" s="61" t="s">
        <v>802</v>
      </c>
      <c r="AN421" t="s">
        <v>805</v>
      </c>
    </row>
    <row r="423" spans="1:40">
      <c r="P423" s="43" t="s">
        <v>804</v>
      </c>
    </row>
    <row r="424" spans="1:40">
      <c r="P424" s="43" t="s">
        <v>807</v>
      </c>
    </row>
    <row r="438" spans="1:40">
      <c r="AN438" t="s">
        <v>808</v>
      </c>
    </row>
    <row r="439" spans="1:40">
      <c r="H439" s="61" t="s">
        <v>806</v>
      </c>
    </row>
    <row r="442" spans="1:40">
      <c r="P442" s="43" t="s">
        <v>809</v>
      </c>
    </row>
    <row r="443" spans="1:40">
      <c r="P443" s="43" t="s">
        <v>807</v>
      </c>
    </row>
    <row r="447" spans="1:40">
      <c r="A447" t="s">
        <v>23</v>
      </c>
      <c r="B447" t="s">
        <v>51</v>
      </c>
    </row>
    <row r="448" spans="1:40">
      <c r="A448" s="21">
        <v>44562</v>
      </c>
      <c r="B448" s="23">
        <v>3.8142053619659535</v>
      </c>
    </row>
    <row r="449" spans="1:8">
      <c r="A449" s="21">
        <v>44586</v>
      </c>
      <c r="B449" s="23">
        <v>7.8693798891939446</v>
      </c>
    </row>
    <row r="450" spans="1:8">
      <c r="A450" s="21">
        <v>44623</v>
      </c>
      <c r="B450" s="23">
        <v>2.092017049945547</v>
      </c>
    </row>
    <row r="451" spans="1:8">
      <c r="A451" s="21">
        <v>44792</v>
      </c>
      <c r="B451" s="23">
        <v>8.3200751839804798</v>
      </c>
    </row>
    <row r="452" spans="1:8">
      <c r="A452" s="21">
        <v>44954</v>
      </c>
      <c r="B452" s="23">
        <v>6.211213271338865</v>
      </c>
    </row>
    <row r="453" spans="1:8">
      <c r="A453" s="21">
        <v>45022</v>
      </c>
      <c r="B453" s="23">
        <v>0.89690823635206085</v>
      </c>
    </row>
    <row r="454" spans="1:8">
      <c r="A454" s="21">
        <v>45028</v>
      </c>
      <c r="B454" s="23">
        <v>3.5676022907838592</v>
      </c>
    </row>
    <row r="455" spans="1:8">
      <c r="A455" s="21">
        <v>45085</v>
      </c>
      <c r="B455" s="23">
        <v>0.15475364784804269</v>
      </c>
    </row>
    <row r="456" spans="1:8">
      <c r="A456" s="21">
        <v>45212</v>
      </c>
      <c r="B456" s="23">
        <v>0.84632906110049366</v>
      </c>
    </row>
    <row r="457" spans="1:8">
      <c r="A457" s="21">
        <v>45343</v>
      </c>
      <c r="B457" s="23">
        <v>3.8123899189198651</v>
      </c>
      <c r="H457" s="61" t="s">
        <v>810</v>
      </c>
    </row>
    <row r="458" spans="1:8">
      <c r="A458" s="21">
        <v>45477</v>
      </c>
      <c r="B458" s="23">
        <v>1.4016699417898049</v>
      </c>
    </row>
    <row r="459" spans="1:8">
      <c r="A459" s="21">
        <v>45484</v>
      </c>
      <c r="B459" s="23">
        <v>5.912547565525359</v>
      </c>
    </row>
    <row r="460" spans="1:8">
      <c r="A460" s="21">
        <v>45663</v>
      </c>
      <c r="B460" s="23">
        <v>4.6358807386385816</v>
      </c>
    </row>
    <row r="461" spans="1:8">
      <c r="A461" s="21">
        <v>45841</v>
      </c>
      <c r="B461" s="23">
        <v>6.714489127724371</v>
      </c>
    </row>
    <row r="462" spans="1:8">
      <c r="A462" s="21">
        <v>45982</v>
      </c>
      <c r="B462" s="23">
        <v>5.3358632489228484</v>
      </c>
    </row>
    <row r="463" spans="1:8">
      <c r="A463" s="21">
        <v>46071</v>
      </c>
      <c r="B463" s="23">
        <v>6.7742326635337236</v>
      </c>
    </row>
    <row r="464" spans="1:8">
      <c r="A464" s="21">
        <v>46234</v>
      </c>
      <c r="B464" s="23">
        <v>7.4212839803512924</v>
      </c>
    </row>
    <row r="465" spans="1:12">
      <c r="A465" s="21">
        <v>46359</v>
      </c>
      <c r="B465" s="23">
        <v>2.5024349903241392</v>
      </c>
    </row>
    <row r="466" spans="1:12">
      <c r="A466" s="21">
        <v>46455</v>
      </c>
      <c r="B466" s="23">
        <v>4.9238457073952988</v>
      </c>
    </row>
    <row r="467" spans="1:12">
      <c r="A467" s="21">
        <v>46572</v>
      </c>
      <c r="B467" s="23">
        <v>2.4795234894810392</v>
      </c>
    </row>
    <row r="468" spans="1:12">
      <c r="A468" s="21">
        <v>46622</v>
      </c>
      <c r="B468" s="23">
        <v>0.88527709558692602</v>
      </c>
    </row>
    <row r="469" spans="1:12">
      <c r="A469" s="21">
        <v>46669</v>
      </c>
      <c r="B469" s="23">
        <v>3.4355207351112602</v>
      </c>
    </row>
    <row r="470" spans="1:12">
      <c r="A470" s="21">
        <v>46771</v>
      </c>
      <c r="B470" s="23">
        <v>5.4516765151590931</v>
      </c>
    </row>
    <row r="471" spans="1:12">
      <c r="A471" s="21">
        <v>46800</v>
      </c>
      <c r="B471" s="23">
        <v>4.1786254072598457</v>
      </c>
    </row>
    <row r="472" spans="1:12">
      <c r="A472" s="21">
        <v>46827</v>
      </c>
      <c r="B472" s="23">
        <v>3.3850317199417468</v>
      </c>
    </row>
    <row r="473" spans="1:12">
      <c r="A473" s="21">
        <v>46955</v>
      </c>
      <c r="B473" s="23">
        <v>9.0600681993983994</v>
      </c>
    </row>
    <row r="474" spans="1:12">
      <c r="A474" s="21">
        <v>47008</v>
      </c>
      <c r="B474" s="23">
        <v>3.4948126228094898</v>
      </c>
    </row>
    <row r="475" spans="1:12">
      <c r="A475" s="21">
        <v>47093</v>
      </c>
      <c r="B475" s="23">
        <v>2.7074059326877356</v>
      </c>
      <c r="D475" t="s">
        <v>23</v>
      </c>
      <c r="E475" t="s">
        <v>51</v>
      </c>
      <c r="G475" t="s">
        <v>23</v>
      </c>
      <c r="H475" t="s">
        <v>51</v>
      </c>
      <c r="J475" t="s">
        <v>53</v>
      </c>
      <c r="K475" t="s">
        <v>51</v>
      </c>
    </row>
    <row r="476" spans="1:12">
      <c r="A476" s="21">
        <v>47246</v>
      </c>
      <c r="B476" s="23">
        <v>5.1237431334005894</v>
      </c>
      <c r="D476" s="21">
        <v>45292</v>
      </c>
      <c r="E476" s="23">
        <v>4.6358807386385816</v>
      </c>
      <c r="G476" s="21">
        <v>45292</v>
      </c>
      <c r="H476" s="23">
        <v>4.6358807386385816</v>
      </c>
      <c r="J476" s="89" t="str">
        <f>IFERROR(LEFT(TEXT(WEEKDAY(ABS(L476)),"dddd"),3),"")</f>
        <v>Mon</v>
      </c>
      <c r="K476" s="24">
        <v>2</v>
      </c>
      <c r="L476" s="24">
        <f>IF(K476="",NA(),K476)</f>
        <v>2</v>
      </c>
    </row>
    <row r="477" spans="1:12">
      <c r="A477" s="21">
        <v>47255</v>
      </c>
      <c r="B477" s="23">
        <v>3.7592166746530098</v>
      </c>
      <c r="D477" s="21">
        <f>D476+1</f>
        <v>45293</v>
      </c>
      <c r="E477" s="23">
        <v>6.714489127724371</v>
      </c>
      <c r="G477" s="21">
        <f>G476+1</f>
        <v>45293</v>
      </c>
      <c r="H477" s="23">
        <v>6.714489127724371</v>
      </c>
      <c r="J477" s="89" t="str">
        <f t="shared" ref="J477:J494" si="3">IFERROR(LEFT(TEXT(WEEKDAY(ABS(L477)),"dddd"),3),"")</f>
        <v>Sun</v>
      </c>
      <c r="K477" s="24">
        <v>-1</v>
      </c>
      <c r="L477" s="24">
        <f t="shared" ref="L477:L494" si="4">IF(K477="",NA(),K477)</f>
        <v>-1</v>
      </c>
    </row>
    <row r="478" spans="1:12">
      <c r="A478" s="21">
        <v>47398</v>
      </c>
      <c r="B478" s="23">
        <v>9.4280057220096154</v>
      </c>
      <c r="D478" s="21">
        <f t="shared" ref="D478:D481" si="5">D477+1</f>
        <v>45294</v>
      </c>
      <c r="E478" s="23">
        <v>5.3358632489228484</v>
      </c>
      <c r="G478" s="21">
        <f t="shared" ref="G478:G481" si="6">G477+1</f>
        <v>45294</v>
      </c>
      <c r="H478" s="23">
        <v>5.3358632489228484</v>
      </c>
      <c r="J478" s="89" t="str">
        <f t="shared" si="3"/>
        <v>Wed</v>
      </c>
      <c r="K478" s="24">
        <v>4</v>
      </c>
      <c r="L478" s="24">
        <f t="shared" si="4"/>
        <v>4</v>
      </c>
    </row>
    <row r="479" spans="1:12">
      <c r="A479" s="21">
        <v>47490</v>
      </c>
      <c r="B479" s="23">
        <v>2.5282354608785393</v>
      </c>
      <c r="D479" s="21">
        <f t="shared" si="5"/>
        <v>45295</v>
      </c>
      <c r="E479" s="23">
        <v>6.7742326635337236</v>
      </c>
      <c r="G479" s="21">
        <f t="shared" si="6"/>
        <v>45295</v>
      </c>
      <c r="H479" s="23">
        <v>6.7742326635337236</v>
      </c>
      <c r="J479" s="89" t="str">
        <f t="shared" si="3"/>
        <v>Sun</v>
      </c>
      <c r="K479" s="24">
        <v>-1</v>
      </c>
      <c r="L479" s="24">
        <f t="shared" si="4"/>
        <v>-1</v>
      </c>
    </row>
    <row r="480" spans="1:12">
      <c r="A480" s="21">
        <v>47621</v>
      </c>
      <c r="B480" s="23">
        <v>0.4332367863427744</v>
      </c>
      <c r="D480" s="21">
        <f t="shared" si="5"/>
        <v>45296</v>
      </c>
      <c r="E480" s="23">
        <v>7.4212839803512924</v>
      </c>
      <c r="G480" s="21">
        <f t="shared" si="6"/>
        <v>45296</v>
      </c>
      <c r="H480" s="23">
        <v>7.4212839803512924</v>
      </c>
      <c r="J480" s="89" t="str">
        <f t="shared" si="3"/>
        <v>Wed</v>
      </c>
      <c r="K480" s="24">
        <v>4</v>
      </c>
      <c r="L480" s="24">
        <f t="shared" si="4"/>
        <v>4</v>
      </c>
    </row>
    <row r="481" spans="1:12">
      <c r="A481" s="21">
        <v>47787</v>
      </c>
      <c r="B481" s="23">
        <v>5.3763937328217626</v>
      </c>
      <c r="D481" s="21">
        <f t="shared" si="5"/>
        <v>45297</v>
      </c>
      <c r="E481" s="23">
        <v>2.5024349903241392</v>
      </c>
      <c r="G481" s="21">
        <f t="shared" si="6"/>
        <v>45297</v>
      </c>
      <c r="H481" s="23">
        <v>2.5024349903241392</v>
      </c>
      <c r="J481" s="89" t="str">
        <f t="shared" si="3"/>
        <v>Thu</v>
      </c>
      <c r="K481" s="24">
        <v>5</v>
      </c>
      <c r="L481" s="24">
        <f t="shared" si="4"/>
        <v>5</v>
      </c>
    </row>
    <row r="482" spans="1:12">
      <c r="A482" s="21">
        <v>47821</v>
      </c>
      <c r="B482" s="23">
        <v>8.4434090802367123</v>
      </c>
      <c r="D482" s="21">
        <f>D481+1</f>
        <v>45298</v>
      </c>
      <c r="E482" s="23">
        <v>4.9238457073952988</v>
      </c>
      <c r="G482" s="21">
        <f>G481+1</f>
        <v>45298</v>
      </c>
      <c r="H482" s="23">
        <v>4.9238457073952988</v>
      </c>
      <c r="J482" s="89" t="str">
        <f t="shared" si="3"/>
        <v>Thu</v>
      </c>
      <c r="K482" s="24">
        <v>5</v>
      </c>
      <c r="L482" s="24">
        <f t="shared" si="4"/>
        <v>5</v>
      </c>
    </row>
    <row r="483" spans="1:12">
      <c r="A483" s="21">
        <v>48000</v>
      </c>
      <c r="B483" s="23">
        <v>8.3935336833090748</v>
      </c>
      <c r="D483" s="21">
        <f>EOMONTH(D482,1)</f>
        <v>45351</v>
      </c>
      <c r="E483" s="23">
        <v>2.4795234894810392</v>
      </c>
      <c r="G483" s="21">
        <f>EOMONTH(G482,1)</f>
        <v>45351</v>
      </c>
      <c r="H483" s="23">
        <v>2.4795234894810392</v>
      </c>
      <c r="J483" s="89" t="str">
        <f t="shared" si="3"/>
        <v>Mon</v>
      </c>
      <c r="K483" s="24">
        <v>2</v>
      </c>
      <c r="L483" s="24">
        <f t="shared" si="4"/>
        <v>2</v>
      </c>
    </row>
    <row r="484" spans="1:12">
      <c r="A484" s="21">
        <v>48094</v>
      </c>
      <c r="B484" s="23">
        <v>1.6434409096585889</v>
      </c>
      <c r="D484" s="21">
        <f t="shared" ref="D484:D490" si="7">EOMONTH(D483,1)</f>
        <v>45382</v>
      </c>
      <c r="E484" s="23">
        <v>0.88527709558692602</v>
      </c>
      <c r="G484" s="21">
        <f t="shared" ref="G484:G490" si="8">EOMONTH(G483,1)</f>
        <v>45382</v>
      </c>
      <c r="H484" s="23">
        <v>0.88527709558692602</v>
      </c>
      <c r="J484" s="89" t="str">
        <f t="shared" si="3"/>
        <v/>
      </c>
      <c r="K484" s="24"/>
      <c r="L484" s="24" t="e">
        <f t="shared" si="4"/>
        <v>#N/A</v>
      </c>
    </row>
    <row r="485" spans="1:12">
      <c r="A485" s="21">
        <v>48218</v>
      </c>
      <c r="B485" s="23">
        <v>0.47272517020168436</v>
      </c>
      <c r="D485" s="21">
        <f t="shared" si="7"/>
        <v>45412</v>
      </c>
      <c r="E485" s="23">
        <v>3.4355207351112602</v>
      </c>
      <c r="G485" s="21">
        <f t="shared" si="8"/>
        <v>45412</v>
      </c>
      <c r="H485" s="23">
        <v>3.4355207351112602</v>
      </c>
      <c r="J485" s="89" t="str">
        <f t="shared" si="3"/>
        <v/>
      </c>
      <c r="K485" s="24"/>
      <c r="L485" s="24" t="e">
        <f t="shared" si="4"/>
        <v>#N/A</v>
      </c>
    </row>
    <row r="486" spans="1:12">
      <c r="A486" s="21">
        <v>48266</v>
      </c>
      <c r="B486" s="23">
        <v>1.6735700189346414</v>
      </c>
      <c r="D486" s="21">
        <f t="shared" si="7"/>
        <v>45443</v>
      </c>
      <c r="E486" s="23">
        <v>5.4516765151590931</v>
      </c>
      <c r="G486" s="21">
        <f t="shared" si="8"/>
        <v>45443</v>
      </c>
      <c r="H486" s="23">
        <v>5.4516765151590931</v>
      </c>
      <c r="J486" s="89" t="str">
        <f t="shared" si="3"/>
        <v/>
      </c>
      <c r="K486" s="24"/>
      <c r="L486" s="24" t="e">
        <f t="shared" si="4"/>
        <v>#N/A</v>
      </c>
    </row>
    <row r="487" spans="1:12">
      <c r="A487" s="21">
        <v>48277</v>
      </c>
      <c r="B487" s="23">
        <v>4.8538296270728907</v>
      </c>
      <c r="D487" s="21">
        <f t="shared" si="7"/>
        <v>45473</v>
      </c>
      <c r="E487" s="23">
        <v>4.1786254072598457</v>
      </c>
      <c r="G487" s="21">
        <f t="shared" si="8"/>
        <v>45473</v>
      </c>
      <c r="H487" s="23">
        <v>4.1786254072598457</v>
      </c>
      <c r="J487" s="89" t="str">
        <f t="shared" si="3"/>
        <v/>
      </c>
      <c r="K487" s="24"/>
      <c r="L487" s="24" t="e">
        <f t="shared" si="4"/>
        <v>#N/A</v>
      </c>
    </row>
    <row r="488" spans="1:12">
      <c r="A488" s="21">
        <v>48391</v>
      </c>
      <c r="B488" s="23">
        <v>4.6698327346125108</v>
      </c>
      <c r="D488" s="21">
        <f t="shared" si="7"/>
        <v>45504</v>
      </c>
      <c r="E488" s="23">
        <v>3.3850317199417468</v>
      </c>
      <c r="G488" s="21">
        <f t="shared" si="8"/>
        <v>45504</v>
      </c>
      <c r="H488" s="23">
        <v>3.3850317199417468</v>
      </c>
      <c r="J488" s="89" t="str">
        <f t="shared" si="3"/>
        <v/>
      </c>
      <c r="K488" s="24"/>
      <c r="L488" s="24" t="e">
        <f t="shared" si="4"/>
        <v>#N/A</v>
      </c>
    </row>
    <row r="489" spans="1:12">
      <c r="A489" s="21">
        <v>48516</v>
      </c>
      <c r="B489" s="23">
        <v>8.2441451067236198</v>
      </c>
      <c r="D489" s="21">
        <f t="shared" si="7"/>
        <v>45535</v>
      </c>
      <c r="E489" s="23">
        <v>9.0600681993983994</v>
      </c>
      <c r="G489" s="21">
        <f t="shared" si="8"/>
        <v>45535</v>
      </c>
      <c r="H489" s="23">
        <v>9.0600681993983994</v>
      </c>
      <c r="J489" s="89" t="str">
        <f t="shared" si="3"/>
        <v>Tue</v>
      </c>
      <c r="K489" s="24">
        <v>-3</v>
      </c>
      <c r="L489" s="24">
        <f t="shared" si="4"/>
        <v>-3</v>
      </c>
    </row>
    <row r="490" spans="1:12">
      <c r="A490" s="21">
        <v>48521</v>
      </c>
      <c r="B490" s="23">
        <v>4.5020291525664913</v>
      </c>
      <c r="D490" s="21">
        <f t="shared" si="7"/>
        <v>45565</v>
      </c>
      <c r="E490" s="23">
        <v>3.4948126228094898</v>
      </c>
      <c r="G490" s="21">
        <f t="shared" si="8"/>
        <v>45565</v>
      </c>
      <c r="H490" s="23">
        <v>3.4948126228094898</v>
      </c>
      <c r="J490" s="89" t="str">
        <f t="shared" si="3"/>
        <v>Mon</v>
      </c>
      <c r="K490" s="24">
        <v>-2</v>
      </c>
      <c r="L490" s="24">
        <f t="shared" si="4"/>
        <v>-2</v>
      </c>
    </row>
    <row r="491" spans="1:12">
      <c r="A491" s="21">
        <v>48677</v>
      </c>
      <c r="B491" s="23">
        <v>6.6451210924288446</v>
      </c>
      <c r="D491" s="21">
        <f>EDATE(D490,12)</f>
        <v>45930</v>
      </c>
      <c r="E491" s="23">
        <v>2.7074059326877356</v>
      </c>
      <c r="G491" s="21">
        <f>EDATE(G490,12)</f>
        <v>45930</v>
      </c>
      <c r="H491" s="23">
        <v>2.7074059326877356</v>
      </c>
      <c r="J491" s="89" t="str">
        <f t="shared" si="3"/>
        <v>Wed</v>
      </c>
      <c r="K491" s="24">
        <v>4</v>
      </c>
      <c r="L491" s="24">
        <f t="shared" si="4"/>
        <v>4</v>
      </c>
    </row>
    <row r="492" spans="1:12">
      <c r="D492" s="21">
        <f>D491</f>
        <v>45930</v>
      </c>
      <c r="E492" s="23"/>
      <c r="G492" s="21" t="e">
        <f>NA()</f>
        <v>#N/A</v>
      </c>
      <c r="H492" s="23" t="e">
        <f>NA()</f>
        <v>#N/A</v>
      </c>
      <c r="J492" s="89" t="str">
        <f t="shared" si="3"/>
        <v>Sat</v>
      </c>
      <c r="K492" s="24">
        <v>0</v>
      </c>
      <c r="L492" s="24">
        <f t="shared" si="4"/>
        <v>0</v>
      </c>
    </row>
    <row r="493" spans="1:12">
      <c r="D493" s="21">
        <f t="shared" ref="D493:D496" si="9">D492</f>
        <v>45930</v>
      </c>
      <c r="E493" s="23"/>
      <c r="G493" s="21" t="e">
        <f>NA()</f>
        <v>#N/A</v>
      </c>
      <c r="H493" s="23" t="e">
        <f>NA()</f>
        <v>#N/A</v>
      </c>
      <c r="J493" s="89" t="str">
        <f t="shared" si="3"/>
        <v>Sun</v>
      </c>
      <c r="K493" s="24">
        <v>-1</v>
      </c>
      <c r="L493" s="24">
        <f t="shared" si="4"/>
        <v>-1</v>
      </c>
    </row>
    <row r="494" spans="1:12">
      <c r="D494" s="21">
        <f t="shared" si="9"/>
        <v>45930</v>
      </c>
      <c r="E494" s="23"/>
      <c r="G494" s="21" t="e">
        <f>NA()</f>
        <v>#N/A</v>
      </c>
      <c r="H494" s="23" t="e">
        <f>NA()</f>
        <v>#N/A</v>
      </c>
      <c r="J494" s="89" t="str">
        <f t="shared" si="3"/>
        <v>Wed</v>
      </c>
      <c r="K494" s="24">
        <v>-4</v>
      </c>
      <c r="L494" s="24">
        <f t="shared" si="4"/>
        <v>-4</v>
      </c>
    </row>
    <row r="495" spans="1:12">
      <c r="D495" s="21">
        <f t="shared" si="9"/>
        <v>45930</v>
      </c>
      <c r="E495" s="23"/>
      <c r="G495" s="21" t="e">
        <f>NA()</f>
        <v>#N/A</v>
      </c>
      <c r="H495" s="23" t="e">
        <f>NA()</f>
        <v>#N/A</v>
      </c>
    </row>
    <row r="496" spans="1:12">
      <c r="D496" s="21">
        <f t="shared" si="9"/>
        <v>45930</v>
      </c>
      <c r="E496" s="23"/>
      <c r="G496" s="21" t="e">
        <f>NA()</f>
        <v>#N/A</v>
      </c>
      <c r="H496" s="23" t="e">
        <f>NA()</f>
        <v>#N/A</v>
      </c>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type="stacked" displayEmptyCellsAs="gap" negative="1" xr2:uid="{9BA76529-6620-45C9-A2CB-DF572EB8A13D}">
          <x14:colorSeries rgb="FF376092"/>
          <x14:colorNegative rgb="FFD00000"/>
          <x14:colorAxis rgb="FF000000"/>
          <x14:colorMarkers rgb="FFD00000"/>
          <x14:colorFirst rgb="FFD00000"/>
          <x14:colorLast rgb="FFD00000"/>
          <x14:colorHigh rgb="FFD00000"/>
          <x14:colorLow rgb="FFD00000"/>
          <x14:sparklines>
            <x14:sparkline>
              <xm:f>'6. Charts'!H255:M255</xm:f>
              <xm:sqref>N255</xm:sqref>
            </x14:sparkline>
          </x14:sparklines>
        </x14:sparklineGroup>
        <x14:sparklineGroup type="column" displayEmptyCellsAs="gap" xr2:uid="{572B6812-9413-4139-B7E1-04C0091259B2}">
          <x14:colorSeries rgb="FF376092"/>
          <x14:colorNegative rgb="FFD00000"/>
          <x14:colorAxis rgb="FF000000"/>
          <x14:colorMarkers rgb="FFD00000"/>
          <x14:colorFirst rgb="FFD00000"/>
          <x14:colorLast rgb="FFD00000"/>
          <x14:colorHigh rgb="FFD00000"/>
          <x14:colorLow rgb="FFD00000"/>
          <x14:sparklines>
            <x14:sparkline>
              <xm:f>'6. Charts'!H254:M254</xm:f>
              <xm:sqref>N254</xm:sqref>
            </x14:sparkline>
          </x14:sparklines>
        </x14:sparklineGroup>
        <x14:sparklineGroup displayEmptyCellsAs="gap" xr2:uid="{9665DBB3-FD9B-41B8-93AC-2AF615FC1EB6}">
          <x14:colorSeries rgb="FF376092"/>
          <x14:colorNegative rgb="FFD00000"/>
          <x14:colorAxis rgb="FF000000"/>
          <x14:colorMarkers rgb="FFD00000"/>
          <x14:colorFirst rgb="FFD00000"/>
          <x14:colorLast rgb="FFD00000"/>
          <x14:colorHigh rgb="FFD00000"/>
          <x14:colorLow rgb="FFD00000"/>
          <x14:sparklines>
            <x14:sparkline>
              <xm:f>'6. Charts'!H253:M253</xm:f>
              <xm:sqref>N253</xm:sqref>
            </x14:sparkline>
          </x14:sparklines>
        </x14:sparklineGroup>
        <x14:sparklineGroup displayEmptyCellsAs="gap" xr2:uid="{1BF6E275-7334-4E8A-A8CC-5D0BA28C9311}">
          <x14:colorSeries rgb="FF376092"/>
          <x14:colorNegative rgb="FFD00000"/>
          <x14:colorAxis rgb="FF000000"/>
          <x14:colorMarkers rgb="FFD00000"/>
          <x14:colorFirst rgb="FFD00000"/>
          <x14:colorLast rgb="FFD00000"/>
          <x14:colorHigh rgb="FFD00000"/>
          <x14:colorLow rgb="FFD00000"/>
          <x14:sparklines>
            <x14:sparkline>
              <xm:f>'6. Charts'!H253:H253</xm:f>
              <xm:sqref>O253</xm:sqref>
            </x14:sparkline>
            <x14:sparkline>
              <xm:f>'6. Charts'!I253:I253</xm:f>
              <xm:sqref>W427</xm:sqref>
            </x14:sparkline>
            <x14:sparkline>
              <xm:f>'6. Charts'!J253:J253</xm:f>
              <xm:sqref>X431</xm:sqref>
            </x14:sparkline>
            <x14:sparkline>
              <xm:f>'6. Charts'!K253:K253</xm:f>
              <xm:sqref>Y431</xm:sqref>
            </x14:sparkline>
            <x14:sparkline>
              <xm:f>'6. Charts'!L253:L253</xm:f>
              <xm:sqref>Z431</xm:sqref>
            </x14:sparkline>
            <x14:sparkline>
              <xm:f>'6. Charts'!M253:M253</xm:f>
              <xm:sqref>AA431</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0C96F-ABFF-4869-A062-CCEAC6F9C00F}">
  <dimension ref="A1"/>
  <sheetViews>
    <sheetView workbookViewId="0">
      <selection activeCell="N31" sqref="N31"/>
    </sheetView>
  </sheetViews>
  <sheetFormatPr defaultRowHeight="14.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C4EA5-DA20-4C88-9820-D777FD1A6249}">
  <sheetPr codeName="Sheet5"/>
  <dimension ref="A1"/>
  <sheetViews>
    <sheetView workbookViewId="0"/>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6E606-D14C-402C-B2B7-4A6706195C30}">
  <sheetPr codeName="Sheet6"/>
  <dimension ref="A1"/>
  <sheetViews>
    <sheetView workbookViewId="0">
      <selection activeCell="N8" sqref="N8"/>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START</vt:lpstr>
      <vt:lpstr>1. Functions</vt:lpstr>
      <vt:lpstr>2. Basic functions</vt:lpstr>
      <vt:lpstr>3. Basic calculation features</vt:lpstr>
      <vt:lpstr>4. Formatting</vt:lpstr>
      <vt:lpstr>5. Object features</vt:lpstr>
      <vt:lpstr>6. Charts</vt:lpstr>
      <vt:lpstr>END</vt:lpstr>
      <vt:lpstr>NormalHidden (can be unhidden)</vt:lpstr>
      <vt:lpstr>fivetimesfive</vt:lpstr>
      <vt:lpstr>'2. Basic functions'!Print_Area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2024-09-25T15:57:42Z</dcterms:created>
  <dcterms:modified xsi:type="dcterms:W3CDTF">2026-10-14T15:02:12Z</dcterms:modified>
</cp:coreProperties>
</file>